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5" yWindow="6675" windowWidth="24840" windowHeight="6195" tabRatio="817" firstSheet="9" activeTab="9"/>
  </bookViews>
  <sheets>
    <sheet name="Introduction" sheetId="10" state="hidden" r:id="rId1"/>
    <sheet name="Streetlight Tariff Schedule" sheetId="1" state="hidden" r:id="rId2"/>
    <sheet name="Tariff Schedule Lookup Table" sheetId="2" state="hidden" r:id="rId3"/>
    <sheet name="Lamp Stock" sheetId="13" state="hidden" r:id="rId4"/>
    <sheet name="Maintenance Costs" sheetId="3" state="hidden" r:id="rId5"/>
    <sheet name="Maintenance Model" sheetId="11" state="hidden" r:id="rId6"/>
    <sheet name="Other Maintenance" sheetId="12" state="hidden" r:id="rId7"/>
    <sheet name="RAB Calc 4yr Original devices" sheetId="19" state="hidden" r:id="rId8"/>
    <sheet name="RAB Calc 4yr Reduced devices" sheetId="18" state="hidden" r:id="rId9"/>
    <sheet name="RAB Calculations 10yr" sheetId="16" r:id="rId10"/>
    <sheet name="RAB Calculations 15yr" sheetId="15" state="hidden" r:id="rId11"/>
    <sheet name="Capital Code Schedules" sheetId="4" state="hidden" r:id="rId12"/>
    <sheet name="Public Lighting Charges" sheetId="14" state="hidden" r:id="rId13"/>
    <sheet name="Bulk Tarriff Rates" sheetId="17" state="hidden" r:id="rId14"/>
  </sheets>
  <externalReferences>
    <externalReference r:id="rId15"/>
    <externalReference r:id="rId16"/>
    <externalReference r:id="rId17"/>
    <externalReference r:id="rId18"/>
    <externalReference r:id="rId19"/>
    <externalReference r:id="rId20"/>
    <externalReference r:id="rId21"/>
  </externalReferences>
  <definedNames>
    <definedName name="_xlnm._FilterDatabase" localSheetId="4" hidden="1">'Maintenance Costs'!$A$19:$BZ$173</definedName>
    <definedName name="_xlnm._FilterDatabase" localSheetId="12" hidden="1">'Public Lighting Charges'!$A$18:$BM$1472</definedName>
    <definedName name="_xlnm._FilterDatabase" localSheetId="7" hidden="1">'RAB Calc 4yr Original devices'!$A$17:$J$115</definedName>
    <definedName name="_xlnm._FilterDatabase" localSheetId="8" hidden="1">'RAB Calc 4yr Reduced devices'!$A$17:$J$115</definedName>
    <definedName name="_xlnm._FilterDatabase" localSheetId="9" hidden="1">'RAB Calculations 10yr'!$A$21:$AF$119</definedName>
    <definedName name="data">'Other Maintenance'!$A$15:$A$53</definedName>
    <definedName name="_xlnm.Print_Area" localSheetId="4">'Maintenance Costs'!$A$1:$AV$173</definedName>
    <definedName name="_xlnm.Print_Area" localSheetId="5">'Maintenance Model'!$A$1:$G$118</definedName>
    <definedName name="_xlnm.Print_Area" localSheetId="6">'Other Maintenance'!$A$55:$R$94</definedName>
    <definedName name="_xlnm.Print_Titles" localSheetId="11">'Capital Code Schedules'!$10:$14</definedName>
    <definedName name="_xlnm.Print_Titles" localSheetId="4">'Maintenance Costs'!$17:$19</definedName>
  </definedNames>
  <calcPr calcId="145621"/>
</workbook>
</file>

<file path=xl/calcChain.xml><?xml version="1.0" encoding="utf-8"?>
<calcChain xmlns="http://schemas.openxmlformats.org/spreadsheetml/2006/main">
  <c r="H67" i="16" l="1"/>
  <c r="I67" i="16" s="1"/>
  <c r="H47" i="16"/>
  <c r="I47" i="16"/>
  <c r="H29" i="16"/>
  <c r="I29" i="16" s="1"/>
  <c r="H97" i="16"/>
  <c r="I97" i="16" s="1"/>
  <c r="J97" i="16" s="1"/>
  <c r="H28" i="16"/>
  <c r="I28" i="16" s="1"/>
  <c r="H49" i="16"/>
  <c r="I49" i="16"/>
  <c r="H74" i="16"/>
  <c r="I74" i="16" s="1"/>
  <c r="H44" i="16"/>
  <c r="I44" i="16" s="1"/>
  <c r="J44" i="16" s="1"/>
  <c r="H27" i="16"/>
  <c r="I27" i="16" s="1"/>
  <c r="H87" i="16"/>
  <c r="I87" i="16"/>
  <c r="H95" i="16"/>
  <c r="I95" i="16" s="1"/>
  <c r="H96" i="16"/>
  <c r="I96" i="16" s="1"/>
  <c r="J96" i="16" s="1"/>
  <c r="H24" i="16"/>
  <c r="I24" i="16" s="1"/>
  <c r="H107" i="16"/>
  <c r="I107" i="16"/>
  <c r="H105" i="16"/>
  <c r="I105" i="16" s="1"/>
  <c r="H101" i="16"/>
  <c r="I101" i="16" s="1"/>
  <c r="J101" i="16" s="1"/>
  <c r="H40" i="16"/>
  <c r="I40" i="16" s="1"/>
  <c r="H39" i="16"/>
  <c r="I39" i="16"/>
  <c r="H46" i="16"/>
  <c r="I46" i="16" s="1"/>
  <c r="H93" i="16"/>
  <c r="I93" i="16" s="1"/>
  <c r="J93" i="16" s="1"/>
  <c r="H118" i="16"/>
  <c r="I118" i="16" s="1"/>
  <c r="H81" i="16"/>
  <c r="I81" i="16"/>
  <c r="H104" i="16"/>
  <c r="I104" i="16" s="1"/>
  <c r="H68" i="16"/>
  <c r="I68" i="16" s="1"/>
  <c r="J68" i="16" s="1"/>
  <c r="H50" i="16"/>
  <c r="I50" i="16" s="1"/>
  <c r="H82" i="16"/>
  <c r="I82" i="16"/>
  <c r="H41" i="16"/>
  <c r="I41" i="16" s="1"/>
  <c r="H48" i="16"/>
  <c r="I48" i="16" s="1"/>
  <c r="J48" i="16" s="1"/>
  <c r="H88" i="16"/>
  <c r="I88" i="16" s="1"/>
  <c r="H66" i="16"/>
  <c r="I66" i="16"/>
  <c r="H106" i="16"/>
  <c r="I106" i="16" s="1"/>
  <c r="H53" i="16"/>
  <c r="I53" i="16" s="1"/>
  <c r="J53" i="16" s="1"/>
  <c r="H102" i="16"/>
  <c r="I102" i="16" s="1"/>
  <c r="H62" i="16"/>
  <c r="I62" i="16"/>
  <c r="H65" i="16"/>
  <c r="I65" i="16" s="1"/>
  <c r="H113" i="16"/>
  <c r="I113" i="16" s="1"/>
  <c r="J113" i="16" s="1"/>
  <c r="H37" i="16"/>
  <c r="I37" i="16" s="1"/>
  <c r="H25" i="16"/>
  <c r="I25" i="16"/>
  <c r="H30" i="16"/>
  <c r="I30" i="16" s="1"/>
  <c r="H38" i="16"/>
  <c r="I38" i="16" s="1"/>
  <c r="J38" i="16" s="1"/>
  <c r="H45" i="16"/>
  <c r="I45" i="16" s="1"/>
  <c r="H26" i="16"/>
  <c r="I26" i="16"/>
  <c r="H112" i="16"/>
  <c r="I112" i="16" s="1"/>
  <c r="H75" i="16"/>
  <c r="I75" i="16" s="1"/>
  <c r="J75" i="16" s="1"/>
  <c r="H70" i="16"/>
  <c r="I70" i="16" s="1"/>
  <c r="H117" i="16"/>
  <c r="I117" i="16"/>
  <c r="H85" i="16"/>
  <c r="I85" i="16" s="1"/>
  <c r="H86" i="16"/>
  <c r="I86" i="16" s="1"/>
  <c r="J86" i="16" s="1"/>
  <c r="H71" i="16"/>
  <c r="I71" i="16" s="1"/>
  <c r="H72" i="16"/>
  <c r="I72" i="16"/>
  <c r="H78" i="16"/>
  <c r="I78" i="16" s="1"/>
  <c r="H54" i="16"/>
  <c r="I54" i="16" s="1"/>
  <c r="J54" i="16" s="1"/>
  <c r="H83" i="16"/>
  <c r="I83" i="16" s="1"/>
  <c r="H77" i="16"/>
  <c r="I77" i="16"/>
  <c r="H59" i="16"/>
  <c r="I59" i="16" s="1"/>
  <c r="H99" i="16"/>
  <c r="I99" i="16" s="1"/>
  <c r="J99" i="16" s="1"/>
  <c r="H92" i="16"/>
  <c r="I92" i="16" s="1"/>
  <c r="H94" i="16"/>
  <c r="I94" i="16"/>
  <c r="H52" i="16"/>
  <c r="I52" i="16" s="1"/>
  <c r="H91" i="16"/>
  <c r="I91" i="16" s="1"/>
  <c r="J91" i="16" s="1"/>
  <c r="H90" i="16"/>
  <c r="I90" i="16" s="1"/>
  <c r="H51" i="16"/>
  <c r="I51" i="16"/>
  <c r="H84" i="16"/>
  <c r="I84" i="16" s="1"/>
  <c r="H100" i="16"/>
  <c r="I100" i="16" s="1"/>
  <c r="J100" i="16" s="1"/>
  <c r="H111" i="16"/>
  <c r="I111" i="16" s="1"/>
  <c r="H115" i="16"/>
  <c r="I115" i="16"/>
  <c r="H33" i="16"/>
  <c r="I33" i="16" s="1"/>
  <c r="H55" i="16"/>
  <c r="I55" i="16" s="1"/>
  <c r="J55" i="16" s="1"/>
  <c r="H89" i="16"/>
  <c r="I89" i="16" s="1"/>
  <c r="H76" i="16"/>
  <c r="I76" i="16"/>
  <c r="H110" i="16"/>
  <c r="I110" i="16" s="1"/>
  <c r="H114" i="16"/>
  <c r="I114" i="16" s="1"/>
  <c r="J114" i="16" s="1"/>
  <c r="H34" i="16"/>
  <c r="I34" i="16" s="1"/>
  <c r="H35" i="16"/>
  <c r="I35" i="16"/>
  <c r="H31" i="16"/>
  <c r="I31" i="16" s="1"/>
  <c r="H119" i="16"/>
  <c r="H116" i="16"/>
  <c r="H109" i="16"/>
  <c r="H108" i="16"/>
  <c r="H103" i="16"/>
  <c r="H98" i="16"/>
  <c r="H80" i="16"/>
  <c r="H79" i="16"/>
  <c r="H73" i="16"/>
  <c r="H69" i="16"/>
  <c r="H64" i="16"/>
  <c r="H63" i="16"/>
  <c r="H61" i="16"/>
  <c r="H60" i="16"/>
  <c r="H58" i="16"/>
  <c r="H57" i="16"/>
  <c r="H56" i="16"/>
  <c r="H43" i="16"/>
  <c r="H42" i="16"/>
  <c r="H36" i="16"/>
  <c r="H32" i="16"/>
  <c r="H23" i="16"/>
  <c r="H22"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H13" i="16"/>
  <c r="H12" i="16"/>
  <c r="H14" i="16" s="1"/>
  <c r="H7" i="16" s="1"/>
  <c r="H16" i="16" s="1"/>
  <c r="H17" i="16" s="1"/>
  <c r="H4" i="16"/>
  <c r="H5" i="16"/>
  <c r="H8" i="16" s="1"/>
  <c r="I13" i="16"/>
  <c r="J13" i="16"/>
  <c r="K13" i="16"/>
  <c r="L13" i="16"/>
  <c r="C115" i="19"/>
  <c r="D115" i="19"/>
  <c r="C114" i="19"/>
  <c r="C113" i="19"/>
  <c r="C112" i="19"/>
  <c r="D112" i="19"/>
  <c r="C111" i="19"/>
  <c r="D111" i="19"/>
  <c r="C110" i="19"/>
  <c r="C109" i="19"/>
  <c r="C108" i="19"/>
  <c r="C107" i="19"/>
  <c r="C106" i="19"/>
  <c r="D105" i="19"/>
  <c r="C105" i="19"/>
  <c r="C104" i="19"/>
  <c r="D104" i="19"/>
  <c r="C103" i="19"/>
  <c r="C102" i="19"/>
  <c r="C101" i="19"/>
  <c r="C100" i="19"/>
  <c r="C99" i="19"/>
  <c r="D99" i="19"/>
  <c r="C98" i="19"/>
  <c r="C97" i="19"/>
  <c r="C96" i="19"/>
  <c r="C95" i="19"/>
  <c r="C94" i="19"/>
  <c r="D94" i="19"/>
  <c r="C93" i="19"/>
  <c r="C92" i="19"/>
  <c r="C91" i="19"/>
  <c r="C90" i="19"/>
  <c r="D90" i="19"/>
  <c r="C89" i="19"/>
  <c r="D89" i="19"/>
  <c r="C88" i="19"/>
  <c r="C87" i="19"/>
  <c r="D87" i="19"/>
  <c r="C86" i="19"/>
  <c r="C85" i="19"/>
  <c r="D85" i="19"/>
  <c r="C84" i="19"/>
  <c r="D84" i="19"/>
  <c r="C83" i="19"/>
  <c r="D83" i="19"/>
  <c r="C82" i="19"/>
  <c r="C81" i="19"/>
  <c r="D81" i="19"/>
  <c r="C80" i="19"/>
  <c r="C79" i="19"/>
  <c r="C78" i="19"/>
  <c r="C77" i="19"/>
  <c r="C76" i="19"/>
  <c r="D76" i="19"/>
  <c r="C75" i="19"/>
  <c r="D75" i="19"/>
  <c r="C74" i="19"/>
  <c r="C73" i="19"/>
  <c r="D73" i="19"/>
  <c r="C72" i="19"/>
  <c r="C71" i="19"/>
  <c r="D71" i="19"/>
  <c r="C70" i="19"/>
  <c r="C69" i="19"/>
  <c r="D69" i="19"/>
  <c r="C68" i="19"/>
  <c r="C67" i="19"/>
  <c r="D67" i="19"/>
  <c r="C66" i="19"/>
  <c r="D66" i="19"/>
  <c r="C65" i="19"/>
  <c r="D65" i="19"/>
  <c r="C64" i="19"/>
  <c r="D64" i="19"/>
  <c r="C63" i="19"/>
  <c r="D63" i="19"/>
  <c r="C62" i="19"/>
  <c r="C61" i="19"/>
  <c r="D61" i="19"/>
  <c r="C60" i="19"/>
  <c r="D60" i="19"/>
  <c r="C59" i="19"/>
  <c r="D59" i="19"/>
  <c r="C58" i="19"/>
  <c r="C57" i="19"/>
  <c r="D57" i="19"/>
  <c r="C56" i="19"/>
  <c r="D56" i="19"/>
  <c r="C55" i="19"/>
  <c r="D55" i="19"/>
  <c r="C54" i="19"/>
  <c r="D54" i="19"/>
  <c r="C53" i="19"/>
  <c r="D53" i="19"/>
  <c r="C52" i="19"/>
  <c r="D52" i="19"/>
  <c r="C51" i="19"/>
  <c r="C50" i="19"/>
  <c r="D50" i="19"/>
  <c r="C49" i="19"/>
  <c r="D49" i="19"/>
  <c r="C48" i="19"/>
  <c r="D48" i="19"/>
  <c r="C47" i="19"/>
  <c r="C46" i="19"/>
  <c r="D46" i="19"/>
  <c r="C45" i="19"/>
  <c r="C44" i="19"/>
  <c r="D44" i="19"/>
  <c r="C43" i="19"/>
  <c r="C42" i="19"/>
  <c r="D42" i="19"/>
  <c r="C41" i="19"/>
  <c r="C40" i="19"/>
  <c r="D40" i="19"/>
  <c r="C39" i="19"/>
  <c r="D39" i="19"/>
  <c r="C38" i="19"/>
  <c r="D38" i="19"/>
  <c r="C37" i="19"/>
  <c r="C36" i="19"/>
  <c r="D36" i="19"/>
  <c r="C35" i="19"/>
  <c r="C34" i="19"/>
  <c r="D34" i="19"/>
  <c r="C33" i="19"/>
  <c r="D32" i="19"/>
  <c r="C32" i="19"/>
  <c r="C31" i="19"/>
  <c r="D31" i="19"/>
  <c r="C30" i="19"/>
  <c r="C29" i="19"/>
  <c r="D29" i="19"/>
  <c r="C28" i="19"/>
  <c r="D28" i="19"/>
  <c r="C27" i="19"/>
  <c r="C26" i="19"/>
  <c r="C25" i="19"/>
  <c r="C24" i="19"/>
  <c r="D24" i="19"/>
  <c r="C23" i="19"/>
  <c r="C22" i="19"/>
  <c r="C21" i="19"/>
  <c r="C20" i="19"/>
  <c r="D19" i="19"/>
  <c r="F18" i="19"/>
  <c r="G18" i="19"/>
  <c r="D18" i="19"/>
  <c r="B12" i="19"/>
  <c r="H18" i="19" s="1"/>
  <c r="D22" i="19"/>
  <c r="D26" i="19"/>
  <c r="D51" i="19"/>
  <c r="D62" i="19"/>
  <c r="D68" i="19"/>
  <c r="D70" i="19"/>
  <c r="D82" i="19"/>
  <c r="D86" i="19"/>
  <c r="D91" i="19"/>
  <c r="D92" i="19"/>
  <c r="D114" i="19"/>
  <c r="D88" i="19"/>
  <c r="D21" i="19"/>
  <c r="D23" i="19"/>
  <c r="D25" i="19"/>
  <c r="D27" i="19"/>
  <c r="D30" i="19"/>
  <c r="D33" i="19"/>
  <c r="D35" i="19"/>
  <c r="D37" i="19"/>
  <c r="D41" i="19"/>
  <c r="D43" i="19"/>
  <c r="D45" i="19"/>
  <c r="D47" i="19"/>
  <c r="D58" i="19"/>
  <c r="B16" i="19"/>
  <c r="D20" i="19"/>
  <c r="D77" i="19"/>
  <c r="D79" i="19"/>
  <c r="D72" i="19"/>
  <c r="D74" i="19"/>
  <c r="D78" i="19"/>
  <c r="D80" i="19"/>
  <c r="D95" i="19"/>
  <c r="D97" i="19"/>
  <c r="D100" i="19"/>
  <c r="D102" i="19"/>
  <c r="D106" i="19"/>
  <c r="D108" i="19"/>
  <c r="D110" i="19"/>
  <c r="D113" i="19"/>
  <c r="D93" i="19"/>
  <c r="D96" i="19"/>
  <c r="D98" i="19"/>
  <c r="D101" i="19"/>
  <c r="D103" i="19"/>
  <c r="D107" i="19"/>
  <c r="D109" i="19"/>
  <c r="F18" i="18"/>
  <c r="D18" i="18"/>
  <c r="D19" i="18"/>
  <c r="B20" i="18"/>
  <c r="B21" i="18"/>
  <c r="B22" i="18"/>
  <c r="B23" i="18"/>
  <c r="B24" i="18"/>
  <c r="B25" i="18"/>
  <c r="B26" i="18"/>
  <c r="B27" i="18"/>
  <c r="B29" i="18"/>
  <c r="B30" i="18"/>
  <c r="B31" i="18"/>
  <c r="B33" i="18"/>
  <c r="B34" i="18"/>
  <c r="B35" i="18"/>
  <c r="B36" i="18"/>
  <c r="B37" i="18"/>
  <c r="B40" i="18"/>
  <c r="B41" i="18"/>
  <c r="B42" i="18"/>
  <c r="B43" i="18"/>
  <c r="B44" i="18"/>
  <c r="B45" i="18"/>
  <c r="B46" i="18"/>
  <c r="B47" i="18"/>
  <c r="B48" i="18"/>
  <c r="B49" i="18"/>
  <c r="B50" i="18"/>
  <c r="B51" i="18"/>
  <c r="B55" i="18"/>
  <c r="B58" i="18"/>
  <c r="B61" i="18"/>
  <c r="B62" i="18"/>
  <c r="B63" i="18"/>
  <c r="B64" i="18"/>
  <c r="B66" i="18"/>
  <c r="B67" i="18"/>
  <c r="B68" i="18"/>
  <c r="B70" i="18"/>
  <c r="B71" i="18"/>
  <c r="B72" i="18"/>
  <c r="B73" i="18"/>
  <c r="B74" i="18"/>
  <c r="B77" i="18"/>
  <c r="B78" i="18"/>
  <c r="B79" i="18"/>
  <c r="B80" i="18"/>
  <c r="B81" i="18"/>
  <c r="B82" i="18"/>
  <c r="B83" i="18"/>
  <c r="B84" i="18"/>
  <c r="B85" i="18"/>
  <c r="B86" i="18"/>
  <c r="B87" i="18"/>
  <c r="B88" i="18"/>
  <c r="B89" i="18"/>
  <c r="B90" i="18"/>
  <c r="B91" i="18"/>
  <c r="B92" i="18"/>
  <c r="B93" i="18"/>
  <c r="B95" i="18"/>
  <c r="B96" i="18"/>
  <c r="B97" i="18"/>
  <c r="B98" i="18"/>
  <c r="B100" i="18"/>
  <c r="B101" i="18"/>
  <c r="B102" i="18"/>
  <c r="B103" i="18"/>
  <c r="B106" i="18"/>
  <c r="B107" i="18"/>
  <c r="B108" i="18"/>
  <c r="B109" i="18"/>
  <c r="B110" i="18"/>
  <c r="B111" i="18"/>
  <c r="B113" i="18"/>
  <c r="B114" i="18"/>
  <c r="D16" i="19"/>
  <c r="B13" i="19"/>
  <c r="B14" i="19"/>
  <c r="E96" i="19"/>
  <c r="C115" i="18"/>
  <c r="D115" i="18"/>
  <c r="C114" i="18"/>
  <c r="D114" i="18"/>
  <c r="C113" i="18"/>
  <c r="D113" i="18"/>
  <c r="C112" i="18"/>
  <c r="D112" i="18"/>
  <c r="C111" i="18"/>
  <c r="D111" i="18"/>
  <c r="C110" i="18"/>
  <c r="D110" i="18"/>
  <c r="C109" i="18"/>
  <c r="D109" i="18"/>
  <c r="C108" i="18"/>
  <c r="D108" i="18"/>
  <c r="C107" i="18"/>
  <c r="D107" i="18"/>
  <c r="C106" i="18"/>
  <c r="D106" i="18"/>
  <c r="C105" i="18"/>
  <c r="D105" i="18"/>
  <c r="C104" i="18"/>
  <c r="D104" i="18"/>
  <c r="C103" i="18"/>
  <c r="D103" i="18"/>
  <c r="C102" i="18"/>
  <c r="D102" i="18"/>
  <c r="C101" i="18"/>
  <c r="D101" i="18"/>
  <c r="C100" i="18"/>
  <c r="D100" i="18"/>
  <c r="C99" i="18"/>
  <c r="D99" i="18"/>
  <c r="C98" i="18"/>
  <c r="D98" i="18"/>
  <c r="C97" i="18"/>
  <c r="D97" i="18"/>
  <c r="C96" i="18"/>
  <c r="D96" i="18"/>
  <c r="C95" i="18"/>
  <c r="D95" i="18"/>
  <c r="C94" i="18"/>
  <c r="D94" i="18"/>
  <c r="C93" i="18"/>
  <c r="D93" i="18"/>
  <c r="C92" i="18"/>
  <c r="D92" i="18"/>
  <c r="C91" i="18"/>
  <c r="D91" i="18"/>
  <c r="C90" i="18"/>
  <c r="D90" i="18"/>
  <c r="C89" i="18"/>
  <c r="D89" i="18"/>
  <c r="C88" i="18"/>
  <c r="D88" i="18"/>
  <c r="C87" i="18"/>
  <c r="D87" i="18"/>
  <c r="C86" i="18"/>
  <c r="D86" i="18"/>
  <c r="C85" i="18"/>
  <c r="D85" i="18"/>
  <c r="C84" i="18"/>
  <c r="D84" i="18"/>
  <c r="C83" i="18"/>
  <c r="D83" i="18"/>
  <c r="C82" i="18"/>
  <c r="D82" i="18"/>
  <c r="C81" i="18"/>
  <c r="D81" i="18"/>
  <c r="C80" i="18"/>
  <c r="D80" i="18"/>
  <c r="C79" i="18"/>
  <c r="D79" i="18"/>
  <c r="C78" i="18"/>
  <c r="D78" i="18"/>
  <c r="C77" i="18"/>
  <c r="D77" i="18"/>
  <c r="C76" i="18"/>
  <c r="D76" i="18"/>
  <c r="C75" i="18"/>
  <c r="D75" i="18"/>
  <c r="C74" i="18"/>
  <c r="D74" i="18"/>
  <c r="C73" i="18"/>
  <c r="D73" i="18"/>
  <c r="C72" i="18"/>
  <c r="D72" i="18"/>
  <c r="C71" i="18"/>
  <c r="D71" i="18"/>
  <c r="C70" i="18"/>
  <c r="D70" i="18"/>
  <c r="C69" i="18"/>
  <c r="D69" i="18"/>
  <c r="C68" i="18"/>
  <c r="D68" i="18"/>
  <c r="C67" i="18"/>
  <c r="D67" i="18"/>
  <c r="C66" i="18"/>
  <c r="D66" i="18"/>
  <c r="C65" i="18"/>
  <c r="D65" i="18"/>
  <c r="C64" i="18"/>
  <c r="D64" i="18"/>
  <c r="C63" i="18"/>
  <c r="D63" i="18"/>
  <c r="C62" i="18"/>
  <c r="D62" i="18"/>
  <c r="C61" i="18"/>
  <c r="D61" i="18"/>
  <c r="C60" i="18"/>
  <c r="D60" i="18"/>
  <c r="C59" i="18"/>
  <c r="D59" i="18"/>
  <c r="C58" i="18"/>
  <c r="D58" i="18"/>
  <c r="C57" i="18"/>
  <c r="D57" i="18"/>
  <c r="C56" i="18"/>
  <c r="D56" i="18"/>
  <c r="C55" i="18"/>
  <c r="D55" i="18"/>
  <c r="C54" i="18"/>
  <c r="D54" i="18"/>
  <c r="C53" i="18"/>
  <c r="D53" i="18"/>
  <c r="C52" i="18"/>
  <c r="D52" i="18"/>
  <c r="C51" i="18"/>
  <c r="D51" i="18"/>
  <c r="C50" i="18"/>
  <c r="D50" i="18"/>
  <c r="C49" i="18"/>
  <c r="D49" i="18"/>
  <c r="C48" i="18"/>
  <c r="D48" i="18"/>
  <c r="C47" i="18"/>
  <c r="D47" i="18"/>
  <c r="C46" i="18"/>
  <c r="D46" i="18"/>
  <c r="C45" i="18"/>
  <c r="D45" i="18"/>
  <c r="C44" i="18"/>
  <c r="D44" i="18"/>
  <c r="C43" i="18"/>
  <c r="D43" i="18"/>
  <c r="C42" i="18"/>
  <c r="D42" i="18"/>
  <c r="C41" i="18"/>
  <c r="D41" i="18"/>
  <c r="C40" i="18"/>
  <c r="D40" i="18"/>
  <c r="C39" i="18"/>
  <c r="D39" i="18"/>
  <c r="C38" i="18"/>
  <c r="D38" i="18"/>
  <c r="C37" i="18"/>
  <c r="D37" i="18"/>
  <c r="C36" i="18"/>
  <c r="D36" i="18"/>
  <c r="C35" i="18"/>
  <c r="D35" i="18"/>
  <c r="C34" i="18"/>
  <c r="D34" i="18"/>
  <c r="C33" i="18"/>
  <c r="D33" i="18"/>
  <c r="C32" i="18"/>
  <c r="D32" i="18"/>
  <c r="C31" i="18"/>
  <c r="D31" i="18"/>
  <c r="C30" i="18"/>
  <c r="D30" i="18"/>
  <c r="C29" i="18"/>
  <c r="D29" i="18"/>
  <c r="C28" i="18"/>
  <c r="D28" i="18"/>
  <c r="C27" i="18"/>
  <c r="D27" i="18"/>
  <c r="C26" i="18"/>
  <c r="D26" i="18"/>
  <c r="C25" i="18"/>
  <c r="D25" i="18"/>
  <c r="C24" i="18"/>
  <c r="D24" i="18"/>
  <c r="C23" i="18"/>
  <c r="D23" i="18"/>
  <c r="C22" i="18"/>
  <c r="D22" i="18"/>
  <c r="C21" i="18"/>
  <c r="D21" i="18"/>
  <c r="C20" i="18"/>
  <c r="D20" i="18"/>
  <c r="B13" i="18"/>
  <c r="B14" i="18"/>
  <c r="B16" i="18"/>
  <c r="B12" i="18"/>
  <c r="H18" i="18"/>
  <c r="I18" i="18" s="1"/>
  <c r="J18" i="18" s="1"/>
  <c r="G18" i="18"/>
  <c r="D16" i="18"/>
  <c r="H96" i="19"/>
  <c r="I96" i="19" s="1"/>
  <c r="J96" i="19" s="1"/>
  <c r="F96" i="19"/>
  <c r="G96" i="19"/>
  <c r="E79" i="19"/>
  <c r="E101" i="19"/>
  <c r="E35" i="19"/>
  <c r="E78" i="19"/>
  <c r="E109" i="19"/>
  <c r="E80" i="19"/>
  <c r="E21" i="19"/>
  <c r="E110" i="19"/>
  <c r="E33" i="19"/>
  <c r="E102" i="19"/>
  <c r="E98" i="19"/>
  <c r="E45" i="19"/>
  <c r="E95" i="19"/>
  <c r="E27" i="19"/>
  <c r="E97" i="19"/>
  <c r="E30" i="19"/>
  <c r="E20" i="19"/>
  <c r="E93" i="19"/>
  <c r="E43" i="19"/>
  <c r="E113" i="19"/>
  <c r="E25" i="19"/>
  <c r="E47" i="19"/>
  <c r="E58" i="19"/>
  <c r="E106" i="19"/>
  <c r="E37" i="19"/>
  <c r="E108" i="19"/>
  <c r="E41" i="19"/>
  <c r="E72" i="19"/>
  <c r="E103" i="19"/>
  <c r="E77" i="19"/>
  <c r="E52" i="19"/>
  <c r="E38" i="19"/>
  <c r="E59" i="19"/>
  <c r="E76" i="19"/>
  <c r="E61" i="19"/>
  <c r="E29" i="19"/>
  <c r="E40" i="19"/>
  <c r="E48" i="19"/>
  <c r="E66" i="19"/>
  <c r="E75" i="19"/>
  <c r="E91" i="19"/>
  <c r="E90" i="19"/>
  <c r="E83" i="19"/>
  <c r="E89" i="19"/>
  <c r="E53" i="19"/>
  <c r="E54" i="19"/>
  <c r="E24" i="19"/>
  <c r="E62" i="19"/>
  <c r="E22" i="19"/>
  <c r="E65" i="19"/>
  <c r="E31" i="19"/>
  <c r="E42" i="19"/>
  <c r="E50" i="19"/>
  <c r="E19" i="19"/>
  <c r="E71" i="19"/>
  <c r="E81" i="19"/>
  <c r="E92" i="19"/>
  <c r="E94" i="19"/>
  <c r="E87" i="19"/>
  <c r="E105" i="19"/>
  <c r="E111" i="19"/>
  <c r="E60" i="19"/>
  <c r="E28" i="19"/>
  <c r="E49" i="19"/>
  <c r="E68" i="19"/>
  <c r="E32" i="19"/>
  <c r="E67" i="19"/>
  <c r="E34" i="19"/>
  <c r="E44" i="19"/>
  <c r="E55" i="19"/>
  <c r="E63" i="19"/>
  <c r="E73" i="19"/>
  <c r="E84" i="19"/>
  <c r="E112" i="19"/>
  <c r="E82" i="19"/>
  <c r="E88" i="19"/>
  <c r="E114" i="19"/>
  <c r="E56" i="19"/>
  <c r="E39" i="19"/>
  <c r="E51" i="19"/>
  <c r="E70" i="19"/>
  <c r="E57" i="19"/>
  <c r="E26" i="19"/>
  <c r="E36" i="19"/>
  <c r="E46" i="19"/>
  <c r="E64" i="19"/>
  <c r="E69" i="19"/>
  <c r="E86" i="19"/>
  <c r="E85" i="19"/>
  <c r="E99" i="19"/>
  <c r="E104" i="19"/>
  <c r="E115" i="19"/>
  <c r="E100" i="19"/>
  <c r="E23" i="19"/>
  <c r="E74" i="19"/>
  <c r="E107" i="19"/>
  <c r="E73" i="18"/>
  <c r="E72" i="18"/>
  <c r="E71" i="18"/>
  <c r="E19" i="18"/>
  <c r="E20" i="18"/>
  <c r="E21" i="18"/>
  <c r="E37" i="18"/>
  <c r="E41" i="18"/>
  <c r="E44" i="18"/>
  <c r="E48" i="18"/>
  <c r="E52" i="18"/>
  <c r="E56" i="18"/>
  <c r="E60" i="18"/>
  <c r="E64" i="18"/>
  <c r="E68" i="18"/>
  <c r="E23" i="18"/>
  <c r="E27" i="18"/>
  <c r="E29" i="18"/>
  <c r="E36" i="18"/>
  <c r="E40" i="18"/>
  <c r="E45" i="18"/>
  <c r="E49" i="18"/>
  <c r="E53" i="18"/>
  <c r="E57" i="18"/>
  <c r="E61" i="18"/>
  <c r="E65" i="18"/>
  <c r="E69" i="18"/>
  <c r="E24" i="18"/>
  <c r="E26" i="18"/>
  <c r="E30" i="18"/>
  <c r="E35" i="18"/>
  <c r="E39" i="18"/>
  <c r="E43" i="18"/>
  <c r="E46" i="18"/>
  <c r="E50" i="18"/>
  <c r="E54" i="18"/>
  <c r="E58" i="18"/>
  <c r="E62" i="18"/>
  <c r="E66" i="18"/>
  <c r="E70" i="18"/>
  <c r="E22" i="18"/>
  <c r="E25" i="18"/>
  <c r="E28" i="18"/>
  <c r="E31" i="18"/>
  <c r="E32" i="18"/>
  <c r="E33" i="18"/>
  <c r="E34" i="18"/>
  <c r="E38" i="18"/>
  <c r="E42" i="18"/>
  <c r="E47" i="18"/>
  <c r="E51" i="18"/>
  <c r="E55" i="18"/>
  <c r="E59" i="18"/>
  <c r="E63" i="18"/>
  <c r="E67" i="18"/>
  <c r="E75" i="18"/>
  <c r="E84" i="18"/>
  <c r="E88" i="18"/>
  <c r="E92" i="18"/>
  <c r="E96" i="18"/>
  <c r="E100" i="18"/>
  <c r="E104" i="18"/>
  <c r="E108" i="18"/>
  <c r="E112" i="18"/>
  <c r="E74" i="18"/>
  <c r="E76" i="18"/>
  <c r="E78" i="18"/>
  <c r="E80" i="18"/>
  <c r="E82" i="18"/>
  <c r="E85" i="18"/>
  <c r="E89" i="18"/>
  <c r="E93" i="18"/>
  <c r="E97" i="18"/>
  <c r="E101" i="18"/>
  <c r="E105" i="18"/>
  <c r="E109" i="18"/>
  <c r="E86" i="18"/>
  <c r="E90" i="18"/>
  <c r="E94" i="18"/>
  <c r="E98" i="18"/>
  <c r="E102" i="18"/>
  <c r="E106" i="18"/>
  <c r="E110" i="18"/>
  <c r="E77" i="18"/>
  <c r="E79" i="18"/>
  <c r="E81" i="18"/>
  <c r="E83" i="18"/>
  <c r="E87" i="18"/>
  <c r="E91" i="18"/>
  <c r="E95" i="18"/>
  <c r="E99" i="18"/>
  <c r="E103" i="18"/>
  <c r="E107" i="18"/>
  <c r="E111" i="18"/>
  <c r="E114" i="18"/>
  <c r="E113" i="18"/>
  <c r="E115" i="18"/>
  <c r="I22" i="16"/>
  <c r="H15" i="16"/>
  <c r="H23" i="19"/>
  <c r="I23" i="19"/>
  <c r="F23" i="19"/>
  <c r="G23" i="19"/>
  <c r="F99" i="19"/>
  <c r="G99" i="19"/>
  <c r="H99" i="19"/>
  <c r="I99" i="19"/>
  <c r="H64" i="19"/>
  <c r="I64" i="19"/>
  <c r="F64" i="19"/>
  <c r="G64" i="19"/>
  <c r="F57" i="19"/>
  <c r="G57" i="19"/>
  <c r="H57" i="19"/>
  <c r="I57" i="19"/>
  <c r="F56" i="19"/>
  <c r="G56" i="19"/>
  <c r="H56" i="19"/>
  <c r="I56" i="19"/>
  <c r="F112" i="19"/>
  <c r="G112" i="19"/>
  <c r="H112" i="19"/>
  <c r="I112" i="19"/>
  <c r="H55" i="19"/>
  <c r="I55" i="19"/>
  <c r="F55" i="19"/>
  <c r="G55" i="19"/>
  <c r="F32" i="19"/>
  <c r="G32" i="19"/>
  <c r="H32" i="19"/>
  <c r="I32" i="19"/>
  <c r="F60" i="19"/>
  <c r="G60" i="19"/>
  <c r="H60" i="19"/>
  <c r="I60" i="19"/>
  <c r="F94" i="19"/>
  <c r="G94" i="19"/>
  <c r="H94" i="19"/>
  <c r="I94" i="19"/>
  <c r="F19" i="19"/>
  <c r="G19" i="19"/>
  <c r="E16" i="19"/>
  <c r="H19" i="19"/>
  <c r="H65" i="19"/>
  <c r="I65" i="19"/>
  <c r="F65" i="19"/>
  <c r="G65" i="19"/>
  <c r="F54" i="19"/>
  <c r="G54" i="19"/>
  <c r="H54" i="19"/>
  <c r="I54" i="19"/>
  <c r="F90" i="19"/>
  <c r="G90" i="19"/>
  <c r="H90" i="19"/>
  <c r="I90" i="19"/>
  <c r="H48" i="19"/>
  <c r="I48" i="19"/>
  <c r="F48" i="19"/>
  <c r="G48" i="19"/>
  <c r="F76" i="19"/>
  <c r="G76" i="19"/>
  <c r="H76" i="19"/>
  <c r="I76" i="19"/>
  <c r="H77" i="19"/>
  <c r="I77" i="19"/>
  <c r="F77" i="19"/>
  <c r="G77" i="19"/>
  <c r="H108" i="19"/>
  <c r="I108" i="19"/>
  <c r="F108" i="19"/>
  <c r="G108" i="19"/>
  <c r="H47" i="19"/>
  <c r="I47" i="19"/>
  <c r="F47" i="19"/>
  <c r="G47" i="19"/>
  <c r="H93" i="19"/>
  <c r="I93" i="19"/>
  <c r="F93" i="19"/>
  <c r="G93" i="19"/>
  <c r="H27" i="19"/>
  <c r="I27" i="19"/>
  <c r="F27" i="19"/>
  <c r="G27" i="19"/>
  <c r="H102" i="19"/>
  <c r="I102" i="19"/>
  <c r="F102" i="19"/>
  <c r="G102" i="19"/>
  <c r="H80" i="19"/>
  <c r="I80" i="19"/>
  <c r="F80" i="19"/>
  <c r="G80" i="19"/>
  <c r="H101" i="19"/>
  <c r="I101" i="19"/>
  <c r="F101" i="19"/>
  <c r="G101" i="19"/>
  <c r="H100" i="19"/>
  <c r="I100" i="19"/>
  <c r="F100" i="19"/>
  <c r="G100" i="19"/>
  <c r="H85" i="19"/>
  <c r="I85" i="19"/>
  <c r="F85" i="19"/>
  <c r="G85" i="19"/>
  <c r="H46" i="19"/>
  <c r="I46" i="19"/>
  <c r="F46" i="19"/>
  <c r="G46" i="19"/>
  <c r="H70" i="19"/>
  <c r="I70" i="19"/>
  <c r="F70" i="19"/>
  <c r="G70" i="19"/>
  <c r="H114" i="19"/>
  <c r="I114" i="19"/>
  <c r="F114" i="19"/>
  <c r="G114" i="19"/>
  <c r="H84" i="19"/>
  <c r="I84" i="19"/>
  <c r="F84" i="19"/>
  <c r="G84" i="19"/>
  <c r="H44" i="19"/>
  <c r="I44" i="19"/>
  <c r="F44" i="19"/>
  <c r="G44" i="19"/>
  <c r="H68" i="19"/>
  <c r="I68" i="19"/>
  <c r="F68" i="19"/>
  <c r="G68" i="19"/>
  <c r="H111" i="19"/>
  <c r="I111" i="19"/>
  <c r="F111" i="19"/>
  <c r="G111" i="19"/>
  <c r="H92" i="19"/>
  <c r="I92" i="19"/>
  <c r="F92" i="19"/>
  <c r="G92" i="19"/>
  <c r="H50" i="19"/>
  <c r="I50" i="19"/>
  <c r="F50" i="19"/>
  <c r="G50" i="19"/>
  <c r="H22" i="19"/>
  <c r="I22" i="19"/>
  <c r="F22" i="19"/>
  <c r="G22" i="19"/>
  <c r="F53" i="19"/>
  <c r="G53" i="19"/>
  <c r="H53" i="19"/>
  <c r="I53" i="19"/>
  <c r="H91" i="19"/>
  <c r="I91" i="19"/>
  <c r="F91" i="19"/>
  <c r="G91" i="19"/>
  <c r="H40" i="19"/>
  <c r="I40" i="19"/>
  <c r="F40" i="19"/>
  <c r="G40" i="19"/>
  <c r="F59" i="19"/>
  <c r="G59" i="19"/>
  <c r="H59" i="19"/>
  <c r="I59" i="19"/>
  <c r="H103" i="19"/>
  <c r="I103" i="19"/>
  <c r="F103" i="19"/>
  <c r="G103" i="19"/>
  <c r="H37" i="19"/>
  <c r="I37" i="19"/>
  <c r="F37" i="19"/>
  <c r="G37" i="19"/>
  <c r="H25" i="19"/>
  <c r="I25" i="19"/>
  <c r="F25" i="19"/>
  <c r="G25" i="19"/>
  <c r="H20" i="19"/>
  <c r="I20" i="19"/>
  <c r="F20" i="19"/>
  <c r="G20" i="19"/>
  <c r="H95" i="19"/>
  <c r="I95" i="19"/>
  <c r="F95" i="19"/>
  <c r="G95" i="19"/>
  <c r="H33" i="19"/>
  <c r="I33" i="19"/>
  <c r="F33" i="19"/>
  <c r="G33" i="19"/>
  <c r="H109" i="19"/>
  <c r="I109" i="19"/>
  <c r="F109" i="19"/>
  <c r="G109" i="19"/>
  <c r="H79" i="19"/>
  <c r="I79" i="19"/>
  <c r="F79" i="19"/>
  <c r="G79" i="19"/>
  <c r="H107" i="19"/>
  <c r="I107" i="19"/>
  <c r="F107" i="19"/>
  <c r="G107" i="19"/>
  <c r="F115" i="19"/>
  <c r="G115" i="19"/>
  <c r="H115" i="19"/>
  <c r="I115" i="19"/>
  <c r="F86" i="19"/>
  <c r="G86" i="19"/>
  <c r="H86" i="19"/>
  <c r="I86" i="19"/>
  <c r="H36" i="19"/>
  <c r="I36" i="19"/>
  <c r="F36" i="19"/>
  <c r="G36" i="19"/>
  <c r="H51" i="19"/>
  <c r="I51" i="19"/>
  <c r="F51" i="19"/>
  <c r="G51" i="19"/>
  <c r="H88" i="19"/>
  <c r="I88" i="19"/>
  <c r="F88" i="19"/>
  <c r="G88" i="19"/>
  <c r="H73" i="19"/>
  <c r="I73" i="19"/>
  <c r="F73" i="19"/>
  <c r="G73" i="19"/>
  <c r="H34" i="19"/>
  <c r="I34" i="19"/>
  <c r="F34" i="19"/>
  <c r="G34" i="19"/>
  <c r="H49" i="19"/>
  <c r="I49" i="19"/>
  <c r="F49" i="19"/>
  <c r="G49" i="19"/>
  <c r="F105" i="19"/>
  <c r="G105" i="19"/>
  <c r="H105" i="19"/>
  <c r="I105" i="19"/>
  <c r="H81" i="19"/>
  <c r="I81" i="19"/>
  <c r="F81" i="19"/>
  <c r="G81" i="19"/>
  <c r="H42" i="19"/>
  <c r="I42" i="19"/>
  <c r="F42" i="19"/>
  <c r="G42" i="19"/>
  <c r="H62" i="19"/>
  <c r="I62" i="19"/>
  <c r="F62" i="19"/>
  <c r="G62" i="19"/>
  <c r="F89" i="19"/>
  <c r="G89" i="19"/>
  <c r="H89" i="19"/>
  <c r="I89" i="19"/>
  <c r="F75" i="19"/>
  <c r="G75" i="19"/>
  <c r="H75" i="19"/>
  <c r="I75" i="19"/>
  <c r="H29" i="19"/>
  <c r="I29" i="19"/>
  <c r="F29" i="19"/>
  <c r="G29" i="19"/>
  <c r="F38" i="19"/>
  <c r="G38" i="19"/>
  <c r="H38" i="19"/>
  <c r="I38" i="19"/>
  <c r="H72" i="19"/>
  <c r="I72" i="19"/>
  <c r="F72" i="19"/>
  <c r="G72" i="19"/>
  <c r="H106" i="19"/>
  <c r="I106" i="19"/>
  <c r="F106" i="19"/>
  <c r="G106" i="19"/>
  <c r="H113" i="19"/>
  <c r="I113" i="19"/>
  <c r="F113" i="19"/>
  <c r="G113" i="19"/>
  <c r="H30" i="19"/>
  <c r="I30" i="19"/>
  <c r="F30" i="19"/>
  <c r="G30" i="19"/>
  <c r="H45" i="19"/>
  <c r="I45" i="19"/>
  <c r="F45" i="19"/>
  <c r="G45" i="19"/>
  <c r="H110" i="19"/>
  <c r="I110" i="19"/>
  <c r="F110" i="19"/>
  <c r="G110" i="19"/>
  <c r="H78" i="19"/>
  <c r="I78" i="19"/>
  <c r="F78" i="19"/>
  <c r="G78" i="19"/>
  <c r="H74" i="19"/>
  <c r="I74" i="19"/>
  <c r="F74" i="19"/>
  <c r="G74" i="19"/>
  <c r="F104" i="19"/>
  <c r="G104" i="19"/>
  <c r="H104" i="19"/>
  <c r="I104" i="19"/>
  <c r="F69" i="19"/>
  <c r="G69" i="19"/>
  <c r="H69" i="19"/>
  <c r="I69" i="19"/>
  <c r="H26" i="19"/>
  <c r="I26" i="19"/>
  <c r="F26" i="19"/>
  <c r="G26" i="19"/>
  <c r="F39" i="19"/>
  <c r="G39" i="19"/>
  <c r="H39" i="19"/>
  <c r="I39" i="19"/>
  <c r="H82" i="19"/>
  <c r="I82" i="19"/>
  <c r="F82" i="19"/>
  <c r="G82" i="19"/>
  <c r="H63" i="19"/>
  <c r="I63" i="19"/>
  <c r="F63" i="19"/>
  <c r="G63" i="19"/>
  <c r="H67" i="19"/>
  <c r="I67" i="19"/>
  <c r="F67" i="19"/>
  <c r="G67" i="19"/>
  <c r="F28" i="19"/>
  <c r="G28" i="19"/>
  <c r="H28" i="19"/>
  <c r="I28" i="19"/>
  <c r="H87" i="19"/>
  <c r="I87" i="19"/>
  <c r="F87" i="19"/>
  <c r="G87" i="19"/>
  <c r="H71" i="19"/>
  <c r="I71" i="19"/>
  <c r="F71" i="19"/>
  <c r="G71" i="19"/>
  <c r="H31" i="19"/>
  <c r="I31" i="19"/>
  <c r="F31" i="19"/>
  <c r="G31" i="19"/>
  <c r="H24" i="19"/>
  <c r="I24" i="19"/>
  <c r="F24" i="19"/>
  <c r="G24" i="19"/>
  <c r="H83" i="19"/>
  <c r="I83" i="19"/>
  <c r="F83" i="19"/>
  <c r="G83" i="19"/>
  <c r="H66" i="19"/>
  <c r="I66" i="19"/>
  <c r="F66" i="19"/>
  <c r="G66" i="19"/>
  <c r="H61" i="19"/>
  <c r="I61" i="19"/>
  <c r="F61" i="19"/>
  <c r="G61" i="19"/>
  <c r="F52" i="19"/>
  <c r="G52" i="19"/>
  <c r="H52" i="19"/>
  <c r="I52" i="19"/>
  <c r="H41" i="19"/>
  <c r="I41" i="19"/>
  <c r="F41" i="19"/>
  <c r="G41" i="19"/>
  <c r="H58" i="19"/>
  <c r="I58" i="19"/>
  <c r="F58" i="19"/>
  <c r="G58" i="19"/>
  <c r="H43" i="19"/>
  <c r="I43" i="19"/>
  <c r="F43" i="19"/>
  <c r="G43" i="19"/>
  <c r="H97" i="19"/>
  <c r="I97" i="19"/>
  <c r="F97" i="19"/>
  <c r="G97" i="19"/>
  <c r="H98" i="19"/>
  <c r="I98" i="19"/>
  <c r="F98" i="19"/>
  <c r="G98" i="19"/>
  <c r="H21" i="19"/>
  <c r="I21" i="19"/>
  <c r="F21" i="19"/>
  <c r="G21" i="19"/>
  <c r="H35" i="19"/>
  <c r="I35" i="19"/>
  <c r="F35" i="19"/>
  <c r="G35" i="19"/>
  <c r="H107" i="18"/>
  <c r="I107" i="18"/>
  <c r="F107" i="18"/>
  <c r="G107" i="18"/>
  <c r="H113" i="18"/>
  <c r="I113" i="18"/>
  <c r="F113" i="18"/>
  <c r="G113" i="18"/>
  <c r="H103" i="18"/>
  <c r="I103" i="18"/>
  <c r="F103" i="18"/>
  <c r="G103" i="18"/>
  <c r="H87" i="18"/>
  <c r="I87" i="18"/>
  <c r="F87" i="18"/>
  <c r="G87" i="18"/>
  <c r="H77" i="18"/>
  <c r="I77" i="18"/>
  <c r="F77" i="18"/>
  <c r="G77" i="18"/>
  <c r="H98" i="18"/>
  <c r="I98" i="18"/>
  <c r="F98" i="18"/>
  <c r="G98" i="18"/>
  <c r="H109" i="18"/>
  <c r="I109" i="18"/>
  <c r="F109" i="18"/>
  <c r="G109" i="18"/>
  <c r="H93" i="18"/>
  <c r="I93" i="18"/>
  <c r="F93" i="18"/>
  <c r="G93" i="18"/>
  <c r="H80" i="18"/>
  <c r="I80" i="18"/>
  <c r="F80" i="18"/>
  <c r="G80" i="18"/>
  <c r="H112" i="18"/>
  <c r="I112" i="18"/>
  <c r="F112" i="18"/>
  <c r="G112" i="18"/>
  <c r="H96" i="18"/>
  <c r="I96" i="18"/>
  <c r="F96" i="18"/>
  <c r="G96" i="18"/>
  <c r="H75" i="18"/>
  <c r="I75" i="18"/>
  <c r="F75" i="18"/>
  <c r="G75" i="18"/>
  <c r="H55" i="18"/>
  <c r="I55" i="18"/>
  <c r="F55" i="18"/>
  <c r="G55" i="18"/>
  <c r="H38" i="18"/>
  <c r="I38" i="18"/>
  <c r="F38" i="18"/>
  <c r="G38" i="18"/>
  <c r="H31" i="18"/>
  <c r="I31" i="18"/>
  <c r="F31" i="18"/>
  <c r="G31" i="18"/>
  <c r="H70" i="18"/>
  <c r="I70" i="18"/>
  <c r="F70" i="18"/>
  <c r="G70" i="18"/>
  <c r="H54" i="18"/>
  <c r="I54" i="18"/>
  <c r="F54" i="18"/>
  <c r="G54" i="18"/>
  <c r="H39" i="18"/>
  <c r="I39" i="18"/>
  <c r="F39" i="18"/>
  <c r="G39" i="18"/>
  <c r="H24" i="18"/>
  <c r="I24" i="18"/>
  <c r="F24" i="18"/>
  <c r="G24" i="18"/>
  <c r="H57" i="18"/>
  <c r="I57" i="18"/>
  <c r="F57" i="18"/>
  <c r="G57" i="18"/>
  <c r="H40" i="18"/>
  <c r="I40" i="18"/>
  <c r="F40" i="18"/>
  <c r="G40" i="18"/>
  <c r="H23" i="18"/>
  <c r="I23" i="18"/>
  <c r="F23" i="18"/>
  <c r="G23" i="18"/>
  <c r="H56" i="18"/>
  <c r="I56" i="18"/>
  <c r="F56" i="18"/>
  <c r="G56" i="18"/>
  <c r="H41" i="18"/>
  <c r="I41" i="18"/>
  <c r="F41" i="18"/>
  <c r="G41" i="18"/>
  <c r="H19" i="18"/>
  <c r="I19" i="18"/>
  <c r="F19" i="18"/>
  <c r="G19" i="18"/>
  <c r="H114" i="18"/>
  <c r="I114" i="18"/>
  <c r="F114" i="18"/>
  <c r="G114" i="18"/>
  <c r="H99" i="18"/>
  <c r="I99" i="18"/>
  <c r="F99" i="18"/>
  <c r="G99" i="18"/>
  <c r="H83" i="18"/>
  <c r="I83" i="18"/>
  <c r="F83" i="18"/>
  <c r="G83" i="18"/>
  <c r="H110" i="18"/>
  <c r="I110" i="18"/>
  <c r="F110" i="18"/>
  <c r="G110" i="18"/>
  <c r="H94" i="18"/>
  <c r="I94" i="18"/>
  <c r="F94" i="18"/>
  <c r="G94" i="18"/>
  <c r="H105" i="18"/>
  <c r="I105" i="18"/>
  <c r="F105" i="18"/>
  <c r="G105" i="18"/>
  <c r="H89" i="18"/>
  <c r="I89" i="18"/>
  <c r="F89" i="18"/>
  <c r="G89" i="18"/>
  <c r="H78" i="18"/>
  <c r="I78" i="18"/>
  <c r="F78" i="18"/>
  <c r="G78" i="18"/>
  <c r="H108" i="18"/>
  <c r="I108" i="18"/>
  <c r="F108" i="18"/>
  <c r="G108" i="18"/>
  <c r="H92" i="18"/>
  <c r="I92" i="18"/>
  <c r="F92" i="18"/>
  <c r="G92" i="18"/>
  <c r="H67" i="18"/>
  <c r="I67" i="18"/>
  <c r="F67" i="18"/>
  <c r="G67" i="18"/>
  <c r="H51" i="18"/>
  <c r="I51" i="18"/>
  <c r="F51" i="18"/>
  <c r="G51" i="18"/>
  <c r="H34" i="18"/>
  <c r="I34" i="18"/>
  <c r="F34" i="18"/>
  <c r="G34" i="18"/>
  <c r="H28" i="18"/>
  <c r="I28" i="18"/>
  <c r="F28" i="18"/>
  <c r="G28" i="18"/>
  <c r="H66" i="18"/>
  <c r="I66" i="18"/>
  <c r="F66" i="18"/>
  <c r="G66" i="18"/>
  <c r="H50" i="18"/>
  <c r="I50" i="18"/>
  <c r="F50" i="18"/>
  <c r="G50" i="18"/>
  <c r="H35" i="18"/>
  <c r="I35" i="18"/>
  <c r="F35" i="18"/>
  <c r="G35" i="18"/>
  <c r="H69" i="18"/>
  <c r="I69" i="18"/>
  <c r="F69" i="18"/>
  <c r="G69" i="18"/>
  <c r="H53" i="18"/>
  <c r="I53" i="18"/>
  <c r="F53" i="18"/>
  <c r="G53" i="18"/>
  <c r="H36" i="18"/>
  <c r="I36" i="18"/>
  <c r="F36" i="18"/>
  <c r="G36" i="18"/>
  <c r="H68" i="18"/>
  <c r="I68" i="18"/>
  <c r="F68" i="18"/>
  <c r="G68" i="18"/>
  <c r="H52" i="18"/>
  <c r="I52" i="18"/>
  <c r="F52" i="18"/>
  <c r="G52" i="18"/>
  <c r="H37" i="18"/>
  <c r="I37" i="18"/>
  <c r="F37" i="18"/>
  <c r="G37" i="18"/>
  <c r="H71" i="18"/>
  <c r="I71" i="18"/>
  <c r="F71" i="18"/>
  <c r="G71" i="18"/>
  <c r="H111" i="18"/>
  <c r="I111" i="18"/>
  <c r="F111" i="18"/>
  <c r="G111" i="18"/>
  <c r="H95" i="18"/>
  <c r="I95" i="18"/>
  <c r="F95" i="18"/>
  <c r="G95" i="18"/>
  <c r="H81" i="18"/>
  <c r="I81" i="18"/>
  <c r="F81" i="18"/>
  <c r="G81" i="18"/>
  <c r="H106" i="18"/>
  <c r="I106" i="18"/>
  <c r="F106" i="18"/>
  <c r="G106" i="18"/>
  <c r="H90" i="18"/>
  <c r="I90" i="18"/>
  <c r="F90" i="18"/>
  <c r="G90" i="18"/>
  <c r="H101" i="18"/>
  <c r="I101" i="18"/>
  <c r="F101" i="18"/>
  <c r="G101" i="18"/>
  <c r="H85" i="18"/>
  <c r="I85" i="18"/>
  <c r="F85" i="18"/>
  <c r="G85" i="18"/>
  <c r="H76" i="18"/>
  <c r="I76" i="18"/>
  <c r="F76" i="18"/>
  <c r="G76" i="18"/>
  <c r="H104" i="18"/>
  <c r="I104" i="18"/>
  <c r="F104" i="18"/>
  <c r="G104" i="18"/>
  <c r="H88" i="18"/>
  <c r="I88" i="18"/>
  <c r="F88" i="18"/>
  <c r="G88" i="18"/>
  <c r="H63" i="18"/>
  <c r="I63" i="18"/>
  <c r="F63" i="18"/>
  <c r="G63" i="18"/>
  <c r="H47" i="18"/>
  <c r="I47" i="18"/>
  <c r="F47" i="18"/>
  <c r="G47" i="18"/>
  <c r="H33" i="18"/>
  <c r="I33" i="18"/>
  <c r="F33" i="18"/>
  <c r="G33" i="18"/>
  <c r="H25" i="18"/>
  <c r="I25" i="18"/>
  <c r="F25" i="18"/>
  <c r="G25" i="18"/>
  <c r="H62" i="18"/>
  <c r="I62" i="18"/>
  <c r="F62" i="18"/>
  <c r="G62" i="18"/>
  <c r="H46" i="18"/>
  <c r="I46" i="18"/>
  <c r="F46" i="18"/>
  <c r="G46" i="18"/>
  <c r="H30" i="18"/>
  <c r="I30" i="18"/>
  <c r="F30" i="18"/>
  <c r="G30" i="18"/>
  <c r="H65" i="18"/>
  <c r="I65" i="18"/>
  <c r="F65" i="18"/>
  <c r="G65" i="18"/>
  <c r="H49" i="18"/>
  <c r="I49" i="18"/>
  <c r="F49" i="18"/>
  <c r="G49" i="18"/>
  <c r="H29" i="18"/>
  <c r="I29" i="18"/>
  <c r="F29" i="18"/>
  <c r="G29" i="18"/>
  <c r="H64" i="18"/>
  <c r="I64" i="18"/>
  <c r="F64" i="18"/>
  <c r="G64" i="18"/>
  <c r="H48" i="18"/>
  <c r="I48" i="18"/>
  <c r="F48" i="18"/>
  <c r="G48" i="18"/>
  <c r="H21" i="18"/>
  <c r="I21" i="18"/>
  <c r="F21" i="18"/>
  <c r="G21" i="18"/>
  <c r="H72" i="18"/>
  <c r="I72" i="18"/>
  <c r="F72" i="18"/>
  <c r="G72" i="18"/>
  <c r="H115" i="18"/>
  <c r="I115" i="18"/>
  <c r="F115" i="18"/>
  <c r="G115" i="18"/>
  <c r="H91" i="18"/>
  <c r="I91" i="18"/>
  <c r="F91" i="18"/>
  <c r="G91" i="18"/>
  <c r="H79" i="18"/>
  <c r="I79" i="18"/>
  <c r="F79" i="18"/>
  <c r="G79" i="18"/>
  <c r="H102" i="18"/>
  <c r="I102" i="18"/>
  <c r="F102" i="18"/>
  <c r="G102" i="18"/>
  <c r="H86" i="18"/>
  <c r="I86" i="18"/>
  <c r="F86" i="18"/>
  <c r="G86" i="18"/>
  <c r="H97" i="18"/>
  <c r="I97" i="18"/>
  <c r="F97" i="18"/>
  <c r="G97" i="18"/>
  <c r="H82" i="18"/>
  <c r="I82" i="18"/>
  <c r="F82" i="18"/>
  <c r="G82" i="18"/>
  <c r="H74" i="18"/>
  <c r="I74" i="18"/>
  <c r="F74" i="18"/>
  <c r="G74" i="18"/>
  <c r="H100" i="18"/>
  <c r="I100" i="18"/>
  <c r="F100" i="18"/>
  <c r="G100" i="18"/>
  <c r="H84" i="18"/>
  <c r="I84" i="18"/>
  <c r="F84" i="18"/>
  <c r="G84" i="18"/>
  <c r="H59" i="18"/>
  <c r="I59" i="18"/>
  <c r="F59" i="18"/>
  <c r="G59" i="18"/>
  <c r="H42" i="18"/>
  <c r="I42" i="18"/>
  <c r="F42" i="18"/>
  <c r="G42" i="18"/>
  <c r="H32" i="18"/>
  <c r="I32" i="18"/>
  <c r="F32" i="18"/>
  <c r="G32" i="18"/>
  <c r="H22" i="18"/>
  <c r="I22" i="18"/>
  <c r="F22" i="18"/>
  <c r="G22" i="18"/>
  <c r="H58" i="18"/>
  <c r="I58" i="18"/>
  <c r="F58" i="18"/>
  <c r="G58" i="18"/>
  <c r="H43" i="18"/>
  <c r="I43" i="18"/>
  <c r="F43" i="18"/>
  <c r="G43" i="18"/>
  <c r="H26" i="18"/>
  <c r="I26" i="18"/>
  <c r="F26" i="18"/>
  <c r="G26" i="18"/>
  <c r="H61" i="18"/>
  <c r="I61" i="18"/>
  <c r="F61" i="18"/>
  <c r="G61" i="18"/>
  <c r="H45" i="18"/>
  <c r="I45" i="18"/>
  <c r="F45" i="18"/>
  <c r="G45" i="18"/>
  <c r="H27" i="18"/>
  <c r="I27" i="18"/>
  <c r="F27" i="18"/>
  <c r="G27" i="18"/>
  <c r="H60" i="18"/>
  <c r="I60" i="18"/>
  <c r="F60" i="18"/>
  <c r="G60" i="18"/>
  <c r="H44" i="18"/>
  <c r="I44" i="18"/>
  <c r="F44" i="18"/>
  <c r="G44" i="18"/>
  <c r="H20" i="18"/>
  <c r="I20" i="18"/>
  <c r="F20" i="18"/>
  <c r="G20" i="18"/>
  <c r="H73" i="18"/>
  <c r="I73" i="18"/>
  <c r="F73" i="18"/>
  <c r="G73" i="18"/>
  <c r="E16" i="18"/>
  <c r="F83" i="3"/>
  <c r="F85" i="3"/>
  <c r="F87" i="3"/>
  <c r="F167" i="3"/>
  <c r="F168" i="3"/>
  <c r="F169" i="3"/>
  <c r="O15" i="14"/>
  <c r="D1472" i="14"/>
  <c r="C1472" i="14"/>
  <c r="E1472" i="14"/>
  <c r="D14" i="13"/>
  <c r="F21" i="3"/>
  <c r="H14" i="13"/>
  <c r="F14" i="13"/>
  <c r="G20" i="3"/>
  <c r="P14" i="14"/>
  <c r="B1472" i="14"/>
  <c r="D1471" i="14"/>
  <c r="C1471" i="14"/>
  <c r="D22" i="13"/>
  <c r="F90" i="3"/>
  <c r="H22" i="13"/>
  <c r="F22" i="13"/>
  <c r="B1471" i="14"/>
  <c r="D1470" i="14"/>
  <c r="C1470" i="14"/>
  <c r="E1470" i="14"/>
  <c r="B1470" i="14"/>
  <c r="D1469" i="14"/>
  <c r="J1469" i="14"/>
  <c r="C1469" i="14"/>
  <c r="E1469" i="14"/>
  <c r="F1469" i="14"/>
  <c r="I1469" i="14"/>
  <c r="D39" i="13"/>
  <c r="F92" i="3"/>
  <c r="H39" i="13"/>
  <c r="F39" i="13"/>
  <c r="G168" i="3"/>
  <c r="M14" i="14"/>
  <c r="N14" i="14"/>
  <c r="M12" i="14"/>
  <c r="N12" i="14"/>
  <c r="D1468" i="14"/>
  <c r="C1468" i="14"/>
  <c r="D21" i="13"/>
  <c r="F84" i="3"/>
  <c r="H21" i="13"/>
  <c r="F21" i="13"/>
  <c r="G166" i="3"/>
  <c r="D1467" i="14"/>
  <c r="C1467" i="14"/>
  <c r="E1467" i="14"/>
  <c r="F1467" i="14"/>
  <c r="D1466" i="14"/>
  <c r="C1466" i="14"/>
  <c r="E1466" i="14"/>
  <c r="F1466" i="14"/>
  <c r="I1466" i="14"/>
  <c r="D1465" i="14"/>
  <c r="C1465" i="14"/>
  <c r="E1465" i="14"/>
  <c r="F1465" i="14"/>
  <c r="I1465" i="14"/>
  <c r="D1464" i="14"/>
  <c r="C1464" i="14"/>
  <c r="E1464" i="14"/>
  <c r="F1464" i="14"/>
  <c r="D31" i="13"/>
  <c r="F160" i="3"/>
  <c r="H31" i="13"/>
  <c r="F31" i="13"/>
  <c r="G163" i="3"/>
  <c r="D1463" i="14"/>
  <c r="C1463" i="14"/>
  <c r="E1463" i="14"/>
  <c r="F1463" i="14"/>
  <c r="I1463" i="14"/>
  <c r="D1462" i="14"/>
  <c r="C1462" i="14"/>
  <c r="E1462" i="14"/>
  <c r="F1462" i="14"/>
  <c r="I1462" i="14"/>
  <c r="D1461" i="14"/>
  <c r="C1461" i="14"/>
  <c r="E1461" i="14"/>
  <c r="F1461" i="14"/>
  <c r="D1460" i="14"/>
  <c r="C1460" i="14"/>
  <c r="E1460" i="14"/>
  <c r="F1460" i="14"/>
  <c r="D1459" i="14"/>
  <c r="C1459" i="14"/>
  <c r="E1459" i="14"/>
  <c r="F1459" i="14"/>
  <c r="D1458" i="14"/>
  <c r="C1458" i="14"/>
  <c r="E1458" i="14"/>
  <c r="F1458" i="14"/>
  <c r="D1457" i="14"/>
  <c r="C1457" i="14"/>
  <c r="E1457" i="14"/>
  <c r="D1456" i="14"/>
  <c r="C1456" i="14"/>
  <c r="E1456" i="14"/>
  <c r="F1456" i="14"/>
  <c r="D1455" i="14"/>
  <c r="C1455" i="14"/>
  <c r="D1454" i="14"/>
  <c r="J1454" i="14"/>
  <c r="C1454" i="14"/>
  <c r="E1454" i="14"/>
  <c r="F1454" i="14"/>
  <c r="D1453" i="14"/>
  <c r="C1453" i="14"/>
  <c r="E1453" i="14"/>
  <c r="F1453" i="14"/>
  <c r="D1452" i="14"/>
  <c r="C1452" i="14"/>
  <c r="E1452" i="14"/>
  <c r="F1452" i="14"/>
  <c r="D1451" i="14"/>
  <c r="C1451" i="14"/>
  <c r="E1451" i="14"/>
  <c r="F1451" i="14"/>
  <c r="D1450" i="14"/>
  <c r="C1450" i="14"/>
  <c r="E1450" i="14"/>
  <c r="F1450" i="14"/>
  <c r="D1449" i="14"/>
  <c r="C1449" i="14"/>
  <c r="E1449" i="14"/>
  <c r="F1449" i="14"/>
  <c r="D1448" i="14"/>
  <c r="C1448" i="14"/>
  <c r="E1448" i="14"/>
  <c r="F1448" i="14"/>
  <c r="I1448" i="14"/>
  <c r="D1447" i="14"/>
  <c r="C1447" i="14"/>
  <c r="E1447" i="14"/>
  <c r="F1447" i="14"/>
  <c r="I1447" i="14"/>
  <c r="D1446" i="14"/>
  <c r="C1446" i="14"/>
  <c r="E1446" i="14"/>
  <c r="F1446" i="14"/>
  <c r="I1446" i="14"/>
  <c r="D30" i="13"/>
  <c r="F157" i="3"/>
  <c r="H30" i="13"/>
  <c r="F30" i="13"/>
  <c r="G159" i="3"/>
  <c r="D1445" i="14"/>
  <c r="C1445" i="14"/>
  <c r="D1444" i="14"/>
  <c r="C1444" i="14"/>
  <c r="E1444" i="14"/>
  <c r="F1444" i="14"/>
  <c r="D1443" i="14"/>
  <c r="C1443" i="14"/>
  <c r="E1443" i="14"/>
  <c r="F1443" i="14"/>
  <c r="D1442" i="14"/>
  <c r="C1442" i="14"/>
  <c r="E1442" i="14"/>
  <c r="F1442" i="14"/>
  <c r="D1441" i="14"/>
  <c r="C1441" i="14"/>
  <c r="E1441" i="14"/>
  <c r="F1441" i="14"/>
  <c r="D1440" i="14"/>
  <c r="C1440" i="14"/>
  <c r="E1440" i="14"/>
  <c r="F1440" i="14"/>
  <c r="D1439" i="14"/>
  <c r="C1439" i="14"/>
  <c r="E1439" i="14"/>
  <c r="F1439" i="14"/>
  <c r="D1438" i="14"/>
  <c r="C1438" i="14"/>
  <c r="E1438" i="14"/>
  <c r="F1438" i="14"/>
  <c r="I1438" i="14"/>
  <c r="D1437" i="14"/>
  <c r="C1437" i="14"/>
  <c r="E1437" i="14"/>
  <c r="F1437" i="14"/>
  <c r="I1437" i="14"/>
  <c r="D1436" i="14"/>
  <c r="C1436" i="14"/>
  <c r="E1436" i="14"/>
  <c r="F1436" i="14"/>
  <c r="I1436" i="14"/>
  <c r="D29" i="13"/>
  <c r="H29" i="13"/>
  <c r="F29" i="13"/>
  <c r="G146" i="3"/>
  <c r="D1435" i="14"/>
  <c r="C1435" i="14"/>
  <c r="E1435" i="14"/>
  <c r="F1435" i="14"/>
  <c r="D1434" i="14"/>
  <c r="C1434" i="14"/>
  <c r="E1434" i="14"/>
  <c r="F1434" i="14"/>
  <c r="I1434" i="14"/>
  <c r="D1433" i="14"/>
  <c r="C1433" i="14"/>
  <c r="D1432" i="14"/>
  <c r="C1432" i="14"/>
  <c r="D1431" i="14"/>
  <c r="C1431" i="14"/>
  <c r="D1430" i="14"/>
  <c r="C1430" i="14"/>
  <c r="D1429" i="14"/>
  <c r="C1429" i="14"/>
  <c r="D1428" i="14"/>
  <c r="C1428" i="14"/>
  <c r="E1428" i="14"/>
  <c r="F1428" i="14"/>
  <c r="I1428" i="14"/>
  <c r="D1427" i="14"/>
  <c r="C1427" i="14"/>
  <c r="E1427" i="14"/>
  <c r="F1427" i="14"/>
  <c r="I1427" i="14"/>
  <c r="D1426" i="14"/>
  <c r="C1426" i="14"/>
  <c r="E1426" i="14"/>
  <c r="F1426" i="14"/>
  <c r="D28" i="13"/>
  <c r="F140" i="3"/>
  <c r="H28" i="13"/>
  <c r="F28" i="13"/>
  <c r="G143" i="3"/>
  <c r="D1425" i="14"/>
  <c r="C1425" i="14"/>
  <c r="E1425" i="14"/>
  <c r="F1425" i="14"/>
  <c r="D1424" i="14"/>
  <c r="C1424" i="14"/>
  <c r="E1424" i="14"/>
  <c r="F1424" i="14"/>
  <c r="D1423" i="14"/>
  <c r="C1423" i="14"/>
  <c r="E1423" i="14"/>
  <c r="F1423" i="14"/>
  <c r="D1422" i="14"/>
  <c r="C1422" i="14"/>
  <c r="E1422" i="14"/>
  <c r="F1422" i="14"/>
  <c r="I1422" i="14"/>
  <c r="D1421" i="14"/>
  <c r="C1421" i="14"/>
  <c r="E1421" i="14"/>
  <c r="F1421" i="14"/>
  <c r="D1420" i="14"/>
  <c r="C1420" i="14"/>
  <c r="E1420" i="14"/>
  <c r="F1420" i="14"/>
  <c r="D1419" i="14"/>
  <c r="C1419" i="14"/>
  <c r="E1419" i="14"/>
  <c r="F1419" i="14"/>
  <c r="I1419" i="14"/>
  <c r="D1418" i="14"/>
  <c r="C1418" i="14"/>
  <c r="E1418" i="14"/>
  <c r="F1418" i="14"/>
  <c r="I1418" i="14"/>
  <c r="D1417" i="14"/>
  <c r="C1417" i="14"/>
  <c r="D1416" i="14"/>
  <c r="C1416" i="14"/>
  <c r="E1416" i="14"/>
  <c r="F1416" i="14"/>
  <c r="I1416" i="14"/>
  <c r="D1415" i="14"/>
  <c r="C1415" i="14"/>
  <c r="E1415" i="14"/>
  <c r="F1415" i="14"/>
  <c r="I1415" i="14"/>
  <c r="D1414" i="14"/>
  <c r="C1414" i="14"/>
  <c r="E1414" i="14"/>
  <c r="F1414" i="14"/>
  <c r="D27" i="13"/>
  <c r="F139" i="3"/>
  <c r="H27" i="13"/>
  <c r="H139" i="3"/>
  <c r="U139" i="3"/>
  <c r="F27" i="13"/>
  <c r="G139" i="3"/>
  <c r="D1413" i="14"/>
  <c r="C1413" i="14"/>
  <c r="E1413" i="14"/>
  <c r="F1413" i="14"/>
  <c r="D1412" i="14"/>
  <c r="C1412" i="14"/>
  <c r="E1412" i="14"/>
  <c r="F1412" i="14"/>
  <c r="D1411" i="14"/>
  <c r="C1411" i="14"/>
  <c r="E1411" i="14"/>
  <c r="D1410" i="14"/>
  <c r="C1410" i="14"/>
  <c r="E1410" i="14"/>
  <c r="F1410" i="14"/>
  <c r="I1410" i="14"/>
  <c r="D1409" i="14"/>
  <c r="C1409" i="14"/>
  <c r="E1409" i="14"/>
  <c r="F1409" i="14"/>
  <c r="I1409" i="14"/>
  <c r="D38" i="13"/>
  <c r="H38" i="13"/>
  <c r="F38" i="13"/>
  <c r="D1408" i="14"/>
  <c r="C1408" i="14"/>
  <c r="E1408" i="14"/>
  <c r="F1408" i="14"/>
  <c r="I1408" i="14"/>
  <c r="D1407" i="14"/>
  <c r="C1407" i="14"/>
  <c r="D34" i="13"/>
  <c r="H34" i="13"/>
  <c r="F34" i="13"/>
  <c r="D1406" i="14"/>
  <c r="C1406" i="14"/>
  <c r="E1406" i="14"/>
  <c r="F1406" i="14"/>
  <c r="D1405" i="14"/>
  <c r="C1405" i="14"/>
  <c r="E1405" i="14"/>
  <c r="F1405" i="14"/>
  <c r="I1405" i="14"/>
  <c r="D1404" i="14"/>
  <c r="C1404" i="14"/>
  <c r="E1404" i="14"/>
  <c r="F1404" i="14"/>
  <c r="I1404" i="14"/>
  <c r="D1403" i="14"/>
  <c r="C1403" i="14"/>
  <c r="E1403" i="14"/>
  <c r="F1403" i="14"/>
  <c r="I1403" i="14"/>
  <c r="D1402" i="14"/>
  <c r="C1402" i="14"/>
  <c r="E1402" i="14"/>
  <c r="F1402" i="14"/>
  <c r="I1402" i="14"/>
  <c r="D1401" i="14"/>
  <c r="C1401" i="14"/>
  <c r="E1401" i="14"/>
  <c r="F1401" i="14"/>
  <c r="D1400" i="14"/>
  <c r="C1400" i="14"/>
  <c r="E1400" i="14"/>
  <c r="F1400" i="14"/>
  <c r="I1400" i="14"/>
  <c r="D1399" i="14"/>
  <c r="C1399" i="14"/>
  <c r="E1399" i="14"/>
  <c r="F1399" i="14"/>
  <c r="I1399" i="14"/>
  <c r="D1398" i="14"/>
  <c r="C1398" i="14"/>
  <c r="E1398" i="14"/>
  <c r="F1398" i="14"/>
  <c r="D33" i="13"/>
  <c r="F124" i="3"/>
  <c r="H33" i="13"/>
  <c r="F33" i="13"/>
  <c r="D1397" i="14"/>
  <c r="C1397" i="14"/>
  <c r="E1397" i="14"/>
  <c r="F1397" i="14"/>
  <c r="D1396" i="14"/>
  <c r="C1396" i="14"/>
  <c r="E1396" i="14"/>
  <c r="F1396" i="14"/>
  <c r="D1395" i="14"/>
  <c r="C1395" i="14"/>
  <c r="E1395" i="14"/>
  <c r="F1395" i="14"/>
  <c r="D1394" i="14"/>
  <c r="C1394" i="14"/>
  <c r="E1394" i="14"/>
  <c r="F1394" i="14"/>
  <c r="I1394" i="14"/>
  <c r="D1393" i="14"/>
  <c r="C1393" i="14"/>
  <c r="E1393" i="14"/>
  <c r="F1393" i="14"/>
  <c r="I1393" i="14"/>
  <c r="D1392" i="14"/>
  <c r="C1392" i="14"/>
  <c r="E1392" i="14"/>
  <c r="F1392" i="14"/>
  <c r="D1391" i="14"/>
  <c r="C1391" i="14"/>
  <c r="E1391" i="14"/>
  <c r="F1391" i="14"/>
  <c r="D1390" i="14"/>
  <c r="C1390" i="14"/>
  <c r="E1390" i="14"/>
  <c r="F1390" i="14"/>
  <c r="I1390" i="14"/>
  <c r="D1389" i="14"/>
  <c r="C1389" i="14"/>
  <c r="E1389" i="14"/>
  <c r="F1389" i="14"/>
  <c r="D1388" i="14"/>
  <c r="C1388" i="14"/>
  <c r="E1388" i="14"/>
  <c r="F1388" i="14"/>
  <c r="I1388" i="14"/>
  <c r="D1387" i="14"/>
  <c r="C1387" i="14"/>
  <c r="E1387" i="14"/>
  <c r="F1387" i="14"/>
  <c r="D1386" i="14"/>
  <c r="C1386" i="14"/>
  <c r="E1386" i="14"/>
  <c r="F1386" i="14"/>
  <c r="I1386" i="14"/>
  <c r="D1385" i="14"/>
  <c r="C1385" i="14"/>
  <c r="E1385" i="14"/>
  <c r="F1385" i="14"/>
  <c r="I1385" i="14"/>
  <c r="D45" i="13"/>
  <c r="H45" i="13"/>
  <c r="F45" i="13"/>
  <c r="D1384" i="14"/>
  <c r="C1384" i="14"/>
  <c r="E1384" i="14"/>
  <c r="F1384" i="14"/>
  <c r="D1383" i="14"/>
  <c r="C1383" i="14"/>
  <c r="E1383" i="14"/>
  <c r="F1383" i="14"/>
  <c r="D1382" i="14"/>
  <c r="C1382" i="14"/>
  <c r="E1382" i="14"/>
  <c r="F1382" i="14"/>
  <c r="I1382" i="14"/>
  <c r="D1381" i="14"/>
  <c r="C1381" i="14"/>
  <c r="E1381" i="14"/>
  <c r="F1381" i="14"/>
  <c r="D1380" i="14"/>
  <c r="C1380" i="14"/>
  <c r="E1380" i="14"/>
  <c r="F1380" i="14"/>
  <c r="D1379" i="14"/>
  <c r="C1379" i="14"/>
  <c r="E1379" i="14"/>
  <c r="F1379" i="14"/>
  <c r="I1379" i="14"/>
  <c r="D1378" i="14"/>
  <c r="C1378" i="14"/>
  <c r="E1378" i="14"/>
  <c r="F1378" i="14"/>
  <c r="D1377" i="14"/>
  <c r="C1377" i="14"/>
  <c r="E1377" i="14"/>
  <c r="F1377" i="14"/>
  <c r="D1376" i="14"/>
  <c r="C1376" i="14"/>
  <c r="E1376" i="14"/>
  <c r="F1376" i="14"/>
  <c r="I1376" i="14"/>
  <c r="D1375" i="14"/>
  <c r="C1375" i="14"/>
  <c r="E1375" i="14"/>
  <c r="D1374" i="14"/>
  <c r="C1374" i="14"/>
  <c r="D44" i="13"/>
  <c r="F117" i="3"/>
  <c r="U117" i="3"/>
  <c r="H44" i="13"/>
  <c r="H117" i="3"/>
  <c r="F44" i="13"/>
  <c r="G117" i="3"/>
  <c r="E1374" i="14"/>
  <c r="F1374" i="14"/>
  <c r="D1373" i="14"/>
  <c r="C1373" i="14"/>
  <c r="E1373" i="14"/>
  <c r="F1373" i="14"/>
  <c r="D1372" i="14"/>
  <c r="C1372" i="14"/>
  <c r="E1372" i="14"/>
  <c r="F1372" i="14"/>
  <c r="I1372" i="14"/>
  <c r="D1371" i="14"/>
  <c r="C1371" i="14"/>
  <c r="E1371" i="14"/>
  <c r="F1371" i="14"/>
  <c r="I1371" i="14"/>
  <c r="D1370" i="14"/>
  <c r="C1370" i="14"/>
  <c r="E1370" i="14"/>
  <c r="F1370" i="14"/>
  <c r="I1370" i="14"/>
  <c r="D1369" i="14"/>
  <c r="C1369" i="14"/>
  <c r="E1369" i="14"/>
  <c r="F1369" i="14"/>
  <c r="D43" i="13"/>
  <c r="H43" i="13"/>
  <c r="F43" i="13"/>
  <c r="D1368" i="14"/>
  <c r="C1368" i="14"/>
  <c r="E1368" i="14"/>
  <c r="F1368" i="14"/>
  <c r="I1368" i="14"/>
  <c r="D1367" i="14"/>
  <c r="C1367" i="14"/>
  <c r="E1367" i="14"/>
  <c r="F1367" i="14"/>
  <c r="I1367" i="14"/>
  <c r="D1366" i="14"/>
  <c r="C1366" i="14"/>
  <c r="D1365" i="14"/>
  <c r="C1365" i="14"/>
  <c r="D1364" i="14"/>
  <c r="C1364" i="14"/>
  <c r="E1364" i="14"/>
  <c r="F1364" i="14"/>
  <c r="D1363" i="14"/>
  <c r="C1363" i="14"/>
  <c r="E1363" i="14"/>
  <c r="F1363" i="14"/>
  <c r="D1362" i="14"/>
  <c r="C1362" i="14"/>
  <c r="E1362" i="14"/>
  <c r="F1362" i="14"/>
  <c r="I1362" i="14"/>
  <c r="D1361" i="14"/>
  <c r="C1361" i="14"/>
  <c r="D35" i="13"/>
  <c r="H35" i="13"/>
  <c r="F35" i="13"/>
  <c r="D1360" i="14"/>
  <c r="C1360" i="14"/>
  <c r="E1360" i="14"/>
  <c r="F1360" i="14"/>
  <c r="I1360" i="14"/>
  <c r="D1359" i="14"/>
  <c r="C1359" i="14"/>
  <c r="E1359" i="14"/>
  <c r="F1359" i="14"/>
  <c r="I1359" i="14"/>
  <c r="D1358" i="14"/>
  <c r="C1358" i="14"/>
  <c r="E1358" i="14"/>
  <c r="F1358" i="14"/>
  <c r="D1357" i="14"/>
  <c r="C1357" i="14"/>
  <c r="E1357" i="14"/>
  <c r="F1357" i="14"/>
  <c r="D1356" i="14"/>
  <c r="C1356" i="14"/>
  <c r="E1356" i="14"/>
  <c r="F1356" i="14"/>
  <c r="I1356" i="14"/>
  <c r="D1355" i="14"/>
  <c r="C1355" i="14"/>
  <c r="E1355" i="14"/>
  <c r="F1355" i="14"/>
  <c r="I1355" i="14"/>
  <c r="D1354" i="14"/>
  <c r="C1354" i="14"/>
  <c r="E1354" i="14"/>
  <c r="F1354" i="14"/>
  <c r="D1353" i="14"/>
  <c r="C1353" i="14"/>
  <c r="E1353" i="14"/>
  <c r="D1352" i="14"/>
  <c r="C1352" i="14"/>
  <c r="E1352" i="14"/>
  <c r="F1352" i="14"/>
  <c r="I1352" i="14"/>
  <c r="D1351" i="14"/>
  <c r="C1351" i="14"/>
  <c r="E1351" i="14"/>
  <c r="F1351" i="14"/>
  <c r="I1351" i="14"/>
  <c r="D1350" i="14"/>
  <c r="C1350" i="14"/>
  <c r="E1350" i="14"/>
  <c r="F1350" i="14"/>
  <c r="D1349" i="14"/>
  <c r="C1349" i="14"/>
  <c r="E1349" i="14"/>
  <c r="F1349" i="14"/>
  <c r="D1348" i="14"/>
  <c r="C1348" i="14"/>
  <c r="E1348" i="14"/>
  <c r="F1348" i="14"/>
  <c r="I1348" i="14"/>
  <c r="D1347" i="14"/>
  <c r="C1347" i="14"/>
  <c r="E1347" i="14"/>
  <c r="F1347" i="14"/>
  <c r="I1347" i="14"/>
  <c r="D1346" i="14"/>
  <c r="C1346" i="14"/>
  <c r="E1346" i="14"/>
  <c r="F1346" i="14"/>
  <c r="I1346" i="14"/>
  <c r="D1345" i="14"/>
  <c r="C1345" i="14"/>
  <c r="E1345" i="14"/>
  <c r="F1345" i="14"/>
  <c r="D1344" i="14"/>
  <c r="C1344" i="14"/>
  <c r="E1344" i="14"/>
  <c r="F1344" i="14"/>
  <c r="I1344" i="14"/>
  <c r="D1343" i="14"/>
  <c r="C1343" i="14"/>
  <c r="E1343" i="14"/>
  <c r="D1342" i="14"/>
  <c r="C1342" i="14"/>
  <c r="E1342" i="14"/>
  <c r="F1342" i="14"/>
  <c r="D1341" i="14"/>
  <c r="C1341" i="14"/>
  <c r="E1341" i="14"/>
  <c r="F1341" i="14"/>
  <c r="I1341" i="14"/>
  <c r="D1340" i="14"/>
  <c r="C1340" i="14"/>
  <c r="E1340" i="14"/>
  <c r="F1340" i="14"/>
  <c r="I1340" i="14"/>
  <c r="D1339" i="14"/>
  <c r="C1339" i="14"/>
  <c r="E1339" i="14"/>
  <c r="F1339" i="14"/>
  <c r="I1339" i="14"/>
  <c r="D1338" i="14"/>
  <c r="C1338" i="14"/>
  <c r="D1337" i="14"/>
  <c r="C1337" i="14"/>
  <c r="E1337" i="14"/>
  <c r="F1337" i="14"/>
  <c r="D1336" i="14"/>
  <c r="C1336" i="14"/>
  <c r="E1336" i="14"/>
  <c r="F1336" i="14"/>
  <c r="I1336" i="14"/>
  <c r="D1335" i="14"/>
  <c r="C1335" i="14"/>
  <c r="E1335" i="14"/>
  <c r="F1335" i="14"/>
  <c r="I1335" i="14"/>
  <c r="D1334" i="14"/>
  <c r="C1334" i="14"/>
  <c r="E1334" i="14"/>
  <c r="D1333" i="14"/>
  <c r="C1333" i="14"/>
  <c r="E1333" i="14"/>
  <c r="F1333" i="14"/>
  <c r="D1332" i="14"/>
  <c r="C1332" i="14"/>
  <c r="E1332" i="14"/>
  <c r="F1332" i="14"/>
  <c r="D1331" i="14"/>
  <c r="C1331" i="14"/>
  <c r="E1331" i="14"/>
  <c r="F1331" i="14"/>
  <c r="I1331" i="14"/>
  <c r="D1330" i="14"/>
  <c r="C1330" i="14"/>
  <c r="E1330" i="14"/>
  <c r="F1330" i="14"/>
  <c r="I1330" i="14"/>
  <c r="D1329" i="14"/>
  <c r="C1329" i="14"/>
  <c r="E1329" i="14"/>
  <c r="F1329" i="14"/>
  <c r="I1329" i="14"/>
  <c r="D1328" i="14"/>
  <c r="C1328" i="14"/>
  <c r="E1328" i="14"/>
  <c r="F1328" i="14"/>
  <c r="I1328" i="14"/>
  <c r="D1327" i="14"/>
  <c r="C1327" i="14"/>
  <c r="E1327" i="14"/>
  <c r="F1327" i="14"/>
  <c r="I1327" i="14"/>
  <c r="D1326" i="14"/>
  <c r="C1326" i="14"/>
  <c r="E1326" i="14"/>
  <c r="F1326" i="14"/>
  <c r="D1325" i="14"/>
  <c r="C1325" i="14"/>
  <c r="D1324" i="14"/>
  <c r="C1324" i="14"/>
  <c r="E1324" i="14"/>
  <c r="D1323" i="14"/>
  <c r="C1323" i="14"/>
  <c r="E1323" i="14"/>
  <c r="F1323" i="14"/>
  <c r="I1323" i="14"/>
  <c r="D1322" i="14"/>
  <c r="C1322" i="14"/>
  <c r="E1322" i="14"/>
  <c r="F1322" i="14"/>
  <c r="D1321" i="14"/>
  <c r="C1321" i="14"/>
  <c r="E1321" i="14"/>
  <c r="F1321" i="14"/>
  <c r="D1320" i="14"/>
  <c r="C1320" i="14"/>
  <c r="E1320" i="14"/>
  <c r="F1320" i="14"/>
  <c r="D1319" i="14"/>
  <c r="J1319" i="14"/>
  <c r="C1319" i="14"/>
  <c r="E1319" i="14"/>
  <c r="F1319" i="14"/>
  <c r="I1319" i="14"/>
  <c r="D1318" i="14"/>
  <c r="C1318" i="14"/>
  <c r="E1318" i="14"/>
  <c r="F1318" i="14"/>
  <c r="I1318" i="14"/>
  <c r="D1317" i="14"/>
  <c r="C1317" i="14"/>
  <c r="E1317" i="14"/>
  <c r="D1316" i="14"/>
  <c r="C1316" i="14"/>
  <c r="E1316" i="14"/>
  <c r="F1316" i="14"/>
  <c r="D1315" i="14"/>
  <c r="C1315" i="14"/>
  <c r="E1315" i="14"/>
  <c r="F1315" i="14"/>
  <c r="D1314" i="14"/>
  <c r="C1314" i="14"/>
  <c r="E1314" i="14"/>
  <c r="F1314" i="14"/>
  <c r="I1314" i="14"/>
  <c r="D1313" i="14"/>
  <c r="C1313" i="14"/>
  <c r="E1313" i="14"/>
  <c r="F1313" i="14"/>
  <c r="D1312" i="14"/>
  <c r="C1312" i="14"/>
  <c r="E1312" i="14"/>
  <c r="F1312" i="14"/>
  <c r="D1311" i="14"/>
  <c r="K1311" i="14"/>
  <c r="C1311" i="14"/>
  <c r="E1311" i="14"/>
  <c r="F1311" i="14"/>
  <c r="D1310" i="14"/>
  <c r="C1310" i="14"/>
  <c r="E1310" i="14"/>
  <c r="F1310" i="14"/>
  <c r="D1309" i="14"/>
  <c r="C1309" i="14"/>
  <c r="D1308" i="14"/>
  <c r="C1308" i="14"/>
  <c r="E1308" i="14"/>
  <c r="F1308" i="14"/>
  <c r="D1307" i="14"/>
  <c r="C1307" i="14"/>
  <c r="D1306" i="14"/>
  <c r="C1306" i="14"/>
  <c r="E1306" i="14"/>
  <c r="F1306" i="14"/>
  <c r="I1306" i="14"/>
  <c r="D1305" i="14"/>
  <c r="J1305" i="14"/>
  <c r="C1305" i="14"/>
  <c r="E1305" i="14"/>
  <c r="F1305" i="14"/>
  <c r="D1304" i="14"/>
  <c r="C1304" i="14"/>
  <c r="E1304" i="14"/>
  <c r="F1304" i="14"/>
  <c r="D1303" i="14"/>
  <c r="C1303" i="14"/>
  <c r="E1303" i="14"/>
  <c r="F1303" i="14"/>
  <c r="I1303" i="14"/>
  <c r="D1302" i="14"/>
  <c r="C1302" i="14"/>
  <c r="E1302" i="14"/>
  <c r="D1301" i="14"/>
  <c r="C1301" i="14"/>
  <c r="E1301" i="14"/>
  <c r="F1301" i="14"/>
  <c r="I1301" i="14"/>
  <c r="D1300" i="14"/>
  <c r="C1300" i="14"/>
  <c r="E1300" i="14"/>
  <c r="F1300" i="14"/>
  <c r="I1300" i="14"/>
  <c r="D1299" i="14"/>
  <c r="C1299" i="14"/>
  <c r="D1298" i="14"/>
  <c r="C1298" i="14"/>
  <c r="E1298" i="14"/>
  <c r="F1298" i="14"/>
  <c r="D1297" i="14"/>
  <c r="C1297" i="14"/>
  <c r="E1297" i="14"/>
  <c r="F1297" i="14"/>
  <c r="D1296" i="14"/>
  <c r="C1296" i="14"/>
  <c r="E1296" i="14"/>
  <c r="F1296" i="14"/>
  <c r="D1295" i="14"/>
  <c r="C1295" i="14"/>
  <c r="E1295" i="14"/>
  <c r="F1295" i="14"/>
  <c r="D1294" i="14"/>
  <c r="K1294" i="14"/>
  <c r="C1294" i="14"/>
  <c r="D1293" i="14"/>
  <c r="C1293" i="14"/>
  <c r="E1293" i="14"/>
  <c r="F1293" i="14"/>
  <c r="D1292" i="14"/>
  <c r="J1292" i="14"/>
  <c r="C1292" i="14"/>
  <c r="E1292" i="14"/>
  <c r="F1292" i="14"/>
  <c r="D1291" i="14"/>
  <c r="C1291" i="14"/>
  <c r="E1291" i="14"/>
  <c r="F1291" i="14"/>
  <c r="D1290" i="14"/>
  <c r="C1290" i="14"/>
  <c r="E1290" i="14"/>
  <c r="F1290" i="14"/>
  <c r="D1289" i="14"/>
  <c r="C1289" i="14"/>
  <c r="E1289" i="14"/>
  <c r="F1289" i="14"/>
  <c r="D1288" i="14"/>
  <c r="J1288" i="14"/>
  <c r="C1288" i="14"/>
  <c r="E1288" i="14"/>
  <c r="F1288" i="14"/>
  <c r="I1288" i="14"/>
  <c r="D1287" i="14"/>
  <c r="C1287" i="14"/>
  <c r="E1287" i="14"/>
  <c r="F1287" i="14"/>
  <c r="I1287" i="14"/>
  <c r="D1286" i="14"/>
  <c r="C1286" i="14"/>
  <c r="E1286" i="14"/>
  <c r="F1286" i="14"/>
  <c r="I1286" i="14"/>
  <c r="D1285" i="14"/>
  <c r="C1285" i="14"/>
  <c r="E1285" i="14"/>
  <c r="F1285" i="14"/>
  <c r="I1285" i="14"/>
  <c r="D1284" i="14"/>
  <c r="C1284" i="14"/>
  <c r="E1284" i="14"/>
  <c r="F1284" i="14"/>
  <c r="D1283" i="14"/>
  <c r="C1283" i="14"/>
  <c r="E1283" i="14"/>
  <c r="F1283" i="14"/>
  <c r="D1282" i="14"/>
  <c r="C1282" i="14"/>
  <c r="E1282" i="14"/>
  <c r="F1282" i="14"/>
  <c r="D1281" i="14"/>
  <c r="C1281" i="14"/>
  <c r="E1281" i="14"/>
  <c r="F1281" i="14"/>
  <c r="D1280" i="14"/>
  <c r="C1280" i="14"/>
  <c r="E1280" i="14"/>
  <c r="F1280" i="14"/>
  <c r="I1280" i="14"/>
  <c r="D1279" i="14"/>
  <c r="C1279" i="14"/>
  <c r="E1279" i="14"/>
  <c r="F1279" i="14"/>
  <c r="I1279" i="14"/>
  <c r="D1278" i="14"/>
  <c r="C1278" i="14"/>
  <c r="E1278" i="14"/>
  <c r="F1278" i="14"/>
  <c r="I1278" i="14"/>
  <c r="D20" i="13"/>
  <c r="H20" i="13"/>
  <c r="F20" i="13"/>
  <c r="D1277" i="14"/>
  <c r="C1277" i="14"/>
  <c r="E1277" i="14"/>
  <c r="F1277" i="14"/>
  <c r="D1276" i="14"/>
  <c r="C1276" i="14"/>
  <c r="E1276" i="14"/>
  <c r="F1276" i="14"/>
  <c r="D1275" i="14"/>
  <c r="C1275" i="14"/>
  <c r="E1275" i="14"/>
  <c r="F1275" i="14"/>
  <c r="D1274" i="14"/>
  <c r="C1274" i="14"/>
  <c r="E1274" i="14"/>
  <c r="F1274" i="14"/>
  <c r="D1273" i="14"/>
  <c r="C1273" i="14"/>
  <c r="E1273" i="14"/>
  <c r="F1273" i="14"/>
  <c r="I1273" i="14"/>
  <c r="D1272" i="14"/>
  <c r="C1272" i="14"/>
  <c r="E1272" i="14"/>
  <c r="F1272" i="14"/>
  <c r="I1272" i="14"/>
  <c r="D1271" i="14"/>
  <c r="C1271" i="14"/>
  <c r="D1270" i="14"/>
  <c r="C1270" i="14"/>
  <c r="E1270" i="14"/>
  <c r="F1270" i="14"/>
  <c r="D1269" i="14"/>
  <c r="C1269" i="14"/>
  <c r="E1269" i="14"/>
  <c r="F1269" i="14"/>
  <c r="D25" i="13"/>
  <c r="H25" i="13"/>
  <c r="F25" i="13"/>
  <c r="D1268" i="14"/>
  <c r="C1268" i="14"/>
  <c r="E1268" i="14"/>
  <c r="F1268" i="14"/>
  <c r="I1268" i="14"/>
  <c r="D1267" i="14"/>
  <c r="C1267" i="14"/>
  <c r="E1267" i="14"/>
  <c r="F1267" i="14"/>
  <c r="D1266" i="14"/>
  <c r="C1266" i="14"/>
  <c r="E1266" i="14"/>
  <c r="F1266" i="14"/>
  <c r="D1265" i="14"/>
  <c r="C1265" i="14"/>
  <c r="E1265" i="14"/>
  <c r="F1265" i="14"/>
  <c r="D1264" i="14"/>
  <c r="K1264" i="14"/>
  <c r="C1264" i="14"/>
  <c r="E1264" i="14"/>
  <c r="D1263" i="14"/>
  <c r="C1263" i="14"/>
  <c r="E1263" i="14"/>
  <c r="F1263" i="14"/>
  <c r="D1262" i="14"/>
  <c r="C1262" i="14"/>
  <c r="E1262" i="14"/>
  <c r="F1262" i="14"/>
  <c r="D1261" i="14"/>
  <c r="C1261" i="14"/>
  <c r="E1261" i="14"/>
  <c r="F1261" i="14"/>
  <c r="D1260" i="14"/>
  <c r="C1260" i="14"/>
  <c r="E1260" i="14"/>
  <c r="F1260" i="14"/>
  <c r="I1260" i="14"/>
  <c r="D1259" i="14"/>
  <c r="C1259" i="14"/>
  <c r="E1259" i="14"/>
  <c r="F1259" i="14"/>
  <c r="I1259" i="14"/>
  <c r="D1258" i="14"/>
  <c r="C1258" i="14"/>
  <c r="D1257" i="14"/>
  <c r="C1257" i="14"/>
  <c r="E1257" i="14"/>
  <c r="F1257" i="14"/>
  <c r="D1256" i="14"/>
  <c r="C1256" i="14"/>
  <c r="E1256" i="14"/>
  <c r="F1256" i="14"/>
  <c r="D1255" i="14"/>
  <c r="C1255" i="14"/>
  <c r="E1255" i="14"/>
  <c r="F1255" i="14"/>
  <c r="D1254" i="14"/>
  <c r="C1254" i="14"/>
  <c r="E1254" i="14"/>
  <c r="F1254" i="14"/>
  <c r="D1253" i="14"/>
  <c r="C1253" i="14"/>
  <c r="E1253" i="14"/>
  <c r="F1253" i="14"/>
  <c r="D1252" i="14"/>
  <c r="C1252" i="14"/>
  <c r="E1252" i="14"/>
  <c r="F1252" i="14"/>
  <c r="D1251" i="14"/>
  <c r="C1251" i="14"/>
  <c r="E1251" i="14"/>
  <c r="F1251" i="14"/>
  <c r="I1251" i="14"/>
  <c r="D1250" i="14"/>
  <c r="C1250" i="14"/>
  <c r="E1250" i="14"/>
  <c r="F1250" i="14"/>
  <c r="I1250" i="14"/>
  <c r="D1249" i="14"/>
  <c r="C1249" i="14"/>
  <c r="E1249" i="14"/>
  <c r="F1249" i="14"/>
  <c r="I1249" i="14"/>
  <c r="D1248" i="14"/>
  <c r="C1248" i="14"/>
  <c r="E1248" i="14"/>
  <c r="F1248" i="14"/>
  <c r="D1247" i="14"/>
  <c r="C1247" i="14"/>
  <c r="E1247" i="14"/>
  <c r="D1246" i="14"/>
  <c r="C1246" i="14"/>
  <c r="E1246" i="14"/>
  <c r="F1246" i="14"/>
  <c r="I1246" i="14"/>
  <c r="D1245" i="14"/>
  <c r="C1245" i="14"/>
  <c r="E1245" i="14"/>
  <c r="F1245" i="14"/>
  <c r="I1245" i="14"/>
  <c r="D1244" i="14"/>
  <c r="C1244" i="14"/>
  <c r="E1244" i="14"/>
  <c r="F1244" i="14"/>
  <c r="I1244" i="14"/>
  <c r="D1243" i="14"/>
  <c r="C1243" i="14"/>
  <c r="E1243" i="14"/>
  <c r="D1242" i="14"/>
  <c r="C1242" i="14"/>
  <c r="E1242" i="14"/>
  <c r="F1242" i="14"/>
  <c r="D1241" i="14"/>
  <c r="C1241" i="14"/>
  <c r="E1241" i="14"/>
  <c r="F1241" i="14"/>
  <c r="D1240" i="14"/>
  <c r="C1240" i="14"/>
  <c r="E1240" i="14"/>
  <c r="F1240" i="14"/>
  <c r="D1239" i="14"/>
  <c r="C1239" i="14"/>
  <c r="D1238" i="14"/>
  <c r="C1238" i="14"/>
  <c r="D1237" i="14"/>
  <c r="C1237" i="14"/>
  <c r="D1236" i="14"/>
  <c r="C1236" i="14"/>
  <c r="D1235" i="14"/>
  <c r="C1235" i="14"/>
  <c r="D1234" i="14"/>
  <c r="C1234" i="14"/>
  <c r="D1233" i="14"/>
  <c r="C1233" i="14"/>
  <c r="D1232" i="14"/>
  <c r="C1232" i="14"/>
  <c r="D1231" i="14"/>
  <c r="C1231" i="14"/>
  <c r="D1230" i="14"/>
  <c r="C1230" i="14"/>
  <c r="D1229" i="14"/>
  <c r="C1229" i="14"/>
  <c r="D1228" i="14"/>
  <c r="C1228" i="14"/>
  <c r="D1227" i="14"/>
  <c r="C1227" i="14"/>
  <c r="E1227" i="14"/>
  <c r="D1226" i="14"/>
  <c r="C1226" i="14"/>
  <c r="E1226" i="14"/>
  <c r="F1226" i="14"/>
  <c r="I1226" i="14"/>
  <c r="D1225" i="14"/>
  <c r="C1225" i="14"/>
  <c r="E1225" i="14"/>
  <c r="F1225" i="14"/>
  <c r="I1225" i="14"/>
  <c r="D1224" i="14"/>
  <c r="C1224" i="14"/>
  <c r="E1224" i="14"/>
  <c r="F1224" i="14"/>
  <c r="D24" i="13"/>
  <c r="H24" i="13"/>
  <c r="F24" i="13"/>
  <c r="D1223" i="14"/>
  <c r="C1223" i="14"/>
  <c r="E1223" i="14"/>
  <c r="F1223" i="14"/>
  <c r="D1222" i="14"/>
  <c r="C1222" i="14"/>
  <c r="E1222" i="14"/>
  <c r="F1222" i="14"/>
  <c r="I1222" i="14"/>
  <c r="D1221" i="14"/>
  <c r="C1221" i="14"/>
  <c r="E1221" i="14"/>
  <c r="F1221" i="14"/>
  <c r="I1221" i="14"/>
  <c r="D1220" i="14"/>
  <c r="C1220" i="14"/>
  <c r="E1220" i="14"/>
  <c r="F1220" i="14"/>
  <c r="D19" i="13"/>
  <c r="H19" i="13"/>
  <c r="F19" i="13"/>
  <c r="D1219" i="14"/>
  <c r="J1219" i="14"/>
  <c r="C1219" i="14"/>
  <c r="E1219" i="14"/>
  <c r="D1218" i="14"/>
  <c r="C1218" i="14"/>
  <c r="E1218" i="14"/>
  <c r="F1218" i="14"/>
  <c r="I1218" i="14"/>
  <c r="D1217" i="14"/>
  <c r="C1217" i="14"/>
  <c r="D1216" i="14"/>
  <c r="C1216" i="14"/>
  <c r="D1215" i="14"/>
  <c r="C1215" i="14"/>
  <c r="E1215" i="14"/>
  <c r="F1215" i="14"/>
  <c r="D1214" i="14"/>
  <c r="C1214" i="14"/>
  <c r="E1214" i="14"/>
  <c r="F1214" i="14"/>
  <c r="D1213" i="14"/>
  <c r="C1213" i="14"/>
  <c r="D1212" i="14"/>
  <c r="C1212" i="14"/>
  <c r="E1212" i="14"/>
  <c r="D1211" i="14"/>
  <c r="C1211" i="14"/>
  <c r="E1211" i="14"/>
  <c r="F1211" i="14"/>
  <c r="D1210" i="14"/>
  <c r="C1210" i="14"/>
  <c r="E1210" i="14"/>
  <c r="F1210" i="14"/>
  <c r="D1209" i="14"/>
  <c r="C1209" i="14"/>
  <c r="E1209" i="14"/>
  <c r="F1209" i="14"/>
  <c r="D1208" i="14"/>
  <c r="C1208" i="14"/>
  <c r="E1208" i="14"/>
  <c r="D1207" i="14"/>
  <c r="C1207" i="14"/>
  <c r="E1207" i="14"/>
  <c r="F1207" i="14"/>
  <c r="I1207" i="14"/>
  <c r="D1206" i="14"/>
  <c r="C1206" i="14"/>
  <c r="E1206" i="14"/>
  <c r="F1206" i="14"/>
  <c r="I1206" i="14"/>
  <c r="D1205" i="14"/>
  <c r="C1205" i="14"/>
  <c r="E1205" i="14"/>
  <c r="F1205" i="14"/>
  <c r="I1205" i="14"/>
  <c r="D1204" i="14"/>
  <c r="C1204" i="14"/>
  <c r="E1204" i="14"/>
  <c r="F1204" i="14"/>
  <c r="I1204" i="14"/>
  <c r="D1203" i="14"/>
  <c r="C1203" i="14"/>
  <c r="E1203" i="14"/>
  <c r="F1203" i="14"/>
  <c r="D18" i="13"/>
  <c r="H18" i="13"/>
  <c r="F18" i="13"/>
  <c r="D1202" i="14"/>
  <c r="C1202" i="14"/>
  <c r="E1202" i="14"/>
  <c r="D1201" i="14"/>
  <c r="C1201" i="14"/>
  <c r="E1201" i="14"/>
  <c r="F1201" i="14"/>
  <c r="I1201" i="14"/>
  <c r="D1200" i="14"/>
  <c r="C1200" i="14"/>
  <c r="D23" i="13"/>
  <c r="H23" i="13"/>
  <c r="F23" i="13"/>
  <c r="E1200" i="14"/>
  <c r="F1200" i="14"/>
  <c r="D1199" i="14"/>
  <c r="C1199" i="14"/>
  <c r="E1199" i="14"/>
  <c r="F1199" i="14"/>
  <c r="D1198" i="14"/>
  <c r="C1198" i="14"/>
  <c r="E1198" i="14"/>
  <c r="F1198" i="14"/>
  <c r="D1197" i="14"/>
  <c r="C1197" i="14"/>
  <c r="E1197" i="14"/>
  <c r="F1197" i="14"/>
  <c r="I1197" i="14"/>
  <c r="D1196" i="14"/>
  <c r="C1196" i="14"/>
  <c r="E1196" i="14"/>
  <c r="F1196" i="14"/>
  <c r="I1196" i="14"/>
  <c r="D1195" i="14"/>
  <c r="C1195" i="14"/>
  <c r="E1195" i="14"/>
  <c r="F1195" i="14"/>
  <c r="D1194" i="14"/>
  <c r="C1194" i="14"/>
  <c r="E1194" i="14"/>
  <c r="F1194" i="14"/>
  <c r="D1193" i="14"/>
  <c r="C1193" i="14"/>
  <c r="E1193" i="14"/>
  <c r="F1193" i="14"/>
  <c r="I1193" i="14"/>
  <c r="D1192" i="14"/>
  <c r="C1192" i="14"/>
  <c r="E1192" i="14"/>
  <c r="F1192" i="14"/>
  <c r="I1192" i="14"/>
  <c r="D1191" i="14"/>
  <c r="C1191" i="14"/>
  <c r="D1190" i="14"/>
  <c r="C1190" i="14"/>
  <c r="E1190" i="14"/>
  <c r="F1190" i="14"/>
  <c r="I1190" i="14"/>
  <c r="D1189" i="14"/>
  <c r="C1189" i="14"/>
  <c r="D1188" i="14"/>
  <c r="C1188" i="14"/>
  <c r="E1188" i="14"/>
  <c r="F1188" i="14"/>
  <c r="D1187" i="14"/>
  <c r="C1187" i="14"/>
  <c r="E1187" i="14"/>
  <c r="F1187" i="14"/>
  <c r="D1186" i="14"/>
  <c r="C1186" i="14"/>
  <c r="E1186" i="14"/>
  <c r="F1186" i="14"/>
  <c r="D1185" i="14"/>
  <c r="C1185" i="14"/>
  <c r="E1185" i="14"/>
  <c r="F1185" i="14"/>
  <c r="D1184" i="14"/>
  <c r="C1184" i="14"/>
  <c r="E1184" i="14"/>
  <c r="F1184" i="14"/>
  <c r="D1183" i="14"/>
  <c r="C1183" i="14"/>
  <c r="E1183" i="14"/>
  <c r="F1183" i="14"/>
  <c r="D1182" i="14"/>
  <c r="J1182" i="14"/>
  <c r="C1182" i="14"/>
  <c r="E1182" i="14"/>
  <c r="D1181" i="14"/>
  <c r="C1181" i="14"/>
  <c r="E1181" i="14"/>
  <c r="F1181" i="14"/>
  <c r="I1181" i="14"/>
  <c r="D1180" i="14"/>
  <c r="C1180" i="14"/>
  <c r="E1180" i="14"/>
  <c r="F1180" i="14"/>
  <c r="I1180" i="14"/>
  <c r="D17" i="13"/>
  <c r="F54" i="3"/>
  <c r="H17" i="13"/>
  <c r="H54" i="3"/>
  <c r="F17" i="13"/>
  <c r="G54" i="3"/>
  <c r="D1179" i="14"/>
  <c r="C1179" i="14"/>
  <c r="E1179" i="14"/>
  <c r="F1179" i="14"/>
  <c r="I1179" i="14"/>
  <c r="D1178" i="14"/>
  <c r="C1178" i="14"/>
  <c r="E1178" i="14"/>
  <c r="F1178" i="14"/>
  <c r="D1177" i="14"/>
  <c r="C1177" i="14"/>
  <c r="E1177" i="14"/>
  <c r="F1177" i="14"/>
  <c r="D1176" i="14"/>
  <c r="C1176" i="14"/>
  <c r="E1176" i="14"/>
  <c r="F1176" i="14"/>
  <c r="I1176" i="14"/>
  <c r="D1175" i="14"/>
  <c r="C1175" i="14"/>
  <c r="E1175" i="14"/>
  <c r="F1175" i="14"/>
  <c r="I1175" i="14"/>
  <c r="D1174" i="14"/>
  <c r="C1174" i="14"/>
  <c r="E1174" i="14"/>
  <c r="F1174" i="14"/>
  <c r="I1174" i="14"/>
  <c r="D16" i="13"/>
  <c r="H16" i="13"/>
  <c r="F16" i="13"/>
  <c r="D1173" i="14"/>
  <c r="C1173" i="14"/>
  <c r="E1173" i="14"/>
  <c r="F1173" i="14"/>
  <c r="D1172" i="14"/>
  <c r="C1172" i="14"/>
  <c r="E1172" i="14"/>
  <c r="F1172" i="14"/>
  <c r="D1171" i="14"/>
  <c r="C1171" i="14"/>
  <c r="E1171" i="14"/>
  <c r="F1171" i="14"/>
  <c r="D1170" i="14"/>
  <c r="C1170" i="14"/>
  <c r="D1169" i="14"/>
  <c r="C1169" i="14"/>
  <c r="D1168" i="14"/>
  <c r="C1168" i="14"/>
  <c r="E1168" i="14"/>
  <c r="D1167" i="14"/>
  <c r="C1167" i="14"/>
  <c r="D15" i="13"/>
  <c r="H15" i="13"/>
  <c r="F15" i="13"/>
  <c r="D1166" i="14"/>
  <c r="C1166" i="14"/>
  <c r="E1166" i="14"/>
  <c r="D1165" i="14"/>
  <c r="C1165" i="14"/>
  <c r="D1164" i="14"/>
  <c r="C1164" i="14"/>
  <c r="E1164" i="14"/>
  <c r="F1164" i="14"/>
  <c r="I1164" i="14"/>
  <c r="D1163" i="14"/>
  <c r="C1163" i="14"/>
  <c r="E1163" i="14"/>
  <c r="F1163" i="14"/>
  <c r="I1163" i="14"/>
  <c r="D1162" i="14"/>
  <c r="C1162" i="14"/>
  <c r="E1162" i="14"/>
  <c r="F1162" i="14"/>
  <c r="D1161" i="14"/>
  <c r="C1161" i="14"/>
  <c r="E1161" i="14"/>
  <c r="F1161" i="14"/>
  <c r="D1160" i="14"/>
  <c r="C1160" i="14"/>
  <c r="E1160" i="14"/>
  <c r="F1160" i="14"/>
  <c r="D1159" i="14"/>
  <c r="C1159" i="14"/>
  <c r="E1159" i="14"/>
  <c r="F1159" i="14"/>
  <c r="D1158" i="14"/>
  <c r="C1158" i="14"/>
  <c r="E1158" i="14"/>
  <c r="F1158" i="14"/>
  <c r="I1158" i="14"/>
  <c r="D1157" i="14"/>
  <c r="C1157" i="14"/>
  <c r="E1157" i="14"/>
  <c r="F1157" i="14"/>
  <c r="I1157" i="14"/>
  <c r="D1156" i="14"/>
  <c r="C1156" i="14"/>
  <c r="E1156" i="14"/>
  <c r="F1156" i="14"/>
  <c r="I1156" i="14"/>
  <c r="D1155" i="14"/>
  <c r="C1155" i="14"/>
  <c r="D1154" i="14"/>
  <c r="C1154" i="14"/>
  <c r="E1154" i="14"/>
  <c r="F1154" i="14"/>
  <c r="I1154" i="14"/>
  <c r="D1153" i="14"/>
  <c r="J1153" i="14"/>
  <c r="C1153" i="14"/>
  <c r="E1153" i="14"/>
  <c r="F1153" i="14"/>
  <c r="I1153" i="14"/>
  <c r="D1152" i="14"/>
  <c r="C1152" i="14"/>
  <c r="E1152" i="14"/>
  <c r="F1152" i="14"/>
  <c r="D1151" i="14"/>
  <c r="C1151" i="14"/>
  <c r="E1151" i="14"/>
  <c r="F1151" i="14"/>
  <c r="D1150" i="14"/>
  <c r="C1150" i="14"/>
  <c r="D1149" i="14"/>
  <c r="C1149" i="14"/>
  <c r="E1149" i="14"/>
  <c r="F1149" i="14"/>
  <c r="I1149" i="14"/>
  <c r="D1148" i="14"/>
  <c r="C1148" i="14"/>
  <c r="E1148" i="14"/>
  <c r="F1148" i="14"/>
  <c r="D1147" i="14"/>
  <c r="C1147" i="14"/>
  <c r="D1146" i="14"/>
  <c r="C1146" i="14"/>
  <c r="D1145" i="14"/>
  <c r="C1145" i="14"/>
  <c r="D1144" i="14"/>
  <c r="C1144" i="14"/>
  <c r="E1144" i="14"/>
  <c r="F1144" i="14"/>
  <c r="I1144" i="14"/>
  <c r="D1143" i="14"/>
  <c r="C1143" i="14"/>
  <c r="E1143" i="14"/>
  <c r="F1143" i="14"/>
  <c r="I1143" i="14"/>
  <c r="D1142" i="14"/>
  <c r="C1142" i="14"/>
  <c r="D1141" i="14"/>
  <c r="C1141" i="14"/>
  <c r="E1141" i="14"/>
  <c r="F1141" i="14"/>
  <c r="D1140" i="14"/>
  <c r="C1140" i="14"/>
  <c r="E1140" i="14"/>
  <c r="F1140" i="14"/>
  <c r="I1140" i="14"/>
  <c r="D1139" i="14"/>
  <c r="C1139" i="14"/>
  <c r="E1139" i="14"/>
  <c r="F1139" i="14"/>
  <c r="D1138" i="14"/>
  <c r="C1138" i="14"/>
  <c r="E1138" i="14"/>
  <c r="F1138" i="14"/>
  <c r="I1138" i="14"/>
  <c r="D1137" i="14"/>
  <c r="C1137" i="14"/>
  <c r="E1137" i="14"/>
  <c r="F1137" i="14"/>
  <c r="I1137" i="14"/>
  <c r="D1136" i="14"/>
  <c r="C1136" i="14"/>
  <c r="E1136" i="14"/>
  <c r="F1136" i="14"/>
  <c r="I1136" i="14"/>
  <c r="D1135" i="14"/>
  <c r="C1135" i="14"/>
  <c r="E1135" i="14"/>
  <c r="F1135" i="14"/>
  <c r="I1135" i="14"/>
  <c r="D1134" i="14"/>
  <c r="C1134" i="14"/>
  <c r="E1134" i="14"/>
  <c r="F1134" i="14"/>
  <c r="I1134" i="14"/>
  <c r="D1133" i="14"/>
  <c r="C1133" i="14"/>
  <c r="E1133" i="14"/>
  <c r="F1133" i="14"/>
  <c r="I1133" i="14"/>
  <c r="D1132" i="14"/>
  <c r="C1132" i="14"/>
  <c r="D1131" i="14"/>
  <c r="C1131" i="14"/>
  <c r="D1130" i="14"/>
  <c r="C1130" i="14"/>
  <c r="E1130" i="14"/>
  <c r="F1130" i="14"/>
  <c r="I1130" i="14"/>
  <c r="D1129" i="14"/>
  <c r="C1129" i="14"/>
  <c r="E1129" i="14"/>
  <c r="F1129" i="14"/>
  <c r="I1129" i="14"/>
  <c r="D1128" i="14"/>
  <c r="C1128" i="14"/>
  <c r="E1128" i="14"/>
  <c r="F1128" i="14"/>
  <c r="D1127" i="14"/>
  <c r="J1127" i="14"/>
  <c r="C1127" i="14"/>
  <c r="E1127" i="14"/>
  <c r="F1127" i="14"/>
  <c r="I1127" i="14"/>
  <c r="D1126" i="14"/>
  <c r="C1126" i="14"/>
  <c r="E1126" i="14"/>
  <c r="F1126" i="14"/>
  <c r="I1126" i="14"/>
  <c r="D1125" i="14"/>
  <c r="C1125" i="14"/>
  <c r="E1125" i="14"/>
  <c r="F1125" i="14"/>
  <c r="D1124" i="14"/>
  <c r="J1124" i="14"/>
  <c r="C1124" i="14"/>
  <c r="E1124" i="14"/>
  <c r="F1124" i="14"/>
  <c r="I1124" i="14"/>
  <c r="D1123" i="14"/>
  <c r="C1123" i="14"/>
  <c r="E1123" i="14"/>
  <c r="F1123" i="14"/>
  <c r="I1123" i="14"/>
  <c r="D1122" i="14"/>
  <c r="C1122" i="14"/>
  <c r="E1122" i="14"/>
  <c r="F1122" i="14"/>
  <c r="I1122" i="14"/>
  <c r="D1121" i="14"/>
  <c r="C1121" i="14"/>
  <c r="E1121" i="14"/>
  <c r="F1121" i="14"/>
  <c r="D1120" i="14"/>
  <c r="C1120" i="14"/>
  <c r="D1119" i="14"/>
  <c r="C1119" i="14"/>
  <c r="E1119" i="14"/>
  <c r="F1119" i="14"/>
  <c r="I1119" i="14"/>
  <c r="D1118" i="14"/>
  <c r="C1118" i="14"/>
  <c r="D1117" i="14"/>
  <c r="C1117" i="14"/>
  <c r="D1116" i="14"/>
  <c r="C1116" i="14"/>
  <c r="E1116" i="14"/>
  <c r="F1116" i="14"/>
  <c r="I1116" i="14"/>
  <c r="D1115" i="14"/>
  <c r="C1115" i="14"/>
  <c r="E1115" i="14"/>
  <c r="F1115" i="14"/>
  <c r="I1115" i="14"/>
  <c r="D1114" i="14"/>
  <c r="C1114" i="14"/>
  <c r="E1114" i="14"/>
  <c r="F1114" i="14"/>
  <c r="I1114" i="14"/>
  <c r="D1113" i="14"/>
  <c r="C1113" i="14"/>
  <c r="E1113" i="14"/>
  <c r="F1113" i="14"/>
  <c r="D1112" i="14"/>
  <c r="C1112" i="14"/>
  <c r="E1112" i="14"/>
  <c r="F1112" i="14"/>
  <c r="D1111" i="14"/>
  <c r="C1111" i="14"/>
  <c r="E1111" i="14"/>
  <c r="F1111" i="14"/>
  <c r="I1111" i="14"/>
  <c r="D1110" i="14"/>
  <c r="C1110" i="14"/>
  <c r="E1110" i="14"/>
  <c r="F1110" i="14"/>
  <c r="D1109" i="14"/>
  <c r="C1109" i="14"/>
  <c r="D1108" i="14"/>
  <c r="C1108" i="14"/>
  <c r="E1108" i="14"/>
  <c r="F1108" i="14"/>
  <c r="D1107" i="14"/>
  <c r="C1107" i="14"/>
  <c r="E1107" i="14"/>
  <c r="F1107" i="14"/>
  <c r="D1106" i="14"/>
  <c r="C1106" i="14"/>
  <c r="D1105" i="14"/>
  <c r="C1105" i="14"/>
  <c r="D1104" i="14"/>
  <c r="C1104" i="14"/>
  <c r="E1104" i="14"/>
  <c r="F1104" i="14"/>
  <c r="D1103" i="14"/>
  <c r="C1103" i="14"/>
  <c r="E1103" i="14"/>
  <c r="F1103" i="14"/>
  <c r="I1103" i="14"/>
  <c r="D1102" i="14"/>
  <c r="C1102" i="14"/>
  <c r="E1102" i="14"/>
  <c r="F1102" i="14"/>
  <c r="D1101" i="14"/>
  <c r="C1101" i="14"/>
  <c r="E1101" i="14"/>
  <c r="F1101" i="14"/>
  <c r="I1101" i="14"/>
  <c r="D1100" i="14"/>
  <c r="C1100" i="14"/>
  <c r="E1100" i="14"/>
  <c r="F1100" i="14"/>
  <c r="D1099" i="14"/>
  <c r="C1099" i="14"/>
  <c r="D1098" i="14"/>
  <c r="C1098" i="14"/>
  <c r="E1098" i="14"/>
  <c r="F1098" i="14"/>
  <c r="D1097" i="14"/>
  <c r="C1097" i="14"/>
  <c r="E1097" i="14"/>
  <c r="F1097" i="14"/>
  <c r="D1096" i="14"/>
  <c r="C1096" i="14"/>
  <c r="E1096" i="14"/>
  <c r="D1095" i="14"/>
  <c r="C1095" i="14"/>
  <c r="E1095" i="14"/>
  <c r="F1095" i="14"/>
  <c r="I1095" i="14"/>
  <c r="D1094" i="14"/>
  <c r="C1094" i="14"/>
  <c r="E1094" i="14"/>
  <c r="F1094" i="14"/>
  <c r="D1093" i="14"/>
  <c r="C1093" i="14"/>
  <c r="E1093" i="14"/>
  <c r="F1093" i="14"/>
  <c r="D1092" i="14"/>
  <c r="K1092" i="14"/>
  <c r="C1092" i="14"/>
  <c r="E1092" i="14"/>
  <c r="F1092" i="14"/>
  <c r="D1091" i="14"/>
  <c r="C1091" i="14"/>
  <c r="E1091" i="14"/>
  <c r="F1091" i="14"/>
  <c r="I1091" i="14"/>
  <c r="D1090" i="14"/>
  <c r="C1090" i="14"/>
  <c r="E1090" i="14"/>
  <c r="F1090" i="14"/>
  <c r="I1090" i="14"/>
  <c r="D1089" i="14"/>
  <c r="C1089" i="14"/>
  <c r="E1089" i="14"/>
  <c r="F1089" i="14"/>
  <c r="I1089" i="14"/>
  <c r="D1088" i="14"/>
  <c r="C1088" i="14"/>
  <c r="D1087" i="14"/>
  <c r="C1087" i="14"/>
  <c r="E1087" i="14"/>
  <c r="F1087" i="14"/>
  <c r="D1086" i="14"/>
  <c r="C1086" i="14"/>
  <c r="D1085" i="14"/>
  <c r="C1085" i="14"/>
  <c r="E1085" i="14"/>
  <c r="F1085" i="14"/>
  <c r="I1085" i="14"/>
  <c r="D1084" i="14"/>
  <c r="C1084" i="14"/>
  <c r="E1084" i="14"/>
  <c r="F1084" i="14"/>
  <c r="I1084" i="14"/>
  <c r="D1083" i="14"/>
  <c r="C1083" i="14"/>
  <c r="E1083" i="14"/>
  <c r="F1083" i="14"/>
  <c r="I1083" i="14"/>
  <c r="D1082" i="14"/>
  <c r="C1082" i="14"/>
  <c r="E1082" i="14"/>
  <c r="F1082" i="14"/>
  <c r="I1082" i="14"/>
  <c r="D1081" i="14"/>
  <c r="C1081" i="14"/>
  <c r="E1081" i="14"/>
  <c r="F1081" i="14"/>
  <c r="I1081" i="14"/>
  <c r="D1080" i="14"/>
  <c r="C1080" i="14"/>
  <c r="E1080" i="14"/>
  <c r="F1080" i="14"/>
  <c r="D1079" i="14"/>
  <c r="C1079" i="14"/>
  <c r="E1079" i="14"/>
  <c r="F1079" i="14"/>
  <c r="D1078" i="14"/>
  <c r="C1078" i="14"/>
  <c r="E1078" i="14"/>
  <c r="F1078" i="14"/>
  <c r="D1077" i="14"/>
  <c r="C1077" i="14"/>
  <c r="E1077" i="14"/>
  <c r="F1077" i="14"/>
  <c r="D1076" i="14"/>
  <c r="C1076" i="14"/>
  <c r="E1076" i="14"/>
  <c r="F1076" i="14"/>
  <c r="D1075" i="14"/>
  <c r="C1075" i="14"/>
  <c r="E1075" i="14"/>
  <c r="F1075" i="14"/>
  <c r="I1075" i="14"/>
  <c r="D1074" i="14"/>
  <c r="C1074" i="14"/>
  <c r="E1074" i="14"/>
  <c r="F1074" i="14"/>
  <c r="I1074" i="14"/>
  <c r="D1073" i="14"/>
  <c r="J1073" i="14"/>
  <c r="C1073" i="14"/>
  <c r="E1073" i="14"/>
  <c r="F1073" i="14"/>
  <c r="D1072" i="14"/>
  <c r="C1072" i="14"/>
  <c r="E1072" i="14"/>
  <c r="F1072" i="14"/>
  <c r="D1071" i="14"/>
  <c r="C1071" i="14"/>
  <c r="E1071" i="14"/>
  <c r="F1071" i="14"/>
  <c r="D1070" i="14"/>
  <c r="C1070" i="14"/>
  <c r="E1070" i="14"/>
  <c r="F1070" i="14"/>
  <c r="D1069" i="14"/>
  <c r="C1069" i="14"/>
  <c r="E1069" i="14"/>
  <c r="F1069" i="14"/>
  <c r="I1069" i="14"/>
  <c r="D1068" i="14"/>
  <c r="C1068" i="14"/>
  <c r="E1068" i="14"/>
  <c r="F1068" i="14"/>
  <c r="D1067" i="14"/>
  <c r="C1067" i="14"/>
  <c r="E1067" i="14"/>
  <c r="F1067" i="14"/>
  <c r="I1067" i="14"/>
  <c r="D1066" i="14"/>
  <c r="C1066" i="14"/>
  <c r="D1065" i="14"/>
  <c r="C1065" i="14"/>
  <c r="D1064" i="14"/>
  <c r="J1064" i="14"/>
  <c r="C1064" i="14"/>
  <c r="E1064" i="14"/>
  <c r="F1064" i="14"/>
  <c r="D1063" i="14"/>
  <c r="C1063" i="14"/>
  <c r="E1063" i="14"/>
  <c r="F1063" i="14"/>
  <c r="D1062" i="14"/>
  <c r="C1062" i="14"/>
  <c r="E1062" i="14"/>
  <c r="F1062" i="14"/>
  <c r="D1061" i="14"/>
  <c r="C1061" i="14"/>
  <c r="E1061" i="14"/>
  <c r="F1061" i="14"/>
  <c r="I1061" i="14"/>
  <c r="D1060" i="14"/>
  <c r="C1060" i="14"/>
  <c r="E1060" i="14"/>
  <c r="F1060" i="14"/>
  <c r="I1060" i="14"/>
  <c r="D1059" i="14"/>
  <c r="C1059" i="14"/>
  <c r="E1059" i="14"/>
  <c r="F1059" i="14"/>
  <c r="I1059" i="14"/>
  <c r="D1058" i="14"/>
  <c r="C1058" i="14"/>
  <c r="E1058" i="14"/>
  <c r="F1058" i="14"/>
  <c r="D1057" i="14"/>
  <c r="C1057" i="14"/>
  <c r="E1057" i="14"/>
  <c r="F1057" i="14"/>
  <c r="D1056" i="14"/>
  <c r="C1056" i="14"/>
  <c r="E1056" i="14"/>
  <c r="F1056" i="14"/>
  <c r="D1055" i="14"/>
  <c r="C1055" i="14"/>
  <c r="E1055" i="14"/>
  <c r="F1055" i="14"/>
  <c r="D1054" i="14"/>
  <c r="C1054" i="14"/>
  <c r="E1054" i="14"/>
  <c r="F1054" i="14"/>
  <c r="D1053" i="14"/>
  <c r="C1053" i="14"/>
  <c r="E1053" i="14"/>
  <c r="F1053" i="14"/>
  <c r="I1053" i="14"/>
  <c r="D1052" i="14"/>
  <c r="C1052" i="14"/>
  <c r="E1052" i="14"/>
  <c r="F1052" i="14"/>
  <c r="D1051" i="14"/>
  <c r="C1051" i="14"/>
  <c r="E1051" i="14"/>
  <c r="F1051" i="14"/>
  <c r="D1050" i="14"/>
  <c r="C1050" i="14"/>
  <c r="E1050" i="14"/>
  <c r="F1050" i="14"/>
  <c r="D1049" i="14"/>
  <c r="C1049" i="14"/>
  <c r="D1048" i="14"/>
  <c r="C1048" i="14"/>
  <c r="E1048" i="14"/>
  <c r="F1048" i="14"/>
  <c r="I1048" i="14"/>
  <c r="D1047" i="14"/>
  <c r="C1047" i="14"/>
  <c r="E1047" i="14"/>
  <c r="F1047" i="14"/>
  <c r="D1046" i="14"/>
  <c r="C1046" i="14"/>
  <c r="E1046" i="14"/>
  <c r="F1046" i="14"/>
  <c r="D1045" i="14"/>
  <c r="C1045" i="14"/>
  <c r="E1045" i="14"/>
  <c r="D1044" i="14"/>
  <c r="C1044" i="14"/>
  <c r="E1044" i="14"/>
  <c r="F1044" i="14"/>
  <c r="I1044" i="14"/>
  <c r="D1043" i="14"/>
  <c r="C1043" i="14"/>
  <c r="E1043" i="14"/>
  <c r="F1043" i="14"/>
  <c r="I1043" i="14"/>
  <c r="D1042" i="14"/>
  <c r="C1042" i="14"/>
  <c r="E1042" i="14"/>
  <c r="F1042" i="14"/>
  <c r="I1042" i="14"/>
  <c r="D1041" i="14"/>
  <c r="C1041" i="14"/>
  <c r="E1041" i="14"/>
  <c r="F1041" i="14"/>
  <c r="D1040" i="14"/>
  <c r="C1040" i="14"/>
  <c r="E1040" i="14"/>
  <c r="F1040" i="14"/>
  <c r="I1040" i="14"/>
  <c r="D1039" i="14"/>
  <c r="C1039" i="14"/>
  <c r="E1039" i="14"/>
  <c r="D1038" i="14"/>
  <c r="C1038" i="14"/>
  <c r="E1038" i="14"/>
  <c r="F1038" i="14"/>
  <c r="D1037" i="14"/>
  <c r="J1037" i="14"/>
  <c r="C1037" i="14"/>
  <c r="E1037" i="14"/>
  <c r="F1037" i="14"/>
  <c r="D1036" i="14"/>
  <c r="C1036" i="14"/>
  <c r="E1036" i="14"/>
  <c r="F1036" i="14"/>
  <c r="I1036" i="14"/>
  <c r="D1035" i="14"/>
  <c r="C1035" i="14"/>
  <c r="D1034" i="14"/>
  <c r="C1034" i="14"/>
  <c r="E1034" i="14"/>
  <c r="F1034" i="14"/>
  <c r="D1033" i="14"/>
  <c r="C1033" i="14"/>
  <c r="E1033" i="14"/>
  <c r="F1033" i="14"/>
  <c r="I1033" i="14"/>
  <c r="D1032" i="14"/>
  <c r="C1032" i="14"/>
  <c r="E1032" i="14"/>
  <c r="F1032" i="14"/>
  <c r="D1031" i="14"/>
  <c r="C1031" i="14"/>
  <c r="E1031" i="14"/>
  <c r="F1031" i="14"/>
  <c r="D1030" i="14"/>
  <c r="C1030" i="14"/>
  <c r="E1030" i="14"/>
  <c r="F1030" i="14"/>
  <c r="D1029" i="14"/>
  <c r="C1029" i="14"/>
  <c r="E1029" i="14"/>
  <c r="F1029" i="14"/>
  <c r="I1029" i="14"/>
  <c r="D1028" i="14"/>
  <c r="C1028" i="14"/>
  <c r="D1027" i="14"/>
  <c r="C1027" i="14"/>
  <c r="E1027" i="14"/>
  <c r="F1027" i="14"/>
  <c r="D1026" i="14"/>
  <c r="C1026" i="14"/>
  <c r="E1026" i="14"/>
  <c r="F1026" i="14"/>
  <c r="D1025" i="14"/>
  <c r="C1025" i="14"/>
  <c r="D1024" i="14"/>
  <c r="C1024" i="14"/>
  <c r="E1024" i="14"/>
  <c r="F1024" i="14"/>
  <c r="D1023" i="14"/>
  <c r="C1023" i="14"/>
  <c r="D1022" i="14"/>
  <c r="C1022" i="14"/>
  <c r="E1022" i="14"/>
  <c r="F1022" i="14"/>
  <c r="I1022" i="14"/>
  <c r="D1021" i="14"/>
  <c r="C1021" i="14"/>
  <c r="D1020" i="14"/>
  <c r="C1020" i="14"/>
  <c r="E1020" i="14"/>
  <c r="F1020" i="14"/>
  <c r="D1019" i="14"/>
  <c r="C1019" i="14"/>
  <c r="E1019" i="14"/>
  <c r="F1019" i="14"/>
  <c r="D1018" i="14"/>
  <c r="C1018" i="14"/>
  <c r="E1018" i="14"/>
  <c r="F1018" i="14"/>
  <c r="D1017" i="14"/>
  <c r="C1017" i="14"/>
  <c r="E1017" i="14"/>
  <c r="F1017" i="14"/>
  <c r="D1016" i="14"/>
  <c r="C1016" i="14"/>
  <c r="E1016" i="14"/>
  <c r="F1016" i="14"/>
  <c r="D1015" i="14"/>
  <c r="J1015" i="14"/>
  <c r="C1015" i="14"/>
  <c r="E1015" i="14"/>
  <c r="F1015" i="14"/>
  <c r="D1014" i="14"/>
  <c r="J1014" i="14"/>
  <c r="C1014" i="14"/>
  <c r="E1014" i="14"/>
  <c r="D1013" i="14"/>
  <c r="C1013" i="14"/>
  <c r="E1013" i="14"/>
  <c r="F1013" i="14"/>
  <c r="D1012" i="14"/>
  <c r="C1012" i="14"/>
  <c r="E1012" i="14"/>
  <c r="F1012" i="14"/>
  <c r="I1012" i="14"/>
  <c r="D1011" i="14"/>
  <c r="C1011" i="14"/>
  <c r="E1011" i="14"/>
  <c r="F1011" i="14"/>
  <c r="I1011" i="14"/>
  <c r="D1010" i="14"/>
  <c r="C1010" i="14"/>
  <c r="E1010" i="14"/>
  <c r="F1010" i="14"/>
  <c r="D1009" i="14"/>
  <c r="C1009" i="14"/>
  <c r="E1009" i="14"/>
  <c r="F1009" i="14"/>
  <c r="D1008" i="14"/>
  <c r="C1008" i="14"/>
  <c r="E1008" i="14"/>
  <c r="D1007" i="14"/>
  <c r="C1007" i="14"/>
  <c r="E1007" i="14"/>
  <c r="F1007" i="14"/>
  <c r="D1006" i="14"/>
  <c r="C1006" i="14"/>
  <c r="E1006" i="14"/>
  <c r="F1006" i="14"/>
  <c r="D1005" i="14"/>
  <c r="C1005" i="14"/>
  <c r="E1005" i="14"/>
  <c r="D1004" i="14"/>
  <c r="C1004" i="14"/>
  <c r="D1003" i="14"/>
  <c r="C1003" i="14"/>
  <c r="D1002" i="14"/>
  <c r="C1002" i="14"/>
  <c r="E1002" i="14"/>
  <c r="F1002" i="14"/>
  <c r="D1001" i="14"/>
  <c r="C1001" i="14"/>
  <c r="E1001" i="14"/>
  <c r="F1001" i="14"/>
  <c r="D1000" i="14"/>
  <c r="C1000" i="14"/>
  <c r="E1000" i="14"/>
  <c r="F1000" i="14"/>
  <c r="D999" i="14"/>
  <c r="C999" i="14"/>
  <c r="E999" i="14"/>
  <c r="D998" i="14"/>
  <c r="C998" i="14"/>
  <c r="E998" i="14"/>
  <c r="F998" i="14"/>
  <c r="D997" i="14"/>
  <c r="C997" i="14"/>
  <c r="D996" i="14"/>
  <c r="C996" i="14"/>
  <c r="D995" i="14"/>
  <c r="C995" i="14"/>
  <c r="E995" i="14"/>
  <c r="F995" i="14"/>
  <c r="D994" i="14"/>
  <c r="C994" i="14"/>
  <c r="E994" i="14"/>
  <c r="F994" i="14"/>
  <c r="D993" i="14"/>
  <c r="C993" i="14"/>
  <c r="E993" i="14"/>
  <c r="F993" i="14"/>
  <c r="D992" i="14"/>
  <c r="C992" i="14"/>
  <c r="E992" i="14"/>
  <c r="F992" i="14"/>
  <c r="I992" i="14"/>
  <c r="D991" i="14"/>
  <c r="C991" i="14"/>
  <c r="E991" i="14"/>
  <c r="F991" i="14"/>
  <c r="D990" i="14"/>
  <c r="C990" i="14"/>
  <c r="E990" i="14"/>
  <c r="F990" i="14"/>
  <c r="D989" i="14"/>
  <c r="C989" i="14"/>
  <c r="D988" i="14"/>
  <c r="C988" i="14"/>
  <c r="E988" i="14"/>
  <c r="F988" i="14"/>
  <c r="I988" i="14"/>
  <c r="D987" i="14"/>
  <c r="C987" i="14"/>
  <c r="E987" i="14"/>
  <c r="F987" i="14"/>
  <c r="D986" i="14"/>
  <c r="C986" i="14"/>
  <c r="E986" i="14"/>
  <c r="D985" i="14"/>
  <c r="C985" i="14"/>
  <c r="E985" i="14"/>
  <c r="F985" i="14"/>
  <c r="I985" i="14"/>
  <c r="D984" i="14"/>
  <c r="C984" i="14"/>
  <c r="E984" i="14"/>
  <c r="F984" i="14"/>
  <c r="D983" i="14"/>
  <c r="C983" i="14"/>
  <c r="E983" i="14"/>
  <c r="F983" i="14"/>
  <c r="D982" i="14"/>
  <c r="C982" i="14"/>
  <c r="E982" i="14"/>
  <c r="F982" i="14"/>
  <c r="D981" i="14"/>
  <c r="C981" i="14"/>
  <c r="E981" i="14"/>
  <c r="F981" i="14"/>
  <c r="D980" i="14"/>
  <c r="C980" i="14"/>
  <c r="E980" i="14"/>
  <c r="F980" i="14"/>
  <c r="D979" i="14"/>
  <c r="C979" i="14"/>
  <c r="E979" i="14"/>
  <c r="F979" i="14"/>
  <c r="D978" i="14"/>
  <c r="C978" i="14"/>
  <c r="E978" i="14"/>
  <c r="F978" i="14"/>
  <c r="D977" i="14"/>
  <c r="C977" i="14"/>
  <c r="E977" i="14"/>
  <c r="F977" i="14"/>
  <c r="D976" i="14"/>
  <c r="C976" i="14"/>
  <c r="E976" i="14"/>
  <c r="F976" i="14"/>
  <c r="D975" i="14"/>
  <c r="C975" i="14"/>
  <c r="E975" i="14"/>
  <c r="F975" i="14"/>
  <c r="I975" i="14"/>
  <c r="D974" i="14"/>
  <c r="C974" i="14"/>
  <c r="E974" i="14"/>
  <c r="F974" i="14"/>
  <c r="D973" i="14"/>
  <c r="C973" i="14"/>
  <c r="E973" i="14"/>
  <c r="F973" i="14"/>
  <c r="D972" i="14"/>
  <c r="C972" i="14"/>
  <c r="E972" i="14"/>
  <c r="F972" i="14"/>
  <c r="D971" i="14"/>
  <c r="C971" i="14"/>
  <c r="E971" i="14"/>
  <c r="F971" i="14"/>
  <c r="I971" i="14"/>
  <c r="D970" i="14"/>
  <c r="C970" i="14"/>
  <c r="E970" i="14"/>
  <c r="F970" i="14"/>
  <c r="D969" i="14"/>
  <c r="J969" i="14"/>
  <c r="C969" i="14"/>
  <c r="E969" i="14"/>
  <c r="D968" i="14"/>
  <c r="C968" i="14"/>
  <c r="E968" i="14"/>
  <c r="F968" i="14"/>
  <c r="D967" i="14"/>
  <c r="C967" i="14"/>
  <c r="E967" i="14"/>
  <c r="F967" i="14"/>
  <c r="I967" i="14"/>
  <c r="D966" i="14"/>
  <c r="C966" i="14"/>
  <c r="E966" i="14"/>
  <c r="F966" i="14"/>
  <c r="D965" i="14"/>
  <c r="C965" i="14"/>
  <c r="E965" i="14"/>
  <c r="F965" i="14"/>
  <c r="D40" i="13"/>
  <c r="F171" i="3"/>
  <c r="H40" i="13"/>
  <c r="H171" i="3"/>
  <c r="F40" i="13"/>
  <c r="G171" i="3"/>
  <c r="D964" i="14"/>
  <c r="C964" i="14"/>
  <c r="E964" i="14"/>
  <c r="F964" i="14"/>
  <c r="I964" i="14"/>
  <c r="D963" i="14"/>
  <c r="C963" i="14"/>
  <c r="E963" i="14"/>
  <c r="F963" i="14"/>
  <c r="D962" i="14"/>
  <c r="C962" i="14"/>
  <c r="E962" i="14"/>
  <c r="D961" i="14"/>
  <c r="C961" i="14"/>
  <c r="E961" i="14"/>
  <c r="F961" i="14"/>
  <c r="D960" i="14"/>
  <c r="C960" i="14"/>
  <c r="E960" i="14"/>
  <c r="F960" i="14"/>
  <c r="I960" i="14"/>
  <c r="D959" i="14"/>
  <c r="J959" i="14"/>
  <c r="C959" i="14"/>
  <c r="E959" i="14"/>
  <c r="F959" i="14"/>
  <c r="D958" i="14"/>
  <c r="J958" i="14"/>
  <c r="C958" i="14"/>
  <c r="E958" i="14"/>
  <c r="D957" i="14"/>
  <c r="C957" i="14"/>
  <c r="E957" i="14"/>
  <c r="F957" i="14"/>
  <c r="D956" i="14"/>
  <c r="C956" i="14"/>
  <c r="E956" i="14"/>
  <c r="F956" i="14"/>
  <c r="D955" i="14"/>
  <c r="C955" i="14"/>
  <c r="E955" i="14"/>
  <c r="F955" i="14"/>
  <c r="I955" i="14"/>
  <c r="D954" i="14"/>
  <c r="C954" i="14"/>
  <c r="E954" i="14"/>
  <c r="F954" i="14"/>
  <c r="I954" i="14"/>
  <c r="D953" i="14"/>
  <c r="C953" i="14"/>
  <c r="E953" i="14"/>
  <c r="F953" i="14"/>
  <c r="D952" i="14"/>
  <c r="C952" i="14"/>
  <c r="E952" i="14"/>
  <c r="F952" i="14"/>
  <c r="D951" i="14"/>
  <c r="C951" i="14"/>
  <c r="E951" i="14"/>
  <c r="F951" i="14"/>
  <c r="I951" i="14"/>
  <c r="D950" i="14"/>
  <c r="C950" i="14"/>
  <c r="E950" i="14"/>
  <c r="F950" i="14"/>
  <c r="D949" i="14"/>
  <c r="C949" i="14"/>
  <c r="E949" i="14"/>
  <c r="F949" i="14"/>
  <c r="D948" i="14"/>
  <c r="C948" i="14"/>
  <c r="E948" i="14"/>
  <c r="F948" i="14"/>
  <c r="D947" i="14"/>
  <c r="C947" i="14"/>
  <c r="E947" i="14"/>
  <c r="D946" i="14"/>
  <c r="C946" i="14"/>
  <c r="E946" i="14"/>
  <c r="F946" i="14"/>
  <c r="D945" i="14"/>
  <c r="C945" i="14"/>
  <c r="E945" i="14"/>
  <c r="F945" i="14"/>
  <c r="D944" i="14"/>
  <c r="C944" i="14"/>
  <c r="D943" i="14"/>
  <c r="C943" i="14"/>
  <c r="E943" i="14"/>
  <c r="F943" i="14"/>
  <c r="D942" i="14"/>
  <c r="C942" i="14"/>
  <c r="E942" i="14"/>
  <c r="F942" i="14"/>
  <c r="D941" i="14"/>
  <c r="C941" i="14"/>
  <c r="E941" i="14"/>
  <c r="F941" i="14"/>
  <c r="D940" i="14"/>
  <c r="C940" i="14"/>
  <c r="E940" i="14"/>
  <c r="F940" i="14"/>
  <c r="D939" i="14"/>
  <c r="C939" i="14"/>
  <c r="E939" i="14"/>
  <c r="F939" i="14"/>
  <c r="D938" i="14"/>
  <c r="C938" i="14"/>
  <c r="E938" i="14"/>
  <c r="F938" i="14"/>
  <c r="D937" i="14"/>
  <c r="C937" i="14"/>
  <c r="E937" i="14"/>
  <c r="F937" i="14"/>
  <c r="I937" i="14"/>
  <c r="D936" i="14"/>
  <c r="C936" i="14"/>
  <c r="E936" i="14"/>
  <c r="F936" i="14"/>
  <c r="D935" i="14"/>
  <c r="C935" i="14"/>
  <c r="E935" i="14"/>
  <c r="F935" i="14"/>
  <c r="D934" i="14"/>
  <c r="C934" i="14"/>
  <c r="E934" i="14"/>
  <c r="F934" i="14"/>
  <c r="I934" i="14"/>
  <c r="D933" i="14"/>
  <c r="C933" i="14"/>
  <c r="E933" i="14"/>
  <c r="F933" i="14"/>
  <c r="D932" i="14"/>
  <c r="C932" i="14"/>
  <c r="E932" i="14"/>
  <c r="F932" i="14"/>
  <c r="D931" i="14"/>
  <c r="C931" i="14"/>
  <c r="E931" i="14"/>
  <c r="D930" i="14"/>
  <c r="C930" i="14"/>
  <c r="E930" i="14"/>
  <c r="D929" i="14"/>
  <c r="C929" i="14"/>
  <c r="D928" i="14"/>
  <c r="C928" i="14"/>
  <c r="E928" i="14"/>
  <c r="D927" i="14"/>
  <c r="C927" i="14"/>
  <c r="E927" i="14"/>
  <c r="F927" i="14"/>
  <c r="D926" i="14"/>
  <c r="C926" i="14"/>
  <c r="E926" i="14"/>
  <c r="F926" i="14"/>
  <c r="D925" i="14"/>
  <c r="C925" i="14"/>
  <c r="E925" i="14"/>
  <c r="F925" i="14"/>
  <c r="I925" i="14"/>
  <c r="D924" i="14"/>
  <c r="C924" i="14"/>
  <c r="E924" i="14"/>
  <c r="F924" i="14"/>
  <c r="D923" i="14"/>
  <c r="C923" i="14"/>
  <c r="E923" i="14"/>
  <c r="F923" i="14"/>
  <c r="I923" i="14"/>
  <c r="D922" i="14"/>
  <c r="C922" i="14"/>
  <c r="E922" i="14"/>
  <c r="F922" i="14"/>
  <c r="D921" i="14"/>
  <c r="C921" i="14"/>
  <c r="E921" i="14"/>
  <c r="F921" i="14"/>
  <c r="D920" i="14"/>
  <c r="C920" i="14"/>
  <c r="E920" i="14"/>
  <c r="F920" i="14"/>
  <c r="I920" i="14"/>
  <c r="D919" i="14"/>
  <c r="C919" i="14"/>
  <c r="E919" i="14"/>
  <c r="F919" i="14"/>
  <c r="D918" i="14"/>
  <c r="C918" i="14"/>
  <c r="E918" i="14"/>
  <c r="F918" i="14"/>
  <c r="D917" i="14"/>
  <c r="C917" i="14"/>
  <c r="E917" i="14"/>
  <c r="F917" i="14"/>
  <c r="D916" i="14"/>
  <c r="C916" i="14"/>
  <c r="E916" i="14"/>
  <c r="F916" i="14"/>
  <c r="D915" i="14"/>
  <c r="C915" i="14"/>
  <c r="E915" i="14"/>
  <c r="F915" i="14"/>
  <c r="D914" i="14"/>
  <c r="C914" i="14"/>
  <c r="E914" i="14"/>
  <c r="F914" i="14"/>
  <c r="D913" i="14"/>
  <c r="C913" i="14"/>
  <c r="E913" i="14"/>
  <c r="F913" i="14"/>
  <c r="D912" i="14"/>
  <c r="C912" i="14"/>
  <c r="E912" i="14"/>
  <c r="F912" i="14"/>
  <c r="D911" i="14"/>
  <c r="C911" i="14"/>
  <c r="E911" i="14"/>
  <c r="F911" i="14"/>
  <c r="D910" i="14"/>
  <c r="C910" i="14"/>
  <c r="E910" i="14"/>
  <c r="F910" i="14"/>
  <c r="I910" i="14"/>
  <c r="D909" i="14"/>
  <c r="C909" i="14"/>
  <c r="E909" i="14"/>
  <c r="F909" i="14"/>
  <c r="D908" i="14"/>
  <c r="C908" i="14"/>
  <c r="E908" i="14"/>
  <c r="F908" i="14"/>
  <c r="I908" i="14"/>
  <c r="D907" i="14"/>
  <c r="C907" i="14"/>
  <c r="E907" i="14"/>
  <c r="F907" i="14"/>
  <c r="D906" i="14"/>
  <c r="C906" i="14"/>
  <c r="E906" i="14"/>
  <c r="D905" i="14"/>
  <c r="C905" i="14"/>
  <c r="E905" i="14"/>
  <c r="F905" i="14"/>
  <c r="I905" i="14"/>
  <c r="D904" i="14"/>
  <c r="C904" i="14"/>
  <c r="E904" i="14"/>
  <c r="F904" i="14"/>
  <c r="I904" i="14"/>
  <c r="D903" i="14"/>
  <c r="C903" i="14"/>
  <c r="E903" i="14"/>
  <c r="F903" i="14"/>
  <c r="D902" i="14"/>
  <c r="C902" i="14"/>
  <c r="E902" i="14"/>
  <c r="F902" i="14"/>
  <c r="D901" i="14"/>
  <c r="C901" i="14"/>
  <c r="E901" i="14"/>
  <c r="F901" i="14"/>
  <c r="D900" i="14"/>
  <c r="C900" i="14"/>
  <c r="E900" i="14"/>
  <c r="F900" i="14"/>
  <c r="I900" i="14"/>
  <c r="D899" i="14"/>
  <c r="C899" i="14"/>
  <c r="D898" i="14"/>
  <c r="C898" i="14"/>
  <c r="D897" i="14"/>
  <c r="C897" i="14"/>
  <c r="E897" i="14"/>
  <c r="F897" i="14"/>
  <c r="I897" i="14"/>
  <c r="D896" i="14"/>
  <c r="C896" i="14"/>
  <c r="E896" i="14"/>
  <c r="F896" i="14"/>
  <c r="I896" i="14"/>
  <c r="D895" i="14"/>
  <c r="C895" i="14"/>
  <c r="E895" i="14"/>
  <c r="F895" i="14"/>
  <c r="D42" i="13"/>
  <c r="F173" i="3"/>
  <c r="H42" i="13"/>
  <c r="H173" i="3"/>
  <c r="U173" i="3"/>
  <c r="F42" i="13"/>
  <c r="G173" i="3"/>
  <c r="B221" i="4"/>
  <c r="J455" i="14"/>
  <c r="D894" i="14"/>
  <c r="C894" i="14"/>
  <c r="E894" i="14"/>
  <c r="F894" i="14"/>
  <c r="D893" i="14"/>
  <c r="C893" i="14"/>
  <c r="E893" i="14"/>
  <c r="F893" i="14"/>
  <c r="B220" i="4"/>
  <c r="D892" i="14"/>
  <c r="C892" i="14"/>
  <c r="E892" i="14"/>
  <c r="F892" i="14"/>
  <c r="D891" i="14"/>
  <c r="C891" i="14"/>
  <c r="E891" i="14"/>
  <c r="F891" i="14"/>
  <c r="B219" i="4"/>
  <c r="J451" i="14" s="1"/>
  <c r="D890" i="14"/>
  <c r="C890" i="14"/>
  <c r="E890" i="14"/>
  <c r="F890" i="14"/>
  <c r="D889" i="14"/>
  <c r="C889" i="14"/>
  <c r="E889" i="14"/>
  <c r="F889" i="14"/>
  <c r="B218" i="4"/>
  <c r="D888" i="14"/>
  <c r="C888" i="14"/>
  <c r="E888" i="14"/>
  <c r="F888" i="14"/>
  <c r="D887" i="14"/>
  <c r="C887" i="14"/>
  <c r="E887" i="14"/>
  <c r="F887" i="14"/>
  <c r="B217" i="4"/>
  <c r="J886" i="14" s="1"/>
  <c r="B432" i="17" s="1"/>
  <c r="D886" i="14"/>
  <c r="C886" i="14"/>
  <c r="E886" i="14"/>
  <c r="F886" i="14"/>
  <c r="D885" i="14"/>
  <c r="C885" i="14"/>
  <c r="E885" i="14"/>
  <c r="F885" i="14"/>
  <c r="B216" i="4"/>
  <c r="D884" i="14"/>
  <c r="C884" i="14"/>
  <c r="E884" i="14"/>
  <c r="F884" i="14"/>
  <c r="D883" i="14"/>
  <c r="C883" i="14"/>
  <c r="E883" i="14"/>
  <c r="F883" i="14"/>
  <c r="B215" i="4"/>
  <c r="J443" i="14"/>
  <c r="D882" i="14"/>
  <c r="C882" i="14"/>
  <c r="E882" i="14"/>
  <c r="F882" i="14"/>
  <c r="D881" i="14"/>
  <c r="C881" i="14"/>
  <c r="E881" i="14"/>
  <c r="F881" i="14"/>
  <c r="B213" i="4"/>
  <c r="D880" i="14"/>
  <c r="C880" i="14"/>
  <c r="E880" i="14"/>
  <c r="F880" i="14"/>
  <c r="I880" i="14"/>
  <c r="D879" i="14"/>
  <c r="C879" i="14"/>
  <c r="E879" i="14"/>
  <c r="F879" i="14"/>
  <c r="I879" i="14"/>
  <c r="B212" i="4"/>
  <c r="D878" i="14"/>
  <c r="C878" i="14"/>
  <c r="E878" i="14"/>
  <c r="F878" i="14"/>
  <c r="I878" i="14"/>
  <c r="D877" i="14"/>
  <c r="C877" i="14"/>
  <c r="B211" i="4"/>
  <c r="D876" i="14"/>
  <c r="C876" i="14"/>
  <c r="E876" i="14"/>
  <c r="F876" i="14"/>
  <c r="I876" i="14"/>
  <c r="D875" i="14"/>
  <c r="C875" i="14"/>
  <c r="E875" i="14"/>
  <c r="F875" i="14"/>
  <c r="I875" i="14"/>
  <c r="B210" i="4"/>
  <c r="D874" i="14"/>
  <c r="C874" i="14"/>
  <c r="E874" i="14"/>
  <c r="F874" i="14"/>
  <c r="I874" i="14"/>
  <c r="D873" i="14"/>
  <c r="C873" i="14"/>
  <c r="E873" i="14"/>
  <c r="F873" i="14"/>
  <c r="D41" i="13"/>
  <c r="F172" i="3"/>
  <c r="H41" i="13"/>
  <c r="H172" i="3"/>
  <c r="Q172" i="3"/>
  <c r="F41" i="13"/>
  <c r="G172" i="3"/>
  <c r="B209" i="4"/>
  <c r="J433" i="14" s="1"/>
  <c r="D872" i="14"/>
  <c r="C872" i="14"/>
  <c r="D871" i="14"/>
  <c r="C871" i="14"/>
  <c r="B208" i="4"/>
  <c r="D870" i="14"/>
  <c r="C870" i="14"/>
  <c r="E870" i="14"/>
  <c r="D869" i="14"/>
  <c r="C869" i="14"/>
  <c r="E869" i="14"/>
  <c r="F869" i="14"/>
  <c r="B207" i="4"/>
  <c r="D868" i="14"/>
  <c r="C868" i="14"/>
  <c r="E868" i="14"/>
  <c r="F868" i="14"/>
  <c r="D867" i="14"/>
  <c r="C867" i="14"/>
  <c r="E867" i="14"/>
  <c r="F867" i="14"/>
  <c r="B206" i="4"/>
  <c r="D866" i="14"/>
  <c r="C866" i="14"/>
  <c r="E866" i="14"/>
  <c r="F866" i="14"/>
  <c r="D865" i="14"/>
  <c r="C865" i="14"/>
  <c r="E865" i="14"/>
  <c r="F865" i="14"/>
  <c r="B205" i="4"/>
  <c r="D864" i="14"/>
  <c r="C864" i="14"/>
  <c r="D863" i="14"/>
  <c r="C863" i="14"/>
  <c r="E863" i="14"/>
  <c r="F863" i="14"/>
  <c r="B204" i="4"/>
  <c r="J862" i="14" s="1"/>
  <c r="B408" i="17" s="1"/>
  <c r="D862" i="14"/>
  <c r="C862" i="14"/>
  <c r="E862" i="14"/>
  <c r="F862" i="14"/>
  <c r="D861" i="14"/>
  <c r="C861" i="14"/>
  <c r="E861" i="14"/>
  <c r="F861" i="14"/>
  <c r="B203" i="4"/>
  <c r="J860" i="14" s="1"/>
  <c r="B406" i="17" s="1"/>
  <c r="D406" i="17" s="1"/>
  <c r="D860" i="14"/>
  <c r="C860" i="14"/>
  <c r="E860" i="14"/>
  <c r="F860" i="14"/>
  <c r="D859" i="14"/>
  <c r="C859" i="14"/>
  <c r="E859" i="14"/>
  <c r="F859" i="14"/>
  <c r="B202" i="4"/>
  <c r="D858" i="14"/>
  <c r="C858" i="14"/>
  <c r="E858" i="14"/>
  <c r="F858" i="14"/>
  <c r="D857" i="14"/>
  <c r="C857" i="14"/>
  <c r="E857" i="14"/>
  <c r="F857" i="14"/>
  <c r="I857" i="14"/>
  <c r="B201" i="4"/>
  <c r="D856" i="14"/>
  <c r="C856" i="14"/>
  <c r="D855" i="14"/>
  <c r="C855" i="14"/>
  <c r="B200" i="4"/>
  <c r="J854" i="14" s="1"/>
  <c r="B400" i="17" s="1"/>
  <c r="D400" i="17" s="1"/>
  <c r="D854" i="14"/>
  <c r="C854" i="14"/>
  <c r="E854" i="14"/>
  <c r="F854" i="14"/>
  <c r="I854" i="14"/>
  <c r="D853" i="14"/>
  <c r="C853" i="14"/>
  <c r="E853" i="14"/>
  <c r="F853" i="14"/>
  <c r="I853" i="14"/>
  <c r="B199" i="4"/>
  <c r="D852" i="14"/>
  <c r="C852" i="14"/>
  <c r="E852" i="14"/>
  <c r="F852" i="14"/>
  <c r="I852" i="14"/>
  <c r="D851" i="14"/>
  <c r="C851" i="14"/>
  <c r="E851" i="14"/>
  <c r="F851" i="14"/>
  <c r="I851" i="14"/>
  <c r="B198" i="4"/>
  <c r="J850" i="14"/>
  <c r="B396" i="17" s="1"/>
  <c r="D396" i="17" s="1"/>
  <c r="D850" i="14"/>
  <c r="C850" i="14"/>
  <c r="D849" i="14"/>
  <c r="C849" i="14"/>
  <c r="B197" i="4"/>
  <c r="D848" i="14"/>
  <c r="C848" i="14"/>
  <c r="D847" i="14"/>
  <c r="C847" i="14"/>
  <c r="E847" i="14"/>
  <c r="F847" i="14"/>
  <c r="B196" i="4"/>
  <c r="J846" i="14" s="1"/>
  <c r="B392" i="17" s="1"/>
  <c r="D392" i="17" s="1"/>
  <c r="D846" i="14"/>
  <c r="C846" i="14"/>
  <c r="E846" i="14"/>
  <c r="F846" i="14"/>
  <c r="D845" i="14"/>
  <c r="C845" i="14"/>
  <c r="E845" i="14"/>
  <c r="F845" i="14"/>
  <c r="B195" i="4"/>
  <c r="J844" i="14" s="1"/>
  <c r="D844" i="14"/>
  <c r="C844" i="14"/>
  <c r="E844" i="14"/>
  <c r="F844" i="14"/>
  <c r="D843" i="14"/>
  <c r="C843" i="14"/>
  <c r="E843" i="14"/>
  <c r="F843" i="14"/>
  <c r="D842" i="14"/>
  <c r="C842" i="14"/>
  <c r="E842" i="14"/>
  <c r="F842" i="14"/>
  <c r="D841" i="14"/>
  <c r="C841" i="14"/>
  <c r="E841" i="14"/>
  <c r="F841" i="14"/>
  <c r="B193" i="4"/>
  <c r="J401" i="14"/>
  <c r="D840" i="14"/>
  <c r="C840" i="14"/>
  <c r="E840" i="14"/>
  <c r="F840" i="14"/>
  <c r="D839" i="14"/>
  <c r="C839" i="14"/>
  <c r="E839" i="14"/>
  <c r="F839" i="14"/>
  <c r="B192" i="4"/>
  <c r="D838" i="14"/>
  <c r="C838" i="14"/>
  <c r="D837" i="14"/>
  <c r="C837" i="14"/>
  <c r="E837" i="14"/>
  <c r="F837" i="14"/>
  <c r="B191" i="4"/>
  <c r="D836" i="14"/>
  <c r="C836" i="14"/>
  <c r="E836" i="14"/>
  <c r="F836" i="14"/>
  <c r="D835" i="14"/>
  <c r="C835" i="14"/>
  <c r="E835" i="14"/>
  <c r="F835" i="14"/>
  <c r="B190" i="4"/>
  <c r="J834" i="14"/>
  <c r="B380" i="17" s="1"/>
  <c r="D380" i="17" s="1"/>
  <c r="D834" i="14"/>
  <c r="C834" i="14"/>
  <c r="E834" i="14"/>
  <c r="F834" i="14"/>
  <c r="D833" i="14"/>
  <c r="C833" i="14"/>
  <c r="E833" i="14"/>
  <c r="F833" i="14"/>
  <c r="I833" i="14"/>
  <c r="B189" i="4"/>
  <c r="D832" i="14"/>
  <c r="C832" i="14"/>
  <c r="D831" i="14"/>
  <c r="C831" i="14"/>
  <c r="E831" i="14"/>
  <c r="F831" i="14"/>
  <c r="I831" i="14"/>
  <c r="B188" i="4"/>
  <c r="J391" i="14" s="1"/>
  <c r="D830" i="14"/>
  <c r="C830" i="14"/>
  <c r="D829" i="14"/>
  <c r="C829" i="14"/>
  <c r="E829" i="14"/>
  <c r="F829" i="14"/>
  <c r="I829" i="14"/>
  <c r="B187" i="4"/>
  <c r="D828" i="14"/>
  <c r="C828" i="14"/>
  <c r="E828" i="14"/>
  <c r="F828" i="14"/>
  <c r="I828" i="14"/>
  <c r="D827" i="14"/>
  <c r="C827" i="14"/>
  <c r="E827" i="14"/>
  <c r="F827" i="14"/>
  <c r="I827" i="14"/>
  <c r="D826" i="14"/>
  <c r="C826" i="14"/>
  <c r="E826" i="14"/>
  <c r="F826" i="14"/>
  <c r="I826" i="14"/>
  <c r="D825" i="14"/>
  <c r="C825" i="14"/>
  <c r="B86" i="4"/>
  <c r="D824" i="14"/>
  <c r="C824" i="14"/>
  <c r="E824" i="14"/>
  <c r="F824" i="14"/>
  <c r="D823" i="14"/>
  <c r="C823" i="14"/>
  <c r="D822" i="14"/>
  <c r="C822" i="14"/>
  <c r="E822" i="14"/>
  <c r="F822" i="14"/>
  <c r="D821" i="14"/>
  <c r="C821" i="14"/>
  <c r="E821" i="14"/>
  <c r="F821" i="14"/>
  <c r="I821" i="14"/>
  <c r="D820" i="14"/>
  <c r="C820" i="14"/>
  <c r="E820" i="14"/>
  <c r="F820" i="14"/>
  <c r="I820" i="14"/>
  <c r="D819" i="14"/>
  <c r="C819" i="14"/>
  <c r="E819" i="14"/>
  <c r="F819" i="14"/>
  <c r="D818" i="14"/>
  <c r="C818" i="14"/>
  <c r="E818" i="14"/>
  <c r="F818" i="14"/>
  <c r="I818" i="14"/>
  <c r="D817" i="14"/>
  <c r="C817" i="14"/>
  <c r="E817" i="14"/>
  <c r="F817" i="14"/>
  <c r="I817" i="14"/>
  <c r="D816" i="14"/>
  <c r="C816" i="14"/>
  <c r="E816" i="14"/>
  <c r="F816" i="14"/>
  <c r="D815" i="14"/>
  <c r="C815" i="14"/>
  <c r="E815" i="14"/>
  <c r="F815" i="14"/>
  <c r="D814" i="14"/>
  <c r="C814" i="14"/>
  <c r="E814" i="14"/>
  <c r="F814" i="14"/>
  <c r="D813" i="14"/>
  <c r="C813" i="14"/>
  <c r="E813" i="14"/>
  <c r="F813" i="14"/>
  <c r="D812" i="14"/>
  <c r="C812" i="14"/>
  <c r="E812" i="14"/>
  <c r="F812" i="14"/>
  <c r="D811" i="14"/>
  <c r="C811" i="14"/>
  <c r="E811" i="14"/>
  <c r="F811" i="14"/>
  <c r="D810" i="14"/>
  <c r="C810" i="14"/>
  <c r="E810" i="14"/>
  <c r="F810" i="14"/>
  <c r="D809" i="14"/>
  <c r="C809" i="14"/>
  <c r="E809" i="14"/>
  <c r="F809" i="14"/>
  <c r="D808" i="14"/>
  <c r="C808" i="14"/>
  <c r="E808" i="14"/>
  <c r="F808" i="14"/>
  <c r="D807" i="14"/>
  <c r="C807" i="14"/>
  <c r="E807" i="14"/>
  <c r="F807" i="14"/>
  <c r="D806" i="14"/>
  <c r="C806" i="14"/>
  <c r="E806" i="14"/>
  <c r="F806" i="14"/>
  <c r="I806" i="14"/>
  <c r="D805" i="14"/>
  <c r="C805" i="14"/>
  <c r="E805" i="14"/>
  <c r="F805" i="14"/>
  <c r="I805" i="14"/>
  <c r="D804" i="14"/>
  <c r="C804" i="14"/>
  <c r="E804" i="14"/>
  <c r="D803" i="14"/>
  <c r="C803" i="14"/>
  <c r="E803" i="14"/>
  <c r="F803" i="14"/>
  <c r="D802" i="14"/>
  <c r="C802" i="14"/>
  <c r="E802" i="14"/>
  <c r="F802" i="14"/>
  <c r="D801" i="14"/>
  <c r="C801" i="14"/>
  <c r="E801" i="14"/>
  <c r="F801" i="14"/>
  <c r="D800" i="14"/>
  <c r="C800" i="14"/>
  <c r="E800" i="14"/>
  <c r="F800" i="14"/>
  <c r="D799" i="14"/>
  <c r="C799" i="14"/>
  <c r="E799" i="14"/>
  <c r="F799" i="14"/>
  <c r="D798" i="14"/>
  <c r="C798" i="14"/>
  <c r="E798" i="14"/>
  <c r="F798" i="14"/>
  <c r="D797" i="14"/>
  <c r="C797" i="14"/>
  <c r="E797" i="14"/>
  <c r="F797" i="14"/>
  <c r="I797" i="14"/>
  <c r="D796" i="14"/>
  <c r="C796" i="14"/>
  <c r="E796" i="14"/>
  <c r="F796" i="14"/>
  <c r="I796" i="14"/>
  <c r="D795" i="14"/>
  <c r="C795" i="14"/>
  <c r="E795" i="14"/>
  <c r="F795" i="14"/>
  <c r="I795" i="14"/>
  <c r="D794" i="14"/>
  <c r="C794" i="14"/>
  <c r="E794" i="14"/>
  <c r="F794" i="14"/>
  <c r="D793" i="14"/>
  <c r="C793" i="14"/>
  <c r="E793" i="14"/>
  <c r="F793" i="14"/>
  <c r="I793" i="14"/>
  <c r="D792" i="14"/>
  <c r="C792" i="14"/>
  <c r="E792" i="14"/>
  <c r="F792" i="14"/>
  <c r="I792" i="14"/>
  <c r="D791" i="14"/>
  <c r="C791" i="14"/>
  <c r="D790" i="14"/>
  <c r="C790" i="14"/>
  <c r="E790" i="14"/>
  <c r="F790" i="14"/>
  <c r="D789" i="14"/>
  <c r="C789" i="14"/>
  <c r="E789" i="14"/>
  <c r="F789" i="14"/>
  <c r="D788" i="14"/>
  <c r="C788" i="14"/>
  <c r="E788" i="14"/>
  <c r="F788" i="14"/>
  <c r="I788" i="14"/>
  <c r="D787" i="14"/>
  <c r="C787" i="14"/>
  <c r="E787" i="14"/>
  <c r="F787" i="14"/>
  <c r="I787" i="14"/>
  <c r="D786" i="14"/>
  <c r="C786" i="14"/>
  <c r="E786" i="14"/>
  <c r="F786" i="14"/>
  <c r="D785" i="14"/>
  <c r="C785" i="14"/>
  <c r="E785" i="14"/>
  <c r="F785" i="14"/>
  <c r="D784" i="14"/>
  <c r="C784" i="14"/>
  <c r="E784" i="14"/>
  <c r="F784" i="14"/>
  <c r="D783" i="14"/>
  <c r="C783" i="14"/>
  <c r="E783" i="14"/>
  <c r="F783" i="14"/>
  <c r="D782" i="14"/>
  <c r="C782" i="14"/>
  <c r="E782" i="14"/>
  <c r="F782" i="14"/>
  <c r="D781" i="14"/>
  <c r="C781" i="14"/>
  <c r="E781" i="14"/>
  <c r="F781" i="14"/>
  <c r="D780" i="14"/>
  <c r="C780" i="14"/>
  <c r="E780" i="14"/>
  <c r="F780" i="14"/>
  <c r="I780" i="14"/>
  <c r="D779" i="14"/>
  <c r="C779" i="14"/>
  <c r="E779" i="14"/>
  <c r="F779" i="14"/>
  <c r="I779" i="14"/>
  <c r="D778" i="14"/>
  <c r="C778" i="14"/>
  <c r="E778" i="14"/>
  <c r="F778" i="14"/>
  <c r="I778" i="14"/>
  <c r="D777" i="14"/>
  <c r="C777" i="14"/>
  <c r="E777" i="14"/>
  <c r="F777" i="14"/>
  <c r="I777" i="14"/>
  <c r="D776" i="14"/>
  <c r="C776" i="14"/>
  <c r="E776" i="14"/>
  <c r="F776" i="14"/>
  <c r="I776" i="14"/>
  <c r="D775" i="14"/>
  <c r="C775" i="14"/>
  <c r="E775" i="14"/>
  <c r="F775" i="14"/>
  <c r="D774" i="14"/>
  <c r="C774" i="14"/>
  <c r="E774" i="14"/>
  <c r="F774" i="14"/>
  <c r="D773" i="14"/>
  <c r="C773" i="14"/>
  <c r="E773" i="14"/>
  <c r="F773" i="14"/>
  <c r="D772" i="14"/>
  <c r="C772" i="14"/>
  <c r="D771" i="14"/>
  <c r="C771" i="14"/>
  <c r="E771" i="14"/>
  <c r="F771" i="14"/>
  <c r="I771" i="14"/>
  <c r="D770" i="14"/>
  <c r="C770" i="14"/>
  <c r="E770" i="14"/>
  <c r="F770" i="14"/>
  <c r="I770" i="14"/>
  <c r="D769" i="14"/>
  <c r="C769" i="14"/>
  <c r="E769" i="14"/>
  <c r="F769" i="14"/>
  <c r="I769" i="14"/>
  <c r="D768" i="14"/>
  <c r="C768" i="14"/>
  <c r="D767" i="14"/>
  <c r="C767" i="14"/>
  <c r="E767" i="14"/>
  <c r="F767" i="14"/>
  <c r="D766" i="14"/>
  <c r="C766" i="14"/>
  <c r="E766" i="14"/>
  <c r="F766" i="14"/>
  <c r="I766" i="14"/>
  <c r="D765" i="14"/>
  <c r="C765" i="14"/>
  <c r="E765" i="14"/>
  <c r="F765" i="14"/>
  <c r="I765" i="14"/>
  <c r="D764" i="14"/>
  <c r="C764" i="14"/>
  <c r="E764" i="14"/>
  <c r="F764" i="14"/>
  <c r="I764" i="14"/>
  <c r="D763" i="14"/>
  <c r="C763" i="14"/>
  <c r="E763" i="14"/>
  <c r="F763" i="14"/>
  <c r="I763" i="14"/>
  <c r="D762" i="14"/>
  <c r="C762" i="14"/>
  <c r="E762" i="14"/>
  <c r="F762" i="14"/>
  <c r="I762" i="14"/>
  <c r="D761" i="14"/>
  <c r="C761" i="14"/>
  <c r="E761" i="14"/>
  <c r="F761" i="14"/>
  <c r="I761" i="14"/>
  <c r="D760" i="14"/>
  <c r="J760" i="14"/>
  <c r="C760" i="14"/>
  <c r="E760" i="14"/>
  <c r="F760" i="14"/>
  <c r="D759" i="14"/>
  <c r="C759" i="14"/>
  <c r="E759" i="14"/>
  <c r="F759" i="14"/>
  <c r="D758" i="14"/>
  <c r="C758" i="14"/>
  <c r="E758" i="14"/>
  <c r="F758" i="14"/>
  <c r="D757" i="14"/>
  <c r="C757" i="14"/>
  <c r="E757" i="14"/>
  <c r="F757" i="14"/>
  <c r="D756" i="14"/>
  <c r="C756" i="14"/>
  <c r="E756" i="14"/>
  <c r="F756" i="14"/>
  <c r="I756" i="14"/>
  <c r="D755" i="14"/>
  <c r="C755" i="14"/>
  <c r="E755" i="14"/>
  <c r="F755" i="14"/>
  <c r="I755" i="14"/>
  <c r="D754" i="14"/>
  <c r="C754" i="14"/>
  <c r="E754" i="14"/>
  <c r="F754" i="14"/>
  <c r="I754" i="14"/>
  <c r="D753" i="14"/>
  <c r="C753" i="14"/>
  <c r="E753" i="14"/>
  <c r="F753" i="14"/>
  <c r="D752" i="14"/>
  <c r="C752" i="14"/>
  <c r="E752" i="14"/>
  <c r="F752" i="14"/>
  <c r="D751" i="14"/>
  <c r="C751" i="14"/>
  <c r="E751" i="14"/>
  <c r="F751" i="14"/>
  <c r="D750" i="14"/>
  <c r="C750" i="14"/>
  <c r="E750" i="14"/>
  <c r="F750" i="14"/>
  <c r="D749" i="14"/>
  <c r="C749" i="14"/>
  <c r="E749" i="14"/>
  <c r="F749" i="14"/>
  <c r="I749" i="14"/>
  <c r="D748" i="14"/>
  <c r="C748" i="14"/>
  <c r="D747" i="14"/>
  <c r="C747" i="14"/>
  <c r="J747" i="14"/>
  <c r="B293" i="17" s="1"/>
  <c r="D293" i="17" s="1"/>
  <c r="E747" i="14"/>
  <c r="D746" i="14"/>
  <c r="C746" i="14"/>
  <c r="E746" i="14"/>
  <c r="F746" i="14"/>
  <c r="D745" i="14"/>
  <c r="C745" i="14"/>
  <c r="E745" i="14"/>
  <c r="F745" i="14"/>
  <c r="I745" i="14"/>
  <c r="D744" i="14"/>
  <c r="C744" i="14"/>
  <c r="E744" i="14"/>
  <c r="F744" i="14"/>
  <c r="I744" i="14"/>
  <c r="D743" i="14"/>
  <c r="C743" i="14"/>
  <c r="E743" i="14"/>
  <c r="F743" i="14"/>
  <c r="D742" i="14"/>
  <c r="C742" i="14"/>
  <c r="E742" i="14"/>
  <c r="F742" i="14"/>
  <c r="D741" i="14"/>
  <c r="C741" i="14"/>
  <c r="E741" i="14"/>
  <c r="F741" i="14"/>
  <c r="I741" i="14"/>
  <c r="D740" i="14"/>
  <c r="C740" i="14"/>
  <c r="E740" i="14"/>
  <c r="F740" i="14"/>
  <c r="D739" i="14"/>
  <c r="C739" i="14"/>
  <c r="D738" i="14"/>
  <c r="H738" i="14"/>
  <c r="C738" i="14"/>
  <c r="E738" i="14"/>
  <c r="F738" i="14"/>
  <c r="I738" i="14"/>
  <c r="D737" i="14"/>
  <c r="C737" i="14"/>
  <c r="E737" i="14"/>
  <c r="F737" i="14"/>
  <c r="D736" i="14"/>
  <c r="C736" i="14"/>
  <c r="E736" i="14"/>
  <c r="F736" i="14"/>
  <c r="D735" i="14"/>
  <c r="C735" i="14"/>
  <c r="E735" i="14"/>
  <c r="F735" i="14"/>
  <c r="I735" i="14"/>
  <c r="D734" i="14"/>
  <c r="C734" i="14"/>
  <c r="E734" i="14"/>
  <c r="F734" i="14"/>
  <c r="I734" i="14"/>
  <c r="D733" i="14"/>
  <c r="C733" i="14"/>
  <c r="E733" i="14"/>
  <c r="F733" i="14"/>
  <c r="D732" i="14"/>
  <c r="C732" i="14"/>
  <c r="E732" i="14"/>
  <c r="F732" i="14"/>
  <c r="D731" i="14"/>
  <c r="C731" i="14"/>
  <c r="E731" i="14"/>
  <c r="F731" i="14"/>
  <c r="I731" i="14"/>
  <c r="D730" i="14"/>
  <c r="C730" i="14"/>
  <c r="E730" i="14"/>
  <c r="F730" i="14"/>
  <c r="I730" i="14"/>
  <c r="D729" i="14"/>
  <c r="C729" i="14"/>
  <c r="E729" i="14"/>
  <c r="F729" i="14"/>
  <c r="I729" i="14"/>
  <c r="D728" i="14"/>
  <c r="C728" i="14"/>
  <c r="E728" i="14"/>
  <c r="F728" i="14"/>
  <c r="D727" i="14"/>
  <c r="C727" i="14"/>
  <c r="E727" i="14"/>
  <c r="F727" i="14"/>
  <c r="I727" i="14"/>
  <c r="D726" i="14"/>
  <c r="C726" i="14"/>
  <c r="E726" i="14"/>
  <c r="F726" i="14"/>
  <c r="I726" i="14"/>
  <c r="D725" i="14"/>
  <c r="C725" i="14"/>
  <c r="E725" i="14"/>
  <c r="F725" i="14"/>
  <c r="I725" i="14"/>
  <c r="D724" i="14"/>
  <c r="C724" i="14"/>
  <c r="E724" i="14"/>
  <c r="F724" i="14"/>
  <c r="I724" i="14"/>
  <c r="D723" i="14"/>
  <c r="C723" i="14"/>
  <c r="E723" i="14"/>
  <c r="F723" i="14"/>
  <c r="D722" i="14"/>
  <c r="C722" i="14"/>
  <c r="E722" i="14"/>
  <c r="F722" i="14"/>
  <c r="D721" i="14"/>
  <c r="C721" i="14"/>
  <c r="E721" i="14"/>
  <c r="F721" i="14"/>
  <c r="I721" i="14"/>
  <c r="D720" i="14"/>
  <c r="C720" i="14"/>
  <c r="E720" i="14"/>
  <c r="F720" i="14"/>
  <c r="D719" i="14"/>
  <c r="J719" i="14"/>
  <c r="B265" i="17"/>
  <c r="C719" i="14"/>
  <c r="E719" i="14"/>
  <c r="D718" i="14"/>
  <c r="C718" i="14"/>
  <c r="E718" i="14"/>
  <c r="F718" i="14"/>
  <c r="I718" i="14"/>
  <c r="D717" i="14"/>
  <c r="C717" i="14"/>
  <c r="E717" i="14"/>
  <c r="F717" i="14"/>
  <c r="D716" i="14"/>
  <c r="C716" i="14"/>
  <c r="E716" i="14"/>
  <c r="F716" i="14"/>
  <c r="D715" i="14"/>
  <c r="C715" i="14"/>
  <c r="E715" i="14"/>
  <c r="F715" i="14"/>
  <c r="I715" i="14"/>
  <c r="D714" i="14"/>
  <c r="C714" i="14"/>
  <c r="E714" i="14"/>
  <c r="F714" i="14"/>
  <c r="I714" i="14"/>
  <c r="D713" i="14"/>
  <c r="C713" i="14"/>
  <c r="E713" i="14"/>
  <c r="F713" i="14"/>
  <c r="D712" i="14"/>
  <c r="C712" i="14"/>
  <c r="E712" i="14"/>
  <c r="F712" i="14"/>
  <c r="I712" i="14"/>
  <c r="D711" i="14"/>
  <c r="C711" i="14"/>
  <c r="E711" i="14"/>
  <c r="F711" i="14"/>
  <c r="I711" i="14"/>
  <c r="D710" i="14"/>
  <c r="C710" i="14"/>
  <c r="E710" i="14"/>
  <c r="F710" i="14"/>
  <c r="I710" i="14"/>
  <c r="D709" i="14"/>
  <c r="C709" i="14"/>
  <c r="E709" i="14"/>
  <c r="F709" i="14"/>
  <c r="D708" i="14"/>
  <c r="C708" i="14"/>
  <c r="E708" i="14"/>
  <c r="F708" i="14"/>
  <c r="D707" i="14"/>
  <c r="C707" i="14"/>
  <c r="E707" i="14"/>
  <c r="F707" i="14"/>
  <c r="I707" i="14"/>
  <c r="D706" i="14"/>
  <c r="C706" i="14"/>
  <c r="E706" i="14"/>
  <c r="F706" i="14"/>
  <c r="I706" i="14"/>
  <c r="D705" i="14"/>
  <c r="C705" i="14"/>
  <c r="E705" i="14"/>
  <c r="F705" i="14"/>
  <c r="I705" i="14"/>
  <c r="D704" i="14"/>
  <c r="C704" i="14"/>
  <c r="E704" i="14"/>
  <c r="F704" i="14"/>
  <c r="D703" i="14"/>
  <c r="C703" i="14"/>
  <c r="E703" i="14"/>
  <c r="F703" i="14"/>
  <c r="I703" i="14"/>
  <c r="D702" i="14"/>
  <c r="C702" i="14"/>
  <c r="E702" i="14"/>
  <c r="F702" i="14"/>
  <c r="I702" i="14"/>
  <c r="D701" i="14"/>
  <c r="C701" i="14"/>
  <c r="E701" i="14"/>
  <c r="F701" i="14"/>
  <c r="D700" i="14"/>
  <c r="C700" i="14"/>
  <c r="E700" i="14"/>
  <c r="F700" i="14"/>
  <c r="I700" i="14"/>
  <c r="D699" i="14"/>
  <c r="C699" i="14"/>
  <c r="E699" i="14"/>
  <c r="F699" i="14"/>
  <c r="I699" i="14"/>
  <c r="D698" i="14"/>
  <c r="C698" i="14"/>
  <c r="E698" i="14"/>
  <c r="F698" i="14"/>
  <c r="I698" i="14"/>
  <c r="D697" i="14"/>
  <c r="J697" i="14"/>
  <c r="C697" i="14"/>
  <c r="E697" i="14"/>
  <c r="D696" i="14"/>
  <c r="C696" i="14"/>
  <c r="E696" i="14"/>
  <c r="F696" i="14"/>
  <c r="D695" i="14"/>
  <c r="C695" i="14"/>
  <c r="E695" i="14"/>
  <c r="F695" i="14"/>
  <c r="D694" i="14"/>
  <c r="C694" i="14"/>
  <c r="E694" i="14"/>
  <c r="F694" i="14"/>
  <c r="I694" i="14"/>
  <c r="D693" i="14"/>
  <c r="C693" i="14"/>
  <c r="E693" i="14"/>
  <c r="F693" i="14"/>
  <c r="I693" i="14"/>
  <c r="D692" i="14"/>
  <c r="C692" i="14"/>
  <c r="E692" i="14"/>
  <c r="F692" i="14"/>
  <c r="I692" i="14"/>
  <c r="D691" i="14"/>
  <c r="C691" i="14"/>
  <c r="E691" i="14"/>
  <c r="F691" i="14"/>
  <c r="D690" i="14"/>
  <c r="C690" i="14"/>
  <c r="E690" i="14"/>
  <c r="F690" i="14"/>
  <c r="D689" i="14"/>
  <c r="C689" i="14"/>
  <c r="E689" i="14"/>
  <c r="F689" i="14"/>
  <c r="I689" i="14"/>
  <c r="D688" i="14"/>
  <c r="C688" i="14"/>
  <c r="E688" i="14"/>
  <c r="F688" i="14"/>
  <c r="I688" i="14"/>
  <c r="D687" i="14"/>
  <c r="C687" i="14"/>
  <c r="E687" i="14"/>
  <c r="F687" i="14"/>
  <c r="I687" i="14"/>
  <c r="D686" i="14"/>
  <c r="C686" i="14"/>
  <c r="E686" i="14"/>
  <c r="F686" i="14"/>
  <c r="I686" i="14"/>
  <c r="D685" i="14"/>
  <c r="C685" i="14"/>
  <c r="E685" i="14"/>
  <c r="F685" i="14"/>
  <c r="I685" i="14"/>
  <c r="D684" i="14"/>
  <c r="C684" i="14"/>
  <c r="E684" i="14"/>
  <c r="F684" i="14"/>
  <c r="D683" i="14"/>
  <c r="C683" i="14"/>
  <c r="E683" i="14"/>
  <c r="F683" i="14"/>
  <c r="I683" i="14"/>
  <c r="D682" i="14"/>
  <c r="C682" i="14"/>
  <c r="D681" i="14"/>
  <c r="C681" i="14"/>
  <c r="E681" i="14"/>
  <c r="F681" i="14"/>
  <c r="D680" i="14"/>
  <c r="C680" i="14"/>
  <c r="D679" i="14"/>
  <c r="C679" i="14"/>
  <c r="E679" i="14"/>
  <c r="F679" i="14"/>
  <c r="D678" i="14"/>
  <c r="C678" i="14"/>
  <c r="D677" i="14"/>
  <c r="C677" i="14"/>
  <c r="E677" i="14"/>
  <c r="F677" i="14"/>
  <c r="D676" i="14"/>
  <c r="C676" i="14"/>
  <c r="D675" i="14"/>
  <c r="C675" i="14"/>
  <c r="E675" i="14"/>
  <c r="F675" i="14"/>
  <c r="I675" i="14"/>
  <c r="D674" i="14"/>
  <c r="C674" i="14"/>
  <c r="D673" i="14"/>
  <c r="C673" i="14"/>
  <c r="E673" i="14"/>
  <c r="F673" i="14"/>
  <c r="D672" i="14"/>
  <c r="C672" i="14"/>
  <c r="D671" i="14"/>
  <c r="C671" i="14"/>
  <c r="E671" i="14"/>
  <c r="F671" i="14"/>
  <c r="D670" i="14"/>
  <c r="C670" i="14"/>
  <c r="D669" i="14"/>
  <c r="C669" i="14"/>
  <c r="E669" i="14"/>
  <c r="F669" i="14"/>
  <c r="D668" i="14"/>
  <c r="C668" i="14"/>
  <c r="D667" i="14"/>
  <c r="C667" i="14"/>
  <c r="E667" i="14"/>
  <c r="F667" i="14"/>
  <c r="D666" i="14"/>
  <c r="C666" i="14"/>
  <c r="D665" i="14"/>
  <c r="C665" i="14"/>
  <c r="E665" i="14"/>
  <c r="F665" i="14"/>
  <c r="D664" i="14"/>
  <c r="C664" i="14"/>
  <c r="D663" i="14"/>
  <c r="C663" i="14"/>
  <c r="E663" i="14"/>
  <c r="D662" i="14"/>
  <c r="C662" i="14"/>
  <c r="D661" i="14"/>
  <c r="C661" i="14"/>
  <c r="E661" i="14"/>
  <c r="D660" i="14"/>
  <c r="C660" i="14"/>
  <c r="D659" i="14"/>
  <c r="C659" i="14"/>
  <c r="E659" i="14"/>
  <c r="F659" i="14"/>
  <c r="I659" i="14"/>
  <c r="D658" i="14"/>
  <c r="C658" i="14"/>
  <c r="D657" i="14"/>
  <c r="C657" i="14"/>
  <c r="E657" i="14"/>
  <c r="F657" i="14"/>
  <c r="I657" i="14"/>
  <c r="D656" i="14"/>
  <c r="C656" i="14"/>
  <c r="D655" i="14"/>
  <c r="C655" i="14"/>
  <c r="E655" i="14"/>
  <c r="F655" i="14"/>
  <c r="D654" i="14"/>
  <c r="C654" i="14"/>
  <c r="D653" i="14"/>
  <c r="C653" i="14"/>
  <c r="E653" i="14"/>
  <c r="F653" i="14"/>
  <c r="D652" i="14"/>
  <c r="C652" i="14"/>
  <c r="D651" i="14"/>
  <c r="C651" i="14"/>
  <c r="E651" i="14"/>
  <c r="F651" i="14"/>
  <c r="D650" i="14"/>
  <c r="C650" i="14"/>
  <c r="D649" i="14"/>
  <c r="C649" i="14"/>
  <c r="E649" i="14"/>
  <c r="F649" i="14"/>
  <c r="D648" i="14"/>
  <c r="C648" i="14"/>
  <c r="D647" i="14"/>
  <c r="C647" i="14"/>
  <c r="E647" i="14"/>
  <c r="F647" i="14"/>
  <c r="D646" i="14"/>
  <c r="C646" i="14"/>
  <c r="D645" i="14"/>
  <c r="C645" i="14"/>
  <c r="E645" i="14"/>
  <c r="F645" i="14"/>
  <c r="D644" i="14"/>
  <c r="C644" i="14"/>
  <c r="D643" i="14"/>
  <c r="C643" i="14"/>
  <c r="E643" i="14"/>
  <c r="F643" i="14"/>
  <c r="I643" i="14"/>
  <c r="D642" i="14"/>
  <c r="C642" i="14"/>
  <c r="D641" i="14"/>
  <c r="C641" i="14"/>
  <c r="E641" i="14"/>
  <c r="F641" i="14"/>
  <c r="I641" i="14"/>
  <c r="D640" i="14"/>
  <c r="C640" i="14"/>
  <c r="D639" i="14"/>
  <c r="C639" i="14"/>
  <c r="E639" i="14"/>
  <c r="F639" i="14"/>
  <c r="D638" i="14"/>
  <c r="C638" i="14"/>
  <c r="D637" i="14"/>
  <c r="C637" i="14"/>
  <c r="E637" i="14"/>
  <c r="F637" i="14"/>
  <c r="D636" i="14"/>
  <c r="C636" i="14"/>
  <c r="D635" i="14"/>
  <c r="C635" i="14"/>
  <c r="E635" i="14"/>
  <c r="F635" i="14"/>
  <c r="I635" i="14"/>
  <c r="D634" i="14"/>
  <c r="C634" i="14"/>
  <c r="D633" i="14"/>
  <c r="C633" i="14"/>
  <c r="E633" i="14"/>
  <c r="F633" i="14"/>
  <c r="D632" i="14"/>
  <c r="C632" i="14"/>
  <c r="D631" i="14"/>
  <c r="C631" i="14"/>
  <c r="E631" i="14"/>
  <c r="F631" i="14"/>
  <c r="D630" i="14"/>
  <c r="C630" i="14"/>
  <c r="D629" i="14"/>
  <c r="C629" i="14"/>
  <c r="E629" i="14"/>
  <c r="F629" i="14"/>
  <c r="I629" i="14"/>
  <c r="D628" i="14"/>
  <c r="C628" i="14"/>
  <c r="D627" i="14"/>
  <c r="C627" i="14"/>
  <c r="E627" i="14"/>
  <c r="F627" i="14"/>
  <c r="D626" i="14"/>
  <c r="C626" i="14"/>
  <c r="D625" i="14"/>
  <c r="C625" i="14"/>
  <c r="E625" i="14"/>
  <c r="F625" i="14"/>
  <c r="I625" i="14"/>
  <c r="D624" i="14"/>
  <c r="C624" i="14"/>
  <c r="D623" i="14"/>
  <c r="C623" i="14"/>
  <c r="E623" i="14"/>
  <c r="F623" i="14"/>
  <c r="D622" i="14"/>
  <c r="C622" i="14"/>
  <c r="D621" i="14"/>
  <c r="C621" i="14"/>
  <c r="E621" i="14"/>
  <c r="F621" i="14"/>
  <c r="D620" i="14"/>
  <c r="H620" i="14"/>
  <c r="C620" i="14"/>
  <c r="D619" i="14"/>
  <c r="C619" i="14"/>
  <c r="E619" i="14"/>
  <c r="F619" i="14"/>
  <c r="D618" i="14"/>
  <c r="H618" i="14"/>
  <c r="C618" i="14"/>
  <c r="D617" i="14"/>
  <c r="C617" i="14"/>
  <c r="E617" i="14"/>
  <c r="F617" i="14"/>
  <c r="I617" i="14"/>
  <c r="D616" i="14"/>
  <c r="C616" i="14"/>
  <c r="D615" i="14"/>
  <c r="C615" i="14"/>
  <c r="E615" i="14"/>
  <c r="F615" i="14"/>
  <c r="D614" i="14"/>
  <c r="C614" i="14"/>
  <c r="D613" i="14"/>
  <c r="C613" i="14"/>
  <c r="E613" i="14"/>
  <c r="F613" i="14"/>
  <c r="D612" i="14"/>
  <c r="C612" i="14"/>
  <c r="D611" i="14"/>
  <c r="C611" i="14"/>
  <c r="E611" i="14"/>
  <c r="F611" i="14"/>
  <c r="D610" i="14"/>
  <c r="C610" i="14"/>
  <c r="D609" i="14"/>
  <c r="C609" i="14"/>
  <c r="E609" i="14"/>
  <c r="F609" i="14"/>
  <c r="D608" i="14"/>
  <c r="C608" i="14"/>
  <c r="D607" i="14"/>
  <c r="C607" i="14"/>
  <c r="E607" i="14"/>
  <c r="F607" i="14"/>
  <c r="I607" i="14"/>
  <c r="D606" i="14"/>
  <c r="C606" i="14"/>
  <c r="D605" i="14"/>
  <c r="C605" i="14"/>
  <c r="E605" i="14"/>
  <c r="F605" i="14"/>
  <c r="I605" i="14"/>
  <c r="D604" i="14"/>
  <c r="C604" i="14"/>
  <c r="D603" i="14"/>
  <c r="C603" i="14"/>
  <c r="E603" i="14"/>
  <c r="F603" i="14"/>
  <c r="D602" i="14"/>
  <c r="C602" i="14"/>
  <c r="D601" i="14"/>
  <c r="C601" i="14"/>
  <c r="E601" i="14"/>
  <c r="F601" i="14"/>
  <c r="I601" i="14"/>
  <c r="D600" i="14"/>
  <c r="C600" i="14"/>
  <c r="D599" i="14"/>
  <c r="C599" i="14"/>
  <c r="E599" i="14"/>
  <c r="F599" i="14"/>
  <c r="I599" i="14"/>
  <c r="D598" i="14"/>
  <c r="C598" i="14"/>
  <c r="D597" i="14"/>
  <c r="C597" i="14"/>
  <c r="E597" i="14"/>
  <c r="F597" i="14"/>
  <c r="D596" i="14"/>
  <c r="C596" i="14"/>
  <c r="D595" i="14"/>
  <c r="C595" i="14"/>
  <c r="E595" i="14"/>
  <c r="F595" i="14"/>
  <c r="D594" i="14"/>
  <c r="C594" i="14"/>
  <c r="D593" i="14"/>
  <c r="C593" i="14"/>
  <c r="E593" i="14"/>
  <c r="F593" i="14"/>
  <c r="D592" i="14"/>
  <c r="C592" i="14"/>
  <c r="D591" i="14"/>
  <c r="C591" i="14"/>
  <c r="E591" i="14"/>
  <c r="F591" i="14"/>
  <c r="D590" i="14"/>
  <c r="C590" i="14"/>
  <c r="D589" i="14"/>
  <c r="C589" i="14"/>
  <c r="E589" i="14"/>
  <c r="F589" i="14"/>
  <c r="D588" i="14"/>
  <c r="H588" i="14"/>
  <c r="C588" i="14"/>
  <c r="D587" i="14"/>
  <c r="C587" i="14"/>
  <c r="E587" i="14"/>
  <c r="F587" i="14"/>
  <c r="D586" i="14"/>
  <c r="H586" i="14"/>
  <c r="C586" i="14"/>
  <c r="D585" i="14"/>
  <c r="C585" i="14"/>
  <c r="E585" i="14"/>
  <c r="F585" i="14"/>
  <c r="I585" i="14"/>
  <c r="D584" i="14"/>
  <c r="C584" i="14"/>
  <c r="E584" i="14"/>
  <c r="F584" i="14"/>
  <c r="I584" i="14"/>
  <c r="D583" i="14"/>
  <c r="C583" i="14"/>
  <c r="E583" i="14"/>
  <c r="F583" i="14"/>
  <c r="D582" i="14"/>
  <c r="C582" i="14"/>
  <c r="E582" i="14"/>
  <c r="F582" i="14"/>
  <c r="D581" i="14"/>
  <c r="C581" i="14"/>
  <c r="E581" i="14"/>
  <c r="F581" i="14"/>
  <c r="D580" i="14"/>
  <c r="C580" i="14"/>
  <c r="E580" i="14"/>
  <c r="F580" i="14"/>
  <c r="D579" i="14"/>
  <c r="C579" i="14"/>
  <c r="E579" i="14"/>
  <c r="F579" i="14"/>
  <c r="D578" i="14"/>
  <c r="C578" i="14"/>
  <c r="E578" i="14"/>
  <c r="F578" i="14"/>
  <c r="I578" i="14"/>
  <c r="D577" i="14"/>
  <c r="C577" i="14"/>
  <c r="E577" i="14"/>
  <c r="F577" i="14"/>
  <c r="I577" i="14"/>
  <c r="D576" i="14"/>
  <c r="C576" i="14"/>
  <c r="E576" i="14"/>
  <c r="F576" i="14"/>
  <c r="D575" i="14"/>
  <c r="C575" i="14"/>
  <c r="E575" i="14"/>
  <c r="F575" i="14"/>
  <c r="D574" i="14"/>
  <c r="C574" i="14"/>
  <c r="E574" i="14"/>
  <c r="F574" i="14"/>
  <c r="I574" i="14"/>
  <c r="D573" i="14"/>
  <c r="C573" i="14"/>
  <c r="E573" i="14"/>
  <c r="F573" i="14"/>
  <c r="I573" i="14"/>
  <c r="D572" i="14"/>
  <c r="C572" i="14"/>
  <c r="E572" i="14"/>
  <c r="F572" i="14"/>
  <c r="D571" i="14"/>
  <c r="C571" i="14"/>
  <c r="E571" i="14"/>
  <c r="F571" i="14"/>
  <c r="I571" i="14"/>
  <c r="D570" i="14"/>
  <c r="H570" i="14"/>
  <c r="C570" i="14"/>
  <c r="E570" i="14"/>
  <c r="F570" i="14"/>
  <c r="I570" i="14"/>
  <c r="D569" i="14"/>
  <c r="C569" i="14"/>
  <c r="E569" i="14"/>
  <c r="F569" i="14"/>
  <c r="D568" i="14"/>
  <c r="C568" i="14"/>
  <c r="E568" i="14"/>
  <c r="F568" i="14"/>
  <c r="D567" i="14"/>
  <c r="H567" i="14"/>
  <c r="C567" i="14"/>
  <c r="E567" i="14"/>
  <c r="F567" i="14"/>
  <c r="D566" i="14"/>
  <c r="C566" i="14"/>
  <c r="D565" i="14"/>
  <c r="C565" i="14"/>
  <c r="E565" i="14"/>
  <c r="F565" i="14"/>
  <c r="D564" i="14"/>
  <c r="C564" i="14"/>
  <c r="E564" i="14"/>
  <c r="F564" i="14"/>
  <c r="D563" i="14"/>
  <c r="C563" i="14"/>
  <c r="E563" i="14"/>
  <c r="F563" i="14"/>
  <c r="D562" i="14"/>
  <c r="C562" i="14"/>
  <c r="E562" i="14"/>
  <c r="F562" i="14"/>
  <c r="D561" i="14"/>
  <c r="C561" i="14"/>
  <c r="E561" i="14"/>
  <c r="F561" i="14"/>
  <c r="D560" i="14"/>
  <c r="C560" i="14"/>
  <c r="E560" i="14"/>
  <c r="F560" i="14"/>
  <c r="D559" i="14"/>
  <c r="C559" i="14"/>
  <c r="E559" i="14"/>
  <c r="F559" i="14"/>
  <c r="I559" i="14"/>
  <c r="D558" i="14"/>
  <c r="C558" i="14"/>
  <c r="E558" i="14"/>
  <c r="F558" i="14"/>
  <c r="I558" i="14"/>
  <c r="D557" i="14"/>
  <c r="C557" i="14"/>
  <c r="E557" i="14"/>
  <c r="F557" i="14"/>
  <c r="D556" i="14"/>
  <c r="C556" i="14"/>
  <c r="E556" i="14"/>
  <c r="F556" i="14"/>
  <c r="I556" i="14"/>
  <c r="D555" i="14"/>
  <c r="C555" i="14"/>
  <c r="E555" i="14"/>
  <c r="D554" i="14"/>
  <c r="H554" i="14"/>
  <c r="C554" i="14"/>
  <c r="E554" i="14"/>
  <c r="F554" i="14"/>
  <c r="D553" i="14"/>
  <c r="C553" i="14"/>
  <c r="E553" i="14"/>
  <c r="F553" i="14"/>
  <c r="D552" i="14"/>
  <c r="C552" i="14"/>
  <c r="E552" i="14"/>
  <c r="F552" i="14"/>
  <c r="I552" i="14"/>
  <c r="D551" i="14"/>
  <c r="C551" i="14"/>
  <c r="E551" i="14"/>
  <c r="F551" i="14"/>
  <c r="I551" i="14"/>
  <c r="D550" i="14"/>
  <c r="C550" i="14"/>
  <c r="E550" i="14"/>
  <c r="F550" i="14"/>
  <c r="D549" i="14"/>
  <c r="C549" i="14"/>
  <c r="E549" i="14"/>
  <c r="F549" i="14"/>
  <c r="D548" i="14"/>
  <c r="C548" i="14"/>
  <c r="E548" i="14"/>
  <c r="F548" i="14"/>
  <c r="D547" i="14"/>
  <c r="C547" i="14"/>
  <c r="E547" i="14"/>
  <c r="F547" i="14"/>
  <c r="D546" i="14"/>
  <c r="C546" i="14"/>
  <c r="E546" i="14"/>
  <c r="F546" i="14"/>
  <c r="I546" i="14"/>
  <c r="D545" i="14"/>
  <c r="C545" i="14"/>
  <c r="E545" i="14"/>
  <c r="F545" i="14"/>
  <c r="I545" i="14"/>
  <c r="D544" i="14"/>
  <c r="C544" i="14"/>
  <c r="E544" i="14"/>
  <c r="F544" i="14"/>
  <c r="D543" i="14"/>
  <c r="C543" i="14"/>
  <c r="E543" i="14"/>
  <c r="F543" i="14"/>
  <c r="D542" i="14"/>
  <c r="C542" i="14"/>
  <c r="E542" i="14"/>
  <c r="F542" i="14"/>
  <c r="I542" i="14"/>
  <c r="D541" i="14"/>
  <c r="C541" i="14"/>
  <c r="E541" i="14"/>
  <c r="F541" i="14"/>
  <c r="I541" i="14"/>
  <c r="D540" i="14"/>
  <c r="C540" i="14"/>
  <c r="E540" i="14"/>
  <c r="F540" i="14"/>
  <c r="D539" i="14"/>
  <c r="C539" i="14"/>
  <c r="E539" i="14"/>
  <c r="F539" i="14"/>
  <c r="I539" i="14"/>
  <c r="D538" i="14"/>
  <c r="C538" i="14"/>
  <c r="J538" i="14"/>
  <c r="B84" i="17"/>
  <c r="D537" i="14"/>
  <c r="C537" i="14"/>
  <c r="E537" i="14"/>
  <c r="F537" i="14"/>
  <c r="D536" i="14"/>
  <c r="C536" i="14"/>
  <c r="J536" i="14"/>
  <c r="E536" i="14"/>
  <c r="F536" i="14"/>
  <c r="D535" i="14"/>
  <c r="C535" i="14"/>
  <c r="E535" i="14"/>
  <c r="F535" i="14"/>
  <c r="D534" i="14"/>
  <c r="C534" i="14"/>
  <c r="D533" i="14"/>
  <c r="C533" i="14"/>
  <c r="E533" i="14"/>
  <c r="F533" i="14"/>
  <c r="D532" i="14"/>
  <c r="C532" i="14"/>
  <c r="E532" i="14"/>
  <c r="F532" i="14"/>
  <c r="D531" i="14"/>
  <c r="C531" i="14"/>
  <c r="E531" i="14"/>
  <c r="F531" i="14"/>
  <c r="I531" i="14"/>
  <c r="D530" i="14"/>
  <c r="C530" i="14"/>
  <c r="D529" i="14"/>
  <c r="C529" i="14"/>
  <c r="E529" i="14"/>
  <c r="F529" i="14"/>
  <c r="I529" i="14"/>
  <c r="D528" i="14"/>
  <c r="C528" i="14"/>
  <c r="E528" i="14"/>
  <c r="F528" i="14"/>
  <c r="I528" i="14"/>
  <c r="D527" i="14"/>
  <c r="C527" i="14"/>
  <c r="E527" i="14"/>
  <c r="F527" i="14"/>
  <c r="D526" i="14"/>
  <c r="C526" i="14"/>
  <c r="D525" i="14"/>
  <c r="C525" i="14"/>
  <c r="E525" i="14"/>
  <c r="F525" i="14"/>
  <c r="D524" i="14"/>
  <c r="C524" i="14"/>
  <c r="D523" i="14"/>
  <c r="H523" i="14"/>
  <c r="C523" i="14"/>
  <c r="E523" i="14"/>
  <c r="F523" i="14"/>
  <c r="I523" i="14"/>
  <c r="D522" i="14"/>
  <c r="C522" i="14"/>
  <c r="D521" i="14"/>
  <c r="C521" i="14"/>
  <c r="E521" i="14"/>
  <c r="F521" i="14"/>
  <c r="D520" i="14"/>
  <c r="C520" i="14"/>
  <c r="E520" i="14"/>
  <c r="F520" i="14"/>
  <c r="D519" i="14"/>
  <c r="C519" i="14"/>
  <c r="E519" i="14"/>
  <c r="F519" i="14"/>
  <c r="D518" i="14"/>
  <c r="C518" i="14"/>
  <c r="D517" i="14"/>
  <c r="C517" i="14"/>
  <c r="E517" i="14"/>
  <c r="F517" i="14"/>
  <c r="I517" i="14"/>
  <c r="D516" i="14"/>
  <c r="C516" i="14"/>
  <c r="D515" i="14"/>
  <c r="H515" i="14"/>
  <c r="C515" i="14"/>
  <c r="E515" i="14"/>
  <c r="F515" i="14"/>
  <c r="I515" i="14"/>
  <c r="D514" i="14"/>
  <c r="C514" i="14"/>
  <c r="D513" i="14"/>
  <c r="C513" i="14"/>
  <c r="E513" i="14"/>
  <c r="D512" i="14"/>
  <c r="C512" i="14"/>
  <c r="D511" i="14"/>
  <c r="C511" i="14"/>
  <c r="D510" i="14"/>
  <c r="C510" i="14"/>
  <c r="D509" i="14"/>
  <c r="C509" i="14"/>
  <c r="E509" i="14"/>
  <c r="F509" i="14"/>
  <c r="D508" i="14"/>
  <c r="C508" i="14"/>
  <c r="E508" i="14"/>
  <c r="F508" i="14"/>
  <c r="D507" i="14"/>
  <c r="C507" i="14"/>
  <c r="E507" i="14"/>
  <c r="D506" i="14"/>
  <c r="C506" i="14"/>
  <c r="D505" i="14"/>
  <c r="C505" i="14"/>
  <c r="E505" i="14"/>
  <c r="F505" i="14"/>
  <c r="I505" i="14"/>
  <c r="D504" i="14"/>
  <c r="C504" i="14"/>
  <c r="E504" i="14"/>
  <c r="F504" i="14"/>
  <c r="I504" i="14"/>
  <c r="D503" i="14"/>
  <c r="C503" i="14"/>
  <c r="E503" i="14"/>
  <c r="F503" i="14"/>
  <c r="I503" i="14"/>
  <c r="D502" i="14"/>
  <c r="C502" i="14"/>
  <c r="D501" i="14"/>
  <c r="C501" i="14"/>
  <c r="E501" i="14"/>
  <c r="F501" i="14"/>
  <c r="I501" i="14"/>
  <c r="D500" i="14"/>
  <c r="C500" i="14"/>
  <c r="E500" i="14"/>
  <c r="F500" i="14"/>
  <c r="I500" i="14"/>
  <c r="D499" i="14"/>
  <c r="C499" i="14"/>
  <c r="E499" i="14"/>
  <c r="F499" i="14"/>
  <c r="I499" i="14"/>
  <c r="D498" i="14"/>
  <c r="C498" i="14"/>
  <c r="E498" i="14"/>
  <c r="F498" i="14"/>
  <c r="D497" i="14"/>
  <c r="C497" i="14"/>
  <c r="E497" i="14"/>
  <c r="F497" i="14"/>
  <c r="D496" i="14"/>
  <c r="C496" i="14"/>
  <c r="E496" i="14"/>
  <c r="F496" i="14"/>
  <c r="D495" i="14"/>
  <c r="C495" i="14"/>
  <c r="E495" i="14"/>
  <c r="F495" i="14"/>
  <c r="I495" i="14"/>
  <c r="D494" i="14"/>
  <c r="C494" i="14"/>
  <c r="E494" i="14"/>
  <c r="F494" i="14"/>
  <c r="I494" i="14"/>
  <c r="D493" i="14"/>
  <c r="C493" i="14"/>
  <c r="E493" i="14"/>
  <c r="F493" i="14"/>
  <c r="D492" i="14"/>
  <c r="C492" i="14"/>
  <c r="E492" i="14"/>
  <c r="F492" i="14"/>
  <c r="I492" i="14"/>
  <c r="D491" i="14"/>
  <c r="C491" i="14"/>
  <c r="E491" i="14"/>
  <c r="F491" i="14"/>
  <c r="I491" i="14"/>
  <c r="D490" i="14"/>
  <c r="C490" i="14"/>
  <c r="E490" i="14"/>
  <c r="F490" i="14"/>
  <c r="D489" i="14"/>
  <c r="C489" i="14"/>
  <c r="E489" i="14"/>
  <c r="F489" i="14"/>
  <c r="I489" i="14"/>
  <c r="D488" i="14"/>
  <c r="H488" i="14"/>
  <c r="C488" i="14"/>
  <c r="E488" i="14"/>
  <c r="F488" i="14"/>
  <c r="I488" i="14"/>
  <c r="D487" i="14"/>
  <c r="C487" i="14"/>
  <c r="E487" i="14"/>
  <c r="F487" i="14"/>
  <c r="D486" i="14"/>
  <c r="C486" i="14"/>
  <c r="E486" i="14"/>
  <c r="F486" i="14"/>
  <c r="D485" i="14"/>
  <c r="C485" i="14"/>
  <c r="E485" i="14"/>
  <c r="F485" i="14"/>
  <c r="I485" i="14"/>
  <c r="D484" i="14"/>
  <c r="C484" i="14"/>
  <c r="E484" i="14"/>
  <c r="F484" i="14"/>
  <c r="D483" i="14"/>
  <c r="C483" i="14"/>
  <c r="E483" i="14"/>
  <c r="F483" i="14"/>
  <c r="D482" i="14"/>
  <c r="C482" i="14"/>
  <c r="E482" i="14"/>
  <c r="D481" i="14"/>
  <c r="H481" i="14"/>
  <c r="C481" i="14"/>
  <c r="E481" i="14"/>
  <c r="F481" i="14"/>
  <c r="I481" i="14"/>
  <c r="D480" i="14"/>
  <c r="C480" i="14"/>
  <c r="E480" i="14"/>
  <c r="F480" i="14"/>
  <c r="I480" i="14"/>
  <c r="D479" i="14"/>
  <c r="C479" i="14"/>
  <c r="E479" i="14"/>
  <c r="F479" i="14"/>
  <c r="I479" i="14"/>
  <c r="D478" i="14"/>
  <c r="C478" i="14"/>
  <c r="E478" i="14"/>
  <c r="F478" i="14"/>
  <c r="I478" i="14"/>
  <c r="D477" i="14"/>
  <c r="C477" i="14"/>
  <c r="E477" i="14"/>
  <c r="F477" i="14"/>
  <c r="I477" i="14"/>
  <c r="D476" i="14"/>
  <c r="C476" i="14"/>
  <c r="E476" i="14"/>
  <c r="F476" i="14"/>
  <c r="I476" i="14"/>
  <c r="D475" i="14"/>
  <c r="C475" i="14"/>
  <c r="E475" i="14"/>
  <c r="F475" i="14"/>
  <c r="I475" i="14"/>
  <c r="D474" i="14"/>
  <c r="C474" i="14"/>
  <c r="E474" i="14"/>
  <c r="F474" i="14"/>
  <c r="I474" i="14"/>
  <c r="D473" i="14"/>
  <c r="C473" i="14"/>
  <c r="E473" i="14"/>
  <c r="F473" i="14"/>
  <c r="D472" i="14"/>
  <c r="C472" i="14"/>
  <c r="E472" i="14"/>
  <c r="F472" i="14"/>
  <c r="I472" i="14"/>
  <c r="D471" i="14"/>
  <c r="C471" i="14"/>
  <c r="E471" i="14"/>
  <c r="F471" i="14"/>
  <c r="I471" i="14"/>
  <c r="D470" i="14"/>
  <c r="C470" i="14"/>
  <c r="E470" i="14"/>
  <c r="F470" i="14"/>
  <c r="I470" i="14"/>
  <c r="D469" i="14"/>
  <c r="C469" i="14"/>
  <c r="E469" i="14"/>
  <c r="F469" i="14"/>
  <c r="I469" i="14"/>
  <c r="D468" i="14"/>
  <c r="C468" i="14"/>
  <c r="E468" i="14"/>
  <c r="D467" i="14"/>
  <c r="C467" i="14"/>
  <c r="E467" i="14"/>
  <c r="F467" i="14"/>
  <c r="I467" i="14"/>
  <c r="D466" i="14"/>
  <c r="C466" i="14"/>
  <c r="E466" i="14"/>
  <c r="F466" i="14"/>
  <c r="I466" i="14"/>
  <c r="D465" i="14"/>
  <c r="C465" i="14"/>
  <c r="E465" i="14"/>
  <c r="F465" i="14"/>
  <c r="I465" i="14"/>
  <c r="D464" i="14"/>
  <c r="C464" i="14"/>
  <c r="E464" i="14"/>
  <c r="F464" i="14"/>
  <c r="I464" i="14"/>
  <c r="D463" i="14"/>
  <c r="H463" i="14"/>
  <c r="C463" i="14"/>
  <c r="E463" i="14"/>
  <c r="F463" i="14"/>
  <c r="I463" i="14"/>
  <c r="D462" i="14"/>
  <c r="C462" i="14"/>
  <c r="E462" i="14"/>
  <c r="F462" i="14"/>
  <c r="I462" i="14"/>
  <c r="D461" i="14"/>
  <c r="C461" i="14"/>
  <c r="E461" i="14"/>
  <c r="F461" i="14"/>
  <c r="I461" i="14"/>
  <c r="D460" i="14"/>
  <c r="C460" i="14"/>
  <c r="E460" i="14"/>
  <c r="F460" i="14"/>
  <c r="I460" i="14"/>
  <c r="D459" i="14"/>
  <c r="C459" i="14"/>
  <c r="E459" i="14"/>
  <c r="F459" i="14"/>
  <c r="I459" i="14"/>
  <c r="D458" i="14"/>
  <c r="C458" i="14"/>
  <c r="E458" i="14"/>
  <c r="F458" i="14"/>
  <c r="I458" i="14"/>
  <c r="D457" i="14"/>
  <c r="C457" i="14"/>
  <c r="E457" i="14"/>
  <c r="F457" i="14"/>
  <c r="I457" i="14"/>
  <c r="D456" i="14"/>
  <c r="C456" i="14"/>
  <c r="P173" i="3"/>
  <c r="Q173" i="3"/>
  <c r="D455" i="14"/>
  <c r="C455" i="14"/>
  <c r="E455" i="14"/>
  <c r="F455" i="14"/>
  <c r="D454" i="14"/>
  <c r="C454" i="14"/>
  <c r="D453" i="14"/>
  <c r="C453" i="14"/>
  <c r="E453" i="14"/>
  <c r="F453" i="14"/>
  <c r="D452" i="14"/>
  <c r="C452" i="14"/>
  <c r="E452" i="14"/>
  <c r="F452" i="14"/>
  <c r="D451" i="14"/>
  <c r="C451" i="14"/>
  <c r="E451" i="14"/>
  <c r="F451" i="14"/>
  <c r="D450" i="14"/>
  <c r="C450" i="14"/>
  <c r="D449" i="14"/>
  <c r="C449" i="14"/>
  <c r="D448" i="14"/>
  <c r="C448" i="14"/>
  <c r="E448" i="14"/>
  <c r="F448" i="14"/>
  <c r="D447" i="14"/>
  <c r="C447" i="14"/>
  <c r="E447" i="14"/>
  <c r="F447" i="14"/>
  <c r="D446" i="14"/>
  <c r="C446" i="14"/>
  <c r="D445" i="14"/>
  <c r="C445" i="14"/>
  <c r="D444" i="14"/>
  <c r="C444" i="14"/>
  <c r="E444" i="14"/>
  <c r="F444" i="14"/>
  <c r="D443" i="14"/>
  <c r="C443" i="14"/>
  <c r="E443" i="14"/>
  <c r="F443" i="14"/>
  <c r="D442" i="14"/>
  <c r="C442" i="14"/>
  <c r="D441" i="14"/>
  <c r="C441" i="14"/>
  <c r="E441" i="14"/>
  <c r="F441" i="14"/>
  <c r="I441" i="14"/>
  <c r="D440" i="14"/>
  <c r="C440" i="14"/>
  <c r="E440" i="14"/>
  <c r="F440" i="14"/>
  <c r="I440" i="14"/>
  <c r="D439" i="14"/>
  <c r="C439" i="14"/>
  <c r="E439" i="14"/>
  <c r="D438" i="14"/>
  <c r="C438" i="14"/>
  <c r="D437" i="14"/>
  <c r="C437" i="14"/>
  <c r="E437" i="14"/>
  <c r="F437" i="14"/>
  <c r="I437" i="14"/>
  <c r="D436" i="14"/>
  <c r="C436" i="14"/>
  <c r="E436" i="14"/>
  <c r="F436" i="14"/>
  <c r="I436" i="14"/>
  <c r="D435" i="14"/>
  <c r="C435" i="14"/>
  <c r="E435" i="14"/>
  <c r="F435" i="14"/>
  <c r="I435" i="14"/>
  <c r="D434" i="14"/>
  <c r="C434" i="14"/>
  <c r="D433" i="14"/>
  <c r="C433" i="14"/>
  <c r="E433" i="14"/>
  <c r="F433" i="14"/>
  <c r="D432" i="14"/>
  <c r="H432" i="14"/>
  <c r="C432" i="14"/>
  <c r="D431" i="14"/>
  <c r="C431" i="14"/>
  <c r="D430" i="14"/>
  <c r="C430" i="14"/>
  <c r="E430" i="14"/>
  <c r="F430" i="14"/>
  <c r="D429" i="14"/>
  <c r="C429" i="14"/>
  <c r="E429" i="14"/>
  <c r="F429" i="14"/>
  <c r="D428" i="14"/>
  <c r="C428" i="14"/>
  <c r="D427" i="14"/>
  <c r="C427" i="14"/>
  <c r="E427" i="14"/>
  <c r="F427" i="14"/>
  <c r="D426" i="14"/>
  <c r="C426" i="14"/>
  <c r="E426" i="14"/>
  <c r="F426" i="14"/>
  <c r="D425" i="14"/>
  <c r="C425" i="14"/>
  <c r="E425" i="14"/>
  <c r="F425" i="14"/>
  <c r="D424" i="14"/>
  <c r="C424" i="14"/>
  <c r="D423" i="14"/>
  <c r="C423" i="14"/>
  <c r="E423" i="14"/>
  <c r="F423" i="14"/>
  <c r="D422" i="14"/>
  <c r="C422" i="14"/>
  <c r="E422" i="14"/>
  <c r="F422" i="14"/>
  <c r="D421" i="14"/>
  <c r="C421" i="14"/>
  <c r="E421" i="14"/>
  <c r="F421" i="14"/>
  <c r="D420" i="14"/>
  <c r="C420" i="14"/>
  <c r="D419" i="14"/>
  <c r="C419" i="14"/>
  <c r="E419" i="14"/>
  <c r="F419" i="14"/>
  <c r="D418" i="14"/>
  <c r="C418" i="14"/>
  <c r="D417" i="14"/>
  <c r="H417" i="14"/>
  <c r="C417" i="14"/>
  <c r="E417" i="14"/>
  <c r="F417" i="14"/>
  <c r="I417" i="14"/>
  <c r="D416" i="14"/>
  <c r="C416" i="14"/>
  <c r="D415" i="14"/>
  <c r="H415" i="14"/>
  <c r="C415" i="14"/>
  <c r="D414" i="14"/>
  <c r="C414" i="14"/>
  <c r="E414" i="14"/>
  <c r="F414" i="14"/>
  <c r="I414" i="14"/>
  <c r="D413" i="14"/>
  <c r="C413" i="14"/>
  <c r="E413" i="14"/>
  <c r="D412" i="14"/>
  <c r="H412" i="14"/>
  <c r="C412" i="14"/>
  <c r="D411" i="14"/>
  <c r="C411" i="14"/>
  <c r="D410" i="14"/>
  <c r="H410" i="14"/>
  <c r="C410" i="14"/>
  <c r="P171" i="3"/>
  <c r="Q171" i="3"/>
  <c r="D409" i="14"/>
  <c r="C409" i="14"/>
  <c r="E409" i="14"/>
  <c r="F409" i="14"/>
  <c r="D408" i="14"/>
  <c r="C408" i="14"/>
  <c r="E408" i="14"/>
  <c r="F408" i="14"/>
  <c r="D407" i="14"/>
  <c r="C407" i="14"/>
  <c r="E407" i="14"/>
  <c r="D406" i="14"/>
  <c r="H406" i="14"/>
  <c r="C406" i="14"/>
  <c r="D405" i="14"/>
  <c r="C405" i="14"/>
  <c r="E405" i="14"/>
  <c r="F405" i="14"/>
  <c r="D404" i="14"/>
  <c r="H404" i="14"/>
  <c r="C404" i="14"/>
  <c r="D403" i="14"/>
  <c r="C403" i="14"/>
  <c r="E403" i="14"/>
  <c r="F403" i="14"/>
  <c r="D402" i="14"/>
  <c r="H402" i="14"/>
  <c r="C402" i="14"/>
  <c r="D401" i="14"/>
  <c r="C401" i="14"/>
  <c r="D400" i="14"/>
  <c r="H400" i="14"/>
  <c r="C400" i="14"/>
  <c r="E400" i="14"/>
  <c r="F400" i="14"/>
  <c r="D399" i="14"/>
  <c r="C399" i="14"/>
  <c r="E399" i="14"/>
  <c r="F399" i="14"/>
  <c r="D398" i="14"/>
  <c r="C398" i="14"/>
  <c r="D397" i="14"/>
  <c r="C397" i="14"/>
  <c r="E397" i="14"/>
  <c r="D396" i="14"/>
  <c r="C396" i="14"/>
  <c r="E396" i="14"/>
  <c r="F396" i="14"/>
  <c r="D395" i="14"/>
  <c r="H395" i="14"/>
  <c r="C395" i="14"/>
  <c r="E395" i="14"/>
  <c r="F395" i="14"/>
  <c r="D394" i="14"/>
  <c r="C394" i="14"/>
  <c r="D393" i="14"/>
  <c r="C393" i="14"/>
  <c r="E393" i="14"/>
  <c r="F393" i="14"/>
  <c r="I393" i="14"/>
  <c r="D392" i="14"/>
  <c r="C392" i="14"/>
  <c r="E392" i="14"/>
  <c r="D391" i="14"/>
  <c r="C391" i="14"/>
  <c r="E391" i="14"/>
  <c r="G391" i="14"/>
  <c r="D390" i="14"/>
  <c r="C390" i="14"/>
  <c r="D389" i="14"/>
  <c r="C389" i="14"/>
  <c r="E389" i="14"/>
  <c r="F389" i="14"/>
  <c r="I389" i="14"/>
  <c r="D388" i="14"/>
  <c r="C388" i="14"/>
  <c r="D387" i="14"/>
  <c r="C387" i="14"/>
  <c r="E387" i="14"/>
  <c r="F387" i="14"/>
  <c r="I387" i="14"/>
  <c r="D386" i="14"/>
  <c r="C386" i="14"/>
  <c r="D385" i="14"/>
  <c r="C385" i="14"/>
  <c r="E385" i="14"/>
  <c r="F385" i="14"/>
  <c r="D384" i="14"/>
  <c r="C384" i="14"/>
  <c r="D383" i="14"/>
  <c r="C383" i="14"/>
  <c r="E383" i="14"/>
  <c r="F383" i="14"/>
  <c r="D382" i="14"/>
  <c r="C382" i="14"/>
  <c r="D381" i="14"/>
  <c r="C381" i="14"/>
  <c r="E381" i="14"/>
  <c r="D380" i="14"/>
  <c r="C380" i="14"/>
  <c r="E380" i="14"/>
  <c r="F380" i="14"/>
  <c r="D379" i="14"/>
  <c r="C379" i="14"/>
  <c r="E379" i="14"/>
  <c r="F379" i="14"/>
  <c r="I379" i="14"/>
  <c r="D378" i="14"/>
  <c r="C378" i="14"/>
  <c r="E378" i="14"/>
  <c r="F378" i="14"/>
  <c r="I378" i="14"/>
  <c r="D377" i="14"/>
  <c r="C377" i="14"/>
  <c r="E377" i="14"/>
  <c r="F377" i="14"/>
  <c r="D376" i="14"/>
  <c r="C376" i="14"/>
  <c r="E376" i="14"/>
  <c r="F376" i="14"/>
  <c r="D375" i="14"/>
  <c r="H375" i="14"/>
  <c r="C375" i="14"/>
  <c r="E375" i="14"/>
  <c r="D374" i="14"/>
  <c r="C374" i="14"/>
  <c r="D373" i="14"/>
  <c r="C373" i="14"/>
  <c r="E373" i="14"/>
  <c r="F373" i="14"/>
  <c r="D372" i="14"/>
  <c r="C372" i="14"/>
  <c r="D371" i="14"/>
  <c r="C371" i="14"/>
  <c r="E371" i="14"/>
  <c r="F371" i="14"/>
  <c r="D370" i="14"/>
  <c r="C370" i="14"/>
  <c r="E370" i="14"/>
  <c r="D369" i="14"/>
  <c r="C369" i="14"/>
  <c r="D368" i="14"/>
  <c r="C368" i="14"/>
  <c r="E368" i="14"/>
  <c r="F368" i="14"/>
  <c r="D367" i="14"/>
  <c r="C367" i="14"/>
  <c r="E367" i="14"/>
  <c r="F367" i="14"/>
  <c r="I367" i="14"/>
  <c r="D366" i="14"/>
  <c r="C366" i="14"/>
  <c r="E366" i="14"/>
  <c r="F366" i="14"/>
  <c r="I366" i="14"/>
  <c r="D365" i="14"/>
  <c r="C365" i="14"/>
  <c r="E365" i="14"/>
  <c r="D364" i="14"/>
  <c r="C364" i="14"/>
  <c r="D363" i="14"/>
  <c r="C363" i="14"/>
  <c r="E363" i="14"/>
  <c r="F363" i="14"/>
  <c r="D362" i="14"/>
  <c r="C362" i="14"/>
  <c r="E362" i="14"/>
  <c r="F362" i="14"/>
  <c r="D361" i="14"/>
  <c r="C361" i="14"/>
  <c r="E361" i="14"/>
  <c r="F361" i="14"/>
  <c r="D360" i="14"/>
  <c r="C360" i="14"/>
  <c r="D359" i="14"/>
  <c r="C359" i="14"/>
  <c r="E359" i="14"/>
  <c r="D358" i="14"/>
  <c r="C358" i="14"/>
  <c r="D357" i="14"/>
  <c r="C357" i="14"/>
  <c r="E357" i="14"/>
  <c r="D356" i="14"/>
  <c r="C356" i="14"/>
  <c r="E356" i="14"/>
  <c r="F356" i="14"/>
  <c r="I356" i="14"/>
  <c r="D355" i="14"/>
  <c r="C355" i="14"/>
  <c r="E355" i="14"/>
  <c r="D354" i="14"/>
  <c r="C354" i="14"/>
  <c r="D353" i="14"/>
  <c r="C353" i="14"/>
  <c r="D352" i="14"/>
  <c r="C352" i="14"/>
  <c r="E352" i="14"/>
  <c r="F352" i="14"/>
  <c r="D351" i="14"/>
  <c r="C351" i="14"/>
  <c r="D350" i="14"/>
  <c r="C350" i="14"/>
  <c r="D349" i="14"/>
  <c r="C349" i="14"/>
  <c r="D348" i="14"/>
  <c r="C348" i="14"/>
  <c r="E348" i="14"/>
  <c r="F348" i="14"/>
  <c r="I348" i="14"/>
  <c r="D347" i="14"/>
  <c r="C347" i="14"/>
  <c r="D346" i="14"/>
  <c r="C346" i="14"/>
  <c r="E346" i="14"/>
  <c r="F346" i="14"/>
  <c r="D345" i="14"/>
  <c r="C345" i="14"/>
  <c r="D344" i="14"/>
  <c r="C344" i="14"/>
  <c r="D343" i="14"/>
  <c r="C343" i="14"/>
  <c r="D342" i="14"/>
  <c r="C342" i="14"/>
  <c r="E342" i="14"/>
  <c r="D341" i="14"/>
  <c r="C341" i="14"/>
  <c r="D340" i="14"/>
  <c r="C340" i="14"/>
  <c r="D339" i="14"/>
  <c r="C339" i="14"/>
  <c r="D338" i="14"/>
  <c r="C338" i="14"/>
  <c r="D337" i="14"/>
  <c r="C337" i="14"/>
  <c r="E337" i="14"/>
  <c r="F337" i="14"/>
  <c r="I337" i="14"/>
  <c r="D336" i="14"/>
  <c r="C336" i="14"/>
  <c r="P139" i="3"/>
  <c r="Q139" i="3"/>
  <c r="D335" i="14"/>
  <c r="C335" i="14"/>
  <c r="E335" i="14"/>
  <c r="F335" i="14"/>
  <c r="D334" i="14"/>
  <c r="C334" i="14"/>
  <c r="E334" i="14"/>
  <c r="F334" i="14"/>
  <c r="D333" i="14"/>
  <c r="C333" i="14"/>
  <c r="D332" i="14"/>
  <c r="C332" i="14"/>
  <c r="E332" i="14"/>
  <c r="D331" i="14"/>
  <c r="C331" i="14"/>
  <c r="E331" i="14"/>
  <c r="F331" i="14"/>
  <c r="I331" i="14"/>
  <c r="D330" i="14"/>
  <c r="C330" i="14"/>
  <c r="D329" i="14"/>
  <c r="C329" i="14"/>
  <c r="D328" i="14"/>
  <c r="C328" i="14"/>
  <c r="E328" i="14"/>
  <c r="F328" i="14"/>
  <c r="D327" i="14"/>
  <c r="C327" i="14"/>
  <c r="D326" i="14"/>
  <c r="C326" i="14"/>
  <c r="D325" i="14"/>
  <c r="C325" i="14"/>
  <c r="E325" i="14"/>
  <c r="F325" i="14"/>
  <c r="I325" i="14"/>
  <c r="D324" i="14"/>
  <c r="C324" i="14"/>
  <c r="E324" i="14"/>
  <c r="D323" i="14"/>
  <c r="C323" i="14"/>
  <c r="D322" i="14"/>
  <c r="C322" i="14"/>
  <c r="E322" i="14"/>
  <c r="D321" i="14"/>
  <c r="C321" i="14"/>
  <c r="D320" i="14"/>
  <c r="C320" i="14"/>
  <c r="D319" i="14"/>
  <c r="C319" i="14"/>
  <c r="D318" i="14"/>
  <c r="C318" i="14"/>
  <c r="E318" i="14"/>
  <c r="F318" i="14"/>
  <c r="D317" i="14"/>
  <c r="C317" i="14"/>
  <c r="D316" i="14"/>
  <c r="C316" i="14"/>
  <c r="D315" i="14"/>
  <c r="C315" i="14"/>
  <c r="E315" i="14"/>
  <c r="F315" i="14"/>
  <c r="I315" i="14"/>
  <c r="D314" i="14"/>
  <c r="C314" i="14"/>
  <c r="D313" i="14"/>
  <c r="C313" i="14"/>
  <c r="E313" i="14"/>
  <c r="F313" i="14"/>
  <c r="D312" i="14"/>
  <c r="C312" i="14"/>
  <c r="D311" i="14"/>
  <c r="C311" i="14"/>
  <c r="E311" i="14"/>
  <c r="F311" i="14"/>
  <c r="D310" i="14"/>
  <c r="C310" i="14"/>
  <c r="D309" i="14"/>
  <c r="C309" i="14"/>
  <c r="D308" i="14"/>
  <c r="C308" i="14"/>
  <c r="D307" i="14"/>
  <c r="C307" i="14"/>
  <c r="E307" i="14"/>
  <c r="F307" i="14"/>
  <c r="D306" i="14"/>
  <c r="C306" i="14"/>
  <c r="D305" i="14"/>
  <c r="C305" i="14"/>
  <c r="D304" i="14"/>
  <c r="C304" i="14"/>
  <c r="E304" i="14"/>
  <c r="F304" i="14"/>
  <c r="D303" i="14"/>
  <c r="C303" i="14"/>
  <c r="D302" i="14"/>
  <c r="C302" i="14"/>
  <c r="E302" i="14"/>
  <c r="D301" i="14"/>
  <c r="C301" i="14"/>
  <c r="D300" i="14"/>
  <c r="C300" i="14"/>
  <c r="E300" i="14"/>
  <c r="D299" i="14"/>
  <c r="C299" i="14"/>
  <c r="D298" i="14"/>
  <c r="C298" i="14"/>
  <c r="D297" i="14"/>
  <c r="C297" i="14"/>
  <c r="E297" i="14"/>
  <c r="D296" i="14"/>
  <c r="C296" i="14"/>
  <c r="E296" i="14"/>
  <c r="D295" i="14"/>
  <c r="C295" i="14"/>
  <c r="D294" i="14"/>
  <c r="C294" i="14"/>
  <c r="E294" i="14"/>
  <c r="F294" i="14"/>
  <c r="P117" i="3"/>
  <c r="Q117" i="3"/>
  <c r="D293" i="14"/>
  <c r="C293" i="14"/>
  <c r="E293" i="14"/>
  <c r="F293" i="14"/>
  <c r="D292" i="14"/>
  <c r="C292" i="14"/>
  <c r="D291" i="14"/>
  <c r="C291" i="14"/>
  <c r="D290" i="14"/>
  <c r="C290" i="14"/>
  <c r="E290" i="14"/>
  <c r="F290" i="14"/>
  <c r="I290" i="14"/>
  <c r="D289" i="14"/>
  <c r="C289" i="14"/>
  <c r="E289" i="14"/>
  <c r="D288" i="14"/>
  <c r="C288" i="14"/>
  <c r="D287" i="14"/>
  <c r="H287" i="14"/>
  <c r="C287" i="14"/>
  <c r="E287" i="14"/>
  <c r="F287" i="14"/>
  <c r="I287" i="14"/>
  <c r="D286" i="14"/>
  <c r="C286" i="14"/>
  <c r="E286" i="14"/>
  <c r="F286" i="14"/>
  <c r="I286" i="14"/>
  <c r="D285" i="14"/>
  <c r="C285" i="14"/>
  <c r="D284" i="14"/>
  <c r="C284" i="14"/>
  <c r="D283" i="14"/>
  <c r="C283" i="14"/>
  <c r="E283" i="14"/>
  <c r="F283" i="14"/>
  <c r="D282" i="14"/>
  <c r="C282" i="14"/>
  <c r="E282" i="14"/>
  <c r="F282" i="14"/>
  <c r="I282" i="14"/>
  <c r="D281" i="14"/>
  <c r="C281" i="14"/>
  <c r="D280" i="14"/>
  <c r="C280" i="14"/>
  <c r="D279" i="14"/>
  <c r="H279" i="14"/>
  <c r="C279" i="14"/>
  <c r="E279" i="14"/>
  <c r="F279" i="14"/>
  <c r="I279" i="14"/>
  <c r="D278" i="14"/>
  <c r="C278" i="14"/>
  <c r="D277" i="14"/>
  <c r="C277" i="14"/>
  <c r="D276" i="14"/>
  <c r="H276" i="14"/>
  <c r="C276" i="14"/>
  <c r="D275" i="14"/>
  <c r="C275" i="14"/>
  <c r="D274" i="14"/>
  <c r="C274" i="14"/>
  <c r="E274" i="14"/>
  <c r="F274" i="14"/>
  <c r="D273" i="14"/>
  <c r="C273" i="14"/>
  <c r="E273" i="14"/>
  <c r="F273" i="14"/>
  <c r="I273" i="14"/>
  <c r="D272" i="14"/>
  <c r="C272" i="14"/>
  <c r="D271" i="14"/>
  <c r="C271" i="14"/>
  <c r="E271" i="14"/>
  <c r="F271" i="14"/>
  <c r="I271" i="14"/>
  <c r="D270" i="14"/>
  <c r="C270" i="14"/>
  <c r="E270" i="14"/>
  <c r="F270" i="14"/>
  <c r="D269" i="14"/>
  <c r="C269" i="14"/>
  <c r="D268" i="14"/>
  <c r="C268" i="14"/>
  <c r="E268" i="14"/>
  <c r="F268" i="14"/>
  <c r="I268" i="14"/>
  <c r="D267" i="14"/>
  <c r="C267" i="14"/>
  <c r="E267" i="14"/>
  <c r="D266" i="14"/>
  <c r="C266" i="14"/>
  <c r="D265" i="14"/>
  <c r="C265" i="14"/>
  <c r="E265" i="14"/>
  <c r="G265" i="14"/>
  <c r="D264" i="14"/>
  <c r="C264" i="14"/>
  <c r="E264" i="14"/>
  <c r="F264" i="14"/>
  <c r="I264" i="14"/>
  <c r="D263" i="14"/>
  <c r="C263" i="14"/>
  <c r="D262" i="14"/>
  <c r="C262" i="14"/>
  <c r="D261" i="14"/>
  <c r="C261" i="14"/>
  <c r="D260" i="14"/>
  <c r="C260" i="14"/>
  <c r="D259" i="14"/>
  <c r="C259" i="14"/>
  <c r="E259" i="14"/>
  <c r="F259" i="14"/>
  <c r="I259" i="14"/>
  <c r="D258" i="14"/>
  <c r="C258" i="14"/>
  <c r="J258" i="14"/>
  <c r="D257" i="14"/>
  <c r="C257" i="14"/>
  <c r="D256" i="14"/>
  <c r="C256" i="14"/>
  <c r="E256" i="14"/>
  <c r="F256" i="14"/>
  <c r="D255" i="14"/>
  <c r="C255" i="14"/>
  <c r="E255" i="14"/>
  <c r="D254" i="14"/>
  <c r="C254" i="14"/>
  <c r="D253" i="14"/>
  <c r="C253" i="14"/>
  <c r="E253" i="14"/>
  <c r="F253" i="14"/>
  <c r="I253" i="14"/>
  <c r="D252" i="14"/>
  <c r="H252" i="14"/>
  <c r="C252" i="14"/>
  <c r="E252" i="14"/>
  <c r="F252" i="14"/>
  <c r="D251" i="14"/>
  <c r="C251" i="14"/>
  <c r="D250" i="14"/>
  <c r="C250" i="14"/>
  <c r="E250" i="14"/>
  <c r="F250" i="14"/>
  <c r="I250" i="14"/>
  <c r="D249" i="14"/>
  <c r="C249" i="14"/>
  <c r="E249" i="14"/>
  <c r="F249" i="14"/>
  <c r="I249" i="14"/>
  <c r="D248" i="14"/>
  <c r="C248" i="14"/>
  <c r="E248" i="14"/>
  <c r="F248" i="14"/>
  <c r="I248" i="14"/>
  <c r="D247" i="14"/>
  <c r="C247" i="14"/>
  <c r="E247" i="14"/>
  <c r="F247" i="14"/>
  <c r="I247" i="14"/>
  <c r="D246" i="14"/>
  <c r="C246" i="14"/>
  <c r="D245" i="14"/>
  <c r="C245" i="14"/>
  <c r="D244" i="14"/>
  <c r="C244" i="14"/>
  <c r="E244" i="14"/>
  <c r="F244" i="14"/>
  <c r="I244" i="14"/>
  <c r="D243" i="14"/>
  <c r="C243" i="14"/>
  <c r="E243" i="14"/>
  <c r="F243" i="14"/>
  <c r="I243" i="14"/>
  <c r="D242" i="14"/>
  <c r="C242" i="14"/>
  <c r="E242" i="14"/>
  <c r="D241" i="14"/>
  <c r="C241" i="14"/>
  <c r="E241" i="14"/>
  <c r="F241" i="14"/>
  <c r="I241" i="14"/>
  <c r="D240" i="14"/>
  <c r="C240" i="14"/>
  <c r="E240" i="14"/>
  <c r="F240" i="14"/>
  <c r="D239" i="14"/>
  <c r="C239" i="14"/>
  <c r="D238" i="14"/>
  <c r="C238" i="14"/>
  <c r="E238" i="14"/>
  <c r="D237" i="14"/>
  <c r="J237" i="14"/>
  <c r="C237" i="14"/>
  <c r="E237" i="14"/>
  <c r="F237" i="14"/>
  <c r="I237" i="14"/>
  <c r="D236" i="14"/>
  <c r="C236" i="14"/>
  <c r="E236" i="14"/>
  <c r="F236" i="14"/>
  <c r="I236" i="14"/>
  <c r="D235" i="14"/>
  <c r="C235" i="14"/>
  <c r="D234" i="14"/>
  <c r="C234" i="14"/>
  <c r="E234" i="14"/>
  <c r="D233" i="14"/>
  <c r="C233" i="14"/>
  <c r="D232" i="14"/>
  <c r="C232" i="14"/>
  <c r="E232" i="14"/>
  <c r="D231" i="14"/>
  <c r="C231" i="14"/>
  <c r="E231" i="14"/>
  <c r="F231" i="14"/>
  <c r="I231" i="14"/>
  <c r="D230" i="14"/>
  <c r="C230" i="14"/>
  <c r="D229" i="14"/>
  <c r="C229" i="14"/>
  <c r="J229" i="14"/>
  <c r="D228" i="14"/>
  <c r="C228" i="14"/>
  <c r="E228" i="14"/>
  <c r="D227" i="14"/>
  <c r="C227" i="14"/>
  <c r="D226" i="14"/>
  <c r="C226" i="14"/>
  <c r="E226" i="14"/>
  <c r="F226" i="14"/>
  <c r="D225" i="14"/>
  <c r="C225" i="14"/>
  <c r="E225" i="14"/>
  <c r="F225" i="14"/>
  <c r="D224" i="14"/>
  <c r="C224" i="14"/>
  <c r="E224" i="14"/>
  <c r="D223" i="14"/>
  <c r="H223" i="14"/>
  <c r="C223" i="14"/>
  <c r="D222" i="14"/>
  <c r="C222" i="14"/>
  <c r="E222" i="14"/>
  <c r="F222" i="14"/>
  <c r="D221" i="14"/>
  <c r="C221" i="14"/>
  <c r="E221" i="14"/>
  <c r="F221" i="14"/>
  <c r="D220" i="14"/>
  <c r="C220" i="14"/>
  <c r="E220" i="14"/>
  <c r="F220" i="14"/>
  <c r="I220" i="14"/>
  <c r="D219" i="14"/>
  <c r="C219" i="14"/>
  <c r="D218" i="14"/>
  <c r="C218" i="14"/>
  <c r="E218" i="14"/>
  <c r="D217" i="14"/>
  <c r="C217" i="14"/>
  <c r="E217" i="14"/>
  <c r="F217" i="14"/>
  <c r="D216" i="14"/>
  <c r="C216" i="14"/>
  <c r="E216" i="14"/>
  <c r="F216" i="14"/>
  <c r="D215" i="14"/>
  <c r="C215" i="14"/>
  <c r="E215" i="14"/>
  <c r="F215" i="14"/>
  <c r="D214" i="14"/>
  <c r="C214" i="14"/>
  <c r="E214" i="14"/>
  <c r="D213" i="14"/>
  <c r="C213" i="14"/>
  <c r="E213" i="14"/>
  <c r="D212" i="14"/>
  <c r="H212" i="14"/>
  <c r="C212" i="14"/>
  <c r="E212" i="14"/>
  <c r="F212" i="14"/>
  <c r="D211" i="14"/>
  <c r="C211" i="14"/>
  <c r="E211" i="14"/>
  <c r="F211" i="14"/>
  <c r="D210" i="14"/>
  <c r="C210" i="14"/>
  <c r="E210" i="14"/>
  <c r="D209" i="14"/>
  <c r="C209" i="14"/>
  <c r="E209" i="14"/>
  <c r="D208" i="14"/>
  <c r="H208" i="14"/>
  <c r="C208" i="14"/>
  <c r="E208" i="14"/>
  <c r="F208" i="14"/>
  <c r="D207" i="14"/>
  <c r="C207" i="14"/>
  <c r="E207" i="14"/>
  <c r="F207" i="14"/>
  <c r="D206" i="14"/>
  <c r="C206" i="14"/>
  <c r="E206" i="14"/>
  <c r="D205" i="14"/>
  <c r="C205" i="14"/>
  <c r="E205" i="14"/>
  <c r="D204" i="14"/>
  <c r="C204" i="14"/>
  <c r="E204" i="14"/>
  <c r="F204" i="14"/>
  <c r="I204" i="14"/>
  <c r="D203" i="14"/>
  <c r="C203" i="14"/>
  <c r="E203" i="14"/>
  <c r="F203" i="14"/>
  <c r="I203" i="14"/>
  <c r="D202" i="14"/>
  <c r="C202" i="14"/>
  <c r="E202" i="14"/>
  <c r="F202" i="14"/>
  <c r="I202" i="14"/>
  <c r="D201" i="14"/>
  <c r="C201" i="14"/>
  <c r="E201" i="14"/>
  <c r="F201" i="14"/>
  <c r="D200" i="14"/>
  <c r="C200" i="14"/>
  <c r="E200" i="14"/>
  <c r="D199" i="14"/>
  <c r="C199" i="14"/>
  <c r="E199" i="14"/>
  <c r="D198" i="14"/>
  <c r="C198" i="14"/>
  <c r="E198" i="14"/>
  <c r="F198" i="14"/>
  <c r="D197" i="14"/>
  <c r="C197" i="14"/>
  <c r="E197" i="14"/>
  <c r="D196" i="14"/>
  <c r="C196" i="14"/>
  <c r="E196" i="14"/>
  <c r="D195" i="14"/>
  <c r="C195" i="14"/>
  <c r="E195" i="14"/>
  <c r="F195" i="14"/>
  <c r="I195" i="14"/>
  <c r="D194" i="14"/>
  <c r="C194" i="14"/>
  <c r="E194" i="14"/>
  <c r="F194" i="14"/>
  <c r="D193" i="14"/>
  <c r="C193" i="14"/>
  <c r="E193" i="14"/>
  <c r="D192" i="14"/>
  <c r="C192" i="14"/>
  <c r="E192" i="14"/>
  <c r="F192" i="14"/>
  <c r="D191" i="14"/>
  <c r="C191" i="14"/>
  <c r="E191" i="14"/>
  <c r="D190" i="14"/>
  <c r="C190" i="14"/>
  <c r="E190" i="14"/>
  <c r="D189" i="14"/>
  <c r="C189" i="14"/>
  <c r="E189" i="14"/>
  <c r="F189" i="14"/>
  <c r="D188" i="14"/>
  <c r="C188" i="14"/>
  <c r="E188" i="14"/>
  <c r="D187" i="14"/>
  <c r="C187" i="14"/>
  <c r="E187" i="14"/>
  <c r="D186" i="14"/>
  <c r="C186" i="14"/>
  <c r="E186" i="14"/>
  <c r="F186" i="14"/>
  <c r="I186" i="14"/>
  <c r="D185" i="14"/>
  <c r="C185" i="14"/>
  <c r="E185" i="14"/>
  <c r="F185" i="14"/>
  <c r="D184" i="14"/>
  <c r="C184" i="14"/>
  <c r="E184" i="14"/>
  <c r="F184" i="14"/>
  <c r="D183" i="14"/>
  <c r="C183" i="14"/>
  <c r="E183" i="14"/>
  <c r="F183" i="14"/>
  <c r="D182" i="14"/>
  <c r="C182" i="14"/>
  <c r="E182" i="14"/>
  <c r="F182" i="14"/>
  <c r="D181" i="14"/>
  <c r="C181" i="14"/>
  <c r="E181" i="14"/>
  <c r="F181" i="14"/>
  <c r="D180" i="14"/>
  <c r="C180" i="14"/>
  <c r="E180" i="14"/>
  <c r="F180" i="14"/>
  <c r="D179" i="14"/>
  <c r="C179" i="14"/>
  <c r="E179" i="14"/>
  <c r="F179" i="14"/>
  <c r="I179" i="14"/>
  <c r="D178" i="14"/>
  <c r="C178" i="14"/>
  <c r="E178" i="14"/>
  <c r="F178" i="14"/>
  <c r="I178" i="14"/>
  <c r="D177" i="14"/>
  <c r="H177" i="14"/>
  <c r="C177" i="14"/>
  <c r="E177" i="14"/>
  <c r="D176" i="14"/>
  <c r="C176" i="14"/>
  <c r="E176" i="14"/>
  <c r="F176" i="14"/>
  <c r="D175" i="14"/>
  <c r="C175" i="14"/>
  <c r="E175" i="14"/>
  <c r="F175" i="14"/>
  <c r="D174" i="14"/>
  <c r="C174" i="14"/>
  <c r="E174" i="14"/>
  <c r="D173" i="14"/>
  <c r="C173" i="14"/>
  <c r="E173" i="14"/>
  <c r="F173" i="14"/>
  <c r="D172" i="14"/>
  <c r="C172" i="14"/>
  <c r="E172" i="14"/>
  <c r="F172" i="14"/>
  <c r="D171" i="14"/>
  <c r="C171" i="14"/>
  <c r="E171" i="14"/>
  <c r="F171" i="14"/>
  <c r="D170" i="14"/>
  <c r="C170" i="14"/>
  <c r="E170" i="14"/>
  <c r="F170" i="14"/>
  <c r="D169" i="14"/>
  <c r="C169" i="14"/>
  <c r="E169" i="14"/>
  <c r="F169" i="14"/>
  <c r="D168" i="14"/>
  <c r="C168" i="14"/>
  <c r="E168" i="14"/>
  <c r="F168" i="14"/>
  <c r="I168" i="14"/>
  <c r="D167" i="14"/>
  <c r="C167" i="14"/>
  <c r="E167" i="14"/>
  <c r="F167" i="14"/>
  <c r="I167" i="14"/>
  <c r="D166" i="14"/>
  <c r="C166" i="14"/>
  <c r="E166" i="14"/>
  <c r="F166" i="14"/>
  <c r="I166" i="14"/>
  <c r="D165" i="14"/>
  <c r="C165" i="14"/>
  <c r="E165" i="14"/>
  <c r="F165" i="14"/>
  <c r="D164" i="14"/>
  <c r="C164" i="14"/>
  <c r="E164" i="14"/>
  <c r="D163" i="14"/>
  <c r="C163" i="14"/>
  <c r="E163" i="14"/>
  <c r="D162" i="14"/>
  <c r="C162" i="14"/>
  <c r="E162" i="14"/>
  <c r="D161" i="14"/>
  <c r="C161" i="14"/>
  <c r="E161" i="14"/>
  <c r="D160" i="14"/>
  <c r="H160" i="14"/>
  <c r="C160" i="14"/>
  <c r="E160" i="14"/>
  <c r="D159" i="14"/>
  <c r="C159" i="14"/>
  <c r="E159" i="14"/>
  <c r="D158" i="14"/>
  <c r="C158" i="14"/>
  <c r="E158" i="14"/>
  <c r="D157" i="14"/>
  <c r="C157" i="14"/>
  <c r="E157" i="14"/>
  <c r="D156" i="14"/>
  <c r="C156" i="14"/>
  <c r="E156" i="14"/>
  <c r="D155" i="14"/>
  <c r="C155" i="14"/>
  <c r="E155" i="14"/>
  <c r="D154" i="14"/>
  <c r="C154" i="14"/>
  <c r="E154" i="14"/>
  <c r="D153" i="14"/>
  <c r="C153" i="14"/>
  <c r="E153" i="14"/>
  <c r="D152" i="14"/>
  <c r="J152" i="14"/>
  <c r="C152" i="14"/>
  <c r="E152" i="14"/>
  <c r="D151" i="14"/>
  <c r="C151" i="14"/>
  <c r="E151" i="14"/>
  <c r="D150" i="14"/>
  <c r="C150" i="14"/>
  <c r="E150" i="14"/>
  <c r="F150" i="14"/>
  <c r="D149" i="14"/>
  <c r="H149" i="14"/>
  <c r="C149" i="14"/>
  <c r="E149" i="14"/>
  <c r="F149" i="14"/>
  <c r="D148" i="14"/>
  <c r="C148" i="14"/>
  <c r="E148" i="14"/>
  <c r="F148" i="14"/>
  <c r="D147" i="14"/>
  <c r="C147" i="14"/>
  <c r="E147" i="14"/>
  <c r="F147" i="14"/>
  <c r="D146" i="14"/>
  <c r="C146" i="14"/>
  <c r="E146" i="14"/>
  <c r="F146" i="14"/>
  <c r="I146" i="14"/>
  <c r="D145" i="14"/>
  <c r="C145" i="14"/>
  <c r="E145" i="14"/>
  <c r="F145" i="14"/>
  <c r="I145" i="14"/>
  <c r="D144" i="14"/>
  <c r="C144" i="14"/>
  <c r="E144" i="14"/>
  <c r="D143" i="14"/>
  <c r="C143" i="14"/>
  <c r="E143" i="14"/>
  <c r="D142" i="14"/>
  <c r="J142" i="14"/>
  <c r="C142" i="14"/>
  <c r="E142" i="14"/>
  <c r="D141" i="14"/>
  <c r="C141" i="14"/>
  <c r="E141" i="14"/>
  <c r="D140" i="14"/>
  <c r="H140" i="14"/>
  <c r="C140" i="14"/>
  <c r="E140" i="14"/>
  <c r="F140" i="14"/>
  <c r="D139" i="14"/>
  <c r="C139" i="14"/>
  <c r="E139" i="14"/>
  <c r="F139" i="14"/>
  <c r="I139" i="14"/>
  <c r="D138" i="14"/>
  <c r="C138" i="14"/>
  <c r="E138" i="14"/>
  <c r="F138" i="14"/>
  <c r="I138" i="14"/>
  <c r="D137" i="14"/>
  <c r="C137" i="14"/>
  <c r="E137" i="14"/>
  <c r="D136" i="14"/>
  <c r="C136" i="14"/>
  <c r="E136" i="14"/>
  <c r="F136" i="14"/>
  <c r="D135" i="14"/>
  <c r="C135" i="14"/>
  <c r="E135" i="14"/>
  <c r="D134" i="14"/>
  <c r="C134" i="14"/>
  <c r="E134" i="14"/>
  <c r="F134" i="14"/>
  <c r="I134" i="14"/>
  <c r="D133" i="14"/>
  <c r="C133" i="14"/>
  <c r="E133" i="14"/>
  <c r="D132" i="14"/>
  <c r="C132" i="14"/>
  <c r="E132" i="14"/>
  <c r="F132" i="14"/>
  <c r="I132" i="14"/>
  <c r="D131" i="14"/>
  <c r="C131" i="14"/>
  <c r="E131" i="14"/>
  <c r="F131" i="14"/>
  <c r="I131" i="14"/>
  <c r="D130" i="14"/>
  <c r="C130" i="14"/>
  <c r="E130" i="14"/>
  <c r="D129" i="14"/>
  <c r="J129" i="14"/>
  <c r="C129" i="14"/>
  <c r="E129" i="14"/>
  <c r="F129" i="14"/>
  <c r="D128" i="14"/>
  <c r="C128" i="14"/>
  <c r="E128" i="14"/>
  <c r="F128" i="14"/>
  <c r="D127" i="14"/>
  <c r="C127" i="14"/>
  <c r="E127" i="14"/>
  <c r="F127" i="14"/>
  <c r="D126" i="14"/>
  <c r="C126" i="14"/>
  <c r="E126" i="14"/>
  <c r="D125" i="14"/>
  <c r="C125" i="14"/>
  <c r="E125" i="14"/>
  <c r="D124" i="14"/>
  <c r="C124" i="14"/>
  <c r="E124" i="14"/>
  <c r="D123" i="14"/>
  <c r="H123" i="14"/>
  <c r="C123" i="14"/>
  <c r="E123" i="14"/>
  <c r="D122" i="14"/>
  <c r="C122" i="14"/>
  <c r="E122" i="14"/>
  <c r="F122" i="14"/>
  <c r="D121" i="14"/>
  <c r="C121" i="14"/>
  <c r="E121" i="14"/>
  <c r="D120" i="14"/>
  <c r="C120" i="14"/>
  <c r="E120" i="14"/>
  <c r="D119" i="14"/>
  <c r="C119" i="14"/>
  <c r="E119" i="14"/>
  <c r="D118" i="14"/>
  <c r="C118" i="14"/>
  <c r="E118" i="14"/>
  <c r="D117" i="14"/>
  <c r="C117" i="14"/>
  <c r="E117" i="14"/>
  <c r="D116" i="14"/>
  <c r="C116" i="14"/>
  <c r="E116" i="14"/>
  <c r="D115" i="14"/>
  <c r="C115" i="14"/>
  <c r="E115" i="14"/>
  <c r="D114" i="14"/>
  <c r="C114" i="14"/>
  <c r="E114" i="14"/>
  <c r="D113" i="14"/>
  <c r="C113" i="14"/>
  <c r="E113" i="14"/>
  <c r="D112" i="14"/>
  <c r="C112" i="14"/>
  <c r="E112" i="14"/>
  <c r="F112" i="14"/>
  <c r="I112" i="14"/>
  <c r="D111" i="14"/>
  <c r="J111" i="14"/>
  <c r="C111" i="14"/>
  <c r="E111" i="14"/>
  <c r="D110" i="14"/>
  <c r="C110" i="14"/>
  <c r="E110" i="14"/>
  <c r="D109" i="14"/>
  <c r="C109" i="14"/>
  <c r="E109" i="14"/>
  <c r="D108" i="14"/>
  <c r="C108" i="14"/>
  <c r="E108" i="14"/>
  <c r="D107" i="14"/>
  <c r="J107" i="14"/>
  <c r="C107" i="14"/>
  <c r="E107" i="14"/>
  <c r="D106" i="14"/>
  <c r="C106" i="14"/>
  <c r="E106" i="14"/>
  <c r="D105" i="14"/>
  <c r="C105" i="14"/>
  <c r="E105" i="14"/>
  <c r="D104" i="14"/>
  <c r="C104" i="14"/>
  <c r="E104" i="14"/>
  <c r="D103" i="14"/>
  <c r="C103" i="14"/>
  <c r="E103" i="14"/>
  <c r="D102" i="14"/>
  <c r="C102" i="14"/>
  <c r="E102" i="14"/>
  <c r="F102" i="14"/>
  <c r="I102" i="14"/>
  <c r="D101" i="14"/>
  <c r="C101" i="14"/>
  <c r="E101" i="14"/>
  <c r="D100" i="14"/>
  <c r="C100" i="14"/>
  <c r="E100" i="14"/>
  <c r="D99" i="14"/>
  <c r="C99" i="14"/>
  <c r="E99" i="14"/>
  <c r="D98" i="14"/>
  <c r="C98" i="14"/>
  <c r="E98" i="14"/>
  <c r="D97" i="14"/>
  <c r="C97" i="14"/>
  <c r="E97" i="14"/>
  <c r="D96" i="14"/>
  <c r="C96" i="14"/>
  <c r="E96" i="14"/>
  <c r="D95" i="14"/>
  <c r="C95" i="14"/>
  <c r="E95" i="14"/>
  <c r="D94" i="14"/>
  <c r="C94" i="14"/>
  <c r="E94" i="14"/>
  <c r="D93" i="14"/>
  <c r="C93" i="14"/>
  <c r="E93" i="14"/>
  <c r="D92" i="14"/>
  <c r="C92" i="14"/>
  <c r="E92" i="14"/>
  <c r="D91" i="14"/>
  <c r="C91" i="14"/>
  <c r="E91" i="14"/>
  <c r="D90" i="14"/>
  <c r="H90" i="14"/>
  <c r="C90" i="14"/>
  <c r="E90" i="14"/>
  <c r="Q54" i="3"/>
  <c r="D89" i="14"/>
  <c r="C89" i="14"/>
  <c r="E89" i="14"/>
  <c r="D88" i="14"/>
  <c r="C88" i="14"/>
  <c r="E88" i="14"/>
  <c r="F88" i="14"/>
  <c r="D87" i="14"/>
  <c r="C87" i="14"/>
  <c r="E87" i="14"/>
  <c r="G87" i="14"/>
  <c r="D86" i="14"/>
  <c r="C86" i="14"/>
  <c r="E86" i="14"/>
  <c r="G86" i="14"/>
  <c r="D85" i="14"/>
  <c r="C85" i="14"/>
  <c r="E85" i="14"/>
  <c r="D84" i="14"/>
  <c r="C84" i="14"/>
  <c r="E84" i="14"/>
  <c r="D83" i="14"/>
  <c r="C83" i="14"/>
  <c r="E83" i="14"/>
  <c r="D82" i="14"/>
  <c r="C82" i="14"/>
  <c r="E82" i="14"/>
  <c r="D81" i="14"/>
  <c r="C81" i="14"/>
  <c r="E81" i="14"/>
  <c r="D80" i="14"/>
  <c r="C80" i="14"/>
  <c r="E80" i="14"/>
  <c r="D79" i="14"/>
  <c r="H79" i="14"/>
  <c r="C79" i="14"/>
  <c r="E79" i="14"/>
  <c r="D78" i="14"/>
  <c r="C78" i="14"/>
  <c r="E78" i="14"/>
  <c r="D77" i="14"/>
  <c r="C77" i="14"/>
  <c r="E77" i="14"/>
  <c r="D76" i="14"/>
  <c r="C76" i="14"/>
  <c r="E76" i="14"/>
  <c r="G76" i="14"/>
  <c r="D75" i="14"/>
  <c r="C75" i="14"/>
  <c r="E75" i="14"/>
  <c r="D74" i="14"/>
  <c r="C74" i="14"/>
  <c r="E74" i="14"/>
  <c r="D73" i="14"/>
  <c r="C73" i="14"/>
  <c r="E73" i="14"/>
  <c r="D72" i="14"/>
  <c r="H72" i="14"/>
  <c r="C72" i="14"/>
  <c r="E72" i="14"/>
  <c r="D71" i="14"/>
  <c r="H71" i="14"/>
  <c r="C71" i="14"/>
  <c r="E71" i="14"/>
  <c r="D70" i="14"/>
  <c r="C70" i="14"/>
  <c r="E70" i="14"/>
  <c r="G70" i="14"/>
  <c r="D69" i="14"/>
  <c r="C69" i="14"/>
  <c r="E69" i="14"/>
  <c r="D68" i="14"/>
  <c r="C68" i="14"/>
  <c r="E68" i="14"/>
  <c r="D67" i="14"/>
  <c r="H67" i="14"/>
  <c r="C67" i="14"/>
  <c r="E67" i="14"/>
  <c r="D66" i="14"/>
  <c r="C66" i="14"/>
  <c r="E66" i="14"/>
  <c r="D65" i="14"/>
  <c r="C65" i="14"/>
  <c r="E65" i="14"/>
  <c r="D64" i="14"/>
  <c r="H64" i="14"/>
  <c r="C64" i="14"/>
  <c r="E64" i="14"/>
  <c r="D63" i="14"/>
  <c r="C63" i="14"/>
  <c r="E63" i="14"/>
  <c r="D62" i="14"/>
  <c r="C62" i="14"/>
  <c r="E62" i="14"/>
  <c r="D61" i="14"/>
  <c r="C61" i="14"/>
  <c r="E61" i="14"/>
  <c r="D60" i="14"/>
  <c r="C60" i="14"/>
  <c r="E60" i="14"/>
  <c r="D59" i="14"/>
  <c r="C59" i="14"/>
  <c r="E59" i="14"/>
  <c r="F59" i="14"/>
  <c r="D58" i="14"/>
  <c r="C58" i="14"/>
  <c r="E58" i="14"/>
  <c r="D57" i="14"/>
  <c r="H57" i="14"/>
  <c r="C57" i="14"/>
  <c r="E57" i="14"/>
  <c r="D56" i="14"/>
  <c r="C56" i="14"/>
  <c r="E56" i="14"/>
  <c r="D55" i="14"/>
  <c r="C55" i="14"/>
  <c r="E55" i="14"/>
  <c r="D54" i="14"/>
  <c r="H54" i="14"/>
  <c r="C54" i="14"/>
  <c r="E54" i="14"/>
  <c r="D53" i="14"/>
  <c r="C53" i="14"/>
  <c r="E53" i="14"/>
  <c r="D52" i="14"/>
  <c r="C52" i="14"/>
  <c r="E52" i="14"/>
  <c r="D51" i="14"/>
  <c r="C51" i="14"/>
  <c r="E51" i="14"/>
  <c r="D50" i="14"/>
  <c r="C50" i="14"/>
  <c r="E50" i="14"/>
  <c r="D49" i="14"/>
  <c r="C49" i="14"/>
  <c r="E49" i="14"/>
  <c r="F49" i="14"/>
  <c r="I49" i="14"/>
  <c r="D48" i="14"/>
  <c r="C48" i="14"/>
  <c r="E48" i="14"/>
  <c r="D47" i="14"/>
  <c r="C47" i="14"/>
  <c r="E47" i="14"/>
  <c r="D46" i="14"/>
  <c r="C46" i="14"/>
  <c r="E46" i="14"/>
  <c r="D45" i="14"/>
  <c r="H45" i="14"/>
  <c r="C45" i="14"/>
  <c r="E45" i="14"/>
  <c r="D44" i="14"/>
  <c r="C44" i="14"/>
  <c r="E44" i="14"/>
  <c r="D43" i="14"/>
  <c r="H43" i="14"/>
  <c r="C43" i="14"/>
  <c r="E43" i="14"/>
  <c r="D42" i="14"/>
  <c r="H42" i="14"/>
  <c r="C42" i="14"/>
  <c r="E42" i="14"/>
  <c r="D41" i="14"/>
  <c r="C41" i="14"/>
  <c r="E41" i="14"/>
  <c r="D40" i="14"/>
  <c r="C40" i="14"/>
  <c r="E40" i="14"/>
  <c r="D39" i="14"/>
  <c r="C39" i="14"/>
  <c r="E39" i="14"/>
  <c r="D38" i="14"/>
  <c r="C38" i="14"/>
  <c r="E38" i="14"/>
  <c r="D37" i="14"/>
  <c r="C37" i="14"/>
  <c r="E37" i="14"/>
  <c r="D36" i="14"/>
  <c r="C36" i="14"/>
  <c r="E36" i="14"/>
  <c r="D35" i="14"/>
  <c r="C35" i="14"/>
  <c r="E35" i="14"/>
  <c r="D34" i="14"/>
  <c r="C34" i="14"/>
  <c r="E34" i="14"/>
  <c r="D33" i="14"/>
  <c r="C33" i="14"/>
  <c r="E33" i="14"/>
  <c r="D32" i="14"/>
  <c r="C32" i="14"/>
  <c r="E32" i="14"/>
  <c r="D31" i="14"/>
  <c r="C31" i="14"/>
  <c r="E31" i="14"/>
  <c r="D30" i="14"/>
  <c r="C30" i="14"/>
  <c r="E30" i="14"/>
  <c r="D29" i="14"/>
  <c r="C29" i="14"/>
  <c r="E29" i="14"/>
  <c r="F29" i="14"/>
  <c r="D28" i="14"/>
  <c r="H28" i="14"/>
  <c r="C28" i="14"/>
  <c r="E28" i="14"/>
  <c r="D27" i="14"/>
  <c r="C27" i="14"/>
  <c r="E27" i="14"/>
  <c r="D26" i="14"/>
  <c r="C26" i="14"/>
  <c r="E26" i="14"/>
  <c r="F26" i="14"/>
  <c r="I26" i="14"/>
  <c r="D25" i="14"/>
  <c r="C25" i="14"/>
  <c r="E25" i="14"/>
  <c r="D24" i="14"/>
  <c r="C24" i="14"/>
  <c r="E24" i="14"/>
  <c r="D23" i="14"/>
  <c r="C23" i="14"/>
  <c r="E23" i="14"/>
  <c r="D22" i="14"/>
  <c r="C22" i="14"/>
  <c r="E22" i="14"/>
  <c r="D21" i="14"/>
  <c r="C21" i="14"/>
  <c r="E21" i="14"/>
  <c r="G21" i="14"/>
  <c r="D20" i="14"/>
  <c r="C20" i="14"/>
  <c r="E20" i="14"/>
  <c r="F20" i="14"/>
  <c r="I20" i="14"/>
  <c r="D19" i="14"/>
  <c r="C19" i="14"/>
  <c r="E19" i="14"/>
  <c r="D18" i="14"/>
  <c r="J18" i="14"/>
  <c r="C18" i="14"/>
  <c r="E18" i="14"/>
  <c r="F18" i="14"/>
  <c r="I18" i="14"/>
  <c r="O12" i="14"/>
  <c r="P12"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7" i="14"/>
  <c r="K1089" i="14"/>
  <c r="K1090" i="14"/>
  <c r="K1091" i="14"/>
  <c r="K1093" i="14"/>
  <c r="K1094" i="14"/>
  <c r="K1095"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4" i="14"/>
  <c r="K1205" i="14"/>
  <c r="K1206" i="14"/>
  <c r="K1207" i="14"/>
  <c r="K1208" i="14"/>
  <c r="K1209" i="14"/>
  <c r="K1210" i="14"/>
  <c r="K1211" i="14"/>
  <c r="K1213" i="14"/>
  <c r="K1214" i="14"/>
  <c r="K1215" i="14"/>
  <c r="K1216" i="14"/>
  <c r="K1217" i="14"/>
  <c r="K1218" i="14"/>
  <c r="K1219" i="14"/>
  <c r="K1220" i="14"/>
  <c r="K1221" i="14"/>
  <c r="K1222" i="14"/>
  <c r="K1223" i="14"/>
  <c r="K1225" i="14"/>
  <c r="K1226" i="14"/>
  <c r="K1227" i="14"/>
  <c r="K1228" i="14"/>
  <c r="K1229" i="14"/>
  <c r="K1230" i="14"/>
  <c r="K1231" i="14"/>
  <c r="K1232" i="14"/>
  <c r="K1233" i="14"/>
  <c r="K1234" i="14"/>
  <c r="K1235" i="14"/>
  <c r="K1236" i="14"/>
  <c r="K1237" i="14"/>
  <c r="K1238" i="14"/>
  <c r="K1239" i="14"/>
  <c r="K1240" i="14"/>
  <c r="K1241" i="14"/>
  <c r="K1242" i="14"/>
  <c r="K1244" i="14"/>
  <c r="K1245" i="14"/>
  <c r="K1246" i="14"/>
  <c r="K1247" i="14"/>
  <c r="K1249" i="14"/>
  <c r="K1250" i="14"/>
  <c r="K1251" i="14"/>
  <c r="K1252" i="14"/>
  <c r="K1253" i="14"/>
  <c r="K1255" i="14"/>
  <c r="K1257" i="14"/>
  <c r="K1259" i="14"/>
  <c r="K1260" i="14"/>
  <c r="K1261" i="14"/>
  <c r="K1262" i="14"/>
  <c r="K1265" i="14"/>
  <c r="K1266" i="14"/>
  <c r="K1267" i="14"/>
  <c r="K1268" i="14"/>
  <c r="K1269" i="14"/>
  <c r="K1270" i="14"/>
  <c r="K1271" i="14"/>
  <c r="K1272" i="14"/>
  <c r="K1273" i="14"/>
  <c r="K1274" i="14"/>
  <c r="K1275" i="14"/>
  <c r="K1276" i="14"/>
  <c r="K1277" i="14"/>
  <c r="K1278" i="14"/>
  <c r="K1279" i="14"/>
  <c r="K1280" i="14"/>
  <c r="K1281" i="14"/>
  <c r="K1282" i="14"/>
  <c r="K1284" i="14"/>
  <c r="K1285" i="14"/>
  <c r="K1286" i="14"/>
  <c r="K1287" i="14"/>
  <c r="K1288" i="14"/>
  <c r="K1289" i="14"/>
  <c r="K1290" i="14"/>
  <c r="K1292" i="14"/>
  <c r="K1293" i="14"/>
  <c r="K1296" i="14"/>
  <c r="K1297" i="14"/>
  <c r="K1298" i="14"/>
  <c r="K1299" i="14"/>
  <c r="K1300" i="14"/>
  <c r="K1301" i="14"/>
  <c r="K1302" i="14"/>
  <c r="K1305" i="14"/>
  <c r="K1306" i="14"/>
  <c r="K1307" i="14"/>
  <c r="K1309"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C32" i="16"/>
  <c r="D32" i="16"/>
  <c r="C24" i="16"/>
  <c r="C95" i="16"/>
  <c r="D95" i="16"/>
  <c r="C75" i="16"/>
  <c r="D75" i="16"/>
  <c r="C81" i="16"/>
  <c r="D81" i="16"/>
  <c r="C27" i="16"/>
  <c r="D27" i="16"/>
  <c r="C49" i="16"/>
  <c r="D49" i="16"/>
  <c r="C50" i="16"/>
  <c r="D50" i="16"/>
  <c r="C76" i="16"/>
  <c r="D76" i="16"/>
  <c r="C31" i="16"/>
  <c r="D31" i="16"/>
  <c r="C34" i="16"/>
  <c r="D34" i="16"/>
  <c r="C35" i="16"/>
  <c r="D35" i="16"/>
  <c r="C108" i="16"/>
  <c r="D108" i="16"/>
  <c r="C109" i="16"/>
  <c r="D109" i="16"/>
  <c r="C74" i="16"/>
  <c r="D74" i="16"/>
  <c r="C87" i="16"/>
  <c r="D87" i="16"/>
  <c r="C89" i="16"/>
  <c r="D89" i="16"/>
  <c r="C28" i="16"/>
  <c r="D28" i="16"/>
  <c r="C39" i="16"/>
  <c r="D39" i="16"/>
  <c r="C46" i="16"/>
  <c r="D46" i="16"/>
  <c r="C71" i="16"/>
  <c r="D71" i="16"/>
  <c r="C73" i="16"/>
  <c r="D73" i="16"/>
  <c r="C97" i="16"/>
  <c r="D97" i="16"/>
  <c r="C29" i="16"/>
  <c r="D29" i="16"/>
  <c r="C47" i="16"/>
  <c r="D47" i="16"/>
  <c r="C55" i="16"/>
  <c r="D55" i="16"/>
  <c r="C40" i="16"/>
  <c r="D40" i="16"/>
  <c r="C53" i="16"/>
  <c r="D53" i="16"/>
  <c r="C59" i="16"/>
  <c r="D59" i="16"/>
  <c r="C62" i="16"/>
  <c r="D62" i="16"/>
  <c r="C65" i="16"/>
  <c r="D65" i="16"/>
  <c r="C67" i="16"/>
  <c r="D67" i="16"/>
  <c r="C77" i="16"/>
  <c r="D77" i="16"/>
  <c r="C93" i="16"/>
  <c r="D93" i="16"/>
  <c r="C101" i="16"/>
  <c r="D101" i="16"/>
  <c r="C104" i="16"/>
  <c r="D104" i="16"/>
  <c r="C106" i="16"/>
  <c r="D106" i="16"/>
  <c r="C30" i="16"/>
  <c r="D30" i="16"/>
  <c r="C99" i="16"/>
  <c r="D99" i="16"/>
  <c r="C41" i="16"/>
  <c r="D41" i="16"/>
  <c r="C48" i="16"/>
  <c r="D48" i="16"/>
  <c r="C98" i="16"/>
  <c r="D98" i="16"/>
  <c r="C54" i="16"/>
  <c r="D54" i="16"/>
  <c r="C56" i="16"/>
  <c r="D56" i="16"/>
  <c r="C68" i="16"/>
  <c r="D68" i="16"/>
  <c r="C103" i="16"/>
  <c r="D103" i="16"/>
  <c r="C105" i="16"/>
  <c r="D105" i="16"/>
  <c r="C107" i="16"/>
  <c r="D107" i="16"/>
  <c r="C111" i="16"/>
  <c r="D111" i="16"/>
  <c r="C85" i="16"/>
  <c r="D85" i="16"/>
  <c r="C86" i="16"/>
  <c r="D86" i="16"/>
  <c r="C42" i="16"/>
  <c r="D42" i="16"/>
  <c r="C33" i="16"/>
  <c r="D33" i="16"/>
  <c r="C84" i="16"/>
  <c r="D84" i="16"/>
  <c r="C100" i="16"/>
  <c r="D100" i="16"/>
  <c r="C69" i="16"/>
  <c r="D69" i="16"/>
  <c r="C25" i="16"/>
  <c r="D25" i="16"/>
  <c r="C37" i="16"/>
  <c r="D37" i="16"/>
  <c r="C44" i="16"/>
  <c r="D44" i="16"/>
  <c r="C51" i="16"/>
  <c r="D51" i="16"/>
  <c r="C91" i="16"/>
  <c r="D91" i="16"/>
  <c r="C26" i="16"/>
  <c r="D26" i="16"/>
  <c r="C38" i="16"/>
  <c r="D38" i="16"/>
  <c r="C45" i="16"/>
  <c r="D45" i="16"/>
  <c r="C80" i="16"/>
  <c r="D80" i="16"/>
  <c r="C92" i="16"/>
  <c r="D92" i="16"/>
  <c r="C36" i="16"/>
  <c r="D36" i="16"/>
  <c r="C118" i="16"/>
  <c r="D118" i="16"/>
  <c r="C119" i="16"/>
  <c r="D119" i="16"/>
  <c r="D23" i="16"/>
  <c r="C64" i="16"/>
  <c r="D64" i="16"/>
  <c r="C58" i="16"/>
  <c r="D58" i="16"/>
  <c r="C70" i="16"/>
  <c r="D70" i="16"/>
  <c r="C82" i="16"/>
  <c r="D82" i="16"/>
  <c r="C57" i="16"/>
  <c r="D57" i="16"/>
  <c r="C52" i="16"/>
  <c r="D52" i="16"/>
  <c r="C83" i="16"/>
  <c r="D83" i="16"/>
  <c r="C96" i="16"/>
  <c r="D96" i="16"/>
  <c r="C112" i="16"/>
  <c r="D112" i="16"/>
  <c r="C110" i="16"/>
  <c r="D110" i="16"/>
  <c r="C72" i="16"/>
  <c r="D72" i="16"/>
  <c r="C94" i="16"/>
  <c r="D94" i="16"/>
  <c r="C113" i="16"/>
  <c r="D113" i="16"/>
  <c r="C114" i="16"/>
  <c r="D114" i="16"/>
  <c r="C90" i="16"/>
  <c r="D90" i="16"/>
  <c r="C115" i="16"/>
  <c r="D115" i="16"/>
  <c r="C78" i="16"/>
  <c r="D78" i="16"/>
  <c r="C60" i="16"/>
  <c r="D60" i="16"/>
  <c r="C63" i="16"/>
  <c r="D63" i="16"/>
  <c r="C66" i="16"/>
  <c r="D66" i="16"/>
  <c r="C88" i="16"/>
  <c r="D88" i="16"/>
  <c r="C102" i="16"/>
  <c r="D102" i="16"/>
  <c r="C117" i="16"/>
  <c r="D117" i="16"/>
  <c r="C116" i="16"/>
  <c r="D116" i="16"/>
  <c r="C43" i="16"/>
  <c r="D43" i="16"/>
  <c r="C79" i="16"/>
  <c r="D79" i="16"/>
  <c r="C61" i="16"/>
  <c r="D61" i="16"/>
  <c r="H1115" i="14"/>
  <c r="G1116" i="14"/>
  <c r="H1116" i="14"/>
  <c r="H1117" i="14"/>
  <c r="H1118" i="14"/>
  <c r="G1119" i="14"/>
  <c r="H1119" i="14"/>
  <c r="H1120" i="14"/>
  <c r="G1121" i="14"/>
  <c r="H1121" i="14"/>
  <c r="G1122" i="14"/>
  <c r="H1122" i="14"/>
  <c r="G1123" i="14"/>
  <c r="H1123" i="14"/>
  <c r="G1124" i="14"/>
  <c r="H1124" i="14"/>
  <c r="H1125" i="14"/>
  <c r="G1126" i="14"/>
  <c r="H1126" i="14"/>
  <c r="H1127" i="14"/>
  <c r="G1128" i="14"/>
  <c r="H1128" i="14"/>
  <c r="G1129" i="14"/>
  <c r="H1129" i="14"/>
  <c r="G1130" i="14"/>
  <c r="H1130" i="14"/>
  <c r="H1131" i="14"/>
  <c r="H1132" i="14"/>
  <c r="G1133" i="14"/>
  <c r="H1133" i="14"/>
  <c r="G1134" i="14"/>
  <c r="H1134" i="14"/>
  <c r="G1135" i="14"/>
  <c r="H1135" i="14"/>
  <c r="G1136" i="14"/>
  <c r="H1136" i="14"/>
  <c r="G1137" i="14"/>
  <c r="H1137" i="14"/>
  <c r="G1138" i="14"/>
  <c r="H1138" i="14"/>
  <c r="G1139" i="14"/>
  <c r="H1139" i="14"/>
  <c r="G1140" i="14"/>
  <c r="H1140" i="14"/>
  <c r="G1141" i="14"/>
  <c r="H1141" i="14"/>
  <c r="H1142" i="14"/>
  <c r="G1143" i="14"/>
  <c r="H1143" i="14"/>
  <c r="G1144" i="14"/>
  <c r="H1144" i="14"/>
  <c r="H1145" i="14"/>
  <c r="H1146" i="14"/>
  <c r="H1147" i="14"/>
  <c r="G1148" i="14"/>
  <c r="H1148" i="14"/>
  <c r="G1149" i="14"/>
  <c r="H1149" i="14"/>
  <c r="H1150" i="14"/>
  <c r="G1151" i="14"/>
  <c r="H1151" i="14"/>
  <c r="G1152" i="14"/>
  <c r="H1152" i="14"/>
  <c r="G1153" i="14"/>
  <c r="H1153" i="14"/>
  <c r="G1154" i="14"/>
  <c r="H1154" i="14"/>
  <c r="H1155" i="14"/>
  <c r="G1156" i="14"/>
  <c r="H1156" i="14"/>
  <c r="G1157" i="14"/>
  <c r="H1157" i="14"/>
  <c r="G1158" i="14"/>
  <c r="H1158" i="14"/>
  <c r="G1159" i="14"/>
  <c r="H1159" i="14"/>
  <c r="G1160" i="14"/>
  <c r="H1160" i="14"/>
  <c r="G1161" i="14"/>
  <c r="H1161" i="14"/>
  <c r="G1162" i="14"/>
  <c r="H1162" i="14"/>
  <c r="G1163" i="14"/>
  <c r="H1163" i="14"/>
  <c r="G1164" i="14"/>
  <c r="H1164" i="14"/>
  <c r="H1165" i="14"/>
  <c r="H1166" i="14"/>
  <c r="H1167" i="14"/>
  <c r="H1168" i="14"/>
  <c r="H1169" i="14"/>
  <c r="H1170" i="14"/>
  <c r="G1171" i="14"/>
  <c r="H1171" i="14"/>
  <c r="G1172" i="14"/>
  <c r="H1172" i="14"/>
  <c r="G1173" i="14"/>
  <c r="H1173" i="14"/>
  <c r="G1174" i="14"/>
  <c r="H1174" i="14"/>
  <c r="G1175" i="14"/>
  <c r="H1175" i="14"/>
  <c r="G1176" i="14"/>
  <c r="H1176" i="14"/>
  <c r="G1177" i="14"/>
  <c r="H1177" i="14"/>
  <c r="G1178" i="14"/>
  <c r="H1178" i="14"/>
  <c r="G1179" i="14"/>
  <c r="H1179" i="14"/>
  <c r="G1180" i="14"/>
  <c r="H1180" i="14"/>
  <c r="G1181" i="14"/>
  <c r="H1181" i="14"/>
  <c r="H1182" i="14"/>
  <c r="G1183" i="14"/>
  <c r="H1183" i="14"/>
  <c r="G1184" i="14"/>
  <c r="H1184" i="14"/>
  <c r="G1185" i="14"/>
  <c r="H1185" i="14"/>
  <c r="G1186" i="14"/>
  <c r="H1186" i="14"/>
  <c r="G1187" i="14"/>
  <c r="H1187" i="14"/>
  <c r="G1188" i="14"/>
  <c r="H1188" i="14"/>
  <c r="H1189" i="14"/>
  <c r="G1190" i="14"/>
  <c r="H1190" i="14"/>
  <c r="H1191" i="14"/>
  <c r="G1192" i="14"/>
  <c r="H1192" i="14"/>
  <c r="G1193" i="14"/>
  <c r="H1193" i="14"/>
  <c r="G1194" i="14"/>
  <c r="H1194" i="14"/>
  <c r="G1195" i="14"/>
  <c r="H1195" i="14"/>
  <c r="G1196" i="14"/>
  <c r="H1196" i="14"/>
  <c r="G1197" i="14"/>
  <c r="H1197" i="14"/>
  <c r="G1198" i="14"/>
  <c r="H1198" i="14"/>
  <c r="G1199" i="14"/>
  <c r="H1199" i="14"/>
  <c r="G1200" i="14"/>
  <c r="H1200" i="14"/>
  <c r="G1201" i="14"/>
  <c r="H1201" i="14"/>
  <c r="H1202" i="14"/>
  <c r="H1203" i="14"/>
  <c r="G1204" i="14"/>
  <c r="H1204" i="14"/>
  <c r="G1205" i="14"/>
  <c r="H1205" i="14"/>
  <c r="G1206" i="14"/>
  <c r="H1206" i="14"/>
  <c r="G1207" i="14"/>
  <c r="H1207" i="14"/>
  <c r="H1208" i="14"/>
  <c r="G1209" i="14"/>
  <c r="H1209" i="14"/>
  <c r="G1210" i="14"/>
  <c r="H1210" i="14"/>
  <c r="G1211" i="14"/>
  <c r="H1211" i="14"/>
  <c r="H1212" i="14"/>
  <c r="H1213" i="14"/>
  <c r="G1214" i="14"/>
  <c r="H1214" i="14"/>
  <c r="G1215" i="14"/>
  <c r="H1215" i="14"/>
  <c r="H1216" i="14"/>
  <c r="H1217" i="14"/>
  <c r="G1218" i="14"/>
  <c r="H1218" i="14"/>
  <c r="H1219" i="14"/>
  <c r="G1220" i="14"/>
  <c r="H1220" i="14"/>
  <c r="G1221" i="14"/>
  <c r="H1221" i="14"/>
  <c r="G1222" i="14"/>
  <c r="H1222" i="14"/>
  <c r="G1223" i="14"/>
  <c r="H1223" i="14"/>
  <c r="G1224" i="14"/>
  <c r="G1225" i="14"/>
  <c r="H1225" i="14"/>
  <c r="G1226" i="14"/>
  <c r="H1226" i="14"/>
  <c r="H1227" i="14"/>
  <c r="H1228" i="14"/>
  <c r="H1229" i="14"/>
  <c r="H1230" i="14"/>
  <c r="H1231" i="14"/>
  <c r="H1232" i="14"/>
  <c r="H1233" i="14"/>
  <c r="H1234" i="14"/>
  <c r="H1235" i="14"/>
  <c r="H1236" i="14"/>
  <c r="H1237" i="14"/>
  <c r="H1238" i="14"/>
  <c r="H1239" i="14"/>
  <c r="G1240" i="14"/>
  <c r="H1240" i="14"/>
  <c r="G1241" i="14"/>
  <c r="H1241" i="14"/>
  <c r="G1242" i="14"/>
  <c r="H1242" i="14"/>
  <c r="G1244" i="14"/>
  <c r="H1244" i="14"/>
  <c r="G1245" i="14"/>
  <c r="H1245" i="14"/>
  <c r="G1246" i="14"/>
  <c r="H1246" i="14"/>
  <c r="H1247" i="14"/>
  <c r="G1248" i="14"/>
  <c r="G1249" i="14"/>
  <c r="H1249" i="14"/>
  <c r="G1250" i="14"/>
  <c r="H1250" i="14"/>
  <c r="G1251" i="14"/>
  <c r="H1251" i="14"/>
  <c r="G1252" i="14"/>
  <c r="H1252" i="14"/>
  <c r="H1253" i="14"/>
  <c r="G1254" i="14"/>
  <c r="H1254" i="14"/>
  <c r="G1255" i="14"/>
  <c r="H1255" i="14"/>
  <c r="G1256" i="14"/>
  <c r="H1256" i="14"/>
  <c r="G1257" i="14"/>
  <c r="H1257" i="14"/>
  <c r="H1258" i="14"/>
  <c r="G1259" i="14"/>
  <c r="H1259" i="14"/>
  <c r="G1260" i="14"/>
  <c r="H1260" i="14"/>
  <c r="G1261" i="14"/>
  <c r="H1261" i="14"/>
  <c r="G1262" i="14"/>
  <c r="H1262" i="14"/>
  <c r="G1263" i="14"/>
  <c r="H1263" i="14"/>
  <c r="H1264" i="14"/>
  <c r="G1265" i="14"/>
  <c r="H1265" i="14"/>
  <c r="G1266" i="14"/>
  <c r="H1266" i="14"/>
  <c r="G1267" i="14"/>
  <c r="H1267" i="14"/>
  <c r="G1268" i="14"/>
  <c r="H1268" i="14"/>
  <c r="G1269" i="14"/>
  <c r="H1269" i="14"/>
  <c r="G1270" i="14"/>
  <c r="H1270" i="14"/>
  <c r="H1271" i="14"/>
  <c r="G1272" i="14"/>
  <c r="H1272" i="14"/>
  <c r="G1273" i="14"/>
  <c r="H1273" i="14"/>
  <c r="G1274" i="14"/>
  <c r="H1274" i="14"/>
  <c r="G1275" i="14"/>
  <c r="H1275" i="14"/>
  <c r="G1276" i="14"/>
  <c r="H1276" i="14"/>
  <c r="G1277" i="14"/>
  <c r="H1277" i="14"/>
  <c r="G1278" i="14"/>
  <c r="H1278" i="14"/>
  <c r="G1279" i="14"/>
  <c r="H1279" i="14"/>
  <c r="G1280" i="14"/>
  <c r="H1280" i="14"/>
  <c r="G1281" i="14"/>
  <c r="H1281" i="14"/>
  <c r="G1282" i="14"/>
  <c r="H1282" i="14"/>
  <c r="G1283" i="14"/>
  <c r="H1283" i="14"/>
  <c r="G1284" i="14"/>
  <c r="H1284" i="14"/>
  <c r="G1285" i="14"/>
  <c r="H1285" i="14"/>
  <c r="G1286" i="14"/>
  <c r="H1286" i="14"/>
  <c r="G1287" i="14"/>
  <c r="H1287" i="14"/>
  <c r="G1288" i="14"/>
  <c r="H1288" i="14"/>
  <c r="G1289" i="14"/>
  <c r="H1289" i="14"/>
  <c r="G1290" i="14"/>
  <c r="H1290" i="14"/>
  <c r="G1291" i="14"/>
  <c r="H1291" i="14"/>
  <c r="G1292" i="14"/>
  <c r="H1292" i="14"/>
  <c r="G1293" i="14"/>
  <c r="H1293" i="14"/>
  <c r="H1294" i="14"/>
  <c r="G1295" i="14"/>
  <c r="H1295" i="14"/>
  <c r="G1296" i="14"/>
  <c r="H1296" i="14"/>
  <c r="G1297" i="14"/>
  <c r="H1297" i="14"/>
  <c r="G1298" i="14"/>
  <c r="H1298" i="14"/>
  <c r="H1299" i="14"/>
  <c r="G1300" i="14"/>
  <c r="H1300" i="14"/>
  <c r="G1301" i="14"/>
  <c r="H1301" i="14"/>
  <c r="H1302" i="14"/>
  <c r="G1303" i="14"/>
  <c r="H1303" i="14"/>
  <c r="G1304" i="14"/>
  <c r="H1304" i="14"/>
  <c r="G1305" i="14"/>
  <c r="H1305" i="14"/>
  <c r="G1306" i="14"/>
  <c r="H1306" i="14"/>
  <c r="H1307" i="14"/>
  <c r="G1308" i="14"/>
  <c r="H1308" i="14"/>
  <c r="H1309" i="14"/>
  <c r="G1310" i="14"/>
  <c r="H1310" i="14"/>
  <c r="G1311" i="14"/>
  <c r="H1311" i="14"/>
  <c r="G1312" i="14"/>
  <c r="H1312" i="14"/>
  <c r="G1313" i="14"/>
  <c r="H1313" i="14"/>
  <c r="G1314" i="14"/>
  <c r="H1314" i="14"/>
  <c r="G1315" i="14"/>
  <c r="H1315" i="14"/>
  <c r="G1316" i="14"/>
  <c r="H1316" i="14"/>
  <c r="H1317" i="14"/>
  <c r="G1318" i="14"/>
  <c r="H1318" i="14"/>
  <c r="G1319" i="14"/>
  <c r="H1319" i="14"/>
  <c r="G1320" i="14"/>
  <c r="H1320" i="14"/>
  <c r="G1321" i="14"/>
  <c r="H1321" i="14"/>
  <c r="G1322" i="14"/>
  <c r="H1322" i="14"/>
  <c r="G1323" i="14"/>
  <c r="H1323" i="14"/>
  <c r="H1324" i="14"/>
  <c r="H1325" i="14"/>
  <c r="G1326" i="14"/>
  <c r="H1326" i="14"/>
  <c r="G1327" i="14"/>
  <c r="H1327" i="14"/>
  <c r="G1328" i="14"/>
  <c r="H1328" i="14"/>
  <c r="G1329" i="14"/>
  <c r="H1329" i="14"/>
  <c r="G1330" i="14"/>
  <c r="H1330" i="14"/>
  <c r="G1331" i="14"/>
  <c r="H1331" i="14"/>
  <c r="G1332" i="14"/>
  <c r="H1332" i="14"/>
  <c r="G1333" i="14"/>
  <c r="H1333" i="14"/>
  <c r="H1334" i="14"/>
  <c r="G1335" i="14"/>
  <c r="H1335" i="14"/>
  <c r="G1336" i="14"/>
  <c r="H1336" i="14"/>
  <c r="G1337" i="14"/>
  <c r="H1337" i="14"/>
  <c r="H1338" i="14"/>
  <c r="G1339" i="14"/>
  <c r="H1339" i="14"/>
  <c r="G1340" i="14"/>
  <c r="H1340" i="14"/>
  <c r="G1341" i="14"/>
  <c r="H1341" i="14"/>
  <c r="G1342" i="14"/>
  <c r="H1342" i="14"/>
  <c r="H1343" i="14"/>
  <c r="G1344" i="14"/>
  <c r="H1344" i="14"/>
  <c r="G1345" i="14"/>
  <c r="H1345" i="14"/>
  <c r="G1346" i="14"/>
  <c r="H1346" i="14"/>
  <c r="G1347" i="14"/>
  <c r="H1347" i="14"/>
  <c r="G1348" i="14"/>
  <c r="H1348" i="14"/>
  <c r="G1349" i="14"/>
  <c r="H1349" i="14"/>
  <c r="G1350" i="14"/>
  <c r="H1350" i="14"/>
  <c r="G1351" i="14"/>
  <c r="H1351" i="14"/>
  <c r="G1352" i="14"/>
  <c r="H1352" i="14"/>
  <c r="H1353" i="14"/>
  <c r="G1354" i="14"/>
  <c r="H1354" i="14"/>
  <c r="G1355" i="14"/>
  <c r="H1355" i="14"/>
  <c r="G1356" i="14"/>
  <c r="H1356" i="14"/>
  <c r="G1357" i="14"/>
  <c r="H1357" i="14"/>
  <c r="G1358" i="14"/>
  <c r="H1358" i="14"/>
  <c r="G1359" i="14"/>
  <c r="H1359" i="14"/>
  <c r="G1360" i="14"/>
  <c r="H1360" i="14"/>
  <c r="H1361" i="14"/>
  <c r="G1362" i="14"/>
  <c r="H1362" i="14"/>
  <c r="G1363" i="14"/>
  <c r="H1363" i="14"/>
  <c r="G1364" i="14"/>
  <c r="H1364" i="14"/>
  <c r="H1365" i="14"/>
  <c r="H1366" i="14"/>
  <c r="G1367" i="14"/>
  <c r="H1367" i="14"/>
  <c r="G1368" i="14"/>
  <c r="H1368" i="14"/>
  <c r="G1369" i="14"/>
  <c r="H1369" i="14"/>
  <c r="G1370" i="14"/>
  <c r="H1370" i="14"/>
  <c r="G1371" i="14"/>
  <c r="H1371" i="14"/>
  <c r="G1372" i="14"/>
  <c r="H1372" i="14"/>
  <c r="G1373" i="14"/>
  <c r="H1373" i="14"/>
  <c r="G1374" i="14"/>
  <c r="H1374" i="14"/>
  <c r="H1375" i="14"/>
  <c r="G1376" i="14"/>
  <c r="H1376" i="14"/>
  <c r="G1377" i="14"/>
  <c r="H1377" i="14"/>
  <c r="G1378" i="14"/>
  <c r="H1378" i="14"/>
  <c r="G1379" i="14"/>
  <c r="H1379" i="14"/>
  <c r="G1380" i="14"/>
  <c r="H1380" i="14"/>
  <c r="G1381" i="14"/>
  <c r="H1381" i="14"/>
  <c r="G1382" i="14"/>
  <c r="H1382" i="14"/>
  <c r="G1383" i="14"/>
  <c r="H1383" i="14"/>
  <c r="G1384" i="14"/>
  <c r="H1384" i="14"/>
  <c r="G1385" i="14"/>
  <c r="H1385" i="14"/>
  <c r="G1386" i="14"/>
  <c r="H1386" i="14"/>
  <c r="G1387" i="14"/>
  <c r="H1387" i="14"/>
  <c r="G1388" i="14"/>
  <c r="H1388" i="14"/>
  <c r="G1389" i="14"/>
  <c r="H1389" i="14"/>
  <c r="G1390" i="14"/>
  <c r="H1390" i="14"/>
  <c r="G1391" i="14"/>
  <c r="H1391" i="14"/>
  <c r="G1392" i="14"/>
  <c r="H1392" i="14"/>
  <c r="G1393" i="14"/>
  <c r="H1393" i="14"/>
  <c r="G1394" i="14"/>
  <c r="H1394" i="14"/>
  <c r="G1395" i="14"/>
  <c r="H1395" i="14"/>
  <c r="G1396" i="14"/>
  <c r="H1396" i="14"/>
  <c r="G1397" i="14"/>
  <c r="H1397" i="14"/>
  <c r="G1398" i="14"/>
  <c r="H1398" i="14"/>
  <c r="G1399" i="14"/>
  <c r="H1399" i="14"/>
  <c r="G1400" i="14"/>
  <c r="H1400" i="14"/>
  <c r="G1401" i="14"/>
  <c r="H1401" i="14"/>
  <c r="G1402" i="14"/>
  <c r="H1402" i="14"/>
  <c r="G1403" i="14"/>
  <c r="H1403" i="14"/>
  <c r="G1404" i="14"/>
  <c r="H1404" i="14"/>
  <c r="G1405" i="14"/>
  <c r="H1405" i="14"/>
  <c r="G1406" i="14"/>
  <c r="H1406" i="14"/>
  <c r="H1407" i="14"/>
  <c r="G1408" i="14"/>
  <c r="H1408" i="14"/>
  <c r="G1409" i="14"/>
  <c r="H1409" i="14"/>
  <c r="G1410" i="14"/>
  <c r="H1410" i="14"/>
  <c r="H1411" i="14"/>
  <c r="G1412" i="14"/>
  <c r="H1412" i="14"/>
  <c r="G1413" i="14"/>
  <c r="H1413" i="14"/>
  <c r="G1414" i="14"/>
  <c r="H1414" i="14"/>
  <c r="G1415" i="14"/>
  <c r="H1415" i="14"/>
  <c r="G1416" i="14"/>
  <c r="H1416" i="14"/>
  <c r="H1417" i="14"/>
  <c r="G1418" i="14"/>
  <c r="H1418" i="14"/>
  <c r="G1419" i="14"/>
  <c r="H1419" i="14"/>
  <c r="G1420" i="14"/>
  <c r="H1420" i="14"/>
  <c r="G1421" i="14"/>
  <c r="H1421" i="14"/>
  <c r="G1422" i="14"/>
  <c r="H1422" i="14"/>
  <c r="G1423" i="14"/>
  <c r="H1423" i="14"/>
  <c r="G1424" i="14"/>
  <c r="H1424" i="14"/>
  <c r="G1425" i="14"/>
  <c r="H1425" i="14"/>
  <c r="G1426" i="14"/>
  <c r="H1426" i="14"/>
  <c r="G1427" i="14"/>
  <c r="H1427" i="14"/>
  <c r="G1428" i="14"/>
  <c r="H1428" i="14"/>
  <c r="H1429" i="14"/>
  <c r="H1430" i="14"/>
  <c r="H1431" i="14"/>
  <c r="H1432" i="14"/>
  <c r="H1433" i="14"/>
  <c r="G1434" i="14"/>
  <c r="H1434" i="14"/>
  <c r="G1435" i="14"/>
  <c r="H1435" i="14"/>
  <c r="G1436" i="14"/>
  <c r="H1436" i="14"/>
  <c r="G1437" i="14"/>
  <c r="H1437" i="14"/>
  <c r="G1438" i="14"/>
  <c r="H1438" i="14"/>
  <c r="G1439" i="14"/>
  <c r="H1439" i="14"/>
  <c r="G1440" i="14"/>
  <c r="H1440" i="14"/>
  <c r="G1441" i="14"/>
  <c r="H1441" i="14"/>
  <c r="G1442" i="14"/>
  <c r="H1442" i="14"/>
  <c r="G1443" i="14"/>
  <c r="H1443" i="14"/>
  <c r="G1444" i="14"/>
  <c r="H1444" i="14"/>
  <c r="H1445" i="14"/>
  <c r="G1446" i="14"/>
  <c r="H1446" i="14"/>
  <c r="G1447" i="14"/>
  <c r="H1447" i="14"/>
  <c r="G1448" i="14"/>
  <c r="H1448" i="14"/>
  <c r="G1449" i="14"/>
  <c r="H1449" i="14"/>
  <c r="G1450" i="14"/>
  <c r="H1450" i="14"/>
  <c r="G1451" i="14"/>
  <c r="H1451" i="14"/>
  <c r="G1452" i="14"/>
  <c r="H1452" i="14"/>
  <c r="G1453" i="14"/>
  <c r="H1453" i="14"/>
  <c r="G1454" i="14"/>
  <c r="H1454" i="14"/>
  <c r="H1455" i="14"/>
  <c r="G1456" i="14"/>
  <c r="H1456" i="14"/>
  <c r="H1457" i="14"/>
  <c r="G1458" i="14"/>
  <c r="H1458" i="14"/>
  <c r="G1459" i="14"/>
  <c r="H1459" i="14"/>
  <c r="G1460" i="14"/>
  <c r="H1460" i="14"/>
  <c r="G1461" i="14"/>
  <c r="H1461" i="14"/>
  <c r="G1462" i="14"/>
  <c r="H1462" i="14"/>
  <c r="G1463" i="14"/>
  <c r="H1463" i="14"/>
  <c r="G1464" i="14"/>
  <c r="H1464" i="14"/>
  <c r="G1465" i="14"/>
  <c r="H1465" i="14"/>
  <c r="G1466" i="14"/>
  <c r="H1466" i="14"/>
  <c r="G1467" i="14"/>
  <c r="H1467" i="14"/>
  <c r="H1468" i="14"/>
  <c r="G1469" i="14"/>
  <c r="H1469"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115" i="14"/>
  <c r="B1116" i="14"/>
  <c r="B1117" i="14"/>
  <c r="A3" i="17"/>
  <c r="E3" i="17"/>
  <c r="F3" i="17"/>
  <c r="G3" i="17"/>
  <c r="H3" i="17"/>
  <c r="I3" i="17"/>
  <c r="A4" i="17"/>
  <c r="E4" i="17"/>
  <c r="F4" i="17"/>
  <c r="G4" i="17"/>
  <c r="H4" i="17"/>
  <c r="I4" i="17"/>
  <c r="A5" i="17"/>
  <c r="E5" i="17"/>
  <c r="F5" i="17"/>
  <c r="G5" i="17"/>
  <c r="H5" i="17"/>
  <c r="I5" i="17"/>
  <c r="A6" i="17"/>
  <c r="E6" i="17"/>
  <c r="F6" i="17"/>
  <c r="G6" i="17"/>
  <c r="H6" i="17"/>
  <c r="I6" i="17"/>
  <c r="A7" i="17"/>
  <c r="E7" i="17"/>
  <c r="F7" i="17"/>
  <c r="G7" i="17"/>
  <c r="H7" i="17"/>
  <c r="I7" i="17"/>
  <c r="A8" i="17"/>
  <c r="E8" i="17"/>
  <c r="F8" i="17"/>
  <c r="G8" i="17"/>
  <c r="H8" i="17"/>
  <c r="I8" i="17"/>
  <c r="A9" i="17"/>
  <c r="E9" i="17"/>
  <c r="F9" i="17"/>
  <c r="G9" i="17"/>
  <c r="H9" i="17"/>
  <c r="I9" i="17"/>
  <c r="A10" i="17"/>
  <c r="E10" i="17"/>
  <c r="F10" i="17"/>
  <c r="G10" i="17"/>
  <c r="H10" i="17"/>
  <c r="I10" i="17"/>
  <c r="A11" i="17"/>
  <c r="E11" i="17"/>
  <c r="F11" i="17"/>
  <c r="G11" i="17"/>
  <c r="H11" i="17"/>
  <c r="I11" i="17"/>
  <c r="A12" i="17"/>
  <c r="E12" i="17"/>
  <c r="F12" i="17"/>
  <c r="G12" i="17"/>
  <c r="H12" i="17"/>
  <c r="I12" i="17"/>
  <c r="A13" i="17"/>
  <c r="E13" i="17"/>
  <c r="F13" i="17"/>
  <c r="G13" i="17"/>
  <c r="H13" i="17"/>
  <c r="I13" i="17"/>
  <c r="A14" i="17"/>
  <c r="E14" i="17"/>
  <c r="F14" i="17"/>
  <c r="G14" i="17"/>
  <c r="H14" i="17"/>
  <c r="I14" i="17"/>
  <c r="A15" i="17"/>
  <c r="E15" i="17"/>
  <c r="F15" i="17"/>
  <c r="G15" i="17"/>
  <c r="H15" i="17"/>
  <c r="I15" i="17"/>
  <c r="A16" i="17"/>
  <c r="E16" i="17"/>
  <c r="F16" i="17"/>
  <c r="G16" i="17"/>
  <c r="H16" i="17"/>
  <c r="I16" i="17"/>
  <c r="A17" i="17"/>
  <c r="E17" i="17"/>
  <c r="F17" i="17"/>
  <c r="G17" i="17"/>
  <c r="H17" i="17"/>
  <c r="I17" i="17"/>
  <c r="A18" i="17"/>
  <c r="E18" i="17"/>
  <c r="F18" i="17"/>
  <c r="G18" i="17"/>
  <c r="H18" i="17"/>
  <c r="I18" i="17"/>
  <c r="A19" i="17"/>
  <c r="E19" i="17"/>
  <c r="F19" i="17"/>
  <c r="G19" i="17"/>
  <c r="H19" i="17"/>
  <c r="I19" i="17"/>
  <c r="A20" i="17"/>
  <c r="E20" i="17"/>
  <c r="F20" i="17"/>
  <c r="G20" i="17"/>
  <c r="H20" i="17"/>
  <c r="I20" i="17"/>
  <c r="A21" i="17"/>
  <c r="E21" i="17"/>
  <c r="F21" i="17"/>
  <c r="G21" i="17"/>
  <c r="H21" i="17"/>
  <c r="I21" i="17"/>
  <c r="A22" i="17"/>
  <c r="E22" i="17"/>
  <c r="F22" i="17"/>
  <c r="G22" i="17"/>
  <c r="H22" i="17"/>
  <c r="I22" i="17"/>
  <c r="A23" i="17"/>
  <c r="E23" i="17"/>
  <c r="F23" i="17"/>
  <c r="G23" i="17"/>
  <c r="H23" i="17"/>
  <c r="I23" i="17"/>
  <c r="A24" i="17"/>
  <c r="E24" i="17"/>
  <c r="F24" i="17"/>
  <c r="G24" i="17"/>
  <c r="H24" i="17"/>
  <c r="I24" i="17"/>
  <c r="A25" i="17"/>
  <c r="E25" i="17"/>
  <c r="F25" i="17"/>
  <c r="G25" i="17"/>
  <c r="H25" i="17"/>
  <c r="I25" i="17"/>
  <c r="A26" i="17"/>
  <c r="E26" i="17"/>
  <c r="F26" i="17"/>
  <c r="G26" i="17"/>
  <c r="H26" i="17"/>
  <c r="I26" i="17"/>
  <c r="A27" i="17"/>
  <c r="E27" i="17"/>
  <c r="F27" i="17"/>
  <c r="G27" i="17"/>
  <c r="H27" i="17"/>
  <c r="I27" i="17"/>
  <c r="A28" i="17"/>
  <c r="E28" i="17"/>
  <c r="F28" i="17"/>
  <c r="G28" i="17"/>
  <c r="H28" i="17"/>
  <c r="I28" i="17"/>
  <c r="A29" i="17"/>
  <c r="E29" i="17"/>
  <c r="F29" i="17"/>
  <c r="G29" i="17"/>
  <c r="H29" i="17"/>
  <c r="I29" i="17"/>
  <c r="A30" i="17"/>
  <c r="E30" i="17"/>
  <c r="F30" i="17"/>
  <c r="G30" i="17"/>
  <c r="H30" i="17"/>
  <c r="I30" i="17"/>
  <c r="A31" i="17"/>
  <c r="E31" i="17"/>
  <c r="F31" i="17"/>
  <c r="G31" i="17"/>
  <c r="H31" i="17"/>
  <c r="I31" i="17"/>
  <c r="A32" i="17"/>
  <c r="E32" i="17"/>
  <c r="F32" i="17"/>
  <c r="G32" i="17"/>
  <c r="H32" i="17"/>
  <c r="I32" i="17"/>
  <c r="A33" i="17"/>
  <c r="E33" i="17"/>
  <c r="F33" i="17"/>
  <c r="G33" i="17"/>
  <c r="H33" i="17"/>
  <c r="I33" i="17"/>
  <c r="A34" i="17"/>
  <c r="E34" i="17"/>
  <c r="F34" i="17"/>
  <c r="G34" i="17"/>
  <c r="H34" i="17"/>
  <c r="I34" i="17"/>
  <c r="A35" i="17"/>
  <c r="E35" i="17"/>
  <c r="F35" i="17"/>
  <c r="G35" i="17"/>
  <c r="H35" i="17"/>
  <c r="I35" i="17"/>
  <c r="A36" i="17"/>
  <c r="E36" i="17"/>
  <c r="F36" i="17"/>
  <c r="G36" i="17"/>
  <c r="H36" i="17"/>
  <c r="I36" i="17"/>
  <c r="A37" i="17"/>
  <c r="E37" i="17"/>
  <c r="F37" i="17"/>
  <c r="G37" i="17"/>
  <c r="H37" i="17"/>
  <c r="I37" i="17"/>
  <c r="A38" i="17"/>
  <c r="E38" i="17"/>
  <c r="F38" i="17"/>
  <c r="G38" i="17"/>
  <c r="H38" i="17"/>
  <c r="I38" i="17"/>
  <c r="A39" i="17"/>
  <c r="E39" i="17"/>
  <c r="F39" i="17"/>
  <c r="G39" i="17"/>
  <c r="H39" i="17"/>
  <c r="I39" i="17"/>
  <c r="A40" i="17"/>
  <c r="E40" i="17"/>
  <c r="F40" i="17"/>
  <c r="G40" i="17"/>
  <c r="H40" i="17"/>
  <c r="I40" i="17"/>
  <c r="A41" i="17"/>
  <c r="E41" i="17"/>
  <c r="F41" i="17"/>
  <c r="G41" i="17"/>
  <c r="H41" i="17"/>
  <c r="I41" i="17"/>
  <c r="A42" i="17"/>
  <c r="E42" i="17"/>
  <c r="F42" i="17"/>
  <c r="G42" i="17"/>
  <c r="H42" i="17"/>
  <c r="I42" i="17"/>
  <c r="A43" i="17"/>
  <c r="E43" i="17"/>
  <c r="F43" i="17"/>
  <c r="G43" i="17"/>
  <c r="H43" i="17"/>
  <c r="I43" i="17"/>
  <c r="A44" i="17"/>
  <c r="E44" i="17"/>
  <c r="F44" i="17"/>
  <c r="G44" i="17"/>
  <c r="H44" i="17"/>
  <c r="I44" i="17"/>
  <c r="A45" i="17"/>
  <c r="E45" i="17"/>
  <c r="F45" i="17"/>
  <c r="G45" i="17"/>
  <c r="H45" i="17"/>
  <c r="I45" i="17"/>
  <c r="A46" i="17"/>
  <c r="E46" i="17"/>
  <c r="F46" i="17"/>
  <c r="G46" i="17"/>
  <c r="H46" i="17"/>
  <c r="I46" i="17"/>
  <c r="A47" i="17"/>
  <c r="E47" i="17"/>
  <c r="F47" i="17"/>
  <c r="G47" i="17"/>
  <c r="H47" i="17"/>
  <c r="I47" i="17"/>
  <c r="A48" i="17"/>
  <c r="E48" i="17"/>
  <c r="F48" i="17"/>
  <c r="G48" i="17"/>
  <c r="H48" i="17"/>
  <c r="I48" i="17"/>
  <c r="A49" i="17"/>
  <c r="E49" i="17"/>
  <c r="F49" i="17"/>
  <c r="G49" i="17"/>
  <c r="H49" i="17"/>
  <c r="I49" i="17"/>
  <c r="A50" i="17"/>
  <c r="E50" i="17"/>
  <c r="F50" i="17"/>
  <c r="G50" i="17"/>
  <c r="H50" i="17"/>
  <c r="I50" i="17"/>
  <c r="A51" i="17"/>
  <c r="E51" i="17"/>
  <c r="F51" i="17"/>
  <c r="G51" i="17"/>
  <c r="H51" i="17"/>
  <c r="I51" i="17"/>
  <c r="A52" i="17"/>
  <c r="E52" i="17"/>
  <c r="F52" i="17"/>
  <c r="G52" i="17"/>
  <c r="H52" i="17"/>
  <c r="I52" i="17"/>
  <c r="A53" i="17"/>
  <c r="E53" i="17"/>
  <c r="F53" i="17"/>
  <c r="G53" i="17"/>
  <c r="H53" i="17"/>
  <c r="I53" i="17"/>
  <c r="A54" i="17"/>
  <c r="E54" i="17"/>
  <c r="F54" i="17"/>
  <c r="G54" i="17"/>
  <c r="H54" i="17"/>
  <c r="I54" i="17"/>
  <c r="A55" i="17"/>
  <c r="E55" i="17"/>
  <c r="F55" i="17"/>
  <c r="G55" i="17"/>
  <c r="H55" i="17"/>
  <c r="I55" i="17"/>
  <c r="A56" i="17"/>
  <c r="E56" i="17"/>
  <c r="F56" i="17"/>
  <c r="G56" i="17"/>
  <c r="H56" i="17"/>
  <c r="I56" i="17"/>
  <c r="A57" i="17"/>
  <c r="E57" i="17"/>
  <c r="F57" i="17"/>
  <c r="G57" i="17"/>
  <c r="H57" i="17"/>
  <c r="I57" i="17"/>
  <c r="A58" i="17"/>
  <c r="E58" i="17"/>
  <c r="F58" i="17"/>
  <c r="G58" i="17"/>
  <c r="H58" i="17"/>
  <c r="I58" i="17"/>
  <c r="A59" i="17"/>
  <c r="E59" i="17"/>
  <c r="F59" i="17"/>
  <c r="G59" i="17"/>
  <c r="H59" i="17"/>
  <c r="I59" i="17"/>
  <c r="A60" i="17"/>
  <c r="E60" i="17"/>
  <c r="F60" i="17"/>
  <c r="G60" i="17"/>
  <c r="H60" i="17"/>
  <c r="I60" i="17"/>
  <c r="A61" i="17"/>
  <c r="E61" i="17"/>
  <c r="F61" i="17"/>
  <c r="G61" i="17"/>
  <c r="H61" i="17"/>
  <c r="I61" i="17"/>
  <c r="A62" i="17"/>
  <c r="E62" i="17"/>
  <c r="F62" i="17"/>
  <c r="G62" i="17"/>
  <c r="H62" i="17"/>
  <c r="I62" i="17"/>
  <c r="A63" i="17"/>
  <c r="E63" i="17"/>
  <c r="F63" i="17"/>
  <c r="G63" i="17"/>
  <c r="H63" i="17"/>
  <c r="I63" i="17"/>
  <c r="A64" i="17"/>
  <c r="E64" i="17"/>
  <c r="F64" i="17"/>
  <c r="G64" i="17"/>
  <c r="H64" i="17"/>
  <c r="I64" i="17"/>
  <c r="A65" i="17"/>
  <c r="E65" i="17"/>
  <c r="F65" i="17"/>
  <c r="G65" i="17"/>
  <c r="H65" i="17"/>
  <c r="I65" i="17"/>
  <c r="A66" i="17"/>
  <c r="E66" i="17"/>
  <c r="F66" i="17"/>
  <c r="G66" i="17"/>
  <c r="H66" i="17"/>
  <c r="I66" i="17"/>
  <c r="A67" i="17"/>
  <c r="E67" i="17"/>
  <c r="F67" i="17"/>
  <c r="G67" i="17"/>
  <c r="H67" i="17"/>
  <c r="I67" i="17"/>
  <c r="A68" i="17"/>
  <c r="E68" i="17"/>
  <c r="F68" i="17"/>
  <c r="G68" i="17"/>
  <c r="H68" i="17"/>
  <c r="I68" i="17"/>
  <c r="A69" i="17"/>
  <c r="E69" i="17"/>
  <c r="F69" i="17"/>
  <c r="G69" i="17"/>
  <c r="H69" i="17"/>
  <c r="I69" i="17"/>
  <c r="A70" i="17"/>
  <c r="E70" i="17"/>
  <c r="F70" i="17"/>
  <c r="G70" i="17"/>
  <c r="H70" i="17"/>
  <c r="I70" i="17"/>
  <c r="A71" i="17"/>
  <c r="E71" i="17"/>
  <c r="F71" i="17"/>
  <c r="G71" i="17"/>
  <c r="H71" i="17"/>
  <c r="I71" i="17"/>
  <c r="A72" i="17"/>
  <c r="E72" i="17"/>
  <c r="F72" i="17"/>
  <c r="G72" i="17"/>
  <c r="H72" i="17"/>
  <c r="I72" i="17"/>
  <c r="A73" i="17"/>
  <c r="E73" i="17"/>
  <c r="F73" i="17"/>
  <c r="G73" i="17"/>
  <c r="H73" i="17"/>
  <c r="I73" i="17"/>
  <c r="A74" i="17"/>
  <c r="E74" i="17"/>
  <c r="F74" i="17"/>
  <c r="G74" i="17"/>
  <c r="H74" i="17"/>
  <c r="I74" i="17"/>
  <c r="A75" i="17"/>
  <c r="E75" i="17"/>
  <c r="F75" i="17"/>
  <c r="G75" i="17"/>
  <c r="H75" i="17"/>
  <c r="I75" i="17"/>
  <c r="A76" i="17"/>
  <c r="E76" i="17"/>
  <c r="F76" i="17"/>
  <c r="G76" i="17"/>
  <c r="H76" i="17"/>
  <c r="I76" i="17"/>
  <c r="A77" i="17"/>
  <c r="E77" i="17"/>
  <c r="F77" i="17"/>
  <c r="G77" i="17"/>
  <c r="H77" i="17"/>
  <c r="I77" i="17"/>
  <c r="A78" i="17"/>
  <c r="E78" i="17"/>
  <c r="F78" i="17"/>
  <c r="G78" i="17"/>
  <c r="H78" i="17"/>
  <c r="I78" i="17"/>
  <c r="A79" i="17"/>
  <c r="E79" i="17"/>
  <c r="F79" i="17"/>
  <c r="G79" i="17"/>
  <c r="H79" i="17"/>
  <c r="I79" i="17"/>
  <c r="A80" i="17"/>
  <c r="E80" i="17"/>
  <c r="F80" i="17"/>
  <c r="G80" i="17"/>
  <c r="H80" i="17"/>
  <c r="I80" i="17"/>
  <c r="A81" i="17"/>
  <c r="E81" i="17"/>
  <c r="F81" i="17"/>
  <c r="G81" i="17"/>
  <c r="H81" i="17"/>
  <c r="I81" i="17"/>
  <c r="A82" i="17"/>
  <c r="B82" i="17"/>
  <c r="E82" i="17"/>
  <c r="F82" i="17"/>
  <c r="G82" i="17"/>
  <c r="H82" i="17"/>
  <c r="I82" i="17"/>
  <c r="A83" i="17"/>
  <c r="E83" i="17"/>
  <c r="F83" i="17"/>
  <c r="G83" i="17"/>
  <c r="H83" i="17"/>
  <c r="I83" i="17"/>
  <c r="A84" i="17"/>
  <c r="E84" i="17"/>
  <c r="F84" i="17"/>
  <c r="G84" i="17"/>
  <c r="H84" i="17"/>
  <c r="I84" i="17"/>
  <c r="A85" i="17"/>
  <c r="E85" i="17"/>
  <c r="F85" i="17"/>
  <c r="G85" i="17"/>
  <c r="H85" i="17"/>
  <c r="I85" i="17"/>
  <c r="A86" i="17"/>
  <c r="E86" i="17"/>
  <c r="F86" i="17"/>
  <c r="G86" i="17"/>
  <c r="H86" i="17"/>
  <c r="I86" i="17"/>
  <c r="A87" i="17"/>
  <c r="E87" i="17"/>
  <c r="F87" i="17"/>
  <c r="G87" i="17"/>
  <c r="H87" i="17"/>
  <c r="I87" i="17"/>
  <c r="A88" i="17"/>
  <c r="E88" i="17"/>
  <c r="F88" i="17"/>
  <c r="G88" i="17"/>
  <c r="H88" i="17"/>
  <c r="I88" i="17"/>
  <c r="A89" i="17"/>
  <c r="E89" i="17"/>
  <c r="F89" i="17"/>
  <c r="G89" i="17"/>
  <c r="H89" i="17"/>
  <c r="I89" i="17"/>
  <c r="A90" i="17"/>
  <c r="E90" i="17"/>
  <c r="F90" i="17"/>
  <c r="G90" i="17"/>
  <c r="H90" i="17"/>
  <c r="I90" i="17"/>
  <c r="A91" i="17"/>
  <c r="E91" i="17"/>
  <c r="F91" i="17"/>
  <c r="G91" i="17"/>
  <c r="H91" i="17"/>
  <c r="I91" i="17"/>
  <c r="A92" i="17"/>
  <c r="E92" i="17"/>
  <c r="F92" i="17"/>
  <c r="G92" i="17"/>
  <c r="H92" i="17"/>
  <c r="I92" i="17"/>
  <c r="A93" i="17"/>
  <c r="E93" i="17"/>
  <c r="F93" i="17"/>
  <c r="G93" i="17"/>
  <c r="H93" i="17"/>
  <c r="I93" i="17"/>
  <c r="A94" i="17"/>
  <c r="E94" i="17"/>
  <c r="F94" i="17"/>
  <c r="G94" i="17"/>
  <c r="H94" i="17"/>
  <c r="I94" i="17"/>
  <c r="A95" i="17"/>
  <c r="E95" i="17"/>
  <c r="F95" i="17"/>
  <c r="G95" i="17"/>
  <c r="H95" i="17"/>
  <c r="I95" i="17"/>
  <c r="A96" i="17"/>
  <c r="E96" i="17"/>
  <c r="F96" i="17"/>
  <c r="G96" i="17"/>
  <c r="H96" i="17"/>
  <c r="I96" i="17"/>
  <c r="A97" i="17"/>
  <c r="E97" i="17"/>
  <c r="F97" i="17"/>
  <c r="G97" i="17"/>
  <c r="H97" i="17"/>
  <c r="I97" i="17"/>
  <c r="A98" i="17"/>
  <c r="E98" i="17"/>
  <c r="F98" i="17"/>
  <c r="G98" i="17"/>
  <c r="H98" i="17"/>
  <c r="I98" i="17"/>
  <c r="A99" i="17"/>
  <c r="E99" i="17"/>
  <c r="F99" i="17"/>
  <c r="G99" i="17"/>
  <c r="H99" i="17"/>
  <c r="I99" i="17"/>
  <c r="A100" i="17"/>
  <c r="E100" i="17"/>
  <c r="F100" i="17"/>
  <c r="G100" i="17"/>
  <c r="H100" i="17"/>
  <c r="I100" i="17"/>
  <c r="A101" i="17"/>
  <c r="E101" i="17"/>
  <c r="F101" i="17"/>
  <c r="G101" i="17"/>
  <c r="H101" i="17"/>
  <c r="I101" i="17"/>
  <c r="A102" i="17"/>
  <c r="E102" i="17"/>
  <c r="F102" i="17"/>
  <c r="G102" i="17"/>
  <c r="H102" i="17"/>
  <c r="I102" i="17"/>
  <c r="A103" i="17"/>
  <c r="E103" i="17"/>
  <c r="F103" i="17"/>
  <c r="G103" i="17"/>
  <c r="H103" i="17"/>
  <c r="I103" i="17"/>
  <c r="A104" i="17"/>
  <c r="E104" i="17"/>
  <c r="F104" i="17"/>
  <c r="G104" i="17"/>
  <c r="H104" i="17"/>
  <c r="I104" i="17"/>
  <c r="A105" i="17"/>
  <c r="E105" i="17"/>
  <c r="F105" i="17"/>
  <c r="G105" i="17"/>
  <c r="H105" i="17"/>
  <c r="I105" i="17"/>
  <c r="A106" i="17"/>
  <c r="E106" i="17"/>
  <c r="F106" i="17"/>
  <c r="G106" i="17"/>
  <c r="H106" i="17"/>
  <c r="I106" i="17"/>
  <c r="A107" i="17"/>
  <c r="E107" i="17"/>
  <c r="F107" i="17"/>
  <c r="G107" i="17"/>
  <c r="H107" i="17"/>
  <c r="I107" i="17"/>
  <c r="A108" i="17"/>
  <c r="E108" i="17"/>
  <c r="F108" i="17"/>
  <c r="G108" i="17"/>
  <c r="H108" i="17"/>
  <c r="I108" i="17"/>
  <c r="A109" i="17"/>
  <c r="E109" i="17"/>
  <c r="F109" i="17"/>
  <c r="G109" i="17"/>
  <c r="H109" i="17"/>
  <c r="I109" i="17"/>
  <c r="A110" i="17"/>
  <c r="E110" i="17"/>
  <c r="F110" i="17"/>
  <c r="G110" i="17"/>
  <c r="H110" i="17"/>
  <c r="I110" i="17"/>
  <c r="A111" i="17"/>
  <c r="E111" i="17"/>
  <c r="F111" i="17"/>
  <c r="G111" i="17"/>
  <c r="H111" i="17"/>
  <c r="I111" i="17"/>
  <c r="A112" i="17"/>
  <c r="E112" i="17"/>
  <c r="F112" i="17"/>
  <c r="G112" i="17"/>
  <c r="H112" i="17"/>
  <c r="I112" i="17"/>
  <c r="A113" i="17"/>
  <c r="E113" i="17"/>
  <c r="F113" i="17"/>
  <c r="G113" i="17"/>
  <c r="H113" i="17"/>
  <c r="I113" i="17"/>
  <c r="A114" i="17"/>
  <c r="E114" i="17"/>
  <c r="F114" i="17"/>
  <c r="G114" i="17"/>
  <c r="H114" i="17"/>
  <c r="I114" i="17"/>
  <c r="A115" i="17"/>
  <c r="E115" i="17"/>
  <c r="F115" i="17"/>
  <c r="G115" i="17"/>
  <c r="H115" i="17"/>
  <c r="I115" i="17"/>
  <c r="A116" i="17"/>
  <c r="E116" i="17"/>
  <c r="F116" i="17"/>
  <c r="G116" i="17"/>
  <c r="H116" i="17"/>
  <c r="I116" i="17"/>
  <c r="A117" i="17"/>
  <c r="E117" i="17"/>
  <c r="F117" i="17"/>
  <c r="G117" i="17"/>
  <c r="H117" i="17"/>
  <c r="I117" i="17"/>
  <c r="A118" i="17"/>
  <c r="E118" i="17"/>
  <c r="F118" i="17"/>
  <c r="G118" i="17"/>
  <c r="H118" i="17"/>
  <c r="I118" i="17"/>
  <c r="A119" i="17"/>
  <c r="E119" i="17"/>
  <c r="F119" i="17"/>
  <c r="G119" i="17"/>
  <c r="H119" i="17"/>
  <c r="I119" i="17"/>
  <c r="A120" i="17"/>
  <c r="E120" i="17"/>
  <c r="F120" i="17"/>
  <c r="G120" i="17"/>
  <c r="H120" i="17"/>
  <c r="I120" i="17"/>
  <c r="A121" i="17"/>
  <c r="E121" i="17"/>
  <c r="F121" i="17"/>
  <c r="G121" i="17"/>
  <c r="H121" i="17"/>
  <c r="I121" i="17"/>
  <c r="A122" i="17"/>
  <c r="E122" i="17"/>
  <c r="F122" i="17"/>
  <c r="G122" i="17"/>
  <c r="H122" i="17"/>
  <c r="I122" i="17"/>
  <c r="A123" i="17"/>
  <c r="E123" i="17"/>
  <c r="F123" i="17"/>
  <c r="G123" i="17"/>
  <c r="H123" i="17"/>
  <c r="I123" i="17"/>
  <c r="A124" i="17"/>
  <c r="E124" i="17"/>
  <c r="F124" i="17"/>
  <c r="G124" i="17"/>
  <c r="H124" i="17"/>
  <c r="I124" i="17"/>
  <c r="A125" i="17"/>
  <c r="E125" i="17"/>
  <c r="F125" i="17"/>
  <c r="G125" i="17"/>
  <c r="H125" i="17"/>
  <c r="I125" i="17"/>
  <c r="A126" i="17"/>
  <c r="E126" i="17"/>
  <c r="F126" i="17"/>
  <c r="G126" i="17"/>
  <c r="H126" i="17"/>
  <c r="I126" i="17"/>
  <c r="A127" i="17"/>
  <c r="E127" i="17"/>
  <c r="F127" i="17"/>
  <c r="G127" i="17"/>
  <c r="H127" i="17"/>
  <c r="I127" i="17"/>
  <c r="A128" i="17"/>
  <c r="E128" i="17"/>
  <c r="F128" i="17"/>
  <c r="G128" i="17"/>
  <c r="H128" i="17"/>
  <c r="I128" i="17"/>
  <c r="A129" i="17"/>
  <c r="E129" i="17"/>
  <c r="F129" i="17"/>
  <c r="G129" i="17"/>
  <c r="H129" i="17"/>
  <c r="I129" i="17"/>
  <c r="A130" i="17"/>
  <c r="E130" i="17"/>
  <c r="F130" i="17"/>
  <c r="G130" i="17"/>
  <c r="H130" i="17"/>
  <c r="I130" i="17"/>
  <c r="A131" i="17"/>
  <c r="E131" i="17"/>
  <c r="F131" i="17"/>
  <c r="G131" i="17"/>
  <c r="H131" i="17"/>
  <c r="I131" i="17"/>
  <c r="A132" i="17"/>
  <c r="E132" i="17"/>
  <c r="F132" i="17"/>
  <c r="G132" i="17"/>
  <c r="H132" i="17"/>
  <c r="I132" i="17"/>
  <c r="A133" i="17"/>
  <c r="E133" i="17"/>
  <c r="F133" i="17"/>
  <c r="G133" i="17"/>
  <c r="H133" i="17"/>
  <c r="I133" i="17"/>
  <c r="A134" i="17"/>
  <c r="E134" i="17"/>
  <c r="F134" i="17"/>
  <c r="G134" i="17"/>
  <c r="H134" i="17"/>
  <c r="I134" i="17"/>
  <c r="A135" i="17"/>
  <c r="E135" i="17"/>
  <c r="F135" i="17"/>
  <c r="G135" i="17"/>
  <c r="H135" i="17"/>
  <c r="I135" i="17"/>
  <c r="A136" i="17"/>
  <c r="E136" i="17"/>
  <c r="F136" i="17"/>
  <c r="G136" i="17"/>
  <c r="H136" i="17"/>
  <c r="I136" i="17"/>
  <c r="A137" i="17"/>
  <c r="E137" i="17"/>
  <c r="F137" i="17"/>
  <c r="G137" i="17"/>
  <c r="H137" i="17"/>
  <c r="I137" i="17"/>
  <c r="A138" i="17"/>
  <c r="E138" i="17"/>
  <c r="F138" i="17"/>
  <c r="G138" i="17"/>
  <c r="H138" i="17"/>
  <c r="I138" i="17"/>
  <c r="A139" i="17"/>
  <c r="E139" i="17"/>
  <c r="F139" i="17"/>
  <c r="G139" i="17"/>
  <c r="H139" i="17"/>
  <c r="I139" i="17"/>
  <c r="A140" i="17"/>
  <c r="E140" i="17"/>
  <c r="F140" i="17"/>
  <c r="G140" i="17"/>
  <c r="H140" i="17"/>
  <c r="I140" i="17"/>
  <c r="A141" i="17"/>
  <c r="E141" i="17"/>
  <c r="F141" i="17"/>
  <c r="G141" i="17"/>
  <c r="H141" i="17"/>
  <c r="I141" i="17"/>
  <c r="A142" i="17"/>
  <c r="E142" i="17"/>
  <c r="F142" i="17"/>
  <c r="G142" i="17"/>
  <c r="H142" i="17"/>
  <c r="I142" i="17"/>
  <c r="A143" i="17"/>
  <c r="E143" i="17"/>
  <c r="F143" i="17"/>
  <c r="G143" i="17"/>
  <c r="H143" i="17"/>
  <c r="I143" i="17"/>
  <c r="A144" i="17"/>
  <c r="E144" i="17"/>
  <c r="F144" i="17"/>
  <c r="G144" i="17"/>
  <c r="H144" i="17"/>
  <c r="I144" i="17"/>
  <c r="A145" i="17"/>
  <c r="E145" i="17"/>
  <c r="F145" i="17"/>
  <c r="G145" i="17"/>
  <c r="H145" i="17"/>
  <c r="I145" i="17"/>
  <c r="A146" i="17"/>
  <c r="E146" i="17"/>
  <c r="F146" i="17"/>
  <c r="G146" i="17"/>
  <c r="H146" i="17"/>
  <c r="I146" i="17"/>
  <c r="A147" i="17"/>
  <c r="E147" i="17"/>
  <c r="F147" i="17"/>
  <c r="G147" i="17"/>
  <c r="H147" i="17"/>
  <c r="I147" i="17"/>
  <c r="A148" i="17"/>
  <c r="E148" i="17"/>
  <c r="F148" i="17"/>
  <c r="G148" i="17"/>
  <c r="H148" i="17"/>
  <c r="I148" i="17"/>
  <c r="A149" i="17"/>
  <c r="E149" i="17"/>
  <c r="F149" i="17"/>
  <c r="G149" i="17"/>
  <c r="H149" i="17"/>
  <c r="I149" i="17"/>
  <c r="A150" i="17"/>
  <c r="E150" i="17"/>
  <c r="F150" i="17"/>
  <c r="G150" i="17"/>
  <c r="H150" i="17"/>
  <c r="I150" i="17"/>
  <c r="A151" i="17"/>
  <c r="E151" i="17"/>
  <c r="F151" i="17"/>
  <c r="G151" i="17"/>
  <c r="H151" i="17"/>
  <c r="I151" i="17"/>
  <c r="A152" i="17"/>
  <c r="E152" i="17"/>
  <c r="F152" i="17"/>
  <c r="G152" i="17"/>
  <c r="H152" i="17"/>
  <c r="I152" i="17"/>
  <c r="A153" i="17"/>
  <c r="E153" i="17"/>
  <c r="F153" i="17"/>
  <c r="G153" i="17"/>
  <c r="H153" i="17"/>
  <c r="I153" i="17"/>
  <c r="A154" i="17"/>
  <c r="E154" i="17"/>
  <c r="F154" i="17"/>
  <c r="G154" i="17"/>
  <c r="H154" i="17"/>
  <c r="I154" i="17"/>
  <c r="A155" i="17"/>
  <c r="E155" i="17"/>
  <c r="F155" i="17"/>
  <c r="G155" i="17"/>
  <c r="H155" i="17"/>
  <c r="I155" i="17"/>
  <c r="A156" i="17"/>
  <c r="E156" i="17"/>
  <c r="F156" i="17"/>
  <c r="G156" i="17"/>
  <c r="H156" i="17"/>
  <c r="I156" i="17"/>
  <c r="A157" i="17"/>
  <c r="E157" i="17"/>
  <c r="F157" i="17"/>
  <c r="G157" i="17"/>
  <c r="H157" i="17"/>
  <c r="I157" i="17"/>
  <c r="A158" i="17"/>
  <c r="E158" i="17"/>
  <c r="F158" i="17"/>
  <c r="G158" i="17"/>
  <c r="H158" i="17"/>
  <c r="I158" i="17"/>
  <c r="A159" i="17"/>
  <c r="E159" i="17"/>
  <c r="F159" i="17"/>
  <c r="G159" i="17"/>
  <c r="H159" i="17"/>
  <c r="I159" i="17"/>
  <c r="A160" i="17"/>
  <c r="E160" i="17"/>
  <c r="F160" i="17"/>
  <c r="G160" i="17"/>
  <c r="H160" i="17"/>
  <c r="I160" i="17"/>
  <c r="A161" i="17"/>
  <c r="E161" i="17"/>
  <c r="F161" i="17"/>
  <c r="G161" i="17"/>
  <c r="H161" i="17"/>
  <c r="I161" i="17"/>
  <c r="A162" i="17"/>
  <c r="E162" i="17"/>
  <c r="F162" i="17"/>
  <c r="G162" i="17"/>
  <c r="H162" i="17"/>
  <c r="I162" i="17"/>
  <c r="A163" i="17"/>
  <c r="E163" i="17"/>
  <c r="F163" i="17"/>
  <c r="G163" i="17"/>
  <c r="H163" i="17"/>
  <c r="I163" i="17"/>
  <c r="A164" i="17"/>
  <c r="E164" i="17"/>
  <c r="F164" i="17"/>
  <c r="G164" i="17"/>
  <c r="H164" i="17"/>
  <c r="I164" i="17"/>
  <c r="A165" i="17"/>
  <c r="E165" i="17"/>
  <c r="F165" i="17"/>
  <c r="G165" i="17"/>
  <c r="H165" i="17"/>
  <c r="I165" i="17"/>
  <c r="A166" i="17"/>
  <c r="E166" i="17"/>
  <c r="F166" i="17"/>
  <c r="G166" i="17"/>
  <c r="H166" i="17"/>
  <c r="I166" i="17"/>
  <c r="A167" i="17"/>
  <c r="E167" i="17"/>
  <c r="F167" i="17"/>
  <c r="G167" i="17"/>
  <c r="H167" i="17"/>
  <c r="I167" i="17"/>
  <c r="A168" i="17"/>
  <c r="E168" i="17"/>
  <c r="F168" i="17"/>
  <c r="G168" i="17"/>
  <c r="H168" i="17"/>
  <c r="I168" i="17"/>
  <c r="A169" i="17"/>
  <c r="E169" i="17"/>
  <c r="F169" i="17"/>
  <c r="G169" i="17"/>
  <c r="H169" i="17"/>
  <c r="I169" i="17"/>
  <c r="A170" i="17"/>
  <c r="E170" i="17"/>
  <c r="F170" i="17"/>
  <c r="G170" i="17"/>
  <c r="H170" i="17"/>
  <c r="I170" i="17"/>
  <c r="A171" i="17"/>
  <c r="E171" i="17"/>
  <c r="F171" i="17"/>
  <c r="G171" i="17"/>
  <c r="H171" i="17"/>
  <c r="I171" i="17"/>
  <c r="A172" i="17"/>
  <c r="E172" i="17"/>
  <c r="F172" i="17"/>
  <c r="G172" i="17"/>
  <c r="H172" i="17"/>
  <c r="I172" i="17"/>
  <c r="A173" i="17"/>
  <c r="E173" i="17"/>
  <c r="F173" i="17"/>
  <c r="G173" i="17"/>
  <c r="H173" i="17"/>
  <c r="I173" i="17"/>
  <c r="A174" i="17"/>
  <c r="E174" i="17"/>
  <c r="F174" i="17"/>
  <c r="G174" i="17"/>
  <c r="H174" i="17"/>
  <c r="I174" i="17"/>
  <c r="A175" i="17"/>
  <c r="E175" i="17"/>
  <c r="F175" i="17"/>
  <c r="G175" i="17"/>
  <c r="H175" i="17"/>
  <c r="I175" i="17"/>
  <c r="A176" i="17"/>
  <c r="E176" i="17"/>
  <c r="F176" i="17"/>
  <c r="G176" i="17"/>
  <c r="H176" i="17"/>
  <c r="I176" i="17"/>
  <c r="A177" i="17"/>
  <c r="E177" i="17"/>
  <c r="F177" i="17"/>
  <c r="G177" i="17"/>
  <c r="H177" i="17"/>
  <c r="I177" i="17"/>
  <c r="A178" i="17"/>
  <c r="E178" i="17"/>
  <c r="F178" i="17"/>
  <c r="G178" i="17"/>
  <c r="H178" i="17"/>
  <c r="I178" i="17"/>
  <c r="A179" i="17"/>
  <c r="E179" i="17"/>
  <c r="F179" i="17"/>
  <c r="G179" i="17"/>
  <c r="H179" i="17"/>
  <c r="I179" i="17"/>
  <c r="A180" i="17"/>
  <c r="E180" i="17"/>
  <c r="F180" i="17"/>
  <c r="G180" i="17"/>
  <c r="H180" i="17"/>
  <c r="I180" i="17"/>
  <c r="A181" i="17"/>
  <c r="E181" i="17"/>
  <c r="F181" i="17"/>
  <c r="G181" i="17"/>
  <c r="H181" i="17"/>
  <c r="I181" i="17"/>
  <c r="A182" i="17"/>
  <c r="E182" i="17"/>
  <c r="F182" i="17"/>
  <c r="G182" i="17"/>
  <c r="H182" i="17"/>
  <c r="I182" i="17"/>
  <c r="A183" i="17"/>
  <c r="E183" i="17"/>
  <c r="F183" i="17"/>
  <c r="G183" i="17"/>
  <c r="H183" i="17"/>
  <c r="I183" i="17"/>
  <c r="A184" i="17"/>
  <c r="E184" i="17"/>
  <c r="F184" i="17"/>
  <c r="G184" i="17"/>
  <c r="H184" i="17"/>
  <c r="I184" i="17"/>
  <c r="A185" i="17"/>
  <c r="E185" i="17"/>
  <c r="F185" i="17"/>
  <c r="G185" i="17"/>
  <c r="H185" i="17"/>
  <c r="I185" i="17"/>
  <c r="A186" i="17"/>
  <c r="E186" i="17"/>
  <c r="F186" i="17"/>
  <c r="G186" i="17"/>
  <c r="H186" i="17"/>
  <c r="I186" i="17"/>
  <c r="A187" i="17"/>
  <c r="E187" i="17"/>
  <c r="F187" i="17"/>
  <c r="G187" i="17"/>
  <c r="H187" i="17"/>
  <c r="I187" i="17"/>
  <c r="A188" i="17"/>
  <c r="E188" i="17"/>
  <c r="F188" i="17"/>
  <c r="G188" i="17"/>
  <c r="H188" i="17"/>
  <c r="I188" i="17"/>
  <c r="A189" i="17"/>
  <c r="E189" i="17"/>
  <c r="F189" i="17"/>
  <c r="G189" i="17"/>
  <c r="H189" i="17"/>
  <c r="I189" i="17"/>
  <c r="A190" i="17"/>
  <c r="E190" i="17"/>
  <c r="F190" i="17"/>
  <c r="G190" i="17"/>
  <c r="H190" i="17"/>
  <c r="I190" i="17"/>
  <c r="A191" i="17"/>
  <c r="E191" i="17"/>
  <c r="F191" i="17"/>
  <c r="G191" i="17"/>
  <c r="H191" i="17"/>
  <c r="I191" i="17"/>
  <c r="A192" i="17"/>
  <c r="E192" i="17"/>
  <c r="F192" i="17"/>
  <c r="G192" i="17"/>
  <c r="H192" i="17"/>
  <c r="I192" i="17"/>
  <c r="A193" i="17"/>
  <c r="E193" i="17"/>
  <c r="F193" i="17"/>
  <c r="G193" i="17"/>
  <c r="H193" i="17"/>
  <c r="I193" i="17"/>
  <c r="A194" i="17"/>
  <c r="E194" i="17"/>
  <c r="F194" i="17"/>
  <c r="G194" i="17"/>
  <c r="H194" i="17"/>
  <c r="I194" i="17"/>
  <c r="A195" i="17"/>
  <c r="E195" i="17"/>
  <c r="F195" i="17"/>
  <c r="G195" i="17"/>
  <c r="H195" i="17"/>
  <c r="I195" i="17"/>
  <c r="A196" i="17"/>
  <c r="E196" i="17"/>
  <c r="F196" i="17"/>
  <c r="G196" i="17"/>
  <c r="H196" i="17"/>
  <c r="I196" i="17"/>
  <c r="A197" i="17"/>
  <c r="E197" i="17"/>
  <c r="F197" i="17"/>
  <c r="G197" i="17"/>
  <c r="H197" i="17"/>
  <c r="I197" i="17"/>
  <c r="A198" i="17"/>
  <c r="E198" i="17"/>
  <c r="F198" i="17"/>
  <c r="G198" i="17"/>
  <c r="H198" i="17"/>
  <c r="I198" i="17"/>
  <c r="A199" i="17"/>
  <c r="E199" i="17"/>
  <c r="F199" i="17"/>
  <c r="G199" i="17"/>
  <c r="H199" i="17"/>
  <c r="I199" i="17"/>
  <c r="A200" i="17"/>
  <c r="E200" i="17"/>
  <c r="F200" i="17"/>
  <c r="G200" i="17"/>
  <c r="H200" i="17"/>
  <c r="I200" i="17"/>
  <c r="A201" i="17"/>
  <c r="E201" i="17"/>
  <c r="F201" i="17"/>
  <c r="G201" i="17"/>
  <c r="H201" i="17"/>
  <c r="I201" i="17"/>
  <c r="A202" i="17"/>
  <c r="E202" i="17"/>
  <c r="F202" i="17"/>
  <c r="G202" i="17"/>
  <c r="H202" i="17"/>
  <c r="I202" i="17"/>
  <c r="A203" i="17"/>
  <c r="E203" i="17"/>
  <c r="F203" i="17"/>
  <c r="G203" i="17"/>
  <c r="H203" i="17"/>
  <c r="I203" i="17"/>
  <c r="A204" i="17"/>
  <c r="E204" i="17"/>
  <c r="F204" i="17"/>
  <c r="G204" i="17"/>
  <c r="H204" i="17"/>
  <c r="I204" i="17"/>
  <c r="A205" i="17"/>
  <c r="E205" i="17"/>
  <c r="F205" i="17"/>
  <c r="G205" i="17"/>
  <c r="H205" i="17"/>
  <c r="I205" i="17"/>
  <c r="A206" i="17"/>
  <c r="E206" i="17"/>
  <c r="F206" i="17"/>
  <c r="G206" i="17"/>
  <c r="H206" i="17"/>
  <c r="I206" i="17"/>
  <c r="A207" i="17"/>
  <c r="E207" i="17"/>
  <c r="F207" i="17"/>
  <c r="G207" i="17"/>
  <c r="H207" i="17"/>
  <c r="I207" i="17"/>
  <c r="A208" i="17"/>
  <c r="E208" i="17"/>
  <c r="F208" i="17"/>
  <c r="G208" i="17"/>
  <c r="H208" i="17"/>
  <c r="I208" i="17"/>
  <c r="A209" i="17"/>
  <c r="E209" i="17"/>
  <c r="F209" i="17"/>
  <c r="G209" i="17"/>
  <c r="H209" i="17"/>
  <c r="I209" i="17"/>
  <c r="A210" i="17"/>
  <c r="E210" i="17"/>
  <c r="F210" i="17"/>
  <c r="G210" i="17"/>
  <c r="H210" i="17"/>
  <c r="I210" i="17"/>
  <c r="A211" i="17"/>
  <c r="E211" i="17"/>
  <c r="F211" i="17"/>
  <c r="G211" i="17"/>
  <c r="H211" i="17"/>
  <c r="I211" i="17"/>
  <c r="A212" i="17"/>
  <c r="E212" i="17"/>
  <c r="F212" i="17"/>
  <c r="G212" i="17"/>
  <c r="H212" i="17"/>
  <c r="I212" i="17"/>
  <c r="A213" i="17"/>
  <c r="E213" i="17"/>
  <c r="F213" i="17"/>
  <c r="G213" i="17"/>
  <c r="H213" i="17"/>
  <c r="I213" i="17"/>
  <c r="A214" i="17"/>
  <c r="E214" i="17"/>
  <c r="F214" i="17"/>
  <c r="G214" i="17"/>
  <c r="H214" i="17"/>
  <c r="I214" i="17"/>
  <c r="A215" i="17"/>
  <c r="E215" i="17"/>
  <c r="F215" i="17"/>
  <c r="G215" i="17"/>
  <c r="H215" i="17"/>
  <c r="I215" i="17"/>
  <c r="A216" i="17"/>
  <c r="E216" i="17"/>
  <c r="F216" i="17"/>
  <c r="G216" i="17"/>
  <c r="H216" i="17"/>
  <c r="I216" i="17"/>
  <c r="A217" i="17"/>
  <c r="E217" i="17"/>
  <c r="F217" i="17"/>
  <c r="G217" i="17"/>
  <c r="H217" i="17"/>
  <c r="I217" i="17"/>
  <c r="A218" i="17"/>
  <c r="E218" i="17"/>
  <c r="F218" i="17"/>
  <c r="G218" i="17"/>
  <c r="H218" i="17"/>
  <c r="I218" i="17"/>
  <c r="A219" i="17"/>
  <c r="E219" i="17"/>
  <c r="F219" i="17"/>
  <c r="G219" i="17"/>
  <c r="H219" i="17"/>
  <c r="I219" i="17"/>
  <c r="A220" i="17"/>
  <c r="E220" i="17"/>
  <c r="F220" i="17"/>
  <c r="G220" i="17"/>
  <c r="H220" i="17"/>
  <c r="I220" i="17"/>
  <c r="A221" i="17"/>
  <c r="E221" i="17"/>
  <c r="F221" i="17"/>
  <c r="G221" i="17"/>
  <c r="H221" i="17"/>
  <c r="I221" i="17"/>
  <c r="A222" i="17"/>
  <c r="E222" i="17"/>
  <c r="F222" i="17"/>
  <c r="G222" i="17"/>
  <c r="H222" i="17"/>
  <c r="I222" i="17"/>
  <c r="A223" i="17"/>
  <c r="E223" i="17"/>
  <c r="F223" i="17"/>
  <c r="G223" i="17"/>
  <c r="H223" i="17"/>
  <c r="I223" i="17"/>
  <c r="A224" i="17"/>
  <c r="E224" i="17"/>
  <c r="F224" i="17"/>
  <c r="G224" i="17"/>
  <c r="H224" i="17"/>
  <c r="I224" i="17"/>
  <c r="A225" i="17"/>
  <c r="E225" i="17"/>
  <c r="F225" i="17"/>
  <c r="G225" i="17"/>
  <c r="H225" i="17"/>
  <c r="I225" i="17"/>
  <c r="A226" i="17"/>
  <c r="E226" i="17"/>
  <c r="F226" i="17"/>
  <c r="G226" i="17"/>
  <c r="H226" i="17"/>
  <c r="I226" i="17"/>
  <c r="A227" i="17"/>
  <c r="E227" i="17"/>
  <c r="F227" i="17"/>
  <c r="G227" i="17"/>
  <c r="H227" i="17"/>
  <c r="I227" i="17"/>
  <c r="A228" i="17"/>
  <c r="E228" i="17"/>
  <c r="F228" i="17"/>
  <c r="G228" i="17"/>
  <c r="H228" i="17"/>
  <c r="I228" i="17"/>
  <c r="A229" i="17"/>
  <c r="E229" i="17"/>
  <c r="F229" i="17"/>
  <c r="G229" i="17"/>
  <c r="H229" i="17"/>
  <c r="I229" i="17"/>
  <c r="A230" i="17"/>
  <c r="E230" i="17"/>
  <c r="F230" i="17"/>
  <c r="G230" i="17"/>
  <c r="H230" i="17"/>
  <c r="I230" i="17"/>
  <c r="A231" i="17"/>
  <c r="E231" i="17"/>
  <c r="F231" i="17"/>
  <c r="G231" i="17"/>
  <c r="H231" i="17"/>
  <c r="I231" i="17"/>
  <c r="A232" i="17"/>
  <c r="E232" i="17"/>
  <c r="F232" i="17"/>
  <c r="G232" i="17"/>
  <c r="H232" i="17"/>
  <c r="I232" i="17"/>
  <c r="A233" i="17"/>
  <c r="E233" i="17"/>
  <c r="F233" i="17"/>
  <c r="G233" i="17"/>
  <c r="H233" i="17"/>
  <c r="I233" i="17"/>
  <c r="A234" i="17"/>
  <c r="E234" i="17"/>
  <c r="F234" i="17"/>
  <c r="G234" i="17"/>
  <c r="H234" i="17"/>
  <c r="I234" i="17"/>
  <c r="A235" i="17"/>
  <c r="E235" i="17"/>
  <c r="F235" i="17"/>
  <c r="G235" i="17"/>
  <c r="H235" i="17"/>
  <c r="I235" i="17"/>
  <c r="A236" i="17"/>
  <c r="E236" i="17"/>
  <c r="F236" i="17"/>
  <c r="G236" i="17"/>
  <c r="H236" i="17"/>
  <c r="I236" i="17"/>
  <c r="A237" i="17"/>
  <c r="E237" i="17"/>
  <c r="F237" i="17"/>
  <c r="G237" i="17"/>
  <c r="H237" i="17"/>
  <c r="I237" i="17"/>
  <c r="A238" i="17"/>
  <c r="E238" i="17"/>
  <c r="F238" i="17"/>
  <c r="G238" i="17"/>
  <c r="H238" i="17"/>
  <c r="I238" i="17"/>
  <c r="A239" i="17"/>
  <c r="E239" i="17"/>
  <c r="F239" i="17"/>
  <c r="G239" i="17"/>
  <c r="H239" i="17"/>
  <c r="I239" i="17"/>
  <c r="A240" i="17"/>
  <c r="E240" i="17"/>
  <c r="F240" i="17"/>
  <c r="G240" i="17"/>
  <c r="H240" i="17"/>
  <c r="I240" i="17"/>
  <c r="A241" i="17"/>
  <c r="E241" i="17"/>
  <c r="F241" i="17"/>
  <c r="G241" i="17"/>
  <c r="H241" i="17"/>
  <c r="I241" i="17"/>
  <c r="A242" i="17"/>
  <c r="E242" i="17"/>
  <c r="F242" i="17"/>
  <c r="G242" i="17"/>
  <c r="H242" i="17"/>
  <c r="I242" i="17"/>
  <c r="A243" i="17"/>
  <c r="E243" i="17"/>
  <c r="F243" i="17"/>
  <c r="G243" i="17"/>
  <c r="H243" i="17"/>
  <c r="I243" i="17"/>
  <c r="A244" i="17"/>
  <c r="E244" i="17"/>
  <c r="F244" i="17"/>
  <c r="G244" i="17"/>
  <c r="H244" i="17"/>
  <c r="I244" i="17"/>
  <c r="A245" i="17"/>
  <c r="E245" i="17"/>
  <c r="F245" i="17"/>
  <c r="G245" i="17"/>
  <c r="H245" i="17"/>
  <c r="I245" i="17"/>
  <c r="A246" i="17"/>
  <c r="E246" i="17"/>
  <c r="F246" i="17"/>
  <c r="G246" i="17"/>
  <c r="H246" i="17"/>
  <c r="I246" i="17"/>
  <c r="A247" i="17"/>
  <c r="E247" i="17"/>
  <c r="F247" i="17"/>
  <c r="G247" i="17"/>
  <c r="H247" i="17"/>
  <c r="I247" i="17"/>
  <c r="A248" i="17"/>
  <c r="E248" i="17"/>
  <c r="F248" i="17"/>
  <c r="G248" i="17"/>
  <c r="H248" i="17"/>
  <c r="I248" i="17"/>
  <c r="A249" i="17"/>
  <c r="E249" i="17"/>
  <c r="F249" i="17"/>
  <c r="G249" i="17"/>
  <c r="H249" i="17"/>
  <c r="I249" i="17"/>
  <c r="A250" i="17"/>
  <c r="E250" i="17"/>
  <c r="F250" i="17"/>
  <c r="G250" i="17"/>
  <c r="H250" i="17"/>
  <c r="I250" i="17"/>
  <c r="A251" i="17"/>
  <c r="E251" i="17"/>
  <c r="F251" i="17"/>
  <c r="G251" i="17"/>
  <c r="H251" i="17"/>
  <c r="I251" i="17"/>
  <c r="A252" i="17"/>
  <c r="E252" i="17"/>
  <c r="F252" i="17"/>
  <c r="G252" i="17"/>
  <c r="H252" i="17"/>
  <c r="I252" i="17"/>
  <c r="A253" i="17"/>
  <c r="E253" i="17"/>
  <c r="F253" i="17"/>
  <c r="G253" i="17"/>
  <c r="H253" i="17"/>
  <c r="I253" i="17"/>
  <c r="A254" i="17"/>
  <c r="E254" i="17"/>
  <c r="F254" i="17"/>
  <c r="G254" i="17"/>
  <c r="H254" i="17"/>
  <c r="I254" i="17"/>
  <c r="A255" i="17"/>
  <c r="E255" i="17"/>
  <c r="F255" i="17"/>
  <c r="G255" i="17"/>
  <c r="H255" i="17"/>
  <c r="I255" i="17"/>
  <c r="A256" i="17"/>
  <c r="E256" i="17"/>
  <c r="F256" i="17"/>
  <c r="G256" i="17"/>
  <c r="H256" i="17"/>
  <c r="I256" i="17"/>
  <c r="A257" i="17"/>
  <c r="E257" i="17"/>
  <c r="F257" i="17"/>
  <c r="G257" i="17"/>
  <c r="H257" i="17"/>
  <c r="I257" i="17"/>
  <c r="A258" i="17"/>
  <c r="E258" i="17"/>
  <c r="F258" i="17"/>
  <c r="G258" i="17"/>
  <c r="H258" i="17"/>
  <c r="I258" i="17"/>
  <c r="A259" i="17"/>
  <c r="E259" i="17"/>
  <c r="F259" i="17"/>
  <c r="G259" i="17"/>
  <c r="H259" i="17"/>
  <c r="I259" i="17"/>
  <c r="A260" i="17"/>
  <c r="E260" i="17"/>
  <c r="F260" i="17"/>
  <c r="G260" i="17"/>
  <c r="H260" i="17"/>
  <c r="I260" i="17"/>
  <c r="A261" i="17"/>
  <c r="E261" i="17"/>
  <c r="F261" i="17"/>
  <c r="G261" i="17"/>
  <c r="H261" i="17"/>
  <c r="I261" i="17"/>
  <c r="A262" i="17"/>
  <c r="E262" i="17"/>
  <c r="F262" i="17"/>
  <c r="G262" i="17"/>
  <c r="H262" i="17"/>
  <c r="I262" i="17"/>
  <c r="A263" i="17"/>
  <c r="E263" i="17"/>
  <c r="F263" i="17"/>
  <c r="G263" i="17"/>
  <c r="H263" i="17"/>
  <c r="I263" i="17"/>
  <c r="A264" i="17"/>
  <c r="E264" i="17"/>
  <c r="F264" i="17"/>
  <c r="G264" i="17"/>
  <c r="H264" i="17"/>
  <c r="I264" i="17"/>
  <c r="A265" i="17"/>
  <c r="E265" i="17"/>
  <c r="F265" i="17"/>
  <c r="G265" i="17"/>
  <c r="H265" i="17"/>
  <c r="I265" i="17"/>
  <c r="A266" i="17"/>
  <c r="E266" i="17"/>
  <c r="F266" i="17"/>
  <c r="G266" i="17"/>
  <c r="H266" i="17"/>
  <c r="I266" i="17"/>
  <c r="A267" i="17"/>
  <c r="E267" i="17"/>
  <c r="F267" i="17"/>
  <c r="G267" i="17"/>
  <c r="H267" i="17"/>
  <c r="I267" i="17"/>
  <c r="A268" i="17"/>
  <c r="E268" i="17"/>
  <c r="F268" i="17"/>
  <c r="G268" i="17"/>
  <c r="H268" i="17"/>
  <c r="I268" i="17"/>
  <c r="A269" i="17"/>
  <c r="E269" i="17"/>
  <c r="F269" i="17"/>
  <c r="G269" i="17"/>
  <c r="H269" i="17"/>
  <c r="I269" i="17"/>
  <c r="A270" i="17"/>
  <c r="E270" i="17"/>
  <c r="F270" i="17"/>
  <c r="G270" i="17"/>
  <c r="H270" i="17"/>
  <c r="I270" i="17"/>
  <c r="A271" i="17"/>
  <c r="E271" i="17"/>
  <c r="F271" i="17"/>
  <c r="G271" i="17"/>
  <c r="H271" i="17"/>
  <c r="I271" i="17"/>
  <c r="A272" i="17"/>
  <c r="E272" i="17"/>
  <c r="F272" i="17"/>
  <c r="G272" i="17"/>
  <c r="H272" i="17"/>
  <c r="I272" i="17"/>
  <c r="A273" i="17"/>
  <c r="E273" i="17"/>
  <c r="F273" i="17"/>
  <c r="G273" i="17"/>
  <c r="H273" i="17"/>
  <c r="I273" i="17"/>
  <c r="A274" i="17"/>
  <c r="E274" i="17"/>
  <c r="F274" i="17"/>
  <c r="G274" i="17"/>
  <c r="H274" i="17"/>
  <c r="I274" i="17"/>
  <c r="A275" i="17"/>
  <c r="E275" i="17"/>
  <c r="F275" i="17"/>
  <c r="G275" i="17"/>
  <c r="H275" i="17"/>
  <c r="I275" i="17"/>
  <c r="A276" i="17"/>
  <c r="E276" i="17"/>
  <c r="F276" i="17"/>
  <c r="G276" i="17"/>
  <c r="H276" i="17"/>
  <c r="I276" i="17"/>
  <c r="A277" i="17"/>
  <c r="E277" i="17"/>
  <c r="F277" i="17"/>
  <c r="G277" i="17"/>
  <c r="H277" i="17"/>
  <c r="I277" i="17"/>
  <c r="A278" i="17"/>
  <c r="E278" i="17"/>
  <c r="F278" i="17"/>
  <c r="G278" i="17"/>
  <c r="H278" i="17"/>
  <c r="I278" i="17"/>
  <c r="A279" i="17"/>
  <c r="E279" i="17"/>
  <c r="F279" i="17"/>
  <c r="G279" i="17"/>
  <c r="H279" i="17"/>
  <c r="I279" i="17"/>
  <c r="A280" i="17"/>
  <c r="E280" i="17"/>
  <c r="F280" i="17"/>
  <c r="G280" i="17"/>
  <c r="H280" i="17"/>
  <c r="I280" i="17"/>
  <c r="A281" i="17"/>
  <c r="E281" i="17"/>
  <c r="F281" i="17"/>
  <c r="G281" i="17"/>
  <c r="H281" i="17"/>
  <c r="I281" i="17"/>
  <c r="A282" i="17"/>
  <c r="E282" i="17"/>
  <c r="F282" i="17"/>
  <c r="G282" i="17"/>
  <c r="H282" i="17"/>
  <c r="I282" i="17"/>
  <c r="A283" i="17"/>
  <c r="E283" i="17"/>
  <c r="F283" i="17"/>
  <c r="G283" i="17"/>
  <c r="H283" i="17"/>
  <c r="I283" i="17"/>
  <c r="A284" i="17"/>
  <c r="E284" i="17"/>
  <c r="F284" i="17"/>
  <c r="G284" i="17"/>
  <c r="H284" i="17"/>
  <c r="I284" i="17"/>
  <c r="A285" i="17"/>
  <c r="E285" i="17"/>
  <c r="F285" i="17"/>
  <c r="G285" i="17"/>
  <c r="H285" i="17"/>
  <c r="I285" i="17"/>
  <c r="A286" i="17"/>
  <c r="E286" i="17"/>
  <c r="F286" i="17"/>
  <c r="G286" i="17"/>
  <c r="H286" i="17"/>
  <c r="I286" i="17"/>
  <c r="A287" i="17"/>
  <c r="E287" i="17"/>
  <c r="F287" i="17"/>
  <c r="G287" i="17"/>
  <c r="H287" i="17"/>
  <c r="I287" i="17"/>
  <c r="A288" i="17"/>
  <c r="E288" i="17"/>
  <c r="F288" i="17"/>
  <c r="G288" i="17"/>
  <c r="H288" i="17"/>
  <c r="I288" i="17"/>
  <c r="A289" i="17"/>
  <c r="E289" i="17"/>
  <c r="F289" i="17"/>
  <c r="G289" i="17"/>
  <c r="H289" i="17"/>
  <c r="I289" i="17"/>
  <c r="A290" i="17"/>
  <c r="E290" i="17"/>
  <c r="F290" i="17"/>
  <c r="G290" i="17"/>
  <c r="H290" i="17"/>
  <c r="I290" i="17"/>
  <c r="A291" i="17"/>
  <c r="E291" i="17"/>
  <c r="F291" i="17"/>
  <c r="G291" i="17"/>
  <c r="H291" i="17"/>
  <c r="I291" i="17"/>
  <c r="A292" i="17"/>
  <c r="E292" i="17"/>
  <c r="F292" i="17"/>
  <c r="G292" i="17"/>
  <c r="H292" i="17"/>
  <c r="I292" i="17"/>
  <c r="A293" i="17"/>
  <c r="E293" i="17"/>
  <c r="F293" i="17"/>
  <c r="G293" i="17"/>
  <c r="H293" i="17"/>
  <c r="I293" i="17"/>
  <c r="A294" i="17"/>
  <c r="E294" i="17"/>
  <c r="F294" i="17"/>
  <c r="G294" i="17"/>
  <c r="H294" i="17"/>
  <c r="I294" i="17"/>
  <c r="A295" i="17"/>
  <c r="E295" i="17"/>
  <c r="F295" i="17"/>
  <c r="G295" i="17"/>
  <c r="H295" i="17"/>
  <c r="I295" i="17"/>
  <c r="A296" i="17"/>
  <c r="E296" i="17"/>
  <c r="F296" i="17"/>
  <c r="G296" i="17"/>
  <c r="H296" i="17"/>
  <c r="I296" i="17"/>
  <c r="A297" i="17"/>
  <c r="E297" i="17"/>
  <c r="F297" i="17"/>
  <c r="G297" i="17"/>
  <c r="H297" i="17"/>
  <c r="I297" i="17"/>
  <c r="A298" i="17"/>
  <c r="E298" i="17"/>
  <c r="F298" i="17"/>
  <c r="G298" i="17"/>
  <c r="H298" i="17"/>
  <c r="I298" i="17"/>
  <c r="A299" i="17"/>
  <c r="E299" i="17"/>
  <c r="F299" i="17"/>
  <c r="G299" i="17"/>
  <c r="H299" i="17"/>
  <c r="I299" i="17"/>
  <c r="A300" i="17"/>
  <c r="E300" i="17"/>
  <c r="F300" i="17"/>
  <c r="G300" i="17"/>
  <c r="H300" i="17"/>
  <c r="I300" i="17"/>
  <c r="A301" i="17"/>
  <c r="E301" i="17"/>
  <c r="F301" i="17"/>
  <c r="G301" i="17"/>
  <c r="H301" i="17"/>
  <c r="I301" i="17"/>
  <c r="A302" i="17"/>
  <c r="E302" i="17"/>
  <c r="F302" i="17"/>
  <c r="G302" i="17"/>
  <c r="H302" i="17"/>
  <c r="I302" i="17"/>
  <c r="A303" i="17"/>
  <c r="E303" i="17"/>
  <c r="F303" i="17"/>
  <c r="G303" i="17"/>
  <c r="H303" i="17"/>
  <c r="I303" i="17"/>
  <c r="A304" i="17"/>
  <c r="E304" i="17"/>
  <c r="F304" i="17"/>
  <c r="G304" i="17"/>
  <c r="H304" i="17"/>
  <c r="I304" i="17"/>
  <c r="A305" i="17"/>
  <c r="E305" i="17"/>
  <c r="F305" i="17"/>
  <c r="G305" i="17"/>
  <c r="H305" i="17"/>
  <c r="I305" i="17"/>
  <c r="A306" i="17"/>
  <c r="B306" i="17"/>
  <c r="E306" i="17"/>
  <c r="F306" i="17"/>
  <c r="G306" i="17"/>
  <c r="H306" i="17"/>
  <c r="I306" i="17"/>
  <c r="A307" i="17"/>
  <c r="E307" i="17"/>
  <c r="F307" i="17"/>
  <c r="G307" i="17"/>
  <c r="H307" i="17"/>
  <c r="I307" i="17"/>
  <c r="A308" i="17"/>
  <c r="E308" i="17"/>
  <c r="F308" i="17"/>
  <c r="G308" i="17"/>
  <c r="H308" i="17"/>
  <c r="I308" i="17"/>
  <c r="A309" i="17"/>
  <c r="E309" i="17"/>
  <c r="F309" i="17"/>
  <c r="G309" i="17"/>
  <c r="H309" i="17"/>
  <c r="I309" i="17"/>
  <c r="A310" i="17"/>
  <c r="E310" i="17"/>
  <c r="F310" i="17"/>
  <c r="G310" i="17"/>
  <c r="H310" i="17"/>
  <c r="I310" i="17"/>
  <c r="A311" i="17"/>
  <c r="E311" i="17"/>
  <c r="F311" i="17"/>
  <c r="G311" i="17"/>
  <c r="H311" i="17"/>
  <c r="I311" i="17"/>
  <c r="A312" i="17"/>
  <c r="E312" i="17"/>
  <c r="F312" i="17"/>
  <c r="G312" i="17"/>
  <c r="H312" i="17"/>
  <c r="I312" i="17"/>
  <c r="A313" i="17"/>
  <c r="E313" i="17"/>
  <c r="F313" i="17"/>
  <c r="G313" i="17"/>
  <c r="H313" i="17"/>
  <c r="I313" i="17"/>
  <c r="A314" i="17"/>
  <c r="E314" i="17"/>
  <c r="F314" i="17"/>
  <c r="G314" i="17"/>
  <c r="H314" i="17"/>
  <c r="I314" i="17"/>
  <c r="A315" i="17"/>
  <c r="E315" i="17"/>
  <c r="F315" i="17"/>
  <c r="G315" i="17"/>
  <c r="H315" i="17"/>
  <c r="I315" i="17"/>
  <c r="A316" i="17"/>
  <c r="E316" i="17"/>
  <c r="F316" i="17"/>
  <c r="G316" i="17"/>
  <c r="H316" i="17"/>
  <c r="I316" i="17"/>
  <c r="A317" i="17"/>
  <c r="E317" i="17"/>
  <c r="F317" i="17"/>
  <c r="G317" i="17"/>
  <c r="H317" i="17"/>
  <c r="I317" i="17"/>
  <c r="A318" i="17"/>
  <c r="E318" i="17"/>
  <c r="F318" i="17"/>
  <c r="G318" i="17"/>
  <c r="H318" i="17"/>
  <c r="I318" i="17"/>
  <c r="A319" i="17"/>
  <c r="E319" i="17"/>
  <c r="F319" i="17"/>
  <c r="G319" i="17"/>
  <c r="H319" i="17"/>
  <c r="I319" i="17"/>
  <c r="A320" i="17"/>
  <c r="E320" i="17"/>
  <c r="F320" i="17"/>
  <c r="G320" i="17"/>
  <c r="H320" i="17"/>
  <c r="I320" i="17"/>
  <c r="A321" i="17"/>
  <c r="E321" i="17"/>
  <c r="F321" i="17"/>
  <c r="G321" i="17"/>
  <c r="H321" i="17"/>
  <c r="I321" i="17"/>
  <c r="A322" i="17"/>
  <c r="E322" i="17"/>
  <c r="F322" i="17"/>
  <c r="G322" i="17"/>
  <c r="H322" i="17"/>
  <c r="I322" i="17"/>
  <c r="A323" i="17"/>
  <c r="E323" i="17"/>
  <c r="F323" i="17"/>
  <c r="G323" i="17"/>
  <c r="H323" i="17"/>
  <c r="I323" i="17"/>
  <c r="A324" i="17"/>
  <c r="E324" i="17"/>
  <c r="F324" i="17"/>
  <c r="G324" i="17"/>
  <c r="H324" i="17"/>
  <c r="I324" i="17"/>
  <c r="A325" i="17"/>
  <c r="E325" i="17"/>
  <c r="F325" i="17"/>
  <c r="G325" i="17"/>
  <c r="H325" i="17"/>
  <c r="I325" i="17"/>
  <c r="A326" i="17"/>
  <c r="E326" i="17"/>
  <c r="F326" i="17"/>
  <c r="G326" i="17"/>
  <c r="H326" i="17"/>
  <c r="I326" i="17"/>
  <c r="A327" i="17"/>
  <c r="E327" i="17"/>
  <c r="F327" i="17"/>
  <c r="G327" i="17"/>
  <c r="H327" i="17"/>
  <c r="I327" i="17"/>
  <c r="A328" i="17"/>
  <c r="E328" i="17"/>
  <c r="F328" i="17"/>
  <c r="G328" i="17"/>
  <c r="H328" i="17"/>
  <c r="I328" i="17"/>
  <c r="A329" i="17"/>
  <c r="E329" i="17"/>
  <c r="F329" i="17"/>
  <c r="G329" i="17"/>
  <c r="H329" i="17"/>
  <c r="I329" i="17"/>
  <c r="A330" i="17"/>
  <c r="E330" i="17"/>
  <c r="F330" i="17"/>
  <c r="G330" i="17"/>
  <c r="H330" i="17"/>
  <c r="I330" i="17"/>
  <c r="A331" i="17"/>
  <c r="E331" i="17"/>
  <c r="F331" i="17"/>
  <c r="G331" i="17"/>
  <c r="H331" i="17"/>
  <c r="I331" i="17"/>
  <c r="A332" i="17"/>
  <c r="E332" i="17"/>
  <c r="F332" i="17"/>
  <c r="G332" i="17"/>
  <c r="H332" i="17"/>
  <c r="I332" i="17"/>
  <c r="A333" i="17"/>
  <c r="E333" i="17"/>
  <c r="F333" i="17"/>
  <c r="G333" i="17"/>
  <c r="H333" i="17"/>
  <c r="I333" i="17"/>
  <c r="A334" i="17"/>
  <c r="E334" i="17"/>
  <c r="F334" i="17"/>
  <c r="G334" i="17"/>
  <c r="H334" i="17"/>
  <c r="I334" i="17"/>
  <c r="A335" i="17"/>
  <c r="E335" i="17"/>
  <c r="F335" i="17"/>
  <c r="G335" i="17"/>
  <c r="H335" i="17"/>
  <c r="I335" i="17"/>
  <c r="A336" i="17"/>
  <c r="E336" i="17"/>
  <c r="F336" i="17"/>
  <c r="G336" i="17"/>
  <c r="H336" i="17"/>
  <c r="I336" i="17"/>
  <c r="A337" i="17"/>
  <c r="E337" i="17"/>
  <c r="F337" i="17"/>
  <c r="G337" i="17"/>
  <c r="H337" i="17"/>
  <c r="I337" i="17"/>
  <c r="A338" i="17"/>
  <c r="E338" i="17"/>
  <c r="F338" i="17"/>
  <c r="G338" i="17"/>
  <c r="H338" i="17"/>
  <c r="I338" i="17"/>
  <c r="A339" i="17"/>
  <c r="E339" i="17"/>
  <c r="F339" i="17"/>
  <c r="G339" i="17"/>
  <c r="H339" i="17"/>
  <c r="I339" i="17"/>
  <c r="A340" i="17"/>
  <c r="E340" i="17"/>
  <c r="F340" i="17"/>
  <c r="G340" i="17"/>
  <c r="H340" i="17"/>
  <c r="I340" i="17"/>
  <c r="A341" i="17"/>
  <c r="E341" i="17"/>
  <c r="F341" i="17"/>
  <c r="G341" i="17"/>
  <c r="H341" i="17"/>
  <c r="I341" i="17"/>
  <c r="A342" i="17"/>
  <c r="E342" i="17"/>
  <c r="F342" i="17"/>
  <c r="G342" i="17"/>
  <c r="H342" i="17"/>
  <c r="I342" i="17"/>
  <c r="A343" i="17"/>
  <c r="E343" i="17"/>
  <c r="F343" i="17"/>
  <c r="G343" i="17"/>
  <c r="H343" i="17"/>
  <c r="I343" i="17"/>
  <c r="A344" i="17"/>
  <c r="E344" i="17"/>
  <c r="F344" i="17"/>
  <c r="G344" i="17"/>
  <c r="H344" i="17"/>
  <c r="I344" i="17"/>
  <c r="A345" i="17"/>
  <c r="E345" i="17"/>
  <c r="F345" i="17"/>
  <c r="G345" i="17"/>
  <c r="H345" i="17"/>
  <c r="I345" i="17"/>
  <c r="A346" i="17"/>
  <c r="E346" i="17"/>
  <c r="F346" i="17"/>
  <c r="G346" i="17"/>
  <c r="H346" i="17"/>
  <c r="I346" i="17"/>
  <c r="A347" i="17"/>
  <c r="E347" i="17"/>
  <c r="F347" i="17"/>
  <c r="G347" i="17"/>
  <c r="H347" i="17"/>
  <c r="I347" i="17"/>
  <c r="A348" i="17"/>
  <c r="E348" i="17"/>
  <c r="F348" i="17"/>
  <c r="G348" i="17"/>
  <c r="H348" i="17"/>
  <c r="I348" i="17"/>
  <c r="A349" i="17"/>
  <c r="E349" i="17"/>
  <c r="F349" i="17"/>
  <c r="G349" i="17"/>
  <c r="H349" i="17"/>
  <c r="I349" i="17"/>
  <c r="A350" i="17"/>
  <c r="E350" i="17"/>
  <c r="F350" i="17"/>
  <c r="G350" i="17"/>
  <c r="H350" i="17"/>
  <c r="I350" i="17"/>
  <c r="A351" i="17"/>
  <c r="E351" i="17"/>
  <c r="F351" i="17"/>
  <c r="G351" i="17"/>
  <c r="H351" i="17"/>
  <c r="I351" i="17"/>
  <c r="A352" i="17"/>
  <c r="E352" i="17"/>
  <c r="F352" i="17"/>
  <c r="G352" i="17"/>
  <c r="H352" i="17"/>
  <c r="I352" i="17"/>
  <c r="A353" i="17"/>
  <c r="E353" i="17"/>
  <c r="F353" i="17"/>
  <c r="G353" i="17"/>
  <c r="H353" i="17"/>
  <c r="I353" i="17"/>
  <c r="A354" i="17"/>
  <c r="E354" i="17"/>
  <c r="F354" i="17"/>
  <c r="G354" i="17"/>
  <c r="H354" i="17"/>
  <c r="I354" i="17"/>
  <c r="A355" i="17"/>
  <c r="E355" i="17"/>
  <c r="F355" i="17"/>
  <c r="G355" i="17"/>
  <c r="H355" i="17"/>
  <c r="I355" i="17"/>
  <c r="A356" i="17"/>
  <c r="E356" i="17"/>
  <c r="F356" i="17"/>
  <c r="G356" i="17"/>
  <c r="H356" i="17"/>
  <c r="I356" i="17"/>
  <c r="A357" i="17"/>
  <c r="E357" i="17"/>
  <c r="F357" i="17"/>
  <c r="G357" i="17"/>
  <c r="H357" i="17"/>
  <c r="I357" i="17"/>
  <c r="A358" i="17"/>
  <c r="E358" i="17"/>
  <c r="F358" i="17"/>
  <c r="G358" i="17"/>
  <c r="H358" i="17"/>
  <c r="I358" i="17"/>
  <c r="A359" i="17"/>
  <c r="E359" i="17"/>
  <c r="F359" i="17"/>
  <c r="G359" i="17"/>
  <c r="H359" i="17"/>
  <c r="I359" i="17"/>
  <c r="A360" i="17"/>
  <c r="E360" i="17"/>
  <c r="F360" i="17"/>
  <c r="G360" i="17"/>
  <c r="H360" i="17"/>
  <c r="I360" i="17"/>
  <c r="A361" i="17"/>
  <c r="E361" i="17"/>
  <c r="F361" i="17"/>
  <c r="G361" i="17"/>
  <c r="H361" i="17"/>
  <c r="I361" i="17"/>
  <c r="A362" i="17"/>
  <c r="E362" i="17"/>
  <c r="F362" i="17"/>
  <c r="G362" i="17"/>
  <c r="H362" i="17"/>
  <c r="I362" i="17"/>
  <c r="A363" i="17"/>
  <c r="E363" i="17"/>
  <c r="F363" i="17"/>
  <c r="G363" i="17"/>
  <c r="H363" i="17"/>
  <c r="I363" i="17"/>
  <c r="A364" i="17"/>
  <c r="E364" i="17"/>
  <c r="F364" i="17"/>
  <c r="G364" i="17"/>
  <c r="H364" i="17"/>
  <c r="I364" i="17"/>
  <c r="A365" i="17"/>
  <c r="E365" i="17"/>
  <c r="F365" i="17"/>
  <c r="G365" i="17"/>
  <c r="H365" i="17"/>
  <c r="I365" i="17"/>
  <c r="A366" i="17"/>
  <c r="E366" i="17"/>
  <c r="F366" i="17"/>
  <c r="G366" i="17"/>
  <c r="H366" i="17"/>
  <c r="I366" i="17"/>
  <c r="A367" i="17"/>
  <c r="E367" i="17"/>
  <c r="F367" i="17"/>
  <c r="G367" i="17"/>
  <c r="H367" i="17"/>
  <c r="I367" i="17"/>
  <c r="A368" i="17"/>
  <c r="E368" i="17"/>
  <c r="F368" i="17"/>
  <c r="G368" i="17"/>
  <c r="H368" i="17"/>
  <c r="I368" i="17"/>
  <c r="A369" i="17"/>
  <c r="E369" i="17"/>
  <c r="F369" i="17"/>
  <c r="G369" i="17"/>
  <c r="H369" i="17"/>
  <c r="I369" i="17"/>
  <c r="A370" i="17"/>
  <c r="E370" i="17"/>
  <c r="F370" i="17"/>
  <c r="G370" i="17"/>
  <c r="H370" i="17"/>
  <c r="I370" i="17"/>
  <c r="A371" i="17"/>
  <c r="E371" i="17"/>
  <c r="F371" i="17"/>
  <c r="G371" i="17"/>
  <c r="H371" i="17"/>
  <c r="I371" i="17"/>
  <c r="A372" i="17"/>
  <c r="E372" i="17"/>
  <c r="F372" i="17"/>
  <c r="G372" i="17"/>
  <c r="H372" i="17"/>
  <c r="I372" i="17"/>
  <c r="A373" i="17"/>
  <c r="E373" i="17"/>
  <c r="F373" i="17"/>
  <c r="G373" i="17"/>
  <c r="H373" i="17"/>
  <c r="I373" i="17"/>
  <c r="A374" i="17"/>
  <c r="E374" i="17"/>
  <c r="F374" i="17"/>
  <c r="G374" i="17"/>
  <c r="H374" i="17"/>
  <c r="I374" i="17"/>
  <c r="A375" i="17"/>
  <c r="E375" i="17"/>
  <c r="F375" i="17"/>
  <c r="G375" i="17"/>
  <c r="H375" i="17"/>
  <c r="I375" i="17"/>
  <c r="A376" i="17"/>
  <c r="E376" i="17"/>
  <c r="F376" i="17"/>
  <c r="G376" i="17"/>
  <c r="H376" i="17"/>
  <c r="I376" i="17"/>
  <c r="A377" i="17"/>
  <c r="E377" i="17"/>
  <c r="F377" i="17"/>
  <c r="G377" i="17"/>
  <c r="H377" i="17"/>
  <c r="I377" i="17"/>
  <c r="A378" i="17"/>
  <c r="E378" i="17"/>
  <c r="F378" i="17"/>
  <c r="G378" i="17"/>
  <c r="H378" i="17"/>
  <c r="I378" i="17"/>
  <c r="A379" i="17"/>
  <c r="E379" i="17"/>
  <c r="F379" i="17"/>
  <c r="G379" i="17"/>
  <c r="H379" i="17"/>
  <c r="I379" i="17"/>
  <c r="A380" i="17"/>
  <c r="E380" i="17"/>
  <c r="F380" i="17"/>
  <c r="G380" i="17"/>
  <c r="H380" i="17"/>
  <c r="I380" i="17"/>
  <c r="A381" i="17"/>
  <c r="E381" i="17"/>
  <c r="F381" i="17"/>
  <c r="G381" i="17"/>
  <c r="H381" i="17"/>
  <c r="I381" i="17"/>
  <c r="A382" i="17"/>
  <c r="E382" i="17"/>
  <c r="F382" i="17"/>
  <c r="G382" i="17"/>
  <c r="H382" i="17"/>
  <c r="I382" i="17"/>
  <c r="A383" i="17"/>
  <c r="E383" i="17"/>
  <c r="F383" i="17"/>
  <c r="G383" i="17"/>
  <c r="H383" i="17"/>
  <c r="I383" i="17"/>
  <c r="A384" i="17"/>
  <c r="E384" i="17"/>
  <c r="F384" i="17"/>
  <c r="G384" i="17"/>
  <c r="H384" i="17"/>
  <c r="I384" i="17"/>
  <c r="A385" i="17"/>
  <c r="E385" i="17"/>
  <c r="F385" i="17"/>
  <c r="G385" i="17"/>
  <c r="H385" i="17"/>
  <c r="I385" i="17"/>
  <c r="A386" i="17"/>
  <c r="E386" i="17"/>
  <c r="F386" i="17"/>
  <c r="G386" i="17"/>
  <c r="H386" i="17"/>
  <c r="I386" i="17"/>
  <c r="A387" i="17"/>
  <c r="E387" i="17"/>
  <c r="F387" i="17"/>
  <c r="G387" i="17"/>
  <c r="H387" i="17"/>
  <c r="I387" i="17"/>
  <c r="A388" i="17"/>
  <c r="E388" i="17"/>
  <c r="F388" i="17"/>
  <c r="G388" i="17"/>
  <c r="H388" i="17"/>
  <c r="I388" i="17"/>
  <c r="A389" i="17"/>
  <c r="E389" i="17"/>
  <c r="F389" i="17"/>
  <c r="G389" i="17"/>
  <c r="H389" i="17"/>
  <c r="I389" i="17"/>
  <c r="A390" i="17"/>
  <c r="E390" i="17"/>
  <c r="F390" i="17"/>
  <c r="G390" i="17"/>
  <c r="H390" i="17"/>
  <c r="I390" i="17"/>
  <c r="A391" i="17"/>
  <c r="E391" i="17"/>
  <c r="F391" i="17"/>
  <c r="G391" i="17"/>
  <c r="H391" i="17"/>
  <c r="I391" i="17"/>
  <c r="A392" i="17"/>
  <c r="E392" i="17"/>
  <c r="F392" i="17"/>
  <c r="G392" i="17"/>
  <c r="H392" i="17"/>
  <c r="I392" i="17"/>
  <c r="A393" i="17"/>
  <c r="E393" i="17"/>
  <c r="F393" i="17"/>
  <c r="G393" i="17"/>
  <c r="H393" i="17"/>
  <c r="I393" i="17"/>
  <c r="A394" i="17"/>
  <c r="E394" i="17"/>
  <c r="F394" i="17"/>
  <c r="G394" i="17"/>
  <c r="H394" i="17"/>
  <c r="I394" i="17"/>
  <c r="A395" i="17"/>
  <c r="E395" i="17"/>
  <c r="F395" i="17"/>
  <c r="G395" i="17"/>
  <c r="H395" i="17"/>
  <c r="I395" i="17"/>
  <c r="A396" i="17"/>
  <c r="E396" i="17"/>
  <c r="F396" i="17"/>
  <c r="G396" i="17"/>
  <c r="H396" i="17"/>
  <c r="I396" i="17"/>
  <c r="A397" i="17"/>
  <c r="E397" i="17"/>
  <c r="F397" i="17"/>
  <c r="G397" i="17"/>
  <c r="H397" i="17"/>
  <c r="I397" i="17"/>
  <c r="A398" i="17"/>
  <c r="E398" i="17"/>
  <c r="F398" i="17"/>
  <c r="G398" i="17"/>
  <c r="H398" i="17"/>
  <c r="I398" i="17"/>
  <c r="A399" i="17"/>
  <c r="E399" i="17"/>
  <c r="F399" i="17"/>
  <c r="G399" i="17"/>
  <c r="H399" i="17"/>
  <c r="I399" i="17"/>
  <c r="A400" i="17"/>
  <c r="E400" i="17"/>
  <c r="F400" i="17"/>
  <c r="G400" i="17"/>
  <c r="H400" i="17"/>
  <c r="I400" i="17"/>
  <c r="A401" i="17"/>
  <c r="E401" i="17"/>
  <c r="F401" i="17"/>
  <c r="G401" i="17"/>
  <c r="H401" i="17"/>
  <c r="I401" i="17"/>
  <c r="A402" i="17"/>
  <c r="E402" i="17"/>
  <c r="F402" i="17"/>
  <c r="G402" i="17"/>
  <c r="H402" i="17"/>
  <c r="I402" i="17"/>
  <c r="A403" i="17"/>
  <c r="E403" i="17"/>
  <c r="F403" i="17"/>
  <c r="G403" i="17"/>
  <c r="H403" i="17"/>
  <c r="I403" i="17"/>
  <c r="A404" i="17"/>
  <c r="E404" i="17"/>
  <c r="F404" i="17"/>
  <c r="G404" i="17"/>
  <c r="H404" i="17"/>
  <c r="I404" i="17"/>
  <c r="A405" i="17"/>
  <c r="E405" i="17"/>
  <c r="F405" i="17"/>
  <c r="G405" i="17"/>
  <c r="H405" i="17"/>
  <c r="I405" i="17"/>
  <c r="A406" i="17"/>
  <c r="E406" i="17"/>
  <c r="F406" i="17"/>
  <c r="G406" i="17"/>
  <c r="H406" i="17"/>
  <c r="I406" i="17"/>
  <c r="A407" i="17"/>
  <c r="E407" i="17"/>
  <c r="F407" i="17"/>
  <c r="G407" i="17"/>
  <c r="H407" i="17"/>
  <c r="I407" i="17"/>
  <c r="A408" i="17"/>
  <c r="E408" i="17"/>
  <c r="F408" i="17"/>
  <c r="G408" i="17"/>
  <c r="H408" i="17"/>
  <c r="I408" i="17"/>
  <c r="A409" i="17"/>
  <c r="E409" i="17"/>
  <c r="F409" i="17"/>
  <c r="G409" i="17"/>
  <c r="H409" i="17"/>
  <c r="I409" i="17"/>
  <c r="A410" i="17"/>
  <c r="E410" i="17"/>
  <c r="F410" i="17"/>
  <c r="G410" i="17"/>
  <c r="H410" i="17"/>
  <c r="I410" i="17"/>
  <c r="A411" i="17"/>
  <c r="E411" i="17"/>
  <c r="F411" i="17"/>
  <c r="G411" i="17"/>
  <c r="H411" i="17"/>
  <c r="I411" i="17"/>
  <c r="A412" i="17"/>
  <c r="E412" i="17"/>
  <c r="F412" i="17"/>
  <c r="G412" i="17"/>
  <c r="H412" i="17"/>
  <c r="I412" i="17"/>
  <c r="A413" i="17"/>
  <c r="E413" i="17"/>
  <c r="F413" i="17"/>
  <c r="G413" i="17"/>
  <c r="H413" i="17"/>
  <c r="I413" i="17"/>
  <c r="A414" i="17"/>
  <c r="E414" i="17"/>
  <c r="F414" i="17"/>
  <c r="G414" i="17"/>
  <c r="H414" i="17"/>
  <c r="I414" i="17"/>
  <c r="A415" i="17"/>
  <c r="E415" i="17"/>
  <c r="F415" i="17"/>
  <c r="G415" i="17"/>
  <c r="H415" i="17"/>
  <c r="I415" i="17"/>
  <c r="A416" i="17"/>
  <c r="E416" i="17"/>
  <c r="F416" i="17"/>
  <c r="G416" i="17"/>
  <c r="H416" i="17"/>
  <c r="I416" i="17"/>
  <c r="A417" i="17"/>
  <c r="E417" i="17"/>
  <c r="F417" i="17"/>
  <c r="G417" i="17"/>
  <c r="H417" i="17"/>
  <c r="I417" i="17"/>
  <c r="A418" i="17"/>
  <c r="E418" i="17"/>
  <c r="F418" i="17"/>
  <c r="G418" i="17"/>
  <c r="H418" i="17"/>
  <c r="I418" i="17"/>
  <c r="A419" i="17"/>
  <c r="E419" i="17"/>
  <c r="F419" i="17"/>
  <c r="G419" i="17"/>
  <c r="H419" i="17"/>
  <c r="I419" i="17"/>
  <c r="A420" i="17"/>
  <c r="E420" i="17"/>
  <c r="F420" i="17"/>
  <c r="G420" i="17"/>
  <c r="H420" i="17"/>
  <c r="I420" i="17"/>
  <c r="A421" i="17"/>
  <c r="E421" i="17"/>
  <c r="F421" i="17"/>
  <c r="G421" i="17"/>
  <c r="H421" i="17"/>
  <c r="I421" i="17"/>
  <c r="A422" i="17"/>
  <c r="E422" i="17"/>
  <c r="F422" i="17"/>
  <c r="G422" i="17"/>
  <c r="H422" i="17"/>
  <c r="I422" i="17"/>
  <c r="A423" i="17"/>
  <c r="E423" i="17"/>
  <c r="F423" i="17"/>
  <c r="G423" i="17"/>
  <c r="H423" i="17"/>
  <c r="I423" i="17"/>
  <c r="A424" i="17"/>
  <c r="E424" i="17"/>
  <c r="F424" i="17"/>
  <c r="G424" i="17"/>
  <c r="H424" i="17"/>
  <c r="I424" i="17"/>
  <c r="A425" i="17"/>
  <c r="E425" i="17"/>
  <c r="F425" i="17"/>
  <c r="G425" i="17"/>
  <c r="H425" i="17"/>
  <c r="I425" i="17"/>
  <c r="A426" i="17"/>
  <c r="E426" i="17"/>
  <c r="F426" i="17"/>
  <c r="G426" i="17"/>
  <c r="H426" i="17"/>
  <c r="I426" i="17"/>
  <c r="A427" i="17"/>
  <c r="E427" i="17"/>
  <c r="F427" i="17"/>
  <c r="G427" i="17"/>
  <c r="H427" i="17"/>
  <c r="I427" i="17"/>
  <c r="A428" i="17"/>
  <c r="E428" i="17"/>
  <c r="F428" i="17"/>
  <c r="G428" i="17"/>
  <c r="H428" i="17"/>
  <c r="I428" i="17"/>
  <c r="A429" i="17"/>
  <c r="E429" i="17"/>
  <c r="F429" i="17"/>
  <c r="G429" i="17"/>
  <c r="H429" i="17"/>
  <c r="I429" i="17"/>
  <c r="A430" i="17"/>
  <c r="E430" i="17"/>
  <c r="F430" i="17"/>
  <c r="G430" i="17"/>
  <c r="H430" i="17"/>
  <c r="I430" i="17"/>
  <c r="A431" i="17"/>
  <c r="E431" i="17"/>
  <c r="F431" i="17"/>
  <c r="G431" i="17"/>
  <c r="H431" i="17"/>
  <c r="I431" i="17"/>
  <c r="A432" i="17"/>
  <c r="E432" i="17"/>
  <c r="F432" i="17"/>
  <c r="G432" i="17"/>
  <c r="H432" i="17"/>
  <c r="I432" i="17"/>
  <c r="A433" i="17"/>
  <c r="E433" i="17"/>
  <c r="F433" i="17"/>
  <c r="G433" i="17"/>
  <c r="H433" i="17"/>
  <c r="I433" i="17"/>
  <c r="A434" i="17"/>
  <c r="E434" i="17"/>
  <c r="F434" i="17"/>
  <c r="G434" i="17"/>
  <c r="H434" i="17"/>
  <c r="I434" i="17"/>
  <c r="A435" i="17"/>
  <c r="E435" i="17"/>
  <c r="F435" i="17"/>
  <c r="G435" i="17"/>
  <c r="H435" i="17"/>
  <c r="I435" i="17"/>
  <c r="A436" i="17"/>
  <c r="E436" i="17"/>
  <c r="F436" i="17"/>
  <c r="G436" i="17"/>
  <c r="H436" i="17"/>
  <c r="I436" i="17"/>
  <c r="A437" i="17"/>
  <c r="E437" i="17"/>
  <c r="F437" i="17"/>
  <c r="G437" i="17"/>
  <c r="H437" i="17"/>
  <c r="I437" i="17"/>
  <c r="A438" i="17"/>
  <c r="E438" i="17"/>
  <c r="F438" i="17"/>
  <c r="G438" i="17"/>
  <c r="H438" i="17"/>
  <c r="I438" i="17"/>
  <c r="A439" i="17"/>
  <c r="E439" i="17"/>
  <c r="F439" i="17"/>
  <c r="G439" i="17"/>
  <c r="H439" i="17"/>
  <c r="I439" i="17"/>
  <c r="A440" i="17"/>
  <c r="E440" i="17"/>
  <c r="F440" i="17"/>
  <c r="G440" i="17"/>
  <c r="H440" i="17"/>
  <c r="I440" i="17"/>
  <c r="A441" i="17"/>
  <c r="E441" i="17"/>
  <c r="F441" i="17"/>
  <c r="G441" i="17"/>
  <c r="H441" i="17"/>
  <c r="I441" i="17"/>
  <c r="A442" i="17"/>
  <c r="E442" i="17"/>
  <c r="F442" i="17"/>
  <c r="G442" i="17"/>
  <c r="H442" i="17"/>
  <c r="I442" i="17"/>
  <c r="A443" i="17"/>
  <c r="E443" i="17"/>
  <c r="F443" i="17"/>
  <c r="G443" i="17"/>
  <c r="H443" i="17"/>
  <c r="I443" i="17"/>
  <c r="A444" i="17"/>
  <c r="E444" i="17"/>
  <c r="F444" i="17"/>
  <c r="G444" i="17"/>
  <c r="H444" i="17"/>
  <c r="I444" i="17"/>
  <c r="A445" i="17"/>
  <c r="E445" i="17"/>
  <c r="F445" i="17"/>
  <c r="G445" i="17"/>
  <c r="H445" i="17"/>
  <c r="I445" i="17"/>
  <c r="A446" i="17"/>
  <c r="E446" i="17"/>
  <c r="F446" i="17"/>
  <c r="G446" i="17"/>
  <c r="H446" i="17"/>
  <c r="I446" i="17"/>
  <c r="A447" i="17"/>
  <c r="E447" i="17"/>
  <c r="F447" i="17"/>
  <c r="G447" i="17"/>
  <c r="H447" i="17"/>
  <c r="I447" i="17"/>
  <c r="A448" i="17"/>
  <c r="E448" i="17"/>
  <c r="F448" i="17"/>
  <c r="G448" i="17"/>
  <c r="H448" i="17"/>
  <c r="I448" i="17"/>
  <c r="A449" i="17"/>
  <c r="E449" i="17"/>
  <c r="F449" i="17"/>
  <c r="G449" i="17"/>
  <c r="H449" i="17"/>
  <c r="I449" i="17"/>
  <c r="A450" i="17"/>
  <c r="E450" i="17"/>
  <c r="F450" i="17"/>
  <c r="G450" i="17"/>
  <c r="H450" i="17"/>
  <c r="I450" i="17"/>
  <c r="A451" i="17"/>
  <c r="E451" i="17"/>
  <c r="F451" i="17"/>
  <c r="G451" i="17"/>
  <c r="H451" i="17"/>
  <c r="I451" i="17"/>
  <c r="A452" i="17"/>
  <c r="E452" i="17"/>
  <c r="F452" i="17"/>
  <c r="G452" i="17"/>
  <c r="H452" i="17"/>
  <c r="I452" i="17"/>
  <c r="A453" i="17"/>
  <c r="E453" i="17"/>
  <c r="F453" i="17"/>
  <c r="G453" i="17"/>
  <c r="H453" i="17"/>
  <c r="I453" i="17"/>
  <c r="A454" i="17"/>
  <c r="E454" i="17"/>
  <c r="F454" i="17"/>
  <c r="G454" i="17"/>
  <c r="H454" i="17"/>
  <c r="I454" i="17"/>
  <c r="A455" i="17"/>
  <c r="E455" i="17"/>
  <c r="F455" i="17"/>
  <c r="G455" i="17"/>
  <c r="H455" i="17"/>
  <c r="I455" i="17"/>
  <c r="A456" i="17"/>
  <c r="E456" i="17"/>
  <c r="F456" i="17"/>
  <c r="G456" i="17"/>
  <c r="H456" i="17"/>
  <c r="I456" i="17"/>
  <c r="A457" i="17"/>
  <c r="E457" i="17"/>
  <c r="F457" i="17"/>
  <c r="G457" i="17"/>
  <c r="H457" i="17"/>
  <c r="I457" i="17"/>
  <c r="A458" i="17"/>
  <c r="E458" i="17"/>
  <c r="F458" i="17"/>
  <c r="G458" i="17"/>
  <c r="H458" i="17"/>
  <c r="I458" i="17"/>
  <c r="A459" i="17"/>
  <c r="E459" i="17"/>
  <c r="F459" i="17"/>
  <c r="G459" i="17"/>
  <c r="H459" i="17"/>
  <c r="I459" i="17"/>
  <c r="A460" i="17"/>
  <c r="E460" i="17"/>
  <c r="F460" i="17"/>
  <c r="G460" i="17"/>
  <c r="H460" i="17"/>
  <c r="I460" i="17"/>
  <c r="A461" i="17"/>
  <c r="E461" i="17"/>
  <c r="F461" i="17"/>
  <c r="G461" i="17"/>
  <c r="H461" i="17"/>
  <c r="I461" i="17"/>
  <c r="A462" i="17"/>
  <c r="E462" i="17"/>
  <c r="F462" i="17"/>
  <c r="G462" i="17"/>
  <c r="H462" i="17"/>
  <c r="I462" i="17"/>
  <c r="A463" i="17"/>
  <c r="E463" i="17"/>
  <c r="F463" i="17"/>
  <c r="G463" i="17"/>
  <c r="H463" i="17"/>
  <c r="I463" i="17"/>
  <c r="A464" i="17"/>
  <c r="E464" i="17"/>
  <c r="F464" i="17"/>
  <c r="G464" i="17"/>
  <c r="H464" i="17"/>
  <c r="I464" i="17"/>
  <c r="A465" i="17"/>
  <c r="E465" i="17"/>
  <c r="F465" i="17"/>
  <c r="G465" i="17"/>
  <c r="H465" i="17"/>
  <c r="I465" i="17"/>
  <c r="A466" i="17"/>
  <c r="E466" i="17"/>
  <c r="F466" i="17"/>
  <c r="G466" i="17"/>
  <c r="H466" i="17"/>
  <c r="I466" i="17"/>
  <c r="A467" i="17"/>
  <c r="E467" i="17"/>
  <c r="F467" i="17"/>
  <c r="G467" i="17"/>
  <c r="H467" i="17"/>
  <c r="I467" i="17"/>
  <c r="A468" i="17"/>
  <c r="E468" i="17"/>
  <c r="F468" i="17"/>
  <c r="G468" i="17"/>
  <c r="H468" i="17"/>
  <c r="I468" i="17"/>
  <c r="A469" i="17"/>
  <c r="E469" i="17"/>
  <c r="F469" i="17"/>
  <c r="G469" i="17"/>
  <c r="H469" i="17"/>
  <c r="I469" i="17"/>
  <c r="A470" i="17"/>
  <c r="E470" i="17"/>
  <c r="F470" i="17"/>
  <c r="G470" i="17"/>
  <c r="H470" i="17"/>
  <c r="I470" i="17"/>
  <c r="A471" i="17"/>
  <c r="E471" i="17"/>
  <c r="F471" i="17"/>
  <c r="G471" i="17"/>
  <c r="H471" i="17"/>
  <c r="I471" i="17"/>
  <c r="L12" i="14"/>
  <c r="L13" i="14"/>
  <c r="L15" i="14"/>
  <c r="L14" i="14"/>
  <c r="M15" i="14"/>
  <c r="N15" i="14"/>
  <c r="P15" i="14"/>
  <c r="B18" i="14"/>
  <c r="G18" i="14"/>
  <c r="H18" i="14"/>
  <c r="B19" i="14"/>
  <c r="H19" i="14"/>
  <c r="B20" i="14"/>
  <c r="H20" i="14"/>
  <c r="B21" i="14"/>
  <c r="H21" i="14"/>
  <c r="B22" i="14"/>
  <c r="H22" i="14"/>
  <c r="B23" i="14"/>
  <c r="H23" i="14"/>
  <c r="B24" i="14"/>
  <c r="H24" i="14"/>
  <c r="B25" i="14"/>
  <c r="H25" i="14"/>
  <c r="B26" i="14"/>
  <c r="H26" i="14"/>
  <c r="B27" i="14"/>
  <c r="H27" i="14"/>
  <c r="B28" i="14"/>
  <c r="B29" i="14"/>
  <c r="H29" i="14"/>
  <c r="B30" i="14"/>
  <c r="H30" i="14"/>
  <c r="B31" i="14"/>
  <c r="H31" i="14"/>
  <c r="B32" i="14"/>
  <c r="H32" i="14"/>
  <c r="B33" i="14"/>
  <c r="H33" i="14"/>
  <c r="B34" i="14"/>
  <c r="H34" i="14"/>
  <c r="B35" i="14"/>
  <c r="H35" i="14"/>
  <c r="B36" i="14"/>
  <c r="H36" i="14"/>
  <c r="B37" i="14"/>
  <c r="H37" i="14"/>
  <c r="B38" i="14"/>
  <c r="H38" i="14"/>
  <c r="B39" i="14"/>
  <c r="H39" i="14"/>
  <c r="B40" i="14"/>
  <c r="H40" i="14"/>
  <c r="B41" i="14"/>
  <c r="H41" i="14"/>
  <c r="B42" i="14"/>
  <c r="B43" i="14"/>
  <c r="B44" i="14"/>
  <c r="H44" i="14"/>
  <c r="B45" i="14"/>
  <c r="B46" i="14"/>
  <c r="H46" i="14"/>
  <c r="B47" i="14"/>
  <c r="H47" i="14"/>
  <c r="B48" i="14"/>
  <c r="H48" i="14"/>
  <c r="B49" i="14"/>
  <c r="G49" i="14"/>
  <c r="H49" i="14"/>
  <c r="B50" i="14"/>
  <c r="H50" i="14"/>
  <c r="B51" i="14"/>
  <c r="H51" i="14"/>
  <c r="B52" i="14"/>
  <c r="H52" i="14"/>
  <c r="B53" i="14"/>
  <c r="H53" i="14"/>
  <c r="B54" i="14"/>
  <c r="B55" i="14"/>
  <c r="H55" i="14"/>
  <c r="B56" i="14"/>
  <c r="H56" i="14"/>
  <c r="B57" i="14"/>
  <c r="B58" i="14"/>
  <c r="H58" i="14"/>
  <c r="B59" i="14"/>
  <c r="H59" i="14"/>
  <c r="B60" i="14"/>
  <c r="H60" i="14"/>
  <c r="B61" i="14"/>
  <c r="H61" i="14"/>
  <c r="B62" i="14"/>
  <c r="H62" i="14"/>
  <c r="B63" i="14"/>
  <c r="H63" i="14"/>
  <c r="B64" i="14"/>
  <c r="B65" i="14"/>
  <c r="H65" i="14"/>
  <c r="B66" i="14"/>
  <c r="H66" i="14"/>
  <c r="B67" i="14"/>
  <c r="B68" i="14"/>
  <c r="H68" i="14"/>
  <c r="B69" i="14"/>
  <c r="H69" i="14"/>
  <c r="B70" i="14"/>
  <c r="H70" i="14"/>
  <c r="B71" i="14"/>
  <c r="B72" i="14"/>
  <c r="B73" i="14"/>
  <c r="H73" i="14"/>
  <c r="B74" i="14"/>
  <c r="H74" i="14"/>
  <c r="B75" i="14"/>
  <c r="H75" i="14"/>
  <c r="B76" i="14"/>
  <c r="H76" i="14"/>
  <c r="B77" i="14"/>
  <c r="H77" i="14"/>
  <c r="B78" i="14"/>
  <c r="H78" i="14"/>
  <c r="B79" i="14"/>
  <c r="B80" i="14"/>
  <c r="B81" i="14"/>
  <c r="H81" i="14"/>
  <c r="B82" i="14"/>
  <c r="H82" i="14"/>
  <c r="B83" i="14"/>
  <c r="H83" i="14"/>
  <c r="B84" i="14"/>
  <c r="H84" i="14"/>
  <c r="B85" i="14"/>
  <c r="H85" i="14"/>
  <c r="B86" i="14"/>
  <c r="H86" i="14"/>
  <c r="B87" i="14"/>
  <c r="H87" i="14"/>
  <c r="B88" i="14"/>
  <c r="H88" i="14"/>
  <c r="B89" i="14"/>
  <c r="H89" i="14"/>
  <c r="B90" i="14"/>
  <c r="B91" i="14"/>
  <c r="H91" i="14"/>
  <c r="B92" i="14"/>
  <c r="H92" i="14"/>
  <c r="B93" i="14"/>
  <c r="H93" i="14"/>
  <c r="B94" i="14"/>
  <c r="H94" i="14"/>
  <c r="B95" i="14"/>
  <c r="H95" i="14"/>
  <c r="B96" i="14"/>
  <c r="H96" i="14"/>
  <c r="B97" i="14"/>
  <c r="H97" i="14"/>
  <c r="B98" i="14"/>
  <c r="H98" i="14"/>
  <c r="B99" i="14"/>
  <c r="H99" i="14"/>
  <c r="B100" i="14"/>
  <c r="H100" i="14"/>
  <c r="B101" i="14"/>
  <c r="H101" i="14"/>
  <c r="B102" i="14"/>
  <c r="G102" i="14"/>
  <c r="H102" i="14"/>
  <c r="B103" i="14"/>
  <c r="H103" i="14"/>
  <c r="B104" i="14"/>
  <c r="H104" i="14"/>
  <c r="B105" i="14"/>
  <c r="H105" i="14"/>
  <c r="B106" i="14"/>
  <c r="H106" i="14"/>
  <c r="B107" i="14"/>
  <c r="H107" i="14"/>
  <c r="B108" i="14"/>
  <c r="H108" i="14"/>
  <c r="B109" i="14"/>
  <c r="H109" i="14"/>
  <c r="B110" i="14"/>
  <c r="H110" i="14"/>
  <c r="B111" i="14"/>
  <c r="H111" i="14"/>
  <c r="B112" i="14"/>
  <c r="H112" i="14"/>
  <c r="B113" i="14"/>
  <c r="H113" i="14"/>
  <c r="B114" i="14"/>
  <c r="H114" i="14"/>
  <c r="B115" i="14"/>
  <c r="H115" i="14"/>
  <c r="B116" i="14"/>
  <c r="H116" i="14"/>
  <c r="B117" i="14"/>
  <c r="H117" i="14"/>
  <c r="B118" i="14"/>
  <c r="H118" i="14"/>
  <c r="B119" i="14"/>
  <c r="H119" i="14"/>
  <c r="B120" i="14"/>
  <c r="B121" i="14"/>
  <c r="H121" i="14"/>
  <c r="B122" i="14"/>
  <c r="H122" i="14"/>
  <c r="B123" i="14"/>
  <c r="B124" i="14"/>
  <c r="H124" i="14"/>
  <c r="B125" i="14"/>
  <c r="H125" i="14"/>
  <c r="B126" i="14"/>
  <c r="H126" i="14"/>
  <c r="B127" i="14"/>
  <c r="H127" i="14"/>
  <c r="B128" i="14"/>
  <c r="G128" i="14"/>
  <c r="H128" i="14"/>
  <c r="B129" i="14"/>
  <c r="G129" i="14"/>
  <c r="B130" i="14"/>
  <c r="H130" i="14"/>
  <c r="B131" i="14"/>
  <c r="H131" i="14"/>
  <c r="B132" i="14"/>
  <c r="G132" i="14"/>
  <c r="H132" i="14"/>
  <c r="B133" i="14"/>
  <c r="H133" i="14"/>
  <c r="B134" i="14"/>
  <c r="G134" i="14"/>
  <c r="H134" i="14"/>
  <c r="B135" i="14"/>
  <c r="H135" i="14"/>
  <c r="B136" i="14"/>
  <c r="G136" i="14"/>
  <c r="H136" i="14"/>
  <c r="B137" i="14"/>
  <c r="H137" i="14"/>
  <c r="B138" i="14"/>
  <c r="G138" i="14"/>
  <c r="H138" i="14"/>
  <c r="B139" i="14"/>
  <c r="G139" i="14"/>
  <c r="H139" i="14"/>
  <c r="B140" i="14"/>
  <c r="G140" i="14"/>
  <c r="B141" i="14"/>
  <c r="H141" i="14"/>
  <c r="B142" i="14"/>
  <c r="H142" i="14"/>
  <c r="B143" i="14"/>
  <c r="H143" i="14"/>
  <c r="B144" i="14"/>
  <c r="H144" i="14"/>
  <c r="B145" i="14"/>
  <c r="H145" i="14"/>
  <c r="B146" i="14"/>
  <c r="G146" i="14"/>
  <c r="H146" i="14"/>
  <c r="B147" i="14"/>
  <c r="G147" i="14"/>
  <c r="H147" i="14"/>
  <c r="B148" i="14"/>
  <c r="H148" i="14"/>
  <c r="B149" i="14"/>
  <c r="G149" i="14"/>
  <c r="B150" i="14"/>
  <c r="G150" i="14"/>
  <c r="H150" i="14"/>
  <c r="B151" i="14"/>
  <c r="H151" i="14"/>
  <c r="B152" i="14"/>
  <c r="H152" i="14"/>
  <c r="B153" i="14"/>
  <c r="H153" i="14"/>
  <c r="B154" i="14"/>
  <c r="H154" i="14"/>
  <c r="B155" i="14"/>
  <c r="H155" i="14"/>
  <c r="B156" i="14"/>
  <c r="H156" i="14"/>
  <c r="B157" i="14"/>
  <c r="H157" i="14"/>
  <c r="B158" i="14"/>
  <c r="H158" i="14"/>
  <c r="B159" i="14"/>
  <c r="H159" i="14"/>
  <c r="B160" i="14"/>
  <c r="B161" i="14"/>
  <c r="H161" i="14"/>
  <c r="B162" i="14"/>
  <c r="H162" i="14"/>
  <c r="B163" i="14"/>
  <c r="H163" i="14"/>
  <c r="B164" i="14"/>
  <c r="H164" i="14"/>
  <c r="B165" i="14"/>
  <c r="H165" i="14"/>
  <c r="B166" i="14"/>
  <c r="G166" i="14"/>
  <c r="H166" i="14"/>
  <c r="B167" i="14"/>
  <c r="G167" i="14"/>
  <c r="H167" i="14"/>
  <c r="B168" i="14"/>
  <c r="G168" i="14"/>
  <c r="H168" i="14"/>
  <c r="B169" i="14"/>
  <c r="H169" i="14"/>
  <c r="B170" i="14"/>
  <c r="G170" i="14"/>
  <c r="H170" i="14"/>
  <c r="B171" i="14"/>
  <c r="G171" i="14"/>
  <c r="H171" i="14"/>
  <c r="B172" i="14"/>
  <c r="G172" i="14"/>
  <c r="H172" i="14"/>
  <c r="B173" i="14"/>
  <c r="G173" i="14"/>
  <c r="H173" i="14"/>
  <c r="B174" i="14"/>
  <c r="H174" i="14"/>
  <c r="B175" i="14"/>
  <c r="G175" i="14"/>
  <c r="H175" i="14"/>
  <c r="B176" i="14"/>
  <c r="G176" i="14"/>
  <c r="H176" i="14"/>
  <c r="B177" i="14"/>
  <c r="B178" i="14"/>
  <c r="G178" i="14"/>
  <c r="H178" i="14"/>
  <c r="B179" i="14"/>
  <c r="G179" i="14"/>
  <c r="H179" i="14"/>
  <c r="B180" i="14"/>
  <c r="H180" i="14"/>
  <c r="B181" i="14"/>
  <c r="G181" i="14"/>
  <c r="H181" i="14"/>
  <c r="B182" i="14"/>
  <c r="G182" i="14"/>
  <c r="H182" i="14"/>
  <c r="B183" i="14"/>
  <c r="G183" i="14"/>
  <c r="H183" i="14"/>
  <c r="B184" i="14"/>
  <c r="G184" i="14"/>
  <c r="H184" i="14"/>
  <c r="B185" i="14"/>
  <c r="G185" i="14"/>
  <c r="H185" i="14"/>
  <c r="B186" i="14"/>
  <c r="G186" i="14"/>
  <c r="H186" i="14"/>
  <c r="B187" i="14"/>
  <c r="H187" i="14"/>
  <c r="B188" i="14"/>
  <c r="B189" i="14"/>
  <c r="G189" i="14"/>
  <c r="H189" i="14"/>
  <c r="B190" i="14"/>
  <c r="H190" i="14"/>
  <c r="B191" i="14"/>
  <c r="H191" i="14"/>
  <c r="B192" i="14"/>
  <c r="G192" i="14"/>
  <c r="H192" i="14"/>
  <c r="B193" i="14"/>
  <c r="H193" i="14"/>
  <c r="B194" i="14"/>
  <c r="G194" i="14"/>
  <c r="H194" i="14"/>
  <c r="B195" i="14"/>
  <c r="G195" i="14"/>
  <c r="H195" i="14"/>
  <c r="B196" i="14"/>
  <c r="H196" i="14"/>
  <c r="B197" i="14"/>
  <c r="H197" i="14"/>
  <c r="B198" i="14"/>
  <c r="G198" i="14"/>
  <c r="H198" i="14"/>
  <c r="B199" i="14"/>
  <c r="H199" i="14"/>
  <c r="B200" i="14"/>
  <c r="H200" i="14"/>
  <c r="B201" i="14"/>
  <c r="G201" i="14"/>
  <c r="H201" i="14"/>
  <c r="B202" i="14"/>
  <c r="G202" i="14"/>
  <c r="H202" i="14"/>
  <c r="B203" i="14"/>
  <c r="G203" i="14"/>
  <c r="H203" i="14"/>
  <c r="B204" i="14"/>
  <c r="G204" i="14"/>
  <c r="H204" i="14"/>
  <c r="B205" i="14"/>
  <c r="H205" i="14"/>
  <c r="B206" i="14"/>
  <c r="H206" i="14"/>
  <c r="B207" i="14"/>
  <c r="G207" i="14"/>
  <c r="H207" i="14"/>
  <c r="B208" i="14"/>
  <c r="G208" i="14"/>
  <c r="B209" i="14"/>
  <c r="H209" i="14"/>
  <c r="B210" i="14"/>
  <c r="H210" i="14"/>
  <c r="B211" i="14"/>
  <c r="G211" i="14"/>
  <c r="H211" i="14"/>
  <c r="B212" i="14"/>
  <c r="G212" i="14"/>
  <c r="B213" i="14"/>
  <c r="H213" i="14"/>
  <c r="B214" i="14"/>
  <c r="H214" i="14"/>
  <c r="B215" i="14"/>
  <c r="G215" i="14"/>
  <c r="H215" i="14"/>
  <c r="B216" i="14"/>
  <c r="G216" i="14"/>
  <c r="H216" i="14"/>
  <c r="B217" i="14"/>
  <c r="H217" i="14"/>
  <c r="B218" i="14"/>
  <c r="H218" i="14"/>
  <c r="B219" i="14"/>
  <c r="H219" i="14"/>
  <c r="B220" i="14"/>
  <c r="G220" i="14"/>
  <c r="B221" i="14"/>
  <c r="G221" i="14"/>
  <c r="H221" i="14"/>
  <c r="B222" i="14"/>
  <c r="H222" i="14"/>
  <c r="B223" i="14"/>
  <c r="B224" i="14"/>
  <c r="H224" i="14"/>
  <c r="B225" i="14"/>
  <c r="G225" i="14"/>
  <c r="H225" i="14"/>
  <c r="B226" i="14"/>
  <c r="G226" i="14"/>
  <c r="H226" i="14"/>
  <c r="B227" i="14"/>
  <c r="H227" i="14"/>
  <c r="B228" i="14"/>
  <c r="H228" i="14"/>
  <c r="B229" i="14"/>
  <c r="H229" i="14"/>
  <c r="B230" i="14"/>
  <c r="H230" i="14"/>
  <c r="B231" i="14"/>
  <c r="G231" i="14"/>
  <c r="H231" i="14"/>
  <c r="B232" i="14"/>
  <c r="H232" i="14"/>
  <c r="B233" i="14"/>
  <c r="H233" i="14"/>
  <c r="B234" i="14"/>
  <c r="H234" i="14"/>
  <c r="B235" i="14"/>
  <c r="H235" i="14"/>
  <c r="B236" i="14"/>
  <c r="G236" i="14"/>
  <c r="H236" i="14"/>
  <c r="B237" i="14"/>
  <c r="G237" i="14"/>
  <c r="H237" i="14"/>
  <c r="B238" i="14"/>
  <c r="H238" i="14"/>
  <c r="B239" i="14"/>
  <c r="H239" i="14"/>
  <c r="B240" i="14"/>
  <c r="G240" i="14"/>
  <c r="B241" i="14"/>
  <c r="G241" i="14"/>
  <c r="H241" i="14"/>
  <c r="B242" i="14"/>
  <c r="H242" i="14"/>
  <c r="B243" i="14"/>
  <c r="G243" i="14"/>
  <c r="H243" i="14"/>
  <c r="B244" i="14"/>
  <c r="G244" i="14"/>
  <c r="H244" i="14"/>
  <c r="B245" i="14"/>
  <c r="H245" i="14"/>
  <c r="B246" i="14"/>
  <c r="H246" i="14"/>
  <c r="B247" i="14"/>
  <c r="G247" i="14"/>
  <c r="H247" i="14"/>
  <c r="B248" i="14"/>
  <c r="G248" i="14"/>
  <c r="H248" i="14"/>
  <c r="B249" i="14"/>
  <c r="G249" i="14"/>
  <c r="H249" i="14"/>
  <c r="B250" i="14"/>
  <c r="H250" i="14"/>
  <c r="B251" i="14"/>
  <c r="H251" i="14"/>
  <c r="B252" i="14"/>
  <c r="G252" i="14"/>
  <c r="B253" i="14"/>
  <c r="G253" i="14"/>
  <c r="H253" i="14"/>
  <c r="B254" i="14"/>
  <c r="H254" i="14"/>
  <c r="B255" i="14"/>
  <c r="H255" i="14"/>
  <c r="B256" i="14"/>
  <c r="H256" i="14"/>
  <c r="B257" i="14"/>
  <c r="H257" i="14"/>
  <c r="B258" i="14"/>
  <c r="H258" i="14"/>
  <c r="B259" i="14"/>
  <c r="G259" i="14"/>
  <c r="H259" i="14"/>
  <c r="B260" i="14"/>
  <c r="H260" i="14"/>
  <c r="B261" i="14"/>
  <c r="H261" i="14"/>
  <c r="B262" i="14"/>
  <c r="H262" i="14"/>
  <c r="B263" i="14"/>
  <c r="H263" i="14"/>
  <c r="B264" i="14"/>
  <c r="G264" i="14"/>
  <c r="H264" i="14"/>
  <c r="B265" i="14"/>
  <c r="H265" i="14"/>
  <c r="B266" i="14"/>
  <c r="H266" i="14"/>
  <c r="B267" i="14"/>
  <c r="H267" i="14"/>
  <c r="B268" i="14"/>
  <c r="G268" i="14"/>
  <c r="H268" i="14"/>
  <c r="B269" i="14"/>
  <c r="H269" i="14"/>
  <c r="B270" i="14"/>
  <c r="G270" i="14"/>
  <c r="H270" i="14"/>
  <c r="B271" i="14"/>
  <c r="H271" i="14"/>
  <c r="B272" i="14"/>
  <c r="H272" i="14"/>
  <c r="B273" i="14"/>
  <c r="H273" i="14"/>
  <c r="B274" i="14"/>
  <c r="G274" i="14"/>
  <c r="H274" i="14"/>
  <c r="B275" i="14"/>
  <c r="H275" i="14"/>
  <c r="B276" i="14"/>
  <c r="B277" i="14"/>
  <c r="H277" i="14"/>
  <c r="B278" i="14"/>
  <c r="H278" i="14"/>
  <c r="B279" i="14"/>
  <c r="G279" i="14"/>
  <c r="B280" i="14"/>
  <c r="H280" i="14"/>
  <c r="B281" i="14"/>
  <c r="H281" i="14"/>
  <c r="B282" i="14"/>
  <c r="G282" i="14"/>
  <c r="H282" i="14"/>
  <c r="B283" i="14"/>
  <c r="G283" i="14"/>
  <c r="H283" i="14"/>
  <c r="B284" i="14"/>
  <c r="H284" i="14"/>
  <c r="B285" i="14"/>
  <c r="H285" i="14"/>
  <c r="B286" i="14"/>
  <c r="G286" i="14"/>
  <c r="H286" i="14"/>
  <c r="B287" i="14"/>
  <c r="G287" i="14"/>
  <c r="B288" i="14"/>
  <c r="H288" i="14"/>
  <c r="B289" i="14"/>
  <c r="H289" i="14"/>
  <c r="B290" i="14"/>
  <c r="G290" i="14"/>
  <c r="H290" i="14"/>
  <c r="B291" i="14"/>
  <c r="H291" i="14"/>
  <c r="B292" i="14"/>
  <c r="H292" i="14"/>
  <c r="B293" i="14"/>
  <c r="G293" i="14"/>
  <c r="H293" i="14"/>
  <c r="B294" i="14"/>
  <c r="G294" i="14"/>
  <c r="H294" i="14"/>
  <c r="B295" i="14"/>
  <c r="H295" i="14"/>
  <c r="B296" i="14"/>
  <c r="H296" i="14"/>
  <c r="B297" i="14"/>
  <c r="H297" i="14"/>
  <c r="B298" i="14"/>
  <c r="H298" i="14"/>
  <c r="B299" i="14"/>
  <c r="H299" i="14"/>
  <c r="B300" i="14"/>
  <c r="H300" i="14"/>
  <c r="B301" i="14"/>
  <c r="H301" i="14"/>
  <c r="B302" i="14"/>
  <c r="H302" i="14"/>
  <c r="B303" i="14"/>
  <c r="H303" i="14"/>
  <c r="B304" i="14"/>
  <c r="G304" i="14"/>
  <c r="H304" i="14"/>
  <c r="B305" i="14"/>
  <c r="H305" i="14"/>
  <c r="B306" i="14"/>
  <c r="H306" i="14"/>
  <c r="B307" i="14"/>
  <c r="G307" i="14"/>
  <c r="H307" i="14"/>
  <c r="B308" i="14"/>
  <c r="H308" i="14"/>
  <c r="B309" i="14"/>
  <c r="H309" i="14"/>
  <c r="B310" i="14"/>
  <c r="H310" i="14"/>
  <c r="B311" i="14"/>
  <c r="G311" i="14"/>
  <c r="H311" i="14"/>
  <c r="B312" i="14"/>
  <c r="H312" i="14"/>
  <c r="B313" i="14"/>
  <c r="G313" i="14"/>
  <c r="H313" i="14"/>
  <c r="B314" i="14"/>
  <c r="H314" i="14"/>
  <c r="B315" i="14"/>
  <c r="G315" i="14"/>
  <c r="H315" i="14"/>
  <c r="B316" i="14"/>
  <c r="H316" i="14"/>
  <c r="B317" i="14"/>
  <c r="H317" i="14"/>
  <c r="B318" i="14"/>
  <c r="G318" i="14"/>
  <c r="H318" i="14"/>
  <c r="B319" i="14"/>
  <c r="H319" i="14"/>
  <c r="B320" i="14"/>
  <c r="H320" i="14"/>
  <c r="B321" i="14"/>
  <c r="H321" i="14"/>
  <c r="B322" i="14"/>
  <c r="H322" i="14"/>
  <c r="B323" i="14"/>
  <c r="H323" i="14"/>
  <c r="B324" i="14"/>
  <c r="H324" i="14"/>
  <c r="B325" i="14"/>
  <c r="G325" i="14"/>
  <c r="H325" i="14"/>
  <c r="B326" i="14"/>
  <c r="H326" i="14"/>
  <c r="B327" i="14"/>
  <c r="H327" i="14"/>
  <c r="B328" i="14"/>
  <c r="G328" i="14"/>
  <c r="H328" i="14"/>
  <c r="B329" i="14"/>
  <c r="H329" i="14"/>
  <c r="B330" i="14"/>
  <c r="H330" i="14"/>
  <c r="B331" i="14"/>
  <c r="G331" i="14"/>
  <c r="H331" i="14"/>
  <c r="B332" i="14"/>
  <c r="H332" i="14"/>
  <c r="B333" i="14"/>
  <c r="H333" i="14"/>
  <c r="B334" i="14"/>
  <c r="G334" i="14"/>
  <c r="H334" i="14"/>
  <c r="B335" i="14"/>
  <c r="G335" i="14"/>
  <c r="H335" i="14"/>
  <c r="B336" i="14"/>
  <c r="H336" i="14"/>
  <c r="B337" i="14"/>
  <c r="H337" i="14"/>
  <c r="B338" i="14"/>
  <c r="H338" i="14"/>
  <c r="B339" i="14"/>
  <c r="H339" i="14"/>
  <c r="B340" i="14"/>
  <c r="H340" i="14"/>
  <c r="B341" i="14"/>
  <c r="H341" i="14"/>
  <c r="B342" i="14"/>
  <c r="H342" i="14"/>
  <c r="B343" i="14"/>
  <c r="H343" i="14"/>
  <c r="B344" i="14"/>
  <c r="H344" i="14"/>
  <c r="B345" i="14"/>
  <c r="H345" i="14"/>
  <c r="B346" i="14"/>
  <c r="G346" i="14"/>
  <c r="H346" i="14"/>
  <c r="B347" i="14"/>
  <c r="H347" i="14"/>
  <c r="B348" i="14"/>
  <c r="G348" i="14"/>
  <c r="H348" i="14"/>
  <c r="B349" i="14"/>
  <c r="H349" i="14"/>
  <c r="B350" i="14"/>
  <c r="H350" i="14"/>
  <c r="B351" i="14"/>
  <c r="H351" i="14"/>
  <c r="B352" i="14"/>
  <c r="H352" i="14"/>
  <c r="B353" i="14"/>
  <c r="H353" i="14"/>
  <c r="B354" i="14"/>
  <c r="H354" i="14"/>
  <c r="B355" i="14"/>
  <c r="H355" i="14"/>
  <c r="B356" i="14"/>
  <c r="G356" i="14"/>
  <c r="H356" i="14"/>
  <c r="B357" i="14"/>
  <c r="H357" i="14"/>
  <c r="B358" i="14"/>
  <c r="H358" i="14"/>
  <c r="B359" i="14"/>
  <c r="H359" i="14"/>
  <c r="B360" i="14"/>
  <c r="H360" i="14"/>
  <c r="B361" i="14"/>
  <c r="G361" i="14"/>
  <c r="H361" i="14"/>
  <c r="B362" i="14"/>
  <c r="G362" i="14"/>
  <c r="H362" i="14"/>
  <c r="B363" i="14"/>
  <c r="G363" i="14"/>
  <c r="H363" i="14"/>
  <c r="B364" i="14"/>
  <c r="H364" i="14"/>
  <c r="B365" i="14"/>
  <c r="H365" i="14"/>
  <c r="B366" i="14"/>
  <c r="H366" i="14"/>
  <c r="B367" i="14"/>
  <c r="G367" i="14"/>
  <c r="H367" i="14"/>
  <c r="B368" i="14"/>
  <c r="H368" i="14"/>
  <c r="B369" i="14"/>
  <c r="H369" i="14"/>
  <c r="B370" i="14"/>
  <c r="H370" i="14"/>
  <c r="B371" i="14"/>
  <c r="G371" i="14"/>
  <c r="H371" i="14"/>
  <c r="B372" i="14"/>
  <c r="H372" i="14"/>
  <c r="B373" i="14"/>
  <c r="G373" i="14"/>
  <c r="H373" i="14"/>
  <c r="B374" i="14"/>
  <c r="H374" i="14"/>
  <c r="B375" i="14"/>
  <c r="B376" i="14"/>
  <c r="G376" i="14"/>
  <c r="H376" i="14"/>
  <c r="B377" i="14"/>
  <c r="G377" i="14"/>
  <c r="H377" i="14"/>
  <c r="B378" i="14"/>
  <c r="G378" i="14"/>
  <c r="H378" i="14"/>
  <c r="B379" i="14"/>
  <c r="G379" i="14"/>
  <c r="H379" i="14"/>
  <c r="B380" i="14"/>
  <c r="H380" i="14"/>
  <c r="B381" i="14"/>
  <c r="H381" i="14"/>
  <c r="B382" i="14"/>
  <c r="H382" i="14"/>
  <c r="B383" i="14"/>
  <c r="G383" i="14"/>
  <c r="H383" i="14"/>
  <c r="B384" i="14"/>
  <c r="H384" i="14"/>
  <c r="B385" i="14"/>
  <c r="G385" i="14"/>
  <c r="H385" i="14"/>
  <c r="B386" i="14"/>
  <c r="H386" i="14"/>
  <c r="B387" i="14"/>
  <c r="G387" i="14"/>
  <c r="H387" i="14"/>
  <c r="B388" i="14"/>
  <c r="H388" i="14"/>
  <c r="B389" i="14"/>
  <c r="G389" i="14"/>
  <c r="H389" i="14"/>
  <c r="B390" i="14"/>
  <c r="H390" i="14"/>
  <c r="B391" i="14"/>
  <c r="H391" i="14"/>
  <c r="B392" i="14"/>
  <c r="H392" i="14"/>
  <c r="B393" i="14"/>
  <c r="G393" i="14"/>
  <c r="H393" i="14"/>
  <c r="B394" i="14"/>
  <c r="H394" i="14"/>
  <c r="B395" i="14"/>
  <c r="G395" i="14"/>
  <c r="B396" i="14"/>
  <c r="G396" i="14"/>
  <c r="H396" i="14"/>
  <c r="B397" i="14"/>
  <c r="H397" i="14"/>
  <c r="B398" i="14"/>
  <c r="H398" i="14"/>
  <c r="B399" i="14"/>
  <c r="H399" i="14"/>
  <c r="B400" i="14"/>
  <c r="G400" i="14"/>
  <c r="B401" i="14"/>
  <c r="H401" i="14"/>
  <c r="B402" i="14"/>
  <c r="B403" i="14"/>
  <c r="G403" i="14"/>
  <c r="H403" i="14"/>
  <c r="B404" i="14"/>
  <c r="B405" i="14"/>
  <c r="G405" i="14"/>
  <c r="H405" i="14"/>
  <c r="B406" i="14"/>
  <c r="B407" i="14"/>
  <c r="H407" i="14"/>
  <c r="B408" i="14"/>
  <c r="G408" i="14"/>
  <c r="H408" i="14"/>
  <c r="B409" i="14"/>
  <c r="G409" i="14"/>
  <c r="H409" i="14"/>
  <c r="B410" i="14"/>
  <c r="B411" i="14"/>
  <c r="H411" i="14"/>
  <c r="B412" i="14"/>
  <c r="B413" i="14"/>
  <c r="H413" i="14"/>
  <c r="B414" i="14"/>
  <c r="H414" i="14"/>
  <c r="B415" i="14"/>
  <c r="B416" i="14"/>
  <c r="H416" i="14"/>
  <c r="B417" i="14"/>
  <c r="G417" i="14"/>
  <c r="B418" i="14"/>
  <c r="H418" i="14"/>
  <c r="B419" i="14"/>
  <c r="G419" i="14"/>
  <c r="H419" i="14"/>
  <c r="B420" i="14"/>
  <c r="H420" i="14"/>
  <c r="B421" i="14"/>
  <c r="G421" i="14"/>
  <c r="H421" i="14"/>
  <c r="B422" i="14"/>
  <c r="G422" i="14"/>
  <c r="H422" i="14"/>
  <c r="B423" i="14"/>
  <c r="G423" i="14"/>
  <c r="H423" i="14"/>
  <c r="B424" i="14"/>
  <c r="H424" i="14"/>
  <c r="B425" i="14"/>
  <c r="G425" i="14"/>
  <c r="H425" i="14"/>
  <c r="B426" i="14"/>
  <c r="G426" i="14"/>
  <c r="H426" i="14"/>
  <c r="B427" i="14"/>
  <c r="H427" i="14"/>
  <c r="B428" i="14"/>
  <c r="H428" i="14"/>
  <c r="B429" i="14"/>
  <c r="G429" i="14"/>
  <c r="H429" i="14"/>
  <c r="B430" i="14"/>
  <c r="G430" i="14"/>
  <c r="B431" i="14"/>
  <c r="H431" i="14"/>
  <c r="B432" i="14"/>
  <c r="B433" i="14"/>
  <c r="G433" i="14"/>
  <c r="H433" i="14"/>
  <c r="B434" i="14"/>
  <c r="H434" i="14"/>
  <c r="B435" i="14"/>
  <c r="G435" i="14"/>
  <c r="H435" i="14"/>
  <c r="B436" i="14"/>
  <c r="G436" i="14"/>
  <c r="H436" i="14"/>
  <c r="B437" i="14"/>
  <c r="G437" i="14"/>
  <c r="H437" i="14"/>
  <c r="B438" i="14"/>
  <c r="H438" i="14"/>
  <c r="B439" i="14"/>
  <c r="H439" i="14"/>
  <c r="B440" i="14"/>
  <c r="H440" i="14"/>
  <c r="B441" i="14"/>
  <c r="G441" i="14"/>
  <c r="H441" i="14"/>
  <c r="B442" i="14"/>
  <c r="H442" i="14"/>
  <c r="B443" i="14"/>
  <c r="G443" i="14"/>
  <c r="H443" i="14"/>
  <c r="B444" i="14"/>
  <c r="G444" i="14"/>
  <c r="H444" i="14"/>
  <c r="B445" i="14"/>
  <c r="H445" i="14"/>
  <c r="B446" i="14"/>
  <c r="H446" i="14"/>
  <c r="B447" i="14"/>
  <c r="H447" i="14"/>
  <c r="B448" i="14"/>
  <c r="G448" i="14"/>
  <c r="B449" i="14"/>
  <c r="H449" i="14"/>
  <c r="B450" i="14"/>
  <c r="H450" i="14"/>
  <c r="B451" i="14"/>
  <c r="G451" i="14"/>
  <c r="H451" i="14"/>
  <c r="B452" i="14"/>
  <c r="G452" i="14"/>
  <c r="H452" i="14"/>
  <c r="B453" i="14"/>
  <c r="G453" i="14"/>
  <c r="H453" i="14"/>
  <c r="B454" i="14"/>
  <c r="H454" i="14"/>
  <c r="B455" i="14"/>
  <c r="G455" i="14"/>
  <c r="H455" i="14"/>
  <c r="B456" i="14"/>
  <c r="H456" i="14"/>
  <c r="B457" i="14"/>
  <c r="G457" i="14"/>
  <c r="H457" i="14"/>
  <c r="B458" i="14"/>
  <c r="G458" i="14"/>
  <c r="H458" i="14"/>
  <c r="B459" i="14"/>
  <c r="H459" i="14"/>
  <c r="B460" i="14"/>
  <c r="G460" i="14"/>
  <c r="H460" i="14"/>
  <c r="B461" i="14"/>
  <c r="G461" i="14"/>
  <c r="H461" i="14"/>
  <c r="B462" i="14"/>
  <c r="G462" i="14"/>
  <c r="H462" i="14"/>
  <c r="B463" i="14"/>
  <c r="G463" i="14"/>
  <c r="B464" i="14"/>
  <c r="G464" i="14"/>
  <c r="H464" i="14"/>
  <c r="B465" i="14"/>
  <c r="G465" i="14"/>
  <c r="H465" i="14"/>
  <c r="B466" i="14"/>
  <c r="G466" i="14"/>
  <c r="H466" i="14"/>
  <c r="B467" i="14"/>
  <c r="G467" i="14"/>
  <c r="H467" i="14"/>
  <c r="B468" i="14"/>
  <c r="H468" i="14"/>
  <c r="B469" i="14"/>
  <c r="G469" i="14"/>
  <c r="H469" i="14"/>
  <c r="B470" i="14"/>
  <c r="G470" i="14"/>
  <c r="H470" i="14"/>
  <c r="B471" i="14"/>
  <c r="H471" i="14"/>
  <c r="B472" i="14"/>
  <c r="G472" i="14"/>
  <c r="H472" i="14"/>
  <c r="B473" i="14"/>
  <c r="G473" i="14"/>
  <c r="H473" i="14"/>
  <c r="B474" i="14"/>
  <c r="G474" i="14"/>
  <c r="H474" i="14"/>
  <c r="B475" i="14"/>
  <c r="G475" i="14"/>
  <c r="H475" i="14"/>
  <c r="B476" i="14"/>
  <c r="G476" i="14"/>
  <c r="H476" i="14"/>
  <c r="B477" i="14"/>
  <c r="G477" i="14"/>
  <c r="H477" i="14"/>
  <c r="B478" i="14"/>
  <c r="H478" i="14"/>
  <c r="B479" i="14"/>
  <c r="G479" i="14"/>
  <c r="H479" i="14"/>
  <c r="B480" i="14"/>
  <c r="H480" i="14"/>
  <c r="B481" i="14"/>
  <c r="G481" i="14"/>
  <c r="B482" i="14"/>
  <c r="H482" i="14"/>
  <c r="B483" i="14"/>
  <c r="G483" i="14"/>
  <c r="H483" i="14"/>
  <c r="B484" i="14"/>
  <c r="G484" i="14"/>
  <c r="H484" i="14"/>
  <c r="B485" i="14"/>
  <c r="G485" i="14"/>
  <c r="H485" i="14"/>
  <c r="B486" i="14"/>
  <c r="G486" i="14"/>
  <c r="H486" i="14"/>
  <c r="B487" i="14"/>
  <c r="H487" i="14"/>
  <c r="B488" i="14"/>
  <c r="G488" i="14"/>
  <c r="B489" i="14"/>
  <c r="G489" i="14"/>
  <c r="H489" i="14"/>
  <c r="B490" i="14"/>
  <c r="G490" i="14"/>
  <c r="H490" i="14"/>
  <c r="B491" i="14"/>
  <c r="G491" i="14"/>
  <c r="H491" i="14"/>
  <c r="B492" i="14"/>
  <c r="G492" i="14"/>
  <c r="H492" i="14"/>
  <c r="B493" i="14"/>
  <c r="G493" i="14"/>
  <c r="H493" i="14"/>
  <c r="B494" i="14"/>
  <c r="G494" i="14"/>
  <c r="H494" i="14"/>
  <c r="B495" i="14"/>
  <c r="G495" i="14"/>
  <c r="H495" i="14"/>
  <c r="B496" i="14"/>
  <c r="G496" i="14"/>
  <c r="B497" i="14"/>
  <c r="G497" i="14"/>
  <c r="H497" i="14"/>
  <c r="B498" i="14"/>
  <c r="G498" i="14"/>
  <c r="H498" i="14"/>
  <c r="B499" i="14"/>
  <c r="G499" i="14"/>
  <c r="H499" i="14"/>
  <c r="B500" i="14"/>
  <c r="G500" i="14"/>
  <c r="H500" i="14"/>
  <c r="B501" i="14"/>
  <c r="G501" i="14"/>
  <c r="H501" i="14"/>
  <c r="B502" i="14"/>
  <c r="H502" i="14"/>
  <c r="B503" i="14"/>
  <c r="G503" i="14"/>
  <c r="H503" i="14"/>
  <c r="B504" i="14"/>
  <c r="G504" i="14"/>
  <c r="H504" i="14"/>
  <c r="B505" i="14"/>
  <c r="G505" i="14"/>
  <c r="H505" i="14"/>
  <c r="B506" i="14"/>
  <c r="H506" i="14"/>
  <c r="B507" i="14"/>
  <c r="H507" i="14"/>
  <c r="B508" i="14"/>
  <c r="G508" i="14"/>
  <c r="H508" i="14"/>
  <c r="B509" i="14"/>
  <c r="G509" i="14"/>
  <c r="H509" i="14"/>
  <c r="B510" i="14"/>
  <c r="H510" i="14"/>
  <c r="B511" i="14"/>
  <c r="H511" i="14"/>
  <c r="B512" i="14"/>
  <c r="H512" i="14"/>
  <c r="B513" i="14"/>
  <c r="H513" i="14"/>
  <c r="B514" i="14"/>
  <c r="H514" i="14"/>
  <c r="B515" i="14"/>
  <c r="G515" i="14"/>
  <c r="B516" i="14"/>
  <c r="H516" i="14"/>
  <c r="B517" i="14"/>
  <c r="G517" i="14"/>
  <c r="H517" i="14"/>
  <c r="B518" i="14"/>
  <c r="H518" i="14"/>
  <c r="B519" i="14"/>
  <c r="G519" i="14"/>
  <c r="H519" i="14"/>
  <c r="B520" i="14"/>
  <c r="G520" i="14"/>
  <c r="H520" i="14"/>
  <c r="B521" i="14"/>
  <c r="G521" i="14"/>
  <c r="H521" i="14"/>
  <c r="B522" i="14"/>
  <c r="H522" i="14"/>
  <c r="B523" i="14"/>
  <c r="G523" i="14"/>
  <c r="B524" i="14"/>
  <c r="H524" i="14"/>
  <c r="B525" i="14"/>
  <c r="G525" i="14"/>
  <c r="H525" i="14"/>
  <c r="B526" i="14"/>
  <c r="H526" i="14"/>
  <c r="B527" i="14"/>
  <c r="G527" i="14"/>
  <c r="H527" i="14"/>
  <c r="B528" i="14"/>
  <c r="G528" i="14"/>
  <c r="H528" i="14"/>
  <c r="B529" i="14"/>
  <c r="G529" i="14"/>
  <c r="H529" i="14"/>
  <c r="B530" i="14"/>
  <c r="H530" i="14"/>
  <c r="B531" i="14"/>
  <c r="G531" i="14"/>
  <c r="H531" i="14"/>
  <c r="B532" i="14"/>
  <c r="G532" i="14"/>
  <c r="H532" i="14"/>
  <c r="B533" i="14"/>
  <c r="G533" i="14"/>
  <c r="H533" i="14"/>
  <c r="B534" i="14"/>
  <c r="H534" i="14"/>
  <c r="B535" i="14"/>
  <c r="G535" i="14"/>
  <c r="H535" i="14"/>
  <c r="B536" i="14"/>
  <c r="G536" i="14"/>
  <c r="H536" i="14"/>
  <c r="B537" i="14"/>
  <c r="G537" i="14"/>
  <c r="H537" i="14"/>
  <c r="B538" i="14"/>
  <c r="B539" i="14"/>
  <c r="G539" i="14"/>
  <c r="H539" i="14"/>
  <c r="B540" i="14"/>
  <c r="G540" i="14"/>
  <c r="H540" i="14"/>
  <c r="B541" i="14"/>
  <c r="G541" i="14"/>
  <c r="H541" i="14"/>
  <c r="B542" i="14"/>
  <c r="G542" i="14"/>
  <c r="H542" i="14"/>
  <c r="B543" i="14"/>
  <c r="G543" i="14"/>
  <c r="H543" i="14"/>
  <c r="B544" i="14"/>
  <c r="G544" i="14"/>
  <c r="H544" i="14"/>
  <c r="B545" i="14"/>
  <c r="G545" i="14"/>
  <c r="H545" i="14"/>
  <c r="B546" i="14"/>
  <c r="G546" i="14"/>
  <c r="H546" i="14"/>
  <c r="B547" i="14"/>
  <c r="G547" i="14"/>
  <c r="H547" i="14"/>
  <c r="B548" i="14"/>
  <c r="G548" i="14"/>
  <c r="H548" i="14"/>
  <c r="B549" i="14"/>
  <c r="G549" i="14"/>
  <c r="H549" i="14"/>
  <c r="B550" i="14"/>
  <c r="G550" i="14"/>
  <c r="H550" i="14"/>
  <c r="B551" i="14"/>
  <c r="G551" i="14"/>
  <c r="H551" i="14"/>
  <c r="B552" i="14"/>
  <c r="G552" i="14"/>
  <c r="H552" i="14"/>
  <c r="B553" i="14"/>
  <c r="G553" i="14"/>
  <c r="H553" i="14"/>
  <c r="B554" i="14"/>
  <c r="G554" i="14"/>
  <c r="B555" i="14"/>
  <c r="H555" i="14"/>
  <c r="B556" i="14"/>
  <c r="G556" i="14"/>
  <c r="H556" i="14"/>
  <c r="B557" i="14"/>
  <c r="G557" i="14"/>
  <c r="H557" i="14"/>
  <c r="B558" i="14"/>
  <c r="H558" i="14"/>
  <c r="B559" i="14"/>
  <c r="G559" i="14"/>
  <c r="H559" i="14"/>
  <c r="B560" i="14"/>
  <c r="G560" i="14"/>
  <c r="H560" i="14"/>
  <c r="B561" i="14"/>
  <c r="G561" i="14"/>
  <c r="H561" i="14"/>
  <c r="B562" i="14"/>
  <c r="H562" i="14"/>
  <c r="B563" i="14"/>
  <c r="G563" i="14"/>
  <c r="H563" i="14"/>
  <c r="B564" i="14"/>
  <c r="G564" i="14"/>
  <c r="H564" i="14"/>
  <c r="B565" i="14"/>
  <c r="G565" i="14"/>
  <c r="H565" i="14"/>
  <c r="B566" i="14"/>
  <c r="H566" i="14"/>
  <c r="B567" i="14"/>
  <c r="G567" i="14"/>
  <c r="B568" i="14"/>
  <c r="G568" i="14"/>
  <c r="H568" i="14"/>
  <c r="B569" i="14"/>
  <c r="H569" i="14"/>
  <c r="B570" i="14"/>
  <c r="G570" i="14"/>
  <c r="B571" i="14"/>
  <c r="G571" i="14"/>
  <c r="H571" i="14"/>
  <c r="B572" i="14"/>
  <c r="G572" i="14"/>
  <c r="H572" i="14"/>
  <c r="B573" i="14"/>
  <c r="G573" i="14"/>
  <c r="H573" i="14"/>
  <c r="B574" i="14"/>
  <c r="G574" i="14"/>
  <c r="H574" i="14"/>
  <c r="B575" i="14"/>
  <c r="G575" i="14"/>
  <c r="H575" i="14"/>
  <c r="B576" i="14"/>
  <c r="G576" i="14"/>
  <c r="H576" i="14"/>
  <c r="B577" i="14"/>
  <c r="G577" i="14"/>
  <c r="H577" i="14"/>
  <c r="B578" i="14"/>
  <c r="G578" i="14"/>
  <c r="H578" i="14"/>
  <c r="B579" i="14"/>
  <c r="G579" i="14"/>
  <c r="H579" i="14"/>
  <c r="B580" i="14"/>
  <c r="G580" i="14"/>
  <c r="H580" i="14"/>
  <c r="B581" i="14"/>
  <c r="G581" i="14"/>
  <c r="H581" i="14"/>
  <c r="B582" i="14"/>
  <c r="G582" i="14"/>
  <c r="H582" i="14"/>
  <c r="B583" i="14"/>
  <c r="G583" i="14"/>
  <c r="H583" i="14"/>
  <c r="B584" i="14"/>
  <c r="G584" i="14"/>
  <c r="H584" i="14"/>
  <c r="B585" i="14"/>
  <c r="H585" i="14"/>
  <c r="B586" i="14"/>
  <c r="B587" i="14"/>
  <c r="G587" i="14"/>
  <c r="H587" i="14"/>
  <c r="B588" i="14"/>
  <c r="B589" i="14"/>
  <c r="G589" i="14"/>
  <c r="H589" i="14"/>
  <c r="B590" i="14"/>
  <c r="H590" i="14"/>
  <c r="B591" i="14"/>
  <c r="G591" i="14"/>
  <c r="H591" i="14"/>
  <c r="B592" i="14"/>
  <c r="H592" i="14"/>
  <c r="B593" i="14"/>
  <c r="G593" i="14"/>
  <c r="H593" i="14"/>
  <c r="B594" i="14"/>
  <c r="H594" i="14"/>
  <c r="B595" i="14"/>
  <c r="G595" i="14"/>
  <c r="H595" i="14"/>
  <c r="B596" i="14"/>
  <c r="H596" i="14"/>
  <c r="B597" i="14"/>
  <c r="G597" i="14"/>
  <c r="H597" i="14"/>
  <c r="B598" i="14"/>
  <c r="H598" i="14"/>
  <c r="B599" i="14"/>
  <c r="G599" i="14"/>
  <c r="H599" i="14"/>
  <c r="B600" i="14"/>
  <c r="H600" i="14"/>
  <c r="B601" i="14"/>
  <c r="G601" i="14"/>
  <c r="H601" i="14"/>
  <c r="B602" i="14"/>
  <c r="H602" i="14"/>
  <c r="B603" i="14"/>
  <c r="G603" i="14"/>
  <c r="H603" i="14"/>
  <c r="B604" i="14"/>
  <c r="H604" i="14"/>
  <c r="B605" i="14"/>
  <c r="G605" i="14"/>
  <c r="H605" i="14"/>
  <c r="B606" i="14"/>
  <c r="H606" i="14"/>
  <c r="B607" i="14"/>
  <c r="G607" i="14"/>
  <c r="H607" i="14"/>
  <c r="B608" i="14"/>
  <c r="H608" i="14"/>
  <c r="B609" i="14"/>
  <c r="G609" i="14"/>
  <c r="H609" i="14"/>
  <c r="B610" i="14"/>
  <c r="H610" i="14"/>
  <c r="B611" i="14"/>
  <c r="G611" i="14"/>
  <c r="H611" i="14"/>
  <c r="B612" i="14"/>
  <c r="H612" i="14"/>
  <c r="B613" i="14"/>
  <c r="G613" i="14"/>
  <c r="H613" i="14"/>
  <c r="B614" i="14"/>
  <c r="H614" i="14"/>
  <c r="B615" i="14"/>
  <c r="G615" i="14"/>
  <c r="H615" i="14"/>
  <c r="B616" i="14"/>
  <c r="H616" i="14"/>
  <c r="B617" i="14"/>
  <c r="H617" i="14"/>
  <c r="B618" i="14"/>
  <c r="B619" i="14"/>
  <c r="G619" i="14"/>
  <c r="H619" i="14"/>
  <c r="B620" i="14"/>
  <c r="B621" i="14"/>
  <c r="G621" i="14"/>
  <c r="H621" i="14"/>
  <c r="B622" i="14"/>
  <c r="H622" i="14"/>
  <c r="B623" i="14"/>
  <c r="G623" i="14"/>
  <c r="H623" i="14"/>
  <c r="B624" i="14"/>
  <c r="H624" i="14"/>
  <c r="B625" i="14"/>
  <c r="G625" i="14"/>
  <c r="H625" i="14"/>
  <c r="B626" i="14"/>
  <c r="H626" i="14"/>
  <c r="B627" i="14"/>
  <c r="G627" i="14"/>
  <c r="H627" i="14"/>
  <c r="B628" i="14"/>
  <c r="H628" i="14"/>
  <c r="B629" i="14"/>
  <c r="G629" i="14"/>
  <c r="H629" i="14"/>
  <c r="B630" i="14"/>
  <c r="H630" i="14"/>
  <c r="B631" i="14"/>
  <c r="G631" i="14"/>
  <c r="H631" i="14"/>
  <c r="B632" i="14"/>
  <c r="H632" i="14"/>
  <c r="B633" i="14"/>
  <c r="G633" i="14"/>
  <c r="H633" i="14"/>
  <c r="B634" i="14"/>
  <c r="H634" i="14"/>
  <c r="B635" i="14"/>
  <c r="G635" i="14"/>
  <c r="H635" i="14"/>
  <c r="B636" i="14"/>
  <c r="H636" i="14"/>
  <c r="B637" i="14"/>
  <c r="G637" i="14"/>
  <c r="H637" i="14"/>
  <c r="B638" i="14"/>
  <c r="H638" i="14"/>
  <c r="B639" i="14"/>
  <c r="G639" i="14"/>
  <c r="H639" i="14"/>
  <c r="B640" i="14"/>
  <c r="H640" i="14"/>
  <c r="B641" i="14"/>
  <c r="G641" i="14"/>
  <c r="H641" i="14"/>
  <c r="B642" i="14"/>
  <c r="H642" i="14"/>
  <c r="B643" i="14"/>
  <c r="G643" i="14"/>
  <c r="H643" i="14"/>
  <c r="B644" i="14"/>
  <c r="H644" i="14"/>
  <c r="B645" i="14"/>
  <c r="G645" i="14"/>
  <c r="H645" i="14"/>
  <c r="B646" i="14"/>
  <c r="H646" i="14"/>
  <c r="B647" i="14"/>
  <c r="G647" i="14"/>
  <c r="H647" i="14"/>
  <c r="B648" i="14"/>
  <c r="H648" i="14"/>
  <c r="B649" i="14"/>
  <c r="G649" i="14"/>
  <c r="H649" i="14"/>
  <c r="B650" i="14"/>
  <c r="H650" i="14"/>
  <c r="B651" i="14"/>
  <c r="G651" i="14"/>
  <c r="H651" i="14"/>
  <c r="B652" i="14"/>
  <c r="H652" i="14"/>
  <c r="B653" i="14"/>
  <c r="G653" i="14"/>
  <c r="H653" i="14"/>
  <c r="B654" i="14"/>
  <c r="H654" i="14"/>
  <c r="B655" i="14"/>
  <c r="G655" i="14"/>
  <c r="H655" i="14"/>
  <c r="B656" i="14"/>
  <c r="H656" i="14"/>
  <c r="B657" i="14"/>
  <c r="G657" i="14"/>
  <c r="H657" i="14"/>
  <c r="B658" i="14"/>
  <c r="H658" i="14"/>
  <c r="B659" i="14"/>
  <c r="G659" i="14"/>
  <c r="H659" i="14"/>
  <c r="B660" i="14"/>
  <c r="H660" i="14"/>
  <c r="B661" i="14"/>
  <c r="H661" i="14"/>
  <c r="B662" i="14"/>
  <c r="H662" i="14"/>
  <c r="B663" i="14"/>
  <c r="H663" i="14"/>
  <c r="B664" i="14"/>
  <c r="H664" i="14"/>
  <c r="B665" i="14"/>
  <c r="G665" i="14"/>
  <c r="H665" i="14"/>
  <c r="B666" i="14"/>
  <c r="H666" i="14"/>
  <c r="B667" i="14"/>
  <c r="G667" i="14"/>
  <c r="H667" i="14"/>
  <c r="B668" i="14"/>
  <c r="H668" i="14"/>
  <c r="B669" i="14"/>
  <c r="G669" i="14"/>
  <c r="H669" i="14"/>
  <c r="B670" i="14"/>
  <c r="H670" i="14"/>
  <c r="B671" i="14"/>
  <c r="G671" i="14"/>
  <c r="H671" i="14"/>
  <c r="B672" i="14"/>
  <c r="H672" i="14"/>
  <c r="B673" i="14"/>
  <c r="G673" i="14"/>
  <c r="H673" i="14"/>
  <c r="B674" i="14"/>
  <c r="H674" i="14"/>
  <c r="B675" i="14"/>
  <c r="G675" i="14"/>
  <c r="H675" i="14"/>
  <c r="B676" i="14"/>
  <c r="H676" i="14"/>
  <c r="B677" i="14"/>
  <c r="G677" i="14"/>
  <c r="H677" i="14"/>
  <c r="B678" i="14"/>
  <c r="H678" i="14"/>
  <c r="B679" i="14"/>
  <c r="G679" i="14"/>
  <c r="H679" i="14"/>
  <c r="B680" i="14"/>
  <c r="H680" i="14"/>
  <c r="B681" i="14"/>
  <c r="G681" i="14"/>
  <c r="H681" i="14"/>
  <c r="B682" i="14"/>
  <c r="H682" i="14"/>
  <c r="B683" i="14"/>
  <c r="G683" i="14"/>
  <c r="H683" i="14"/>
  <c r="B684" i="14"/>
  <c r="G684" i="14"/>
  <c r="H684" i="14"/>
  <c r="B685" i="14"/>
  <c r="G685" i="14"/>
  <c r="H685" i="14"/>
  <c r="B686" i="14"/>
  <c r="G686" i="14"/>
  <c r="H686" i="14"/>
  <c r="B687" i="14"/>
  <c r="G687" i="14"/>
  <c r="H687" i="14"/>
  <c r="B688" i="14"/>
  <c r="G688" i="14"/>
  <c r="H688" i="14"/>
  <c r="B689" i="14"/>
  <c r="G689" i="14"/>
  <c r="H689" i="14"/>
  <c r="B690" i="14"/>
  <c r="G690" i="14"/>
  <c r="H690" i="14"/>
  <c r="B691" i="14"/>
  <c r="G691" i="14"/>
  <c r="H691" i="14"/>
  <c r="B692" i="14"/>
  <c r="H692" i="14"/>
  <c r="B693" i="14"/>
  <c r="G693" i="14"/>
  <c r="H693" i="14"/>
  <c r="B694" i="14"/>
  <c r="G694" i="14"/>
  <c r="H694" i="14"/>
  <c r="B695" i="14"/>
  <c r="G695" i="14"/>
  <c r="H695" i="14"/>
  <c r="B696" i="14"/>
  <c r="G696" i="14"/>
  <c r="H696" i="14"/>
  <c r="B697" i="14"/>
  <c r="H697" i="14"/>
  <c r="B698" i="14"/>
  <c r="G698" i="14"/>
  <c r="H698" i="14"/>
  <c r="B699" i="14"/>
  <c r="G699" i="14"/>
  <c r="H699" i="14"/>
  <c r="B700" i="14"/>
  <c r="G700" i="14"/>
  <c r="H700" i="14"/>
  <c r="B701" i="14"/>
  <c r="G701" i="14"/>
  <c r="H701" i="14"/>
  <c r="B702" i="14"/>
  <c r="G702" i="14"/>
  <c r="H702" i="14"/>
  <c r="B703" i="14"/>
  <c r="G703" i="14"/>
  <c r="H703" i="14"/>
  <c r="B704" i="14"/>
  <c r="G704" i="14"/>
  <c r="H704" i="14"/>
  <c r="B705" i="14"/>
  <c r="G705" i="14"/>
  <c r="H705" i="14"/>
  <c r="B706" i="14"/>
  <c r="G706" i="14"/>
  <c r="H706" i="14"/>
  <c r="B707" i="14"/>
  <c r="G707" i="14"/>
  <c r="H707" i="14"/>
  <c r="B708" i="14"/>
  <c r="G708" i="14"/>
  <c r="H708" i="14"/>
  <c r="B709" i="14"/>
  <c r="G709" i="14"/>
  <c r="H709" i="14"/>
  <c r="B710" i="14"/>
  <c r="G710" i="14"/>
  <c r="H710" i="14"/>
  <c r="B711" i="14"/>
  <c r="G711" i="14"/>
  <c r="H711" i="14"/>
  <c r="B712" i="14"/>
  <c r="G712" i="14"/>
  <c r="H712" i="14"/>
  <c r="B713" i="14"/>
  <c r="G713" i="14"/>
  <c r="H713" i="14"/>
  <c r="B714" i="14"/>
  <c r="G714" i="14"/>
  <c r="H714" i="14"/>
  <c r="B715" i="14"/>
  <c r="G715" i="14"/>
  <c r="H715" i="14"/>
  <c r="B716" i="14"/>
  <c r="G716" i="14"/>
  <c r="H716" i="14"/>
  <c r="B717" i="14"/>
  <c r="G717" i="14"/>
  <c r="H717" i="14"/>
  <c r="B718" i="14"/>
  <c r="G718" i="14"/>
  <c r="H718" i="14"/>
  <c r="B719" i="14"/>
  <c r="H719" i="14"/>
  <c r="B720" i="14"/>
  <c r="G720" i="14"/>
  <c r="H720" i="14"/>
  <c r="B721" i="14"/>
  <c r="H721" i="14"/>
  <c r="B722" i="14"/>
  <c r="G722" i="14"/>
  <c r="H722" i="14"/>
  <c r="B723" i="14"/>
  <c r="G723" i="14"/>
  <c r="H723" i="14"/>
  <c r="B724" i="14"/>
  <c r="G724" i="14"/>
  <c r="H724" i="14"/>
  <c r="B725" i="14"/>
  <c r="G725" i="14"/>
  <c r="H725" i="14"/>
  <c r="B726" i="14"/>
  <c r="G726" i="14"/>
  <c r="H726" i="14"/>
  <c r="B727" i="14"/>
  <c r="G727" i="14"/>
  <c r="H727" i="14"/>
  <c r="B728" i="14"/>
  <c r="G728" i="14"/>
  <c r="H728" i="14"/>
  <c r="B729" i="14"/>
  <c r="G729" i="14"/>
  <c r="H729" i="14"/>
  <c r="B730" i="14"/>
  <c r="G730" i="14"/>
  <c r="H730" i="14"/>
  <c r="B731" i="14"/>
  <c r="G731" i="14"/>
  <c r="H731" i="14"/>
  <c r="B732" i="14"/>
  <c r="G732" i="14"/>
  <c r="H732" i="14"/>
  <c r="B733" i="14"/>
  <c r="G733" i="14"/>
  <c r="H733" i="14"/>
  <c r="B734" i="14"/>
  <c r="G734" i="14"/>
  <c r="H734" i="14"/>
  <c r="B735" i="14"/>
  <c r="G735" i="14"/>
  <c r="H735" i="14"/>
  <c r="B736" i="14"/>
  <c r="G736" i="14"/>
  <c r="H736" i="14"/>
  <c r="B737" i="14"/>
  <c r="H737" i="14"/>
  <c r="B738" i="14"/>
  <c r="G738" i="14"/>
  <c r="B739" i="14"/>
  <c r="H739" i="14"/>
  <c r="B740" i="14"/>
  <c r="G740" i="14"/>
  <c r="H740" i="14"/>
  <c r="B741" i="14"/>
  <c r="G741" i="14"/>
  <c r="H741" i="14"/>
  <c r="B742" i="14"/>
  <c r="G742" i="14"/>
  <c r="H742" i="14"/>
  <c r="B743" i="14"/>
  <c r="G743" i="14"/>
  <c r="H743" i="14"/>
  <c r="B744" i="14"/>
  <c r="G744" i="14"/>
  <c r="H744" i="14"/>
  <c r="B745" i="14"/>
  <c r="G745" i="14"/>
  <c r="H745" i="14"/>
  <c r="B746" i="14"/>
  <c r="G746" i="14"/>
  <c r="H746" i="14"/>
  <c r="B747" i="14"/>
  <c r="H747" i="14"/>
  <c r="B748" i="14"/>
  <c r="H748" i="14"/>
  <c r="B749" i="14"/>
  <c r="G749" i="14"/>
  <c r="H749" i="14"/>
  <c r="B750" i="14"/>
  <c r="G750" i="14"/>
  <c r="H750" i="14"/>
  <c r="B751" i="14"/>
  <c r="G751" i="14"/>
  <c r="H751" i="14"/>
  <c r="B752" i="14"/>
  <c r="G752" i="14"/>
  <c r="H752" i="14"/>
  <c r="B753" i="14"/>
  <c r="G753" i="14"/>
  <c r="H753" i="14"/>
  <c r="B754" i="14"/>
  <c r="G754" i="14"/>
  <c r="H754" i="14"/>
  <c r="B755" i="14"/>
  <c r="H755" i="14"/>
  <c r="B756" i="14"/>
  <c r="G756" i="14"/>
  <c r="B757" i="14"/>
  <c r="G757" i="14"/>
  <c r="H757" i="14"/>
  <c r="B758" i="14"/>
  <c r="G758" i="14"/>
  <c r="H758" i="14"/>
  <c r="B759" i="14"/>
  <c r="G759" i="14"/>
  <c r="H759" i="14"/>
  <c r="B760" i="14"/>
  <c r="G760" i="14"/>
  <c r="H760" i="14"/>
  <c r="B761" i="14"/>
  <c r="G761" i="14"/>
  <c r="H761" i="14"/>
  <c r="B762" i="14"/>
  <c r="G762" i="14"/>
  <c r="H762" i="14"/>
  <c r="B763" i="14"/>
  <c r="G763" i="14"/>
  <c r="H763" i="14"/>
  <c r="B764" i="14"/>
  <c r="G764" i="14"/>
  <c r="H764" i="14"/>
  <c r="B765" i="14"/>
  <c r="G765" i="14"/>
  <c r="H765" i="14"/>
  <c r="B766" i="14"/>
  <c r="G766" i="14"/>
  <c r="H766" i="14"/>
  <c r="B767" i="14"/>
  <c r="G767" i="14"/>
  <c r="H767" i="14"/>
  <c r="B768" i="14"/>
  <c r="H768" i="14"/>
  <c r="B769" i="14"/>
  <c r="G769" i="14"/>
  <c r="H769" i="14"/>
  <c r="B770" i="14"/>
  <c r="G770" i="14"/>
  <c r="H770" i="14"/>
  <c r="B771" i="14"/>
  <c r="G771" i="14"/>
  <c r="H771" i="14"/>
  <c r="B772" i="14"/>
  <c r="H772" i="14"/>
  <c r="B773" i="14"/>
  <c r="G773" i="14"/>
  <c r="H773" i="14"/>
  <c r="B774" i="14"/>
  <c r="G774" i="14"/>
  <c r="H774" i="14"/>
  <c r="B775" i="14"/>
  <c r="G775" i="14"/>
  <c r="H775" i="14"/>
  <c r="B776" i="14"/>
  <c r="G776" i="14"/>
  <c r="H776" i="14"/>
  <c r="B777" i="14"/>
  <c r="G777" i="14"/>
  <c r="H777" i="14"/>
  <c r="B778" i="14"/>
  <c r="G778" i="14"/>
  <c r="H778" i="14"/>
  <c r="B779" i="14"/>
  <c r="G779" i="14"/>
  <c r="H779" i="14"/>
  <c r="B780" i="14"/>
  <c r="G780" i="14"/>
  <c r="H780" i="14"/>
  <c r="B781" i="14"/>
  <c r="G781" i="14"/>
  <c r="H781" i="14"/>
  <c r="B782" i="14"/>
  <c r="G782" i="14"/>
  <c r="H782" i="14"/>
  <c r="B783" i="14"/>
  <c r="G783" i="14"/>
  <c r="H783" i="14"/>
  <c r="B784" i="14"/>
  <c r="G784" i="14"/>
  <c r="H784" i="14"/>
  <c r="B785" i="14"/>
  <c r="G785" i="14"/>
  <c r="H785" i="14"/>
  <c r="B786" i="14"/>
  <c r="G786" i="14"/>
  <c r="H786" i="14"/>
  <c r="B787" i="14"/>
  <c r="G787" i="14"/>
  <c r="H787" i="14"/>
  <c r="B788" i="14"/>
  <c r="G788" i="14"/>
  <c r="H788" i="14"/>
  <c r="B789" i="14"/>
  <c r="G789" i="14"/>
  <c r="H789" i="14"/>
  <c r="B790" i="14"/>
  <c r="G790" i="14"/>
  <c r="H790" i="14"/>
  <c r="B791" i="14"/>
  <c r="H791" i="14"/>
  <c r="B792" i="14"/>
  <c r="G792" i="14"/>
  <c r="H792" i="14"/>
  <c r="B793" i="14"/>
  <c r="G793" i="14"/>
  <c r="H793" i="14"/>
  <c r="B794" i="14"/>
  <c r="G794" i="14"/>
  <c r="H794" i="14"/>
  <c r="B795" i="14"/>
  <c r="G795" i="14"/>
  <c r="H795" i="14"/>
  <c r="B796" i="14"/>
  <c r="G796" i="14"/>
  <c r="H796" i="14"/>
  <c r="B797" i="14"/>
  <c r="G797" i="14"/>
  <c r="H797" i="14"/>
  <c r="B798" i="14"/>
  <c r="G798" i="14"/>
  <c r="H798" i="14"/>
  <c r="B799" i="14"/>
  <c r="G799" i="14"/>
  <c r="H799" i="14"/>
  <c r="B800" i="14"/>
  <c r="G800" i="14"/>
  <c r="H800" i="14"/>
  <c r="B801" i="14"/>
  <c r="G801" i="14"/>
  <c r="H801" i="14"/>
  <c r="B802" i="14"/>
  <c r="G802" i="14"/>
  <c r="H802" i="14"/>
  <c r="B803" i="14"/>
  <c r="G803" i="14"/>
  <c r="H803" i="14"/>
  <c r="B804" i="14"/>
  <c r="H804" i="14"/>
  <c r="B805" i="14"/>
  <c r="G805" i="14"/>
  <c r="H805" i="14"/>
  <c r="B806" i="14"/>
  <c r="G806" i="14"/>
  <c r="H806" i="14"/>
  <c r="B807" i="14"/>
  <c r="G807" i="14"/>
  <c r="H807" i="14"/>
  <c r="B808" i="14"/>
  <c r="G808" i="14"/>
  <c r="H808" i="14"/>
  <c r="B809" i="14"/>
  <c r="G809" i="14"/>
  <c r="H809" i="14"/>
  <c r="B810" i="14"/>
  <c r="G810" i="14"/>
  <c r="H810" i="14"/>
  <c r="B811" i="14"/>
  <c r="G811" i="14"/>
  <c r="H811" i="14"/>
  <c r="B812" i="14"/>
  <c r="G812" i="14"/>
  <c r="H812" i="14"/>
  <c r="B813" i="14"/>
  <c r="G813" i="14"/>
  <c r="H813" i="14"/>
  <c r="B814" i="14"/>
  <c r="G814" i="14"/>
  <c r="H814" i="14"/>
  <c r="B815" i="14"/>
  <c r="G815" i="14"/>
  <c r="H815" i="14"/>
  <c r="B816" i="14"/>
  <c r="G816" i="14"/>
  <c r="H816" i="14"/>
  <c r="B817" i="14"/>
  <c r="G817" i="14"/>
  <c r="H817" i="14"/>
  <c r="B818" i="14"/>
  <c r="G818" i="14"/>
  <c r="H818" i="14"/>
  <c r="B819" i="14"/>
  <c r="G819" i="14"/>
  <c r="H819" i="14"/>
  <c r="B820" i="14"/>
  <c r="G820" i="14"/>
  <c r="H820" i="14"/>
  <c r="B821" i="14"/>
  <c r="G821" i="14"/>
  <c r="H821" i="14"/>
  <c r="B822" i="14"/>
  <c r="G822" i="14"/>
  <c r="H822" i="14"/>
  <c r="B823" i="14"/>
  <c r="H823" i="14"/>
  <c r="B824" i="14"/>
  <c r="G824" i="14"/>
  <c r="H824" i="14"/>
  <c r="B825" i="14"/>
  <c r="H825" i="14"/>
  <c r="B826" i="14"/>
  <c r="G826" i="14"/>
  <c r="H826" i="14"/>
  <c r="B827" i="14"/>
  <c r="G827" i="14"/>
  <c r="H827" i="14"/>
  <c r="B828" i="14"/>
  <c r="G828" i="14"/>
  <c r="H828" i="14"/>
  <c r="B829" i="14"/>
  <c r="G829" i="14"/>
  <c r="H829" i="14"/>
  <c r="B830" i="14"/>
  <c r="H830" i="14"/>
  <c r="B831" i="14"/>
  <c r="G831" i="14"/>
  <c r="H831" i="14"/>
  <c r="B832" i="14"/>
  <c r="H832" i="14"/>
  <c r="B833" i="14"/>
  <c r="G833" i="14"/>
  <c r="H833" i="14"/>
  <c r="B834" i="14"/>
  <c r="G834" i="14"/>
  <c r="H834" i="14"/>
  <c r="B835" i="14"/>
  <c r="G835" i="14"/>
  <c r="H835" i="14"/>
  <c r="B836" i="14"/>
  <c r="G836" i="14"/>
  <c r="H836" i="14"/>
  <c r="B837" i="14"/>
  <c r="G837" i="14"/>
  <c r="H837" i="14"/>
  <c r="B838" i="14"/>
  <c r="H838" i="14"/>
  <c r="B839" i="14"/>
  <c r="G839" i="14"/>
  <c r="H839" i="14"/>
  <c r="B840" i="14"/>
  <c r="G840" i="14"/>
  <c r="H840" i="14"/>
  <c r="B841" i="14"/>
  <c r="G841" i="14"/>
  <c r="H841" i="14"/>
  <c r="B842" i="14"/>
  <c r="G842" i="14"/>
  <c r="H842" i="14"/>
  <c r="B843" i="14"/>
  <c r="G843" i="14"/>
  <c r="H843" i="14"/>
  <c r="B844" i="14"/>
  <c r="G844" i="14"/>
  <c r="H844" i="14"/>
  <c r="B845" i="14"/>
  <c r="G845" i="14"/>
  <c r="H845" i="14"/>
  <c r="B846" i="14"/>
  <c r="G846" i="14"/>
  <c r="H846" i="14"/>
  <c r="B847" i="14"/>
  <c r="G847" i="14"/>
  <c r="H847" i="14"/>
  <c r="B848" i="14"/>
  <c r="H848" i="14"/>
  <c r="B849" i="14"/>
  <c r="H849" i="14"/>
  <c r="B850" i="14"/>
  <c r="H850" i="14"/>
  <c r="B851" i="14"/>
  <c r="G851" i="14"/>
  <c r="H851" i="14"/>
  <c r="B852" i="14"/>
  <c r="G852" i="14"/>
  <c r="H852" i="14"/>
  <c r="B853" i="14"/>
  <c r="G853" i="14"/>
  <c r="H853" i="14"/>
  <c r="B854" i="14"/>
  <c r="G854" i="14"/>
  <c r="H854" i="14"/>
  <c r="B855" i="14"/>
  <c r="H855" i="14"/>
  <c r="B856" i="14"/>
  <c r="H856" i="14"/>
  <c r="B857" i="14"/>
  <c r="G857" i="14"/>
  <c r="H857" i="14"/>
  <c r="B858" i="14"/>
  <c r="G858" i="14"/>
  <c r="H858" i="14"/>
  <c r="B859" i="14"/>
  <c r="G859" i="14"/>
  <c r="H859" i="14"/>
  <c r="B860" i="14"/>
  <c r="G860" i="14"/>
  <c r="H860" i="14"/>
  <c r="B861" i="14"/>
  <c r="G861" i="14"/>
  <c r="H861" i="14"/>
  <c r="B862" i="14"/>
  <c r="G862" i="14"/>
  <c r="H862" i="14"/>
  <c r="B863" i="14"/>
  <c r="G863" i="14"/>
  <c r="H863" i="14"/>
  <c r="B864" i="14"/>
  <c r="H864" i="14"/>
  <c r="B865" i="14"/>
  <c r="G865" i="14"/>
  <c r="H865" i="14"/>
  <c r="B866" i="14"/>
  <c r="G866" i="14"/>
  <c r="H866" i="14"/>
  <c r="B867" i="14"/>
  <c r="G867" i="14"/>
  <c r="H867" i="14"/>
  <c r="B868" i="14"/>
  <c r="G868" i="14"/>
  <c r="H868" i="14"/>
  <c r="B869" i="14"/>
  <c r="G869" i="14"/>
  <c r="H869" i="14"/>
  <c r="B870" i="14"/>
  <c r="H870" i="14"/>
  <c r="B871" i="14"/>
  <c r="H871" i="14"/>
  <c r="B872" i="14"/>
  <c r="H872" i="14"/>
  <c r="B873" i="14"/>
  <c r="G873" i="14"/>
  <c r="H873" i="14"/>
  <c r="B874" i="14"/>
  <c r="G874" i="14"/>
  <c r="H874" i="14"/>
  <c r="B875" i="14"/>
  <c r="G875" i="14"/>
  <c r="H875" i="14"/>
  <c r="B876" i="14"/>
  <c r="G876" i="14"/>
  <c r="H876" i="14"/>
  <c r="B877" i="14"/>
  <c r="H877" i="14"/>
  <c r="B878" i="14"/>
  <c r="G878" i="14"/>
  <c r="H878" i="14"/>
  <c r="B879" i="14"/>
  <c r="G879" i="14"/>
  <c r="H879" i="14"/>
  <c r="B880" i="14"/>
  <c r="G880" i="14"/>
  <c r="H880" i="14"/>
  <c r="B881" i="14"/>
  <c r="G881" i="14"/>
  <c r="H881" i="14"/>
  <c r="B882" i="14"/>
  <c r="G882" i="14"/>
  <c r="H882" i="14"/>
  <c r="B883" i="14"/>
  <c r="G883" i="14"/>
  <c r="H883" i="14"/>
  <c r="B884" i="14"/>
  <c r="G884" i="14"/>
  <c r="H884" i="14"/>
  <c r="B885" i="14"/>
  <c r="G885" i="14"/>
  <c r="H885" i="14"/>
  <c r="B886" i="14"/>
  <c r="G886" i="14"/>
  <c r="H886" i="14"/>
  <c r="B887" i="14"/>
  <c r="G887" i="14"/>
  <c r="H887" i="14"/>
  <c r="B888" i="14"/>
  <c r="G888" i="14"/>
  <c r="H888" i="14"/>
  <c r="B889" i="14"/>
  <c r="G889" i="14"/>
  <c r="H889" i="14"/>
  <c r="B890" i="14"/>
  <c r="G890" i="14"/>
  <c r="H890" i="14"/>
  <c r="B891" i="14"/>
  <c r="G891" i="14"/>
  <c r="H891" i="14"/>
  <c r="B892" i="14"/>
  <c r="G892" i="14"/>
  <c r="H892" i="14"/>
  <c r="B893" i="14"/>
  <c r="G893" i="14"/>
  <c r="H893" i="14"/>
  <c r="B894" i="14"/>
  <c r="G894" i="14"/>
  <c r="H894" i="14"/>
  <c r="B895" i="14"/>
  <c r="G895" i="14"/>
  <c r="H895" i="14"/>
  <c r="B896" i="14"/>
  <c r="G896" i="14"/>
  <c r="H896" i="14"/>
  <c r="B897" i="14"/>
  <c r="G897" i="14"/>
  <c r="H897" i="14"/>
  <c r="B898" i="14"/>
  <c r="H898" i="14"/>
  <c r="B899" i="14"/>
  <c r="H899" i="14"/>
  <c r="B900" i="14"/>
  <c r="G900" i="14"/>
  <c r="H900" i="14"/>
  <c r="B901" i="14"/>
  <c r="G901" i="14"/>
  <c r="H901" i="14"/>
  <c r="B902" i="14"/>
  <c r="G902" i="14"/>
  <c r="H902" i="14"/>
  <c r="B903" i="14"/>
  <c r="G903" i="14"/>
  <c r="H903" i="14"/>
  <c r="B904" i="14"/>
  <c r="G904" i="14"/>
  <c r="H904" i="14"/>
  <c r="B905" i="14"/>
  <c r="G905" i="14"/>
  <c r="H905" i="14"/>
  <c r="B906" i="14"/>
  <c r="H906" i="14"/>
  <c r="B907" i="14"/>
  <c r="G907" i="14"/>
  <c r="H907" i="14"/>
  <c r="B908" i="14"/>
  <c r="G908" i="14"/>
  <c r="H908" i="14"/>
  <c r="B909" i="14"/>
  <c r="G909" i="14"/>
  <c r="H909" i="14"/>
  <c r="B910" i="14"/>
  <c r="G910" i="14"/>
  <c r="H910" i="14"/>
  <c r="B911" i="14"/>
  <c r="G911" i="14"/>
  <c r="H911" i="14"/>
  <c r="B912" i="14"/>
  <c r="G912" i="14"/>
  <c r="H912" i="14"/>
  <c r="B913" i="14"/>
  <c r="G913" i="14"/>
  <c r="H913" i="14"/>
  <c r="B914" i="14"/>
  <c r="G914" i="14"/>
  <c r="H914" i="14"/>
  <c r="B915" i="14"/>
  <c r="G915" i="14"/>
  <c r="H915" i="14"/>
  <c r="B916" i="14"/>
  <c r="G916" i="14"/>
  <c r="H916" i="14"/>
  <c r="B917" i="14"/>
  <c r="G917" i="14"/>
  <c r="H917" i="14"/>
  <c r="B918" i="14"/>
  <c r="G918" i="14"/>
  <c r="H918" i="14"/>
  <c r="B919" i="14"/>
  <c r="G919" i="14"/>
  <c r="H919" i="14"/>
  <c r="B920" i="14"/>
  <c r="G920" i="14"/>
  <c r="H920" i="14"/>
  <c r="B921" i="14"/>
  <c r="G921" i="14"/>
  <c r="H921" i="14"/>
  <c r="B922" i="14"/>
  <c r="G922" i="14"/>
  <c r="H922" i="14"/>
  <c r="B923" i="14"/>
  <c r="G923" i="14"/>
  <c r="H923" i="14"/>
  <c r="B924" i="14"/>
  <c r="G924" i="14"/>
  <c r="H924" i="14"/>
  <c r="B925" i="14"/>
  <c r="G925" i="14"/>
  <c r="H925" i="14"/>
  <c r="B926" i="14"/>
  <c r="G926" i="14"/>
  <c r="H926" i="14"/>
  <c r="B927" i="14"/>
  <c r="G927" i="14"/>
  <c r="H927" i="14"/>
  <c r="B928" i="14"/>
  <c r="H928" i="14"/>
  <c r="B929" i="14"/>
  <c r="H929" i="14"/>
  <c r="B930" i="14"/>
  <c r="H930" i="14"/>
  <c r="B931" i="14"/>
  <c r="H931" i="14"/>
  <c r="B932" i="14"/>
  <c r="G932" i="14"/>
  <c r="H932" i="14"/>
  <c r="B933" i="14"/>
  <c r="G933" i="14"/>
  <c r="H933" i="14"/>
  <c r="B934" i="14"/>
  <c r="G934" i="14"/>
  <c r="H934" i="14"/>
  <c r="B935" i="14"/>
  <c r="G935" i="14"/>
  <c r="H935" i="14"/>
  <c r="B936" i="14"/>
  <c r="G936" i="14"/>
  <c r="H936" i="14"/>
  <c r="B937" i="14"/>
  <c r="G937" i="14"/>
  <c r="H937" i="14"/>
  <c r="B938" i="14"/>
  <c r="G938" i="14"/>
  <c r="H938" i="14"/>
  <c r="B939" i="14"/>
  <c r="G939" i="14"/>
  <c r="H939" i="14"/>
  <c r="B940" i="14"/>
  <c r="G940" i="14"/>
  <c r="H940" i="14"/>
  <c r="B941" i="14"/>
  <c r="G941" i="14"/>
  <c r="H941" i="14"/>
  <c r="B942" i="14"/>
  <c r="G942" i="14"/>
  <c r="H942" i="14"/>
  <c r="B943" i="14"/>
  <c r="G943" i="14"/>
  <c r="H943" i="14"/>
  <c r="B944" i="14"/>
  <c r="H944" i="14"/>
  <c r="B945" i="14"/>
  <c r="G945" i="14"/>
  <c r="H945" i="14"/>
  <c r="B946" i="14"/>
  <c r="G946" i="14"/>
  <c r="H946" i="14"/>
  <c r="B947" i="14"/>
  <c r="H947" i="14"/>
  <c r="B948" i="14"/>
  <c r="G948" i="14"/>
  <c r="H948" i="14"/>
  <c r="B949" i="14"/>
  <c r="G949" i="14"/>
  <c r="H949" i="14"/>
  <c r="B950" i="14"/>
  <c r="G950" i="14"/>
  <c r="H950" i="14"/>
  <c r="B951" i="14"/>
  <c r="G951" i="14"/>
  <c r="H951" i="14"/>
  <c r="B952" i="14"/>
  <c r="G952" i="14"/>
  <c r="H952" i="14"/>
  <c r="B953" i="14"/>
  <c r="G953" i="14"/>
  <c r="H953" i="14"/>
  <c r="B954" i="14"/>
  <c r="G954" i="14"/>
  <c r="H954" i="14"/>
  <c r="B955" i="14"/>
  <c r="G955" i="14"/>
  <c r="H955" i="14"/>
  <c r="B956" i="14"/>
  <c r="G956" i="14"/>
  <c r="H956" i="14"/>
  <c r="B957" i="14"/>
  <c r="G957" i="14"/>
  <c r="H957" i="14"/>
  <c r="B958" i="14"/>
  <c r="H958" i="14"/>
  <c r="B959" i="14"/>
  <c r="G959" i="14"/>
  <c r="H959" i="14"/>
  <c r="B960" i="14"/>
  <c r="G960" i="14"/>
  <c r="H960" i="14"/>
  <c r="B961" i="14"/>
  <c r="G961" i="14"/>
  <c r="H961" i="14"/>
  <c r="B962" i="14"/>
  <c r="H962" i="14"/>
  <c r="B963" i="14"/>
  <c r="G963" i="14"/>
  <c r="H963" i="14"/>
  <c r="B964" i="14"/>
  <c r="G964" i="14"/>
  <c r="H964" i="14"/>
  <c r="B965" i="14"/>
  <c r="G965" i="14"/>
  <c r="H965" i="14"/>
  <c r="B966" i="14"/>
  <c r="G966" i="14"/>
  <c r="H966" i="14"/>
  <c r="B967" i="14"/>
  <c r="G967" i="14"/>
  <c r="H967" i="14"/>
  <c r="B968" i="14"/>
  <c r="G968" i="14"/>
  <c r="H968" i="14"/>
  <c r="B969" i="14"/>
  <c r="H969" i="14"/>
  <c r="B970" i="14"/>
  <c r="G970" i="14"/>
  <c r="H970" i="14"/>
  <c r="B971" i="14"/>
  <c r="G971" i="14"/>
  <c r="H971" i="14"/>
  <c r="B972" i="14"/>
  <c r="G972" i="14"/>
  <c r="H972" i="14"/>
  <c r="B973" i="14"/>
  <c r="G973" i="14"/>
  <c r="H973" i="14"/>
  <c r="B974" i="14"/>
  <c r="G974" i="14"/>
  <c r="H974" i="14"/>
  <c r="B975" i="14"/>
  <c r="G975" i="14"/>
  <c r="H975" i="14"/>
  <c r="B976" i="14"/>
  <c r="G976" i="14"/>
  <c r="H976" i="14"/>
  <c r="B977" i="14"/>
  <c r="G977" i="14"/>
  <c r="H977" i="14"/>
  <c r="B978" i="14"/>
  <c r="G978" i="14"/>
  <c r="H978" i="14"/>
  <c r="B979" i="14"/>
  <c r="G979" i="14"/>
  <c r="H979" i="14"/>
  <c r="B980" i="14"/>
  <c r="G980" i="14"/>
  <c r="H980" i="14"/>
  <c r="B981" i="14"/>
  <c r="G981" i="14"/>
  <c r="H981" i="14"/>
  <c r="B982" i="14"/>
  <c r="G982" i="14"/>
  <c r="H982" i="14"/>
  <c r="B983" i="14"/>
  <c r="G983" i="14"/>
  <c r="H983" i="14"/>
  <c r="B984" i="14"/>
  <c r="G984" i="14"/>
  <c r="H984" i="14"/>
  <c r="B985" i="14"/>
  <c r="G985" i="14"/>
  <c r="H985" i="14"/>
  <c r="B986" i="14"/>
  <c r="H986" i="14"/>
  <c r="B987" i="14"/>
  <c r="G987" i="14"/>
  <c r="H987" i="14"/>
  <c r="B988" i="14"/>
  <c r="G988" i="14"/>
  <c r="H988" i="14"/>
  <c r="B989" i="14"/>
  <c r="H989" i="14"/>
  <c r="B990" i="14"/>
  <c r="G990" i="14"/>
  <c r="H990" i="14"/>
  <c r="B991" i="14"/>
  <c r="G991" i="14"/>
  <c r="H991" i="14"/>
  <c r="B992" i="14"/>
  <c r="G992" i="14"/>
  <c r="H992" i="14"/>
  <c r="B993" i="14"/>
  <c r="G993" i="14"/>
  <c r="H993" i="14"/>
  <c r="B994" i="14"/>
  <c r="G994" i="14"/>
  <c r="H994" i="14"/>
  <c r="B995" i="14"/>
  <c r="G995" i="14"/>
  <c r="H995" i="14"/>
  <c r="B996" i="14"/>
  <c r="H996" i="14"/>
  <c r="B997" i="14"/>
  <c r="H997" i="14"/>
  <c r="B998" i="14"/>
  <c r="G998" i="14"/>
  <c r="H998" i="14"/>
  <c r="B999" i="14"/>
  <c r="H999" i="14"/>
  <c r="B1000" i="14"/>
  <c r="G1000" i="14"/>
  <c r="H1000" i="14"/>
  <c r="B1001" i="14"/>
  <c r="G1001" i="14"/>
  <c r="H1001" i="14"/>
  <c r="B1002" i="14"/>
  <c r="G1002" i="14"/>
  <c r="H1002" i="14"/>
  <c r="B1003" i="14"/>
  <c r="H1003" i="14"/>
  <c r="B1004" i="14"/>
  <c r="H1004" i="14"/>
  <c r="B1005" i="14"/>
  <c r="H1005" i="14"/>
  <c r="B1006" i="14"/>
  <c r="G1006" i="14"/>
  <c r="H1006" i="14"/>
  <c r="B1007" i="14"/>
  <c r="G1007" i="14"/>
  <c r="H1007" i="14"/>
  <c r="B1008" i="14"/>
  <c r="H1008" i="14"/>
  <c r="B1009" i="14"/>
  <c r="G1009" i="14"/>
  <c r="H1009" i="14"/>
  <c r="B1010" i="14"/>
  <c r="G1010" i="14"/>
  <c r="H1010" i="14"/>
  <c r="B1011" i="14"/>
  <c r="G1011" i="14"/>
  <c r="H1011" i="14"/>
  <c r="B1012" i="14"/>
  <c r="G1012" i="14"/>
  <c r="H1012" i="14"/>
  <c r="B1013" i="14"/>
  <c r="G1013" i="14"/>
  <c r="H1013" i="14"/>
  <c r="B1014" i="14"/>
  <c r="H1014" i="14"/>
  <c r="B1015" i="14"/>
  <c r="G1015" i="14"/>
  <c r="H1015" i="14"/>
  <c r="B1016" i="14"/>
  <c r="G1016" i="14"/>
  <c r="H1016" i="14"/>
  <c r="B1017" i="14"/>
  <c r="G1017" i="14"/>
  <c r="H1017" i="14"/>
  <c r="B1018" i="14"/>
  <c r="G1018" i="14"/>
  <c r="H1018" i="14"/>
  <c r="B1019" i="14"/>
  <c r="G1019" i="14"/>
  <c r="H1019" i="14"/>
  <c r="B1020" i="14"/>
  <c r="G1020" i="14"/>
  <c r="H1020" i="14"/>
  <c r="B1021" i="14"/>
  <c r="H1021" i="14"/>
  <c r="B1022" i="14"/>
  <c r="G1022" i="14"/>
  <c r="H1022" i="14"/>
  <c r="B1023" i="14"/>
  <c r="H1023" i="14"/>
  <c r="B1024" i="14"/>
  <c r="G1024" i="14"/>
  <c r="H1024" i="14"/>
  <c r="B1025" i="14"/>
  <c r="H1025" i="14"/>
  <c r="B1026" i="14"/>
  <c r="G1026" i="14"/>
  <c r="H1026" i="14"/>
  <c r="B1027" i="14"/>
  <c r="G1027" i="14"/>
  <c r="H1027" i="14"/>
  <c r="B1028" i="14"/>
  <c r="H1028" i="14"/>
  <c r="B1029" i="14"/>
  <c r="G1029" i="14"/>
  <c r="H1029" i="14"/>
  <c r="B1030" i="14"/>
  <c r="G1030" i="14"/>
  <c r="H1030" i="14"/>
  <c r="B1031" i="14"/>
  <c r="G1031" i="14"/>
  <c r="H1031" i="14"/>
  <c r="B1032" i="14"/>
  <c r="G1032" i="14"/>
  <c r="H1032" i="14"/>
  <c r="B1033" i="14"/>
  <c r="G1033" i="14"/>
  <c r="H1033" i="14"/>
  <c r="B1034" i="14"/>
  <c r="G1034" i="14"/>
  <c r="H1034" i="14"/>
  <c r="B1035" i="14"/>
  <c r="H1035" i="14"/>
  <c r="B1036" i="14"/>
  <c r="G1036" i="14"/>
  <c r="H1036" i="14"/>
  <c r="B1037" i="14"/>
  <c r="G1037" i="14"/>
  <c r="H1037" i="14"/>
  <c r="B1038" i="14"/>
  <c r="G1038" i="14"/>
  <c r="H1038" i="14"/>
  <c r="B1039" i="14"/>
  <c r="H1039" i="14"/>
  <c r="B1040" i="14"/>
  <c r="G1040" i="14"/>
  <c r="H1040" i="14"/>
  <c r="B1041" i="14"/>
  <c r="G1041" i="14"/>
  <c r="H1041" i="14"/>
  <c r="B1042" i="14"/>
  <c r="G1042" i="14"/>
  <c r="H1042" i="14"/>
  <c r="B1043" i="14"/>
  <c r="G1043" i="14"/>
  <c r="H1043" i="14"/>
  <c r="B1044" i="14"/>
  <c r="G1044" i="14"/>
  <c r="H1044" i="14"/>
  <c r="B1045" i="14"/>
  <c r="H1045" i="14"/>
  <c r="B1046" i="14"/>
  <c r="G1046" i="14"/>
  <c r="H1046" i="14"/>
  <c r="B1047" i="14"/>
  <c r="G1047" i="14"/>
  <c r="H1047" i="14"/>
  <c r="B1048" i="14"/>
  <c r="G1048" i="14"/>
  <c r="H1048" i="14"/>
  <c r="B1049" i="14"/>
  <c r="H1049" i="14"/>
  <c r="B1050" i="14"/>
  <c r="G1050" i="14"/>
  <c r="H1050" i="14"/>
  <c r="B1051" i="14"/>
  <c r="G1051" i="14"/>
  <c r="H1051" i="14"/>
  <c r="B1052" i="14"/>
  <c r="G1052" i="14"/>
  <c r="H1052" i="14"/>
  <c r="B1053" i="14"/>
  <c r="G1053" i="14"/>
  <c r="H1053" i="14"/>
  <c r="B1054" i="14"/>
  <c r="G1054" i="14"/>
  <c r="H1054" i="14"/>
  <c r="B1055" i="14"/>
  <c r="G1055" i="14"/>
  <c r="H1055" i="14"/>
  <c r="B1056" i="14"/>
  <c r="G1056" i="14"/>
  <c r="H1056" i="14"/>
  <c r="B1057" i="14"/>
  <c r="G1057" i="14"/>
  <c r="H1057" i="14"/>
  <c r="B1058" i="14"/>
  <c r="G1058" i="14"/>
  <c r="H1058" i="14"/>
  <c r="B1059" i="14"/>
  <c r="G1059" i="14"/>
  <c r="H1059" i="14"/>
  <c r="B1060" i="14"/>
  <c r="G1060" i="14"/>
  <c r="H1060" i="14"/>
  <c r="B1061" i="14"/>
  <c r="G1061" i="14"/>
  <c r="H1061" i="14"/>
  <c r="B1062" i="14"/>
  <c r="G1062" i="14"/>
  <c r="H1062" i="14"/>
  <c r="B1063" i="14"/>
  <c r="G1063" i="14"/>
  <c r="H1063" i="14"/>
  <c r="B1064" i="14"/>
  <c r="G1064" i="14"/>
  <c r="H1064" i="14"/>
  <c r="B1065" i="14"/>
  <c r="H1065" i="14"/>
  <c r="B1066" i="14"/>
  <c r="H1066" i="14"/>
  <c r="B1067" i="14"/>
  <c r="G1067" i="14"/>
  <c r="H1067" i="14"/>
  <c r="B1068" i="14"/>
  <c r="G1068" i="14"/>
  <c r="H1068" i="14"/>
  <c r="B1069" i="14"/>
  <c r="G1069" i="14"/>
  <c r="H1069" i="14"/>
  <c r="B1070" i="14"/>
  <c r="G1070" i="14"/>
  <c r="H1070" i="14"/>
  <c r="B1071" i="14"/>
  <c r="G1071" i="14"/>
  <c r="H1071" i="14"/>
  <c r="B1072" i="14"/>
  <c r="G1072" i="14"/>
  <c r="H1072" i="14"/>
  <c r="B1073" i="14"/>
  <c r="G1073" i="14"/>
  <c r="H1073" i="14"/>
  <c r="B1074" i="14"/>
  <c r="G1074" i="14"/>
  <c r="H1074" i="14"/>
  <c r="B1075" i="14"/>
  <c r="G1075" i="14"/>
  <c r="H1075" i="14"/>
  <c r="B1076" i="14"/>
  <c r="G1076" i="14"/>
  <c r="H1076" i="14"/>
  <c r="B1077" i="14"/>
  <c r="G1077" i="14"/>
  <c r="H1077" i="14"/>
  <c r="B1078" i="14"/>
  <c r="G1078" i="14"/>
  <c r="H1078" i="14"/>
  <c r="B1079" i="14"/>
  <c r="G1079" i="14"/>
  <c r="H1079" i="14"/>
  <c r="B1080" i="14"/>
  <c r="G1080" i="14"/>
  <c r="H1080" i="14"/>
  <c r="B1081" i="14"/>
  <c r="G1081" i="14"/>
  <c r="H1081" i="14"/>
  <c r="B1082" i="14"/>
  <c r="G1082" i="14"/>
  <c r="H1082" i="14"/>
  <c r="B1083" i="14"/>
  <c r="G1083" i="14"/>
  <c r="H1083" i="14"/>
  <c r="B1084" i="14"/>
  <c r="G1084" i="14"/>
  <c r="H1084" i="14"/>
  <c r="B1085" i="14"/>
  <c r="G1085" i="14"/>
  <c r="H1085" i="14"/>
  <c r="B1086" i="14"/>
  <c r="H1086" i="14"/>
  <c r="B1087" i="14"/>
  <c r="G1087" i="14"/>
  <c r="H1087" i="14"/>
  <c r="B1088" i="14"/>
  <c r="H1088" i="14"/>
  <c r="B1089" i="14"/>
  <c r="G1089" i="14"/>
  <c r="H1089" i="14"/>
  <c r="B1090" i="14"/>
  <c r="G1090" i="14"/>
  <c r="H1090" i="14"/>
  <c r="B1091" i="14"/>
  <c r="G1091" i="14"/>
  <c r="H1091" i="14"/>
  <c r="B1092" i="14"/>
  <c r="G1092" i="14"/>
  <c r="H1092" i="14"/>
  <c r="B1093" i="14"/>
  <c r="G1093" i="14"/>
  <c r="H1093" i="14"/>
  <c r="B1094" i="14"/>
  <c r="G1094" i="14"/>
  <c r="H1094" i="14"/>
  <c r="B1095" i="14"/>
  <c r="G1095" i="14"/>
  <c r="H1095" i="14"/>
  <c r="B1096" i="14"/>
  <c r="H1096" i="14"/>
  <c r="B1097" i="14"/>
  <c r="G1097" i="14"/>
  <c r="H1097" i="14"/>
  <c r="B1098" i="14"/>
  <c r="G1098" i="14"/>
  <c r="H1098" i="14"/>
  <c r="B1099" i="14"/>
  <c r="H1099" i="14"/>
  <c r="B1100" i="14"/>
  <c r="G1100" i="14"/>
  <c r="H1100" i="14"/>
  <c r="B1101" i="14"/>
  <c r="G1101" i="14"/>
  <c r="H1101" i="14"/>
  <c r="B1102" i="14"/>
  <c r="G1102" i="14"/>
  <c r="H1102" i="14"/>
  <c r="B1103" i="14"/>
  <c r="G1103" i="14"/>
  <c r="H1103" i="14"/>
  <c r="B1104" i="14"/>
  <c r="G1104" i="14"/>
  <c r="H1104" i="14"/>
  <c r="B1105" i="14"/>
  <c r="H1105" i="14"/>
  <c r="B1106" i="14"/>
  <c r="H1106" i="14"/>
  <c r="B1107" i="14"/>
  <c r="G1107" i="14"/>
  <c r="H1107" i="14"/>
  <c r="B1108" i="14"/>
  <c r="G1108" i="14"/>
  <c r="H1108" i="14"/>
  <c r="B1109" i="14"/>
  <c r="H1109" i="14"/>
  <c r="B1110" i="14"/>
  <c r="G1110" i="14"/>
  <c r="H1110" i="14"/>
  <c r="B1111" i="14"/>
  <c r="G1111" i="14"/>
  <c r="H1111" i="14"/>
  <c r="B1112" i="14"/>
  <c r="G1112" i="14"/>
  <c r="H1112" i="14"/>
  <c r="B1113" i="14"/>
  <c r="G1113" i="14"/>
  <c r="H1113" i="14"/>
  <c r="B1114" i="14"/>
  <c r="G1114" i="14"/>
  <c r="H1114" i="14"/>
  <c r="B24" i="4"/>
  <c r="J24" i="4"/>
  <c r="B26" i="4"/>
  <c r="J26" i="4"/>
  <c r="B29" i="4"/>
  <c r="J29" i="4"/>
  <c r="B31" i="4"/>
  <c r="J31" i="4"/>
  <c r="B34" i="4"/>
  <c r="J34" i="4"/>
  <c r="B42" i="4"/>
  <c r="J42" i="4"/>
  <c r="B44" i="4"/>
  <c r="J44" i="4"/>
  <c r="B50" i="4"/>
  <c r="J50" i="4"/>
  <c r="B57" i="4"/>
  <c r="J57" i="4"/>
  <c r="B58" i="4"/>
  <c r="J58" i="4"/>
  <c r="B65" i="4"/>
  <c r="J65" i="4"/>
  <c r="B66" i="4"/>
  <c r="J66" i="4"/>
  <c r="B67" i="4"/>
  <c r="J67" i="4"/>
  <c r="B68" i="4"/>
  <c r="J68" i="4"/>
  <c r="B69" i="4"/>
  <c r="J69" i="4"/>
  <c r="B73" i="4"/>
  <c r="J73" i="4"/>
  <c r="B79" i="4"/>
  <c r="J79" i="4"/>
  <c r="B81" i="4"/>
  <c r="J81" i="4"/>
  <c r="B83" i="4"/>
  <c r="J83" i="4"/>
  <c r="B84" i="4"/>
  <c r="J84" i="4"/>
  <c r="J86" i="4"/>
  <c r="B96" i="4"/>
  <c r="J96" i="4"/>
  <c r="B99" i="4"/>
  <c r="J99" i="4"/>
  <c r="B104" i="4"/>
  <c r="J104" i="4"/>
  <c r="B108" i="4"/>
  <c r="J108" i="4"/>
  <c r="B113" i="4"/>
  <c r="J113" i="4"/>
  <c r="B120" i="4"/>
  <c r="J120" i="4"/>
  <c r="B122" i="4"/>
  <c r="J122" i="4"/>
  <c r="B127" i="4"/>
  <c r="J127" i="4"/>
  <c r="B130" i="4"/>
  <c r="J130" i="4"/>
  <c r="B131" i="4"/>
  <c r="J131" i="4"/>
  <c r="B135" i="4"/>
  <c r="J135" i="4"/>
  <c r="B138" i="4"/>
  <c r="J138" i="4"/>
  <c r="B139" i="4"/>
  <c r="J139" i="4"/>
  <c r="B140" i="4"/>
  <c r="J140" i="4"/>
  <c r="B143" i="4"/>
  <c r="J143" i="4"/>
  <c r="B144" i="4"/>
  <c r="J144" i="4"/>
  <c r="B145" i="4"/>
  <c r="J145" i="4"/>
  <c r="B146" i="4"/>
  <c r="J146" i="4"/>
  <c r="B147" i="4"/>
  <c r="J147" i="4"/>
  <c r="B148" i="4"/>
  <c r="J148" i="4"/>
  <c r="B149" i="4"/>
  <c r="J149" i="4"/>
  <c r="B150" i="4"/>
  <c r="J150" i="4"/>
  <c r="B151" i="4"/>
  <c r="J151" i="4"/>
  <c r="B154" i="4"/>
  <c r="J154" i="4"/>
  <c r="B156" i="4"/>
  <c r="J156" i="4"/>
  <c r="B158" i="4"/>
  <c r="J158" i="4"/>
  <c r="B160" i="4"/>
  <c r="J160" i="4"/>
  <c r="B161" i="4"/>
  <c r="J161" i="4"/>
  <c r="B162" i="4"/>
  <c r="J162" i="4"/>
  <c r="B163" i="4"/>
  <c r="J163" i="4"/>
  <c r="B164" i="4"/>
  <c r="J164" i="4"/>
  <c r="B165" i="4"/>
  <c r="J165" i="4"/>
  <c r="B166" i="4"/>
  <c r="J166" i="4"/>
  <c r="B167" i="4"/>
  <c r="J167" i="4"/>
  <c r="B168" i="4"/>
  <c r="J168" i="4"/>
  <c r="B169" i="4"/>
  <c r="J169" i="4"/>
  <c r="B170" i="4"/>
  <c r="J170" i="4"/>
  <c r="B171" i="4"/>
  <c r="J171" i="4"/>
  <c r="B172" i="4"/>
  <c r="J172" i="4"/>
  <c r="B173" i="4"/>
  <c r="J173" i="4"/>
  <c r="B174" i="4"/>
  <c r="J174" i="4"/>
  <c r="B175" i="4"/>
  <c r="J175" i="4"/>
  <c r="B176" i="4"/>
  <c r="J176" i="4"/>
  <c r="B177" i="4"/>
  <c r="J177" i="4"/>
  <c r="B178" i="4"/>
  <c r="J178" i="4"/>
  <c r="B179" i="4"/>
  <c r="J179" i="4"/>
  <c r="B180" i="4"/>
  <c r="J180" i="4"/>
  <c r="B181" i="4"/>
  <c r="J181" i="4"/>
  <c r="B182" i="4"/>
  <c r="J182" i="4"/>
  <c r="B183" i="4"/>
  <c r="J183" i="4"/>
  <c r="B184" i="4"/>
  <c r="J184" i="4"/>
  <c r="B185" i="4"/>
  <c r="J185" i="4"/>
  <c r="J187" i="4"/>
  <c r="J188" i="4"/>
  <c r="J189" i="4"/>
  <c r="J190" i="4"/>
  <c r="J191" i="4"/>
  <c r="J192" i="4"/>
  <c r="J193" i="4"/>
  <c r="B214" i="4"/>
  <c r="O3" i="15"/>
  <c r="P3" i="15"/>
  <c r="P6" i="15"/>
  <c r="Q3" i="15"/>
  <c r="Q6" i="15"/>
  <c r="R3" i="15"/>
  <c r="R6" i="15"/>
  <c r="S3" i="15"/>
  <c r="S6" i="15"/>
  <c r="T3" i="15"/>
  <c r="U3" i="15"/>
  <c r="U6" i="15"/>
  <c r="V3" i="15"/>
  <c r="V6" i="15"/>
  <c r="W3" i="15"/>
  <c r="X3" i="15"/>
  <c r="X6" i="15"/>
  <c r="T6" i="15"/>
  <c r="W6" i="15"/>
  <c r="I7" i="15"/>
  <c r="J7" i="15"/>
  <c r="K7" i="15"/>
  <c r="L7" i="15"/>
  <c r="E10" i="15"/>
  <c r="E11" i="15"/>
  <c r="E19" i="15"/>
  <c r="F19" i="15"/>
  <c r="F95" i="15"/>
  <c r="E20" i="15"/>
  <c r="F20" i="15"/>
  <c r="E21" i="15"/>
  <c r="F21" i="15"/>
  <c r="E22" i="15"/>
  <c r="F22" i="15"/>
  <c r="E23" i="15"/>
  <c r="F23" i="15"/>
  <c r="E24" i="15"/>
  <c r="F24" i="15"/>
  <c r="E25" i="15"/>
  <c r="F25" i="15"/>
  <c r="E26" i="15"/>
  <c r="F26" i="15"/>
  <c r="E27" i="15"/>
  <c r="F27" i="15"/>
  <c r="E28" i="15"/>
  <c r="F28" i="15"/>
  <c r="E29" i="15"/>
  <c r="F29" i="15"/>
  <c r="E30" i="15"/>
  <c r="F30" i="15"/>
  <c r="E31" i="15"/>
  <c r="F31" i="15"/>
  <c r="E32" i="15"/>
  <c r="F32" i="15"/>
  <c r="E33" i="15"/>
  <c r="F33" i="15"/>
  <c r="E34" i="15"/>
  <c r="F34" i="15"/>
  <c r="E35" i="15"/>
  <c r="F35" i="15"/>
  <c r="E36" i="15"/>
  <c r="F36" i="15"/>
  <c r="E37" i="15"/>
  <c r="F37" i="15"/>
  <c r="E38" i="15"/>
  <c r="F38" i="15"/>
  <c r="E39" i="15"/>
  <c r="F39" i="15"/>
  <c r="E40" i="15"/>
  <c r="F40" i="15"/>
  <c r="E41" i="15"/>
  <c r="F41" i="15"/>
  <c r="E42" i="15"/>
  <c r="F42" i="15"/>
  <c r="E43" i="15"/>
  <c r="F43" i="15"/>
  <c r="E44" i="15"/>
  <c r="F44" i="15"/>
  <c r="E45" i="15"/>
  <c r="F45" i="15"/>
  <c r="E46" i="15"/>
  <c r="F46" i="15"/>
  <c r="E47" i="15"/>
  <c r="F47" i="15"/>
  <c r="E48" i="15"/>
  <c r="F48" i="15"/>
  <c r="E49" i="15"/>
  <c r="F49" i="15"/>
  <c r="E50" i="15"/>
  <c r="F50" i="15"/>
  <c r="E51" i="15"/>
  <c r="F51" i="15"/>
  <c r="E52" i="15"/>
  <c r="F52" i="15"/>
  <c r="E53" i="15"/>
  <c r="F53" i="15"/>
  <c r="E54" i="15"/>
  <c r="F54" i="15"/>
  <c r="E55" i="15"/>
  <c r="F55" i="15"/>
  <c r="E56" i="15"/>
  <c r="F56" i="15"/>
  <c r="E57" i="15"/>
  <c r="F57" i="15"/>
  <c r="E58" i="15"/>
  <c r="F58" i="15"/>
  <c r="E59" i="15"/>
  <c r="F59" i="15"/>
  <c r="E60" i="15"/>
  <c r="F60" i="15"/>
  <c r="E61" i="15"/>
  <c r="F61" i="15"/>
  <c r="E62" i="15"/>
  <c r="F62" i="15"/>
  <c r="E63" i="15"/>
  <c r="F63" i="15"/>
  <c r="E64" i="15"/>
  <c r="F64" i="15"/>
  <c r="E65" i="15"/>
  <c r="F65" i="15"/>
  <c r="E66" i="15"/>
  <c r="F66" i="15"/>
  <c r="E67" i="15"/>
  <c r="F67" i="15"/>
  <c r="E68" i="15"/>
  <c r="F68" i="15"/>
  <c r="E69" i="15"/>
  <c r="F69" i="15"/>
  <c r="E70" i="15"/>
  <c r="F70" i="15"/>
  <c r="E71" i="15"/>
  <c r="F71" i="15"/>
  <c r="E72" i="15"/>
  <c r="F72" i="15"/>
  <c r="E73" i="15"/>
  <c r="F73" i="15"/>
  <c r="E74" i="15"/>
  <c r="F74" i="15"/>
  <c r="E75" i="15"/>
  <c r="F75" i="15"/>
  <c r="E76" i="15"/>
  <c r="F76" i="15"/>
  <c r="E77" i="15"/>
  <c r="F77" i="15"/>
  <c r="E78" i="15"/>
  <c r="F78" i="15"/>
  <c r="E79" i="15"/>
  <c r="F79" i="15"/>
  <c r="E80" i="15"/>
  <c r="F80" i="15"/>
  <c r="E81" i="15"/>
  <c r="F81" i="15"/>
  <c r="E82" i="15"/>
  <c r="F82" i="15"/>
  <c r="E83" i="15"/>
  <c r="F83" i="15"/>
  <c r="E84" i="15"/>
  <c r="F84" i="15"/>
  <c r="E85" i="15"/>
  <c r="F85" i="15"/>
  <c r="E86" i="15"/>
  <c r="F86" i="15"/>
  <c r="E87" i="15"/>
  <c r="F87" i="15"/>
  <c r="E88" i="15"/>
  <c r="F88" i="15"/>
  <c r="E89" i="15"/>
  <c r="F89" i="15"/>
  <c r="E90" i="15"/>
  <c r="F90" i="15"/>
  <c r="E91" i="15"/>
  <c r="F91" i="15"/>
  <c r="E92" i="15"/>
  <c r="F92" i="15"/>
  <c r="E93" i="15"/>
  <c r="F93" i="15"/>
  <c r="E94" i="15"/>
  <c r="F94" i="15"/>
  <c r="D95" i="15"/>
  <c r="C53" i="12"/>
  <c r="Q74" i="12"/>
  <c r="B61" i="12"/>
  <c r="P61" i="12"/>
  <c r="R61" i="12"/>
  <c r="Q61" i="12"/>
  <c r="B62" i="12"/>
  <c r="P62" i="12"/>
  <c r="R62" i="12"/>
  <c r="Q62" i="12"/>
  <c r="B63" i="12"/>
  <c r="P63" i="12"/>
  <c r="R63" i="12"/>
  <c r="Q63" i="12"/>
  <c r="B64" i="12"/>
  <c r="P64" i="12"/>
  <c r="R64" i="12"/>
  <c r="Q64" i="12"/>
  <c r="B65" i="12"/>
  <c r="P65" i="12"/>
  <c r="R65" i="12"/>
  <c r="Q65" i="12"/>
  <c r="B66" i="12"/>
  <c r="P66" i="12"/>
  <c r="R66" i="12"/>
  <c r="Q66" i="12"/>
  <c r="B67" i="12"/>
  <c r="P67" i="12"/>
  <c r="R67" i="12"/>
  <c r="Q67" i="12"/>
  <c r="B68" i="12"/>
  <c r="P68" i="12"/>
  <c r="R68" i="12"/>
  <c r="Q68" i="12"/>
  <c r="B69" i="12"/>
  <c r="P69" i="12"/>
  <c r="R69" i="12"/>
  <c r="Q69" i="12"/>
  <c r="B70" i="12"/>
  <c r="P70" i="12"/>
  <c r="R70" i="12"/>
  <c r="Q70" i="12"/>
  <c r="B71" i="12"/>
  <c r="P71" i="12"/>
  <c r="R71" i="12"/>
  <c r="Q71" i="12"/>
  <c r="B72" i="12"/>
  <c r="P72" i="12"/>
  <c r="R72" i="12"/>
  <c r="Q72" i="12"/>
  <c r="B73" i="12"/>
  <c r="P73" i="12"/>
  <c r="R73" i="12"/>
  <c r="Q73" i="12"/>
  <c r="B74" i="12"/>
  <c r="P74" i="12"/>
  <c r="B75" i="12"/>
  <c r="P75" i="12"/>
  <c r="R75" i="12"/>
  <c r="Q75" i="12"/>
  <c r="B76" i="12"/>
  <c r="P76" i="12"/>
  <c r="R76" i="12"/>
  <c r="Q76" i="12"/>
  <c r="B77" i="12"/>
  <c r="P77" i="12"/>
  <c r="R77" i="12"/>
  <c r="Q77" i="12"/>
  <c r="B78" i="12"/>
  <c r="P78" i="12"/>
  <c r="R78" i="12"/>
  <c r="Q78" i="12"/>
  <c r="B79" i="12"/>
  <c r="P79" i="12"/>
  <c r="R79" i="12"/>
  <c r="Q79" i="12"/>
  <c r="B80" i="12"/>
  <c r="P80" i="12"/>
  <c r="R80" i="12"/>
  <c r="Q80" i="12"/>
  <c r="B81" i="12"/>
  <c r="P81" i="12"/>
  <c r="R81" i="12"/>
  <c r="Q81" i="12"/>
  <c r="B82" i="12"/>
  <c r="P82" i="12"/>
  <c r="R82" i="12"/>
  <c r="Q82" i="12"/>
  <c r="B83" i="12"/>
  <c r="P83" i="12"/>
  <c r="R83" i="12"/>
  <c r="Q83" i="12"/>
  <c r="B84" i="12"/>
  <c r="P84" i="12"/>
  <c r="R84" i="12"/>
  <c r="Q84" i="12"/>
  <c r="B85" i="12"/>
  <c r="P85" i="12"/>
  <c r="R85" i="12"/>
  <c r="Q85" i="12"/>
  <c r="B86" i="12"/>
  <c r="P86" i="12"/>
  <c r="R86" i="12"/>
  <c r="Q86" i="12"/>
  <c r="B87" i="12"/>
  <c r="P87" i="12"/>
  <c r="R87" i="12"/>
  <c r="Q87" i="12"/>
  <c r="B88" i="12"/>
  <c r="P88" i="12"/>
  <c r="R88" i="12"/>
  <c r="Q88" i="12"/>
  <c r="B89" i="12"/>
  <c r="P89" i="12"/>
  <c r="R89" i="12"/>
  <c r="Q89" i="12"/>
  <c r="D90" i="12"/>
  <c r="E90" i="12"/>
  <c r="F90" i="12"/>
  <c r="G90" i="12"/>
  <c r="H90" i="12"/>
  <c r="I90" i="12"/>
  <c r="J90" i="12"/>
  <c r="K90" i="12"/>
  <c r="L90" i="12"/>
  <c r="M90" i="12"/>
  <c r="N90" i="12"/>
  <c r="O90" i="12"/>
  <c r="C24" i="11"/>
  <c r="C25" i="11"/>
  <c r="F25" i="11"/>
  <c r="B35" i="11"/>
  <c r="B36" i="11"/>
  <c r="C26" i="11"/>
  <c r="F26" i="11"/>
  <c r="C27" i="11"/>
  <c r="C28" i="11"/>
  <c r="B57" i="11"/>
  <c r="I940" i="14"/>
  <c r="C29" i="11"/>
  <c r="B44" i="11"/>
  <c r="B45" i="11"/>
  <c r="B92" i="11"/>
  <c r="B51" i="11"/>
  <c r="B58" i="11"/>
  <c r="I1056" i="14"/>
  <c r="F72" i="11"/>
  <c r="F73" i="11"/>
  <c r="F74" i="11"/>
  <c r="F75" i="11"/>
  <c r="F76" i="11"/>
  <c r="F77" i="11"/>
  <c r="F78" i="11"/>
  <c r="B90" i="11"/>
  <c r="B91" i="11"/>
  <c r="B93" i="11"/>
  <c r="B94" i="11"/>
  <c r="B96" i="11"/>
  <c r="B95" i="11"/>
  <c r="B97" i="11"/>
  <c r="B111" i="11"/>
  <c r="B98" i="11"/>
  <c r="B99" i="11"/>
  <c r="B115" i="11"/>
  <c r="AF17" i="3"/>
  <c r="AG17" i="3"/>
  <c r="B20" i="3"/>
  <c r="M20" i="3"/>
  <c r="B21" i="3"/>
  <c r="M21" i="3"/>
  <c r="B22" i="3"/>
  <c r="M22" i="3"/>
  <c r="B23" i="3"/>
  <c r="M23" i="3"/>
  <c r="B24" i="3"/>
  <c r="M24" i="3"/>
  <c r="B25" i="3"/>
  <c r="M25" i="3"/>
  <c r="B26" i="3"/>
  <c r="M26" i="3"/>
  <c r="B27" i="3"/>
  <c r="M27" i="3"/>
  <c r="B28" i="3"/>
  <c r="M28" i="3"/>
  <c r="B29" i="3"/>
  <c r="M29" i="3"/>
  <c r="B30" i="3"/>
  <c r="M30" i="3"/>
  <c r="B31" i="3"/>
  <c r="M31" i="3"/>
  <c r="B32" i="3"/>
  <c r="M32" i="3"/>
  <c r="B33" i="3"/>
  <c r="M33" i="3"/>
  <c r="B34" i="3"/>
  <c r="M34" i="3"/>
  <c r="B35" i="3"/>
  <c r="M35" i="3"/>
  <c r="B36" i="3"/>
  <c r="M36" i="3"/>
  <c r="B37" i="3"/>
  <c r="M37" i="3"/>
  <c r="B38" i="3"/>
  <c r="M38" i="3"/>
  <c r="B39" i="3"/>
  <c r="M39" i="3"/>
  <c r="B40" i="3"/>
  <c r="M40" i="3"/>
  <c r="B41" i="3"/>
  <c r="M41" i="3"/>
  <c r="B42" i="3"/>
  <c r="M42" i="3"/>
  <c r="B43" i="3"/>
  <c r="M43" i="3"/>
  <c r="B44" i="3"/>
  <c r="M44" i="3"/>
  <c r="B45" i="3"/>
  <c r="M45" i="3"/>
  <c r="B46" i="3"/>
  <c r="M46" i="3"/>
  <c r="B47" i="3"/>
  <c r="M47" i="3"/>
  <c r="B48" i="3"/>
  <c r="M48" i="3"/>
  <c r="B49" i="3"/>
  <c r="M49" i="3"/>
  <c r="B50" i="3"/>
  <c r="M50" i="3"/>
  <c r="B51" i="3"/>
  <c r="M51" i="3"/>
  <c r="B52" i="3"/>
  <c r="M52" i="3"/>
  <c r="B53" i="3"/>
  <c r="M53" i="3"/>
  <c r="B54" i="3"/>
  <c r="M54" i="3"/>
  <c r="B55" i="3"/>
  <c r="M55" i="3"/>
  <c r="B56" i="3"/>
  <c r="M56" i="3"/>
  <c r="B57" i="3"/>
  <c r="M57" i="3"/>
  <c r="B58" i="3"/>
  <c r="M58" i="3"/>
  <c r="B59" i="3"/>
  <c r="M59" i="3"/>
  <c r="B60" i="3"/>
  <c r="M60" i="3"/>
  <c r="B61" i="3"/>
  <c r="M61" i="3"/>
  <c r="B62" i="3"/>
  <c r="M62" i="3"/>
  <c r="B63" i="3"/>
  <c r="M63" i="3"/>
  <c r="B64" i="3"/>
  <c r="M64" i="3"/>
  <c r="B65" i="3"/>
  <c r="M65" i="3"/>
  <c r="B66" i="3"/>
  <c r="M66" i="3"/>
  <c r="B67" i="3"/>
  <c r="M67" i="3"/>
  <c r="B68" i="3"/>
  <c r="M68" i="3"/>
  <c r="B69" i="3"/>
  <c r="M69" i="3"/>
  <c r="B70" i="3"/>
  <c r="M70" i="3"/>
  <c r="B71" i="3"/>
  <c r="M71" i="3"/>
  <c r="B72" i="3"/>
  <c r="M72" i="3"/>
  <c r="B73" i="3"/>
  <c r="M73" i="3"/>
  <c r="B74" i="3"/>
  <c r="M74" i="3"/>
  <c r="B75" i="3"/>
  <c r="M75" i="3"/>
  <c r="B76" i="3"/>
  <c r="M76" i="3"/>
  <c r="B77" i="3"/>
  <c r="M77" i="3"/>
  <c r="B78" i="3"/>
  <c r="M78" i="3"/>
  <c r="B79" i="3"/>
  <c r="M79" i="3"/>
  <c r="B80" i="3"/>
  <c r="M80" i="3"/>
  <c r="B81" i="3"/>
  <c r="M81" i="3"/>
  <c r="B82" i="3"/>
  <c r="M82" i="3"/>
  <c r="B83" i="3"/>
  <c r="M83" i="3"/>
  <c r="B84" i="3"/>
  <c r="M84" i="3"/>
  <c r="B85" i="3"/>
  <c r="M85" i="3"/>
  <c r="B86" i="3"/>
  <c r="M86" i="3"/>
  <c r="B87" i="3"/>
  <c r="M87" i="3"/>
  <c r="B88" i="3"/>
  <c r="M88" i="3"/>
  <c r="B89" i="3"/>
  <c r="M89" i="3"/>
  <c r="B90" i="3"/>
  <c r="M90" i="3"/>
  <c r="B91" i="3"/>
  <c r="M91" i="3"/>
  <c r="B92" i="3"/>
  <c r="M92" i="3"/>
  <c r="B93" i="3"/>
  <c r="M93" i="3"/>
  <c r="B94" i="3"/>
  <c r="M94" i="3"/>
  <c r="B95" i="3"/>
  <c r="M95" i="3"/>
  <c r="B96" i="3"/>
  <c r="M96" i="3"/>
  <c r="B97" i="3"/>
  <c r="M97" i="3"/>
  <c r="B98" i="3"/>
  <c r="M98" i="3"/>
  <c r="B99" i="3"/>
  <c r="M99" i="3"/>
  <c r="B100" i="3"/>
  <c r="M100" i="3"/>
  <c r="B101" i="3"/>
  <c r="M101" i="3"/>
  <c r="B102" i="3"/>
  <c r="M102" i="3"/>
  <c r="B103" i="3"/>
  <c r="M103" i="3"/>
  <c r="B104" i="3"/>
  <c r="M104" i="3"/>
  <c r="B105" i="3"/>
  <c r="M105" i="3"/>
  <c r="B106" i="3"/>
  <c r="M106" i="3"/>
  <c r="B107" i="3"/>
  <c r="M107" i="3"/>
  <c r="B108" i="3"/>
  <c r="M108" i="3"/>
  <c r="B109" i="3"/>
  <c r="M109" i="3"/>
  <c r="B110" i="3"/>
  <c r="M110" i="3"/>
  <c r="B111" i="3"/>
  <c r="M111" i="3"/>
  <c r="M112" i="3"/>
  <c r="B113" i="3"/>
  <c r="M113" i="3"/>
  <c r="B114" i="3"/>
  <c r="M114" i="3"/>
  <c r="B115" i="3"/>
  <c r="M115" i="3"/>
  <c r="B116" i="3"/>
  <c r="M116" i="3"/>
  <c r="B117" i="3"/>
  <c r="M117" i="3"/>
  <c r="B118" i="3"/>
  <c r="M118" i="3"/>
  <c r="B119" i="3"/>
  <c r="M119" i="3"/>
  <c r="B120" i="3"/>
  <c r="M120" i="3"/>
  <c r="B121" i="3"/>
  <c r="M121" i="3"/>
  <c r="B122" i="3"/>
  <c r="M122" i="3"/>
  <c r="B123" i="3"/>
  <c r="M123" i="3"/>
  <c r="B124" i="3"/>
  <c r="M124" i="3"/>
  <c r="B125" i="3"/>
  <c r="M125" i="3"/>
  <c r="B126" i="3"/>
  <c r="M126" i="3"/>
  <c r="B127" i="3"/>
  <c r="M127" i="3"/>
  <c r="B128" i="3"/>
  <c r="M128" i="3"/>
  <c r="B129" i="3"/>
  <c r="M129" i="3"/>
  <c r="B130" i="3"/>
  <c r="M130" i="3"/>
  <c r="B131" i="3"/>
  <c r="M131" i="3"/>
  <c r="B132" i="3"/>
  <c r="M132" i="3"/>
  <c r="B133" i="3"/>
  <c r="M133" i="3"/>
  <c r="B134" i="3"/>
  <c r="M134" i="3"/>
  <c r="B135" i="3"/>
  <c r="M135" i="3"/>
  <c r="B136" i="3"/>
  <c r="M136" i="3"/>
  <c r="B137" i="3"/>
  <c r="M137" i="3"/>
  <c r="B138" i="3"/>
  <c r="M138" i="3"/>
  <c r="B139" i="3"/>
  <c r="M139" i="3"/>
  <c r="AK139" i="3"/>
  <c r="AN139" i="3"/>
  <c r="B140" i="3"/>
  <c r="M140" i="3"/>
  <c r="AK140" i="3"/>
  <c r="AN140" i="3"/>
  <c r="B141" i="3"/>
  <c r="M141" i="3"/>
  <c r="B142" i="3"/>
  <c r="M142" i="3"/>
  <c r="B143" i="3"/>
  <c r="M143" i="3"/>
  <c r="B144" i="3"/>
  <c r="M144" i="3"/>
  <c r="B145" i="3"/>
  <c r="M145" i="3"/>
  <c r="B146" i="3"/>
  <c r="M146" i="3"/>
  <c r="B147" i="3"/>
  <c r="M147" i="3"/>
  <c r="B148" i="3"/>
  <c r="M148" i="3"/>
  <c r="B149" i="3"/>
  <c r="M149" i="3"/>
  <c r="B150" i="3"/>
  <c r="M150" i="3"/>
  <c r="B151" i="3"/>
  <c r="M151" i="3"/>
  <c r="B152" i="3"/>
  <c r="M152" i="3"/>
  <c r="B153" i="3"/>
  <c r="M153" i="3"/>
  <c r="B154" i="3"/>
  <c r="M154" i="3"/>
  <c r="B155" i="3"/>
  <c r="M155" i="3"/>
  <c r="B156" i="3"/>
  <c r="M156" i="3"/>
  <c r="B157" i="3"/>
  <c r="M157" i="3"/>
  <c r="AK157" i="3"/>
  <c r="AN157" i="3"/>
  <c r="B158" i="3"/>
  <c r="M158" i="3"/>
  <c r="AK158" i="3"/>
  <c r="AN158" i="3"/>
  <c r="B159" i="3"/>
  <c r="M159" i="3"/>
  <c r="AK159" i="3"/>
  <c r="AN159" i="3"/>
  <c r="B160" i="3"/>
  <c r="M160" i="3"/>
  <c r="AK160" i="3"/>
  <c r="AN160" i="3"/>
  <c r="B161" i="3"/>
  <c r="D32" i="13"/>
  <c r="F32" i="13"/>
  <c r="H32" i="13"/>
  <c r="M161" i="3"/>
  <c r="AK161" i="3"/>
  <c r="AN161" i="3"/>
  <c r="B162" i="3"/>
  <c r="M162" i="3"/>
  <c r="AK162" i="3"/>
  <c r="AN162" i="3"/>
  <c r="B163" i="3"/>
  <c r="M163" i="3"/>
  <c r="AK163" i="3"/>
  <c r="AN163" i="3"/>
  <c r="B164" i="3"/>
  <c r="M164" i="3"/>
  <c r="AK164" i="3"/>
  <c r="AN164" i="3"/>
  <c r="B165" i="3"/>
  <c r="M165" i="3"/>
  <c r="AK165" i="3"/>
  <c r="AN165" i="3"/>
  <c r="B166" i="3"/>
  <c r="M166" i="3"/>
  <c r="AK166" i="3"/>
  <c r="AN166" i="3"/>
  <c r="B167" i="3"/>
  <c r="M167" i="3"/>
  <c r="AK167" i="3"/>
  <c r="AN167" i="3"/>
  <c r="B168" i="3"/>
  <c r="M168" i="3"/>
  <c r="AK168" i="3"/>
  <c r="AN168" i="3"/>
  <c r="B169" i="3"/>
  <c r="M169" i="3"/>
  <c r="AK169" i="3"/>
  <c r="AN169" i="3"/>
  <c r="B170" i="3"/>
  <c r="M170" i="3"/>
  <c r="AK170" i="3"/>
  <c r="AN170" i="3"/>
  <c r="B171" i="3"/>
  <c r="M171" i="3"/>
  <c r="B172" i="3"/>
  <c r="M172" i="3"/>
  <c r="B173" i="3"/>
  <c r="M173" i="3"/>
  <c r="B14" i="13"/>
  <c r="B15" i="13"/>
  <c r="B16" i="13"/>
  <c r="B17" i="13"/>
  <c r="B18" i="13"/>
  <c r="B19" i="13"/>
  <c r="B20" i="13"/>
  <c r="B21" i="13"/>
  <c r="B22" i="13"/>
  <c r="B23" i="13"/>
  <c r="B24" i="13"/>
  <c r="B25" i="13"/>
  <c r="B26" i="13"/>
  <c r="D26" i="13"/>
  <c r="F26" i="13"/>
  <c r="H26" i="13"/>
  <c r="B27" i="13"/>
  <c r="B28" i="13"/>
  <c r="B29" i="13"/>
  <c r="B30" i="13"/>
  <c r="B31" i="13"/>
  <c r="B32" i="13"/>
  <c r="B33" i="13"/>
  <c r="B34" i="13"/>
  <c r="B35" i="13"/>
  <c r="B36" i="13"/>
  <c r="D36" i="13"/>
  <c r="F36" i="13"/>
  <c r="H36" i="13"/>
  <c r="B37" i="13"/>
  <c r="D37" i="13"/>
  <c r="F37" i="13"/>
  <c r="H37" i="13"/>
  <c r="B38" i="13"/>
  <c r="B39" i="13"/>
  <c r="B40" i="13"/>
  <c r="B41" i="13"/>
  <c r="B42" i="13"/>
  <c r="B43" i="13"/>
  <c r="B44" i="13"/>
  <c r="B45" i="13"/>
  <c r="F8" i="2"/>
  <c r="I11" i="1"/>
  <c r="G8" i="2"/>
  <c r="F9" i="2"/>
  <c r="G9" i="2"/>
  <c r="F10" i="2"/>
  <c r="G10" i="2"/>
  <c r="F11" i="2"/>
  <c r="G11" i="2"/>
  <c r="F12" i="2"/>
  <c r="G12" i="2"/>
  <c r="F13" i="2"/>
  <c r="G13" i="2"/>
  <c r="F14" i="2"/>
  <c r="G14" i="2"/>
  <c r="F15" i="2"/>
  <c r="G15" i="2"/>
  <c r="F16" i="2"/>
  <c r="G16" i="2"/>
  <c r="F17" i="2"/>
  <c r="G17" i="2"/>
  <c r="D18" i="2"/>
  <c r="F18" i="2"/>
  <c r="G18" i="2"/>
  <c r="D19" i="2"/>
  <c r="F22" i="1"/>
  <c r="F19" i="2"/>
  <c r="G19" i="2"/>
  <c r="F20" i="2"/>
  <c r="G20" i="2"/>
  <c r="D21" i="2"/>
  <c r="F21" i="2"/>
  <c r="G21" i="2"/>
  <c r="D22" i="2"/>
  <c r="F25" i="1"/>
  <c r="F22" i="2"/>
  <c r="G22" i="2"/>
  <c r="D23" i="2"/>
  <c r="F26" i="1"/>
  <c r="F23" i="2"/>
  <c r="G23" i="2"/>
  <c r="D24" i="2"/>
  <c r="F27" i="1"/>
  <c r="F24" i="2"/>
  <c r="G24" i="2"/>
  <c r="F25" i="2"/>
  <c r="G25" i="2"/>
  <c r="D26" i="2"/>
  <c r="F29" i="1"/>
  <c r="F26" i="2"/>
  <c r="G26" i="2"/>
  <c r="D27" i="2"/>
  <c r="F27" i="2"/>
  <c r="G27" i="2"/>
  <c r="D28" i="2"/>
  <c r="F28" i="2"/>
  <c r="G28" i="2"/>
  <c r="F29" i="2"/>
  <c r="O47" i="1"/>
  <c r="G29" i="2"/>
  <c r="D30" i="2"/>
  <c r="F30" i="2"/>
  <c r="X11" i="1"/>
  <c r="G30" i="2"/>
  <c r="F31" i="2"/>
  <c r="G31" i="2"/>
  <c r="F32" i="2"/>
  <c r="G32" i="2"/>
  <c r="D33" i="2"/>
  <c r="F33" i="2"/>
  <c r="G33" i="2"/>
  <c r="D34" i="2"/>
  <c r="F34" i="2"/>
  <c r="G34" i="2"/>
  <c r="D35" i="2"/>
  <c r="F35" i="2"/>
  <c r="G35" i="2"/>
  <c r="D36" i="2"/>
  <c r="F36" i="2"/>
  <c r="G36" i="2"/>
  <c r="F37" i="2"/>
  <c r="G37" i="2"/>
  <c r="F38" i="2"/>
  <c r="G38" i="2"/>
  <c r="F39" i="2"/>
  <c r="G39" i="2"/>
  <c r="F40" i="2"/>
  <c r="G40" i="2"/>
  <c r="F41" i="2"/>
  <c r="G41" i="2"/>
  <c r="D42" i="2"/>
  <c r="F42" i="2"/>
  <c r="G42" i="2"/>
  <c r="D43" i="2"/>
  <c r="F43" i="2"/>
  <c r="G43" i="2"/>
  <c r="D44" i="2"/>
  <c r="F44" i="2"/>
  <c r="G44" i="2"/>
  <c r="D45" i="2"/>
  <c r="F45" i="2"/>
  <c r="G45" i="2"/>
  <c r="F46" i="2"/>
  <c r="G46" i="2"/>
  <c r="F47" i="2"/>
  <c r="G47" i="2"/>
  <c r="F48" i="2"/>
  <c r="G48" i="2"/>
  <c r="F49" i="2"/>
  <c r="G49" i="2"/>
  <c r="F50" i="2"/>
  <c r="G50" i="2"/>
  <c r="D51" i="2"/>
  <c r="F51" i="2"/>
  <c r="G51" i="2"/>
  <c r="D52" i="2"/>
  <c r="F52" i="2"/>
  <c r="G52" i="2"/>
  <c r="F53" i="2"/>
  <c r="G53" i="2"/>
  <c r="D54" i="2"/>
  <c r="F54" i="2"/>
  <c r="G54" i="2"/>
  <c r="F55" i="2"/>
  <c r="G55" i="2"/>
  <c r="F56" i="2"/>
  <c r="G56" i="2"/>
  <c r="D57" i="2"/>
  <c r="F57" i="2"/>
  <c r="G57" i="2"/>
  <c r="D58" i="2"/>
  <c r="F58" i="2"/>
  <c r="G58" i="2"/>
  <c r="D59" i="2"/>
  <c r="F59" i="2"/>
  <c r="G59" i="2"/>
  <c r="F60" i="2"/>
  <c r="G60" i="2"/>
  <c r="D61" i="2"/>
  <c r="F61" i="2"/>
  <c r="G61" i="2"/>
  <c r="D62" i="2"/>
  <c r="F62" i="2"/>
  <c r="G62" i="2"/>
  <c r="D63" i="2"/>
  <c r="F63" i="2"/>
  <c r="G63" i="2"/>
  <c r="F64" i="2"/>
  <c r="G64" i="2"/>
  <c r="D65" i="2"/>
  <c r="F65" i="2"/>
  <c r="G65" i="2"/>
  <c r="F66" i="2"/>
  <c r="G66" i="2"/>
  <c r="F67" i="2"/>
  <c r="G67" i="2"/>
  <c r="F68" i="2"/>
  <c r="G68" i="2"/>
  <c r="F69" i="2"/>
  <c r="G69" i="2"/>
  <c r="F70" i="2"/>
  <c r="G70" i="2"/>
  <c r="D71"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D98" i="2"/>
  <c r="F98" i="2"/>
  <c r="G98" i="2"/>
  <c r="F99" i="2"/>
  <c r="G99" i="2"/>
  <c r="F100" i="2"/>
  <c r="G100" i="2"/>
  <c r="F101" i="2"/>
  <c r="G101" i="2"/>
  <c r="D102" i="2"/>
  <c r="F102" i="2"/>
  <c r="G102" i="2"/>
  <c r="F103" i="2"/>
  <c r="G103" i="2"/>
  <c r="F104" i="2"/>
  <c r="G104" i="2"/>
  <c r="F105" i="2"/>
  <c r="G105" i="2"/>
  <c r="F106" i="2"/>
  <c r="G106" i="2"/>
  <c r="F107" i="2"/>
  <c r="G107" i="2"/>
  <c r="F108" i="2"/>
  <c r="G108" i="2"/>
  <c r="F109" i="2"/>
  <c r="G109" i="2"/>
  <c r="D110" i="2"/>
  <c r="F110" i="2"/>
  <c r="G110" i="2"/>
  <c r="D111" i="2"/>
  <c r="F111" i="2"/>
  <c r="G111" i="2"/>
  <c r="D112" i="2"/>
  <c r="F112" i="2"/>
  <c r="G112" i="2"/>
  <c r="D113" i="2"/>
  <c r="F113" i="2"/>
  <c r="G113" i="2"/>
  <c r="D114" i="2"/>
  <c r="F114" i="2"/>
  <c r="G114" i="2"/>
  <c r="F115" i="2"/>
  <c r="G115" i="2"/>
  <c r="D116" i="2"/>
  <c r="F116" i="2"/>
  <c r="G116" i="2"/>
  <c r="D117" i="2"/>
  <c r="F117" i="2"/>
  <c r="G117" i="2"/>
  <c r="D118" i="2"/>
  <c r="F118" i="2"/>
  <c r="G118" i="2"/>
  <c r="F119" i="2"/>
  <c r="G119" i="2"/>
  <c r="D120" i="2"/>
  <c r="F120" i="2"/>
  <c r="G120" i="2"/>
  <c r="D121" i="2"/>
  <c r="F121" i="2"/>
  <c r="G121" i="2"/>
  <c r="D122" i="2"/>
  <c r="F122" i="2"/>
  <c r="G122" i="2"/>
  <c r="D123" i="2"/>
  <c r="F123" i="2"/>
  <c r="G123" i="2"/>
  <c r="F124" i="2"/>
  <c r="G124" i="2"/>
  <c r="D125" i="2"/>
  <c r="F125" i="2"/>
  <c r="G125" i="2"/>
  <c r="F126" i="2"/>
  <c r="G126" i="2"/>
  <c r="D127" i="2"/>
  <c r="F127" i="2"/>
  <c r="G127" i="2"/>
  <c r="D128" i="2"/>
  <c r="F128" i="2"/>
  <c r="G128" i="2"/>
  <c r="F129" i="2"/>
  <c r="G129" i="2"/>
  <c r="D130" i="2"/>
  <c r="F130" i="2"/>
  <c r="G130" i="2"/>
  <c r="D131" i="2"/>
  <c r="F131" i="2"/>
  <c r="G131" i="2"/>
  <c r="F132" i="2"/>
  <c r="G132" i="2"/>
  <c r="F133" i="2"/>
  <c r="G133" i="2"/>
  <c r="D134" i="2"/>
  <c r="F134" i="2"/>
  <c r="G134" i="2"/>
  <c r="F135" i="2"/>
  <c r="G135" i="2"/>
  <c r="F136" i="2"/>
  <c r="G136" i="2"/>
  <c r="D137" i="2"/>
  <c r="F137" i="2"/>
  <c r="G137" i="2"/>
  <c r="D138"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P11" i="1"/>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C11" i="1"/>
  <c r="D11" i="1"/>
  <c r="F11" i="1"/>
  <c r="C12" i="1"/>
  <c r="D12" i="1"/>
  <c r="F12" i="1"/>
  <c r="I12" i="1"/>
  <c r="Q12" i="1"/>
  <c r="C13" i="1"/>
  <c r="D13" i="1"/>
  <c r="F13" i="1"/>
  <c r="L13" i="1"/>
  <c r="T13" i="1"/>
  <c r="C14" i="1"/>
  <c r="D14" i="1"/>
  <c r="F14" i="1"/>
  <c r="I14" i="1"/>
  <c r="M14" i="1"/>
  <c r="Q14" i="1"/>
  <c r="U14" i="1"/>
  <c r="C15" i="1"/>
  <c r="D15" i="1"/>
  <c r="F15" i="1"/>
  <c r="L15" i="1"/>
  <c r="P15" i="1"/>
  <c r="T15" i="1"/>
  <c r="X15" i="1"/>
  <c r="C16" i="1"/>
  <c r="D16" i="1"/>
  <c r="F16" i="1"/>
  <c r="I16" i="1"/>
  <c r="M16" i="1"/>
  <c r="Q16" i="1"/>
  <c r="U16" i="1"/>
  <c r="C17" i="1"/>
  <c r="D17" i="1"/>
  <c r="F17" i="1"/>
  <c r="L17" i="1"/>
  <c r="P17" i="1"/>
  <c r="T17" i="1"/>
  <c r="X17" i="1"/>
  <c r="C18" i="1"/>
  <c r="D18" i="1"/>
  <c r="F18" i="1"/>
  <c r="I18" i="1"/>
  <c r="M18" i="1"/>
  <c r="Q18" i="1"/>
  <c r="U18" i="1"/>
  <c r="C19" i="1"/>
  <c r="D19" i="1"/>
  <c r="F19" i="1"/>
  <c r="L19" i="1"/>
  <c r="P19" i="1"/>
  <c r="T19" i="1"/>
  <c r="X19" i="1"/>
  <c r="C20" i="1"/>
  <c r="D20" i="1"/>
  <c r="F20" i="1"/>
  <c r="I20" i="1"/>
  <c r="M20" i="1"/>
  <c r="Q20" i="1"/>
  <c r="U20" i="1"/>
  <c r="C21" i="1"/>
  <c r="D21" i="1"/>
  <c r="F21" i="1"/>
  <c r="L21" i="1"/>
  <c r="P21" i="1"/>
  <c r="T21" i="1"/>
  <c r="X21" i="1"/>
  <c r="C22" i="1"/>
  <c r="D22" i="1"/>
  <c r="L22" i="1"/>
  <c r="P22" i="1"/>
  <c r="T22" i="1"/>
  <c r="X22" i="1"/>
  <c r="C23" i="1"/>
  <c r="D23" i="1"/>
  <c r="F23" i="1"/>
  <c r="I23" i="1"/>
  <c r="M23" i="1"/>
  <c r="Q23" i="1"/>
  <c r="U23" i="1"/>
  <c r="C24" i="1"/>
  <c r="D24" i="1"/>
  <c r="F24" i="1"/>
  <c r="L24" i="1"/>
  <c r="P24" i="1"/>
  <c r="T24" i="1"/>
  <c r="X24" i="1"/>
  <c r="C25" i="1"/>
  <c r="D25" i="1"/>
  <c r="I25" i="1"/>
  <c r="K25" i="1"/>
  <c r="O25" i="1"/>
  <c r="S25" i="1"/>
  <c r="W25" i="1"/>
  <c r="C26" i="1"/>
  <c r="D26" i="1"/>
  <c r="J26" i="1"/>
  <c r="N26" i="1"/>
  <c r="R26" i="1"/>
  <c r="V26" i="1"/>
  <c r="C27" i="1"/>
  <c r="D27" i="1"/>
  <c r="I27" i="1"/>
  <c r="M27" i="1"/>
  <c r="Q27" i="1"/>
  <c r="U27" i="1"/>
  <c r="C28" i="1"/>
  <c r="D28" i="1"/>
  <c r="F28" i="1"/>
  <c r="L28" i="1"/>
  <c r="P28" i="1"/>
  <c r="T28" i="1"/>
  <c r="X28" i="1"/>
  <c r="C29" i="1"/>
  <c r="D29" i="1"/>
  <c r="I29" i="1"/>
  <c r="M29" i="1"/>
  <c r="Q29" i="1"/>
  <c r="U29" i="1"/>
  <c r="C30" i="1"/>
  <c r="D30" i="1"/>
  <c r="F30" i="1"/>
  <c r="L30" i="1"/>
  <c r="P30" i="1"/>
  <c r="T30" i="1"/>
  <c r="X30" i="1"/>
  <c r="C31" i="1"/>
  <c r="D31" i="1"/>
  <c r="F31" i="1"/>
  <c r="I31" i="1"/>
  <c r="M31" i="1"/>
  <c r="Q31" i="1"/>
  <c r="U31" i="1"/>
  <c r="C32" i="1"/>
  <c r="D32" i="1"/>
  <c r="F32" i="1"/>
  <c r="I32" i="1"/>
  <c r="K32" i="1"/>
  <c r="O32" i="1"/>
  <c r="S32" i="1"/>
  <c r="W32" i="1"/>
  <c r="C33" i="1"/>
  <c r="D33" i="1"/>
  <c r="F33" i="1"/>
  <c r="J33" i="1"/>
  <c r="N33" i="1"/>
  <c r="R33" i="1"/>
  <c r="V33" i="1"/>
  <c r="C34" i="1"/>
  <c r="D34" i="1"/>
  <c r="F34" i="1"/>
  <c r="I34" i="1"/>
  <c r="K34" i="1"/>
  <c r="O34" i="1"/>
  <c r="S34" i="1"/>
  <c r="W34" i="1"/>
  <c r="C35" i="1"/>
  <c r="D35" i="1"/>
  <c r="F35" i="1"/>
  <c r="J35" i="1"/>
  <c r="N35" i="1"/>
  <c r="R35" i="1"/>
  <c r="V35" i="1"/>
  <c r="C36" i="1"/>
  <c r="D36" i="1"/>
  <c r="F36" i="1"/>
  <c r="I36" i="1"/>
  <c r="K36" i="1"/>
  <c r="O36" i="1"/>
  <c r="S36" i="1"/>
  <c r="W36" i="1"/>
  <c r="C37" i="1"/>
  <c r="D37" i="1"/>
  <c r="F37" i="1"/>
  <c r="J37" i="1"/>
  <c r="N37" i="1"/>
  <c r="R37" i="1"/>
  <c r="V37" i="1"/>
  <c r="C38" i="1"/>
  <c r="D38" i="1"/>
  <c r="F38" i="1"/>
  <c r="I38" i="1"/>
  <c r="K38" i="1"/>
  <c r="M38" i="1"/>
  <c r="O38" i="1"/>
  <c r="S38" i="1"/>
  <c r="U38" i="1"/>
  <c r="W38" i="1"/>
  <c r="C39" i="1"/>
  <c r="D39" i="1"/>
  <c r="F39" i="1"/>
  <c r="J39" i="1"/>
  <c r="N39" i="1"/>
  <c r="P39" i="1"/>
  <c r="R39" i="1"/>
  <c r="V39" i="1"/>
  <c r="X39" i="1"/>
  <c r="C40" i="1"/>
  <c r="D40" i="1"/>
  <c r="F40" i="1"/>
  <c r="I40" i="1"/>
  <c r="K40" i="1"/>
  <c r="O40" i="1"/>
  <c r="Q40" i="1"/>
  <c r="S40" i="1"/>
  <c r="W40" i="1"/>
  <c r="C41" i="1"/>
  <c r="D41" i="1"/>
  <c r="F41" i="1"/>
  <c r="J41" i="1"/>
  <c r="L41" i="1"/>
  <c r="N41" i="1"/>
  <c r="R41" i="1"/>
  <c r="T41" i="1"/>
  <c r="V41" i="1"/>
  <c r="C42" i="1"/>
  <c r="D42" i="1"/>
  <c r="F42" i="1"/>
  <c r="I42" i="1"/>
  <c r="K42" i="1"/>
  <c r="M42" i="1"/>
  <c r="O42" i="1"/>
  <c r="Q42" i="1"/>
  <c r="S42" i="1"/>
  <c r="U42" i="1"/>
  <c r="W42" i="1"/>
  <c r="C43" i="1"/>
  <c r="D43" i="1"/>
  <c r="F43" i="1"/>
  <c r="J43" i="1"/>
  <c r="L43" i="1"/>
  <c r="N43" i="1"/>
  <c r="P43" i="1"/>
  <c r="R43" i="1"/>
  <c r="T43" i="1"/>
  <c r="V43" i="1"/>
  <c r="X43" i="1"/>
  <c r="C44" i="1"/>
  <c r="D44" i="1"/>
  <c r="F44" i="1"/>
  <c r="I44" i="1"/>
  <c r="K44" i="1"/>
  <c r="M44" i="1"/>
  <c r="O44" i="1"/>
  <c r="Q44" i="1"/>
  <c r="S44" i="1"/>
  <c r="U44" i="1"/>
  <c r="W44" i="1"/>
  <c r="C45" i="1"/>
  <c r="D45" i="1"/>
  <c r="F45" i="1"/>
  <c r="J45" i="1"/>
  <c r="L45" i="1"/>
  <c r="N45" i="1"/>
  <c r="P45" i="1"/>
  <c r="R45" i="1"/>
  <c r="T45" i="1"/>
  <c r="V45" i="1"/>
  <c r="X45" i="1"/>
  <c r="C46" i="1"/>
  <c r="D46" i="1"/>
  <c r="F46" i="1"/>
  <c r="I46" i="1"/>
  <c r="K46" i="1"/>
  <c r="M46" i="1"/>
  <c r="O46" i="1"/>
  <c r="Q46" i="1"/>
  <c r="S46" i="1"/>
  <c r="U46" i="1"/>
  <c r="W46" i="1"/>
  <c r="C47" i="1"/>
  <c r="D47" i="1"/>
  <c r="F47" i="1"/>
  <c r="J47" i="1"/>
  <c r="L47" i="1"/>
  <c r="N47" i="1"/>
  <c r="P47" i="1"/>
  <c r="R47" i="1"/>
  <c r="T47" i="1"/>
  <c r="V47" i="1"/>
  <c r="X47" i="1"/>
  <c r="C48" i="1"/>
  <c r="D48" i="1"/>
  <c r="F48" i="1"/>
  <c r="I48" i="1"/>
  <c r="K48" i="1"/>
  <c r="M48" i="1"/>
  <c r="O48" i="1"/>
  <c r="Q48" i="1"/>
  <c r="S48" i="1"/>
  <c r="U48" i="1"/>
  <c r="W48" i="1"/>
  <c r="C49" i="1"/>
  <c r="D49" i="1"/>
  <c r="F49" i="1"/>
  <c r="I49" i="1"/>
  <c r="J49" i="1"/>
  <c r="K49" i="1"/>
  <c r="L49" i="1"/>
  <c r="M49" i="1"/>
  <c r="N49" i="1"/>
  <c r="O49" i="1"/>
  <c r="P49" i="1"/>
  <c r="Q49" i="1"/>
  <c r="R49" i="1"/>
  <c r="S49" i="1"/>
  <c r="T49" i="1"/>
  <c r="U49" i="1"/>
  <c r="V49" i="1"/>
  <c r="W49" i="1"/>
  <c r="X49" i="1"/>
  <c r="C50" i="1"/>
  <c r="D50" i="1"/>
  <c r="F50" i="1"/>
  <c r="I50" i="1"/>
  <c r="J50" i="1"/>
  <c r="K50" i="1"/>
  <c r="L50" i="1"/>
  <c r="M50" i="1"/>
  <c r="N50" i="1"/>
  <c r="O50" i="1"/>
  <c r="P50" i="1"/>
  <c r="Q50" i="1"/>
  <c r="R50" i="1"/>
  <c r="S50" i="1"/>
  <c r="T50" i="1"/>
  <c r="U50" i="1"/>
  <c r="V50" i="1"/>
  <c r="W50" i="1"/>
  <c r="X50" i="1"/>
  <c r="C51" i="1"/>
  <c r="D51" i="1"/>
  <c r="F51" i="1"/>
  <c r="I51" i="1"/>
  <c r="J51" i="1"/>
  <c r="K51" i="1"/>
  <c r="L51" i="1"/>
  <c r="M51" i="1"/>
  <c r="N51" i="1"/>
  <c r="O51" i="1"/>
  <c r="P51" i="1"/>
  <c r="Q51" i="1"/>
  <c r="R51" i="1"/>
  <c r="S51" i="1"/>
  <c r="T51" i="1"/>
  <c r="U51" i="1"/>
  <c r="V51" i="1"/>
  <c r="W51" i="1"/>
  <c r="X51" i="1"/>
  <c r="C52" i="1"/>
  <c r="D52" i="1"/>
  <c r="F52" i="1"/>
  <c r="I52" i="1"/>
  <c r="J52" i="1"/>
  <c r="K52" i="1"/>
  <c r="L52" i="1"/>
  <c r="M52" i="1"/>
  <c r="N52" i="1"/>
  <c r="O52" i="1"/>
  <c r="P52" i="1"/>
  <c r="Q52" i="1"/>
  <c r="R52" i="1"/>
  <c r="S52" i="1"/>
  <c r="T52" i="1"/>
  <c r="U52" i="1"/>
  <c r="V52" i="1"/>
  <c r="W52" i="1"/>
  <c r="X52" i="1"/>
  <c r="C53" i="1"/>
  <c r="D53" i="1"/>
  <c r="F53" i="1"/>
  <c r="I53" i="1"/>
  <c r="J53" i="1"/>
  <c r="K53" i="1"/>
  <c r="L53" i="1"/>
  <c r="M53" i="1"/>
  <c r="N53" i="1"/>
  <c r="O53" i="1"/>
  <c r="P53" i="1"/>
  <c r="Q53" i="1"/>
  <c r="R53" i="1"/>
  <c r="S53" i="1"/>
  <c r="T53" i="1"/>
  <c r="U53" i="1"/>
  <c r="V53" i="1"/>
  <c r="W53" i="1"/>
  <c r="X53" i="1"/>
  <c r="C54" i="1"/>
  <c r="D54" i="1"/>
  <c r="F54" i="1"/>
  <c r="I54" i="1"/>
  <c r="J54" i="1"/>
  <c r="K54" i="1"/>
  <c r="L54" i="1"/>
  <c r="M54" i="1"/>
  <c r="N54" i="1"/>
  <c r="O54" i="1"/>
  <c r="P54" i="1"/>
  <c r="Q54" i="1"/>
  <c r="R54" i="1"/>
  <c r="S54" i="1"/>
  <c r="T54" i="1"/>
  <c r="U54" i="1"/>
  <c r="V54" i="1"/>
  <c r="W54" i="1"/>
  <c r="X54" i="1"/>
  <c r="C55" i="1"/>
  <c r="D55" i="1"/>
  <c r="F55" i="1"/>
  <c r="I55" i="1"/>
  <c r="J55" i="1"/>
  <c r="K55" i="1"/>
  <c r="L55" i="1"/>
  <c r="M55" i="1"/>
  <c r="N55" i="1"/>
  <c r="O55" i="1"/>
  <c r="P55" i="1"/>
  <c r="Q55" i="1"/>
  <c r="R55" i="1"/>
  <c r="S55" i="1"/>
  <c r="T55" i="1"/>
  <c r="U55" i="1"/>
  <c r="V55" i="1"/>
  <c r="W55" i="1"/>
  <c r="X55" i="1"/>
  <c r="C56" i="1"/>
  <c r="D56" i="1"/>
  <c r="F56" i="1"/>
  <c r="I56" i="1"/>
  <c r="J56" i="1"/>
  <c r="K56" i="1"/>
  <c r="L56" i="1"/>
  <c r="M56" i="1"/>
  <c r="N56" i="1"/>
  <c r="O56" i="1"/>
  <c r="P56" i="1"/>
  <c r="Q56" i="1"/>
  <c r="R56" i="1"/>
  <c r="S56" i="1"/>
  <c r="T56" i="1"/>
  <c r="U56" i="1"/>
  <c r="V56" i="1"/>
  <c r="W56" i="1"/>
  <c r="X56" i="1"/>
  <c r="C57" i="1"/>
  <c r="D57" i="1"/>
  <c r="F57" i="1"/>
  <c r="I57" i="1"/>
  <c r="J57" i="1"/>
  <c r="K57" i="1"/>
  <c r="L57" i="1"/>
  <c r="M57" i="1"/>
  <c r="N57" i="1"/>
  <c r="O57" i="1"/>
  <c r="P57" i="1"/>
  <c r="Q57" i="1"/>
  <c r="R57" i="1"/>
  <c r="S57" i="1"/>
  <c r="T57" i="1"/>
  <c r="U57" i="1"/>
  <c r="V57" i="1"/>
  <c r="W57" i="1"/>
  <c r="X57" i="1"/>
  <c r="C58" i="1"/>
  <c r="D58" i="1"/>
  <c r="F58" i="1"/>
  <c r="I58" i="1"/>
  <c r="J58" i="1"/>
  <c r="K58" i="1"/>
  <c r="L58" i="1"/>
  <c r="M58" i="1"/>
  <c r="N58" i="1"/>
  <c r="O58" i="1"/>
  <c r="P58" i="1"/>
  <c r="Q58" i="1"/>
  <c r="R58" i="1"/>
  <c r="S58" i="1"/>
  <c r="T58" i="1"/>
  <c r="U58" i="1"/>
  <c r="V58" i="1"/>
  <c r="W58" i="1"/>
  <c r="X58" i="1"/>
  <c r="C59" i="1"/>
  <c r="D59" i="1"/>
  <c r="F59" i="1"/>
  <c r="I59" i="1"/>
  <c r="J59" i="1"/>
  <c r="K59" i="1"/>
  <c r="L59" i="1"/>
  <c r="M59" i="1"/>
  <c r="N59" i="1"/>
  <c r="O59" i="1"/>
  <c r="P59" i="1"/>
  <c r="Q59" i="1"/>
  <c r="R59" i="1"/>
  <c r="S59" i="1"/>
  <c r="T59" i="1"/>
  <c r="U59" i="1"/>
  <c r="V59" i="1"/>
  <c r="W59" i="1"/>
  <c r="X59" i="1"/>
  <c r="C60" i="1"/>
  <c r="D60" i="1"/>
  <c r="F60" i="1"/>
  <c r="I60" i="1"/>
  <c r="J60" i="1"/>
  <c r="K60" i="1"/>
  <c r="L60" i="1"/>
  <c r="M60" i="1"/>
  <c r="N60" i="1"/>
  <c r="O60" i="1"/>
  <c r="P60" i="1"/>
  <c r="Q60" i="1"/>
  <c r="R60" i="1"/>
  <c r="S60" i="1"/>
  <c r="T60" i="1"/>
  <c r="U60" i="1"/>
  <c r="V60" i="1"/>
  <c r="W60" i="1"/>
  <c r="X60" i="1"/>
  <c r="C61" i="1"/>
  <c r="D61" i="1"/>
  <c r="F61" i="1"/>
  <c r="I61" i="1"/>
  <c r="J61" i="1"/>
  <c r="K61" i="1"/>
  <c r="L61" i="1"/>
  <c r="M61" i="1"/>
  <c r="N61" i="1"/>
  <c r="O61" i="1"/>
  <c r="P61" i="1"/>
  <c r="Q61" i="1"/>
  <c r="R61" i="1"/>
  <c r="S61" i="1"/>
  <c r="T61" i="1"/>
  <c r="U61" i="1"/>
  <c r="V61" i="1"/>
  <c r="W61" i="1"/>
  <c r="X61" i="1"/>
  <c r="C62" i="1"/>
  <c r="D62" i="1"/>
  <c r="F62" i="1"/>
  <c r="I62" i="1"/>
  <c r="J62" i="1"/>
  <c r="K62" i="1"/>
  <c r="L62" i="1"/>
  <c r="M62" i="1"/>
  <c r="N62" i="1"/>
  <c r="O62" i="1"/>
  <c r="P62" i="1"/>
  <c r="Q62" i="1"/>
  <c r="R62" i="1"/>
  <c r="S62" i="1"/>
  <c r="T62" i="1"/>
  <c r="U62" i="1"/>
  <c r="V62" i="1"/>
  <c r="W62" i="1"/>
  <c r="X62" i="1"/>
  <c r="C63" i="1"/>
  <c r="D63" i="1"/>
  <c r="F63" i="1"/>
  <c r="I63" i="1"/>
  <c r="J63" i="1"/>
  <c r="K63" i="1"/>
  <c r="L63" i="1"/>
  <c r="M63" i="1"/>
  <c r="N63" i="1"/>
  <c r="O63" i="1"/>
  <c r="P63" i="1"/>
  <c r="Q63" i="1"/>
  <c r="R63" i="1"/>
  <c r="S63" i="1"/>
  <c r="T63" i="1"/>
  <c r="U63" i="1"/>
  <c r="V63" i="1"/>
  <c r="W63" i="1"/>
  <c r="X63" i="1"/>
  <c r="C64" i="1"/>
  <c r="D64" i="1"/>
  <c r="F64" i="1"/>
  <c r="I64" i="1"/>
  <c r="J64" i="1"/>
  <c r="K64" i="1"/>
  <c r="L64" i="1"/>
  <c r="M64" i="1"/>
  <c r="N64" i="1"/>
  <c r="O64" i="1"/>
  <c r="P64" i="1"/>
  <c r="Q64" i="1"/>
  <c r="R64" i="1"/>
  <c r="S64" i="1"/>
  <c r="T64" i="1"/>
  <c r="U64" i="1"/>
  <c r="V64" i="1"/>
  <c r="W64" i="1"/>
  <c r="X64" i="1"/>
  <c r="C65" i="1"/>
  <c r="D65" i="1"/>
  <c r="F65" i="1"/>
  <c r="I65" i="1"/>
  <c r="J65" i="1"/>
  <c r="K65" i="1"/>
  <c r="L65" i="1"/>
  <c r="M65" i="1"/>
  <c r="N65" i="1"/>
  <c r="O65" i="1"/>
  <c r="P65" i="1"/>
  <c r="Q65" i="1"/>
  <c r="R65" i="1"/>
  <c r="S65" i="1"/>
  <c r="T65" i="1"/>
  <c r="U65" i="1"/>
  <c r="V65" i="1"/>
  <c r="W65" i="1"/>
  <c r="X65" i="1"/>
  <c r="C66" i="1"/>
  <c r="D66" i="1"/>
  <c r="F66" i="1"/>
  <c r="I66" i="1"/>
  <c r="J66" i="1"/>
  <c r="K66" i="1"/>
  <c r="L66" i="1"/>
  <c r="M66" i="1"/>
  <c r="N66" i="1"/>
  <c r="O66" i="1"/>
  <c r="P66" i="1"/>
  <c r="Q66" i="1"/>
  <c r="R66" i="1"/>
  <c r="S66" i="1"/>
  <c r="T66" i="1"/>
  <c r="U66" i="1"/>
  <c r="V66" i="1"/>
  <c r="W66" i="1"/>
  <c r="X66" i="1"/>
  <c r="C67" i="1"/>
  <c r="D67" i="1"/>
  <c r="F67" i="1"/>
  <c r="I67" i="1"/>
  <c r="J67" i="1"/>
  <c r="K67" i="1"/>
  <c r="L67" i="1"/>
  <c r="M67" i="1"/>
  <c r="N67" i="1"/>
  <c r="O67" i="1"/>
  <c r="P67" i="1"/>
  <c r="Q67" i="1"/>
  <c r="R67" i="1"/>
  <c r="S67" i="1"/>
  <c r="T67" i="1"/>
  <c r="U67" i="1"/>
  <c r="V67" i="1"/>
  <c r="W67" i="1"/>
  <c r="X67" i="1"/>
  <c r="C68" i="1"/>
  <c r="D68" i="1"/>
  <c r="F68" i="1"/>
  <c r="I68" i="1"/>
  <c r="J68" i="1"/>
  <c r="K68" i="1"/>
  <c r="L68" i="1"/>
  <c r="M68" i="1"/>
  <c r="N68" i="1"/>
  <c r="O68" i="1"/>
  <c r="P68" i="1"/>
  <c r="Q68" i="1"/>
  <c r="R68" i="1"/>
  <c r="S68" i="1"/>
  <c r="T68" i="1"/>
  <c r="U68" i="1"/>
  <c r="V68" i="1"/>
  <c r="W68" i="1"/>
  <c r="X68" i="1"/>
  <c r="C69" i="1"/>
  <c r="D69" i="1"/>
  <c r="F69" i="1"/>
  <c r="I69" i="1"/>
  <c r="J69" i="1"/>
  <c r="K69" i="1"/>
  <c r="L69" i="1"/>
  <c r="M69" i="1"/>
  <c r="N69" i="1"/>
  <c r="O69" i="1"/>
  <c r="P69" i="1"/>
  <c r="Q69" i="1"/>
  <c r="R69" i="1"/>
  <c r="S69" i="1"/>
  <c r="T69" i="1"/>
  <c r="U69" i="1"/>
  <c r="V69" i="1"/>
  <c r="W69" i="1"/>
  <c r="X69" i="1"/>
  <c r="C70" i="1"/>
  <c r="D70" i="1"/>
  <c r="F70" i="1"/>
  <c r="I70" i="1"/>
  <c r="J70" i="1"/>
  <c r="K70" i="1"/>
  <c r="L70" i="1"/>
  <c r="M70" i="1"/>
  <c r="N70" i="1"/>
  <c r="O70" i="1"/>
  <c r="P70" i="1"/>
  <c r="Q70" i="1"/>
  <c r="R70" i="1"/>
  <c r="S70" i="1"/>
  <c r="T70" i="1"/>
  <c r="U70" i="1"/>
  <c r="V70" i="1"/>
  <c r="W70" i="1"/>
  <c r="X70" i="1"/>
  <c r="C71" i="1"/>
  <c r="D71" i="1"/>
  <c r="F71" i="1"/>
  <c r="I71" i="1"/>
  <c r="J71" i="1"/>
  <c r="K71" i="1"/>
  <c r="L71" i="1"/>
  <c r="M71" i="1"/>
  <c r="N71" i="1"/>
  <c r="O71" i="1"/>
  <c r="P71" i="1"/>
  <c r="Q71" i="1"/>
  <c r="R71" i="1"/>
  <c r="S71" i="1"/>
  <c r="T71" i="1"/>
  <c r="U71" i="1"/>
  <c r="V71" i="1"/>
  <c r="W71" i="1"/>
  <c r="X71" i="1"/>
  <c r="C72" i="1"/>
  <c r="D72" i="1"/>
  <c r="F72" i="1"/>
  <c r="I72" i="1"/>
  <c r="J72" i="1"/>
  <c r="K72" i="1"/>
  <c r="L72" i="1"/>
  <c r="M72" i="1"/>
  <c r="N72" i="1"/>
  <c r="O72" i="1"/>
  <c r="P72" i="1"/>
  <c r="Q72" i="1"/>
  <c r="R72" i="1"/>
  <c r="S72" i="1"/>
  <c r="T72" i="1"/>
  <c r="U72" i="1"/>
  <c r="V72" i="1"/>
  <c r="W72" i="1"/>
  <c r="X72" i="1"/>
  <c r="C73" i="1"/>
  <c r="D73" i="1"/>
  <c r="F73" i="1"/>
  <c r="I73" i="1"/>
  <c r="J73" i="1"/>
  <c r="K73" i="1"/>
  <c r="L73" i="1"/>
  <c r="M73" i="1"/>
  <c r="N73" i="1"/>
  <c r="O73" i="1"/>
  <c r="P73" i="1"/>
  <c r="Q73" i="1"/>
  <c r="R73" i="1"/>
  <c r="S73" i="1"/>
  <c r="T73" i="1"/>
  <c r="U73" i="1"/>
  <c r="V73" i="1"/>
  <c r="W73" i="1"/>
  <c r="X73" i="1"/>
  <c r="C74" i="1"/>
  <c r="D74" i="1"/>
  <c r="F74" i="1"/>
  <c r="I74" i="1"/>
  <c r="J74" i="1"/>
  <c r="K74" i="1"/>
  <c r="L74" i="1"/>
  <c r="M74" i="1"/>
  <c r="N74" i="1"/>
  <c r="O74" i="1"/>
  <c r="P74" i="1"/>
  <c r="Q74" i="1"/>
  <c r="R74" i="1"/>
  <c r="S74" i="1"/>
  <c r="T74" i="1"/>
  <c r="U74" i="1"/>
  <c r="V74" i="1"/>
  <c r="W74" i="1"/>
  <c r="X74" i="1"/>
  <c r="C75" i="1"/>
  <c r="D75" i="1"/>
  <c r="F75" i="1"/>
  <c r="I75" i="1"/>
  <c r="J75" i="1"/>
  <c r="K75" i="1"/>
  <c r="L75" i="1"/>
  <c r="M75" i="1"/>
  <c r="N75" i="1"/>
  <c r="O75" i="1"/>
  <c r="P75" i="1"/>
  <c r="Q75" i="1"/>
  <c r="R75" i="1"/>
  <c r="S75" i="1"/>
  <c r="T75" i="1"/>
  <c r="U75" i="1"/>
  <c r="V75" i="1"/>
  <c r="W75" i="1"/>
  <c r="X75" i="1"/>
  <c r="C76" i="1"/>
  <c r="D76" i="1"/>
  <c r="F76" i="1"/>
  <c r="I76" i="1"/>
  <c r="J76" i="1"/>
  <c r="K76" i="1"/>
  <c r="L76" i="1"/>
  <c r="M76" i="1"/>
  <c r="N76" i="1"/>
  <c r="O76" i="1"/>
  <c r="P76" i="1"/>
  <c r="Q76" i="1"/>
  <c r="R76" i="1"/>
  <c r="S76" i="1"/>
  <c r="T76" i="1"/>
  <c r="U76" i="1"/>
  <c r="V76" i="1"/>
  <c r="W76" i="1"/>
  <c r="X76" i="1"/>
  <c r="C77" i="1"/>
  <c r="D77" i="1"/>
  <c r="F77" i="1"/>
  <c r="I77" i="1"/>
  <c r="J77" i="1"/>
  <c r="K77" i="1"/>
  <c r="L77" i="1"/>
  <c r="M77" i="1"/>
  <c r="N77" i="1"/>
  <c r="O77" i="1"/>
  <c r="P77" i="1"/>
  <c r="Q77" i="1"/>
  <c r="R77" i="1"/>
  <c r="S77" i="1"/>
  <c r="T77" i="1"/>
  <c r="U77" i="1"/>
  <c r="V77" i="1"/>
  <c r="W77" i="1"/>
  <c r="X77" i="1"/>
  <c r="C78" i="1"/>
  <c r="D78" i="1"/>
  <c r="F78" i="1"/>
  <c r="I78" i="1"/>
  <c r="J78" i="1"/>
  <c r="K78" i="1"/>
  <c r="L78" i="1"/>
  <c r="M78" i="1"/>
  <c r="N78" i="1"/>
  <c r="O78" i="1"/>
  <c r="P78" i="1"/>
  <c r="Q78" i="1"/>
  <c r="R78" i="1"/>
  <c r="S78" i="1"/>
  <c r="T78" i="1"/>
  <c r="U78" i="1"/>
  <c r="V78" i="1"/>
  <c r="W78" i="1"/>
  <c r="X78" i="1"/>
  <c r="C79" i="1"/>
  <c r="D79" i="1"/>
  <c r="F79" i="1"/>
  <c r="I79" i="1"/>
  <c r="J79" i="1"/>
  <c r="K79" i="1"/>
  <c r="L79" i="1"/>
  <c r="M79" i="1"/>
  <c r="N79" i="1"/>
  <c r="O79" i="1"/>
  <c r="P79" i="1"/>
  <c r="Q79" i="1"/>
  <c r="R79" i="1"/>
  <c r="S79" i="1"/>
  <c r="T79" i="1"/>
  <c r="U79" i="1"/>
  <c r="V79" i="1"/>
  <c r="W79" i="1"/>
  <c r="X79" i="1"/>
  <c r="C80" i="1"/>
  <c r="D80" i="1"/>
  <c r="F80" i="1"/>
  <c r="I80" i="1"/>
  <c r="J80" i="1"/>
  <c r="K80" i="1"/>
  <c r="L80" i="1"/>
  <c r="M80" i="1"/>
  <c r="N80" i="1"/>
  <c r="O80" i="1"/>
  <c r="P80" i="1"/>
  <c r="Q80" i="1"/>
  <c r="R80" i="1"/>
  <c r="S80" i="1"/>
  <c r="T80" i="1"/>
  <c r="U80" i="1"/>
  <c r="V80" i="1"/>
  <c r="W80" i="1"/>
  <c r="X80" i="1"/>
  <c r="C81" i="1"/>
  <c r="D81" i="1"/>
  <c r="F81" i="1"/>
  <c r="I81" i="1"/>
  <c r="J81" i="1"/>
  <c r="K81" i="1"/>
  <c r="L81" i="1"/>
  <c r="M81" i="1"/>
  <c r="N81" i="1"/>
  <c r="O81" i="1"/>
  <c r="P81" i="1"/>
  <c r="Q81" i="1"/>
  <c r="R81" i="1"/>
  <c r="S81" i="1"/>
  <c r="T81" i="1"/>
  <c r="U81" i="1"/>
  <c r="V81" i="1"/>
  <c r="W81" i="1"/>
  <c r="X81" i="1"/>
  <c r="C82" i="1"/>
  <c r="D82" i="1"/>
  <c r="F82" i="1"/>
  <c r="I82" i="1"/>
  <c r="J82" i="1"/>
  <c r="K82" i="1"/>
  <c r="L82" i="1"/>
  <c r="M82" i="1"/>
  <c r="N82" i="1"/>
  <c r="O82" i="1"/>
  <c r="P82" i="1"/>
  <c r="Q82" i="1"/>
  <c r="R82" i="1"/>
  <c r="S82" i="1"/>
  <c r="T82" i="1"/>
  <c r="U82" i="1"/>
  <c r="V82" i="1"/>
  <c r="W82" i="1"/>
  <c r="X82" i="1"/>
  <c r="C83" i="1"/>
  <c r="D83" i="1"/>
  <c r="F83" i="1"/>
  <c r="I83" i="1"/>
  <c r="J83" i="1"/>
  <c r="K83" i="1"/>
  <c r="L83" i="1"/>
  <c r="M83" i="1"/>
  <c r="N83" i="1"/>
  <c r="O83" i="1"/>
  <c r="P83" i="1"/>
  <c r="Q83" i="1"/>
  <c r="R83" i="1"/>
  <c r="S83" i="1"/>
  <c r="T83" i="1"/>
  <c r="U83" i="1"/>
  <c r="V83" i="1"/>
  <c r="W83" i="1"/>
  <c r="X83" i="1"/>
  <c r="C84" i="1"/>
  <c r="D84" i="1"/>
  <c r="F84" i="1"/>
  <c r="I84" i="1"/>
  <c r="J84" i="1"/>
  <c r="K84" i="1"/>
  <c r="L84" i="1"/>
  <c r="M84" i="1"/>
  <c r="N84" i="1"/>
  <c r="O84" i="1"/>
  <c r="P84" i="1"/>
  <c r="Q84" i="1"/>
  <c r="R84" i="1"/>
  <c r="S84" i="1"/>
  <c r="T84" i="1"/>
  <c r="U84" i="1"/>
  <c r="V84" i="1"/>
  <c r="W84" i="1"/>
  <c r="X84" i="1"/>
  <c r="C85" i="1"/>
  <c r="D85" i="1"/>
  <c r="F85" i="1"/>
  <c r="I85" i="1"/>
  <c r="J85" i="1"/>
  <c r="K85" i="1"/>
  <c r="L85" i="1"/>
  <c r="M85" i="1"/>
  <c r="N85" i="1"/>
  <c r="O85" i="1"/>
  <c r="P85" i="1"/>
  <c r="Q85" i="1"/>
  <c r="R85" i="1"/>
  <c r="S85" i="1"/>
  <c r="T85" i="1"/>
  <c r="U85" i="1"/>
  <c r="V85" i="1"/>
  <c r="W85" i="1"/>
  <c r="X85" i="1"/>
  <c r="C86" i="1"/>
  <c r="D86" i="1"/>
  <c r="F86" i="1"/>
  <c r="I86" i="1"/>
  <c r="J86" i="1"/>
  <c r="K86" i="1"/>
  <c r="L86" i="1"/>
  <c r="M86" i="1"/>
  <c r="N86" i="1"/>
  <c r="O86" i="1"/>
  <c r="P86" i="1"/>
  <c r="Q86" i="1"/>
  <c r="R86" i="1"/>
  <c r="S86" i="1"/>
  <c r="T86" i="1"/>
  <c r="U86" i="1"/>
  <c r="V86" i="1"/>
  <c r="W86" i="1"/>
  <c r="X86" i="1"/>
  <c r="C87" i="1"/>
  <c r="D87" i="1"/>
  <c r="F87" i="1"/>
  <c r="I87" i="1"/>
  <c r="J87" i="1"/>
  <c r="K87" i="1"/>
  <c r="L87" i="1"/>
  <c r="M87" i="1"/>
  <c r="N87" i="1"/>
  <c r="O87" i="1"/>
  <c r="P87" i="1"/>
  <c r="Q87" i="1"/>
  <c r="R87" i="1"/>
  <c r="S87" i="1"/>
  <c r="T87" i="1"/>
  <c r="U87" i="1"/>
  <c r="V87" i="1"/>
  <c r="W87" i="1"/>
  <c r="X87" i="1"/>
  <c r="C88" i="1"/>
  <c r="D88" i="1"/>
  <c r="F88" i="1"/>
  <c r="I88" i="1"/>
  <c r="J88" i="1"/>
  <c r="K88" i="1"/>
  <c r="L88" i="1"/>
  <c r="M88" i="1"/>
  <c r="N88" i="1"/>
  <c r="O88" i="1"/>
  <c r="P88" i="1"/>
  <c r="Q88" i="1"/>
  <c r="R88" i="1"/>
  <c r="S88" i="1"/>
  <c r="T88" i="1"/>
  <c r="U88" i="1"/>
  <c r="V88" i="1"/>
  <c r="W88" i="1"/>
  <c r="X88" i="1"/>
  <c r="C89" i="1"/>
  <c r="D89" i="1"/>
  <c r="F89" i="1"/>
  <c r="I89" i="1"/>
  <c r="J89" i="1"/>
  <c r="K89" i="1"/>
  <c r="L89" i="1"/>
  <c r="M89" i="1"/>
  <c r="N89" i="1"/>
  <c r="O89" i="1"/>
  <c r="P89" i="1"/>
  <c r="Q89" i="1"/>
  <c r="R89" i="1"/>
  <c r="S89" i="1"/>
  <c r="T89" i="1"/>
  <c r="U89" i="1"/>
  <c r="V89" i="1"/>
  <c r="W89" i="1"/>
  <c r="X89" i="1"/>
  <c r="C90" i="1"/>
  <c r="D90" i="1"/>
  <c r="F90" i="1"/>
  <c r="I90" i="1"/>
  <c r="J90" i="1"/>
  <c r="K90" i="1"/>
  <c r="L90" i="1"/>
  <c r="M90" i="1"/>
  <c r="N90" i="1"/>
  <c r="O90" i="1"/>
  <c r="P90" i="1"/>
  <c r="Q90" i="1"/>
  <c r="R90" i="1"/>
  <c r="S90" i="1"/>
  <c r="T90" i="1"/>
  <c r="U90" i="1"/>
  <c r="V90" i="1"/>
  <c r="W90" i="1"/>
  <c r="X90" i="1"/>
  <c r="C91" i="1"/>
  <c r="D91" i="1"/>
  <c r="F91" i="1"/>
  <c r="I91" i="1"/>
  <c r="J91" i="1"/>
  <c r="K91" i="1"/>
  <c r="L91" i="1"/>
  <c r="M91" i="1"/>
  <c r="N91" i="1"/>
  <c r="O91" i="1"/>
  <c r="P91" i="1"/>
  <c r="Q91" i="1"/>
  <c r="R91" i="1"/>
  <c r="S91" i="1"/>
  <c r="T91" i="1"/>
  <c r="U91" i="1"/>
  <c r="V91" i="1"/>
  <c r="W91" i="1"/>
  <c r="X91" i="1"/>
  <c r="C92" i="1"/>
  <c r="D92" i="1"/>
  <c r="F92" i="1"/>
  <c r="I92" i="1"/>
  <c r="J92" i="1"/>
  <c r="K92" i="1"/>
  <c r="L92" i="1"/>
  <c r="M92" i="1"/>
  <c r="N92" i="1"/>
  <c r="O92" i="1"/>
  <c r="P92" i="1"/>
  <c r="Q92" i="1"/>
  <c r="R92" i="1"/>
  <c r="S92" i="1"/>
  <c r="T92" i="1"/>
  <c r="U92" i="1"/>
  <c r="V92" i="1"/>
  <c r="W92" i="1"/>
  <c r="X92" i="1"/>
  <c r="C93" i="1"/>
  <c r="D93" i="1"/>
  <c r="F93" i="1"/>
  <c r="I93" i="1"/>
  <c r="J93" i="1"/>
  <c r="K93" i="1"/>
  <c r="L93" i="1"/>
  <c r="M93" i="1"/>
  <c r="N93" i="1"/>
  <c r="O93" i="1"/>
  <c r="P93" i="1"/>
  <c r="Q93" i="1"/>
  <c r="R93" i="1"/>
  <c r="S93" i="1"/>
  <c r="T93" i="1"/>
  <c r="U93" i="1"/>
  <c r="V93" i="1"/>
  <c r="W93" i="1"/>
  <c r="X93" i="1"/>
  <c r="C94" i="1"/>
  <c r="D94" i="1"/>
  <c r="F94" i="1"/>
  <c r="I94" i="1"/>
  <c r="J94" i="1"/>
  <c r="K94" i="1"/>
  <c r="L94" i="1"/>
  <c r="M94" i="1"/>
  <c r="N94" i="1"/>
  <c r="O94" i="1"/>
  <c r="P94" i="1"/>
  <c r="Q94" i="1"/>
  <c r="R94" i="1"/>
  <c r="S94" i="1"/>
  <c r="T94" i="1"/>
  <c r="U94" i="1"/>
  <c r="V94" i="1"/>
  <c r="W94" i="1"/>
  <c r="X94" i="1"/>
  <c r="C95" i="1"/>
  <c r="D95" i="1"/>
  <c r="F95" i="1"/>
  <c r="I95" i="1"/>
  <c r="J95" i="1"/>
  <c r="K95" i="1"/>
  <c r="L95" i="1"/>
  <c r="M95" i="1"/>
  <c r="N95" i="1"/>
  <c r="O95" i="1"/>
  <c r="P95" i="1"/>
  <c r="Q95" i="1"/>
  <c r="R95" i="1"/>
  <c r="S95" i="1"/>
  <c r="T95" i="1"/>
  <c r="U95" i="1"/>
  <c r="V95" i="1"/>
  <c r="W95" i="1"/>
  <c r="X95" i="1"/>
  <c r="C96" i="1"/>
  <c r="D96" i="1"/>
  <c r="F96" i="1"/>
  <c r="I96" i="1"/>
  <c r="J96" i="1"/>
  <c r="K96" i="1"/>
  <c r="L96" i="1"/>
  <c r="M96" i="1"/>
  <c r="N96" i="1"/>
  <c r="O96" i="1"/>
  <c r="P96" i="1"/>
  <c r="Q96" i="1"/>
  <c r="R96" i="1"/>
  <c r="S96" i="1"/>
  <c r="T96" i="1"/>
  <c r="U96" i="1"/>
  <c r="V96" i="1"/>
  <c r="W96" i="1"/>
  <c r="X96" i="1"/>
  <c r="C97" i="1"/>
  <c r="D97" i="1"/>
  <c r="F97" i="1"/>
  <c r="I97" i="1"/>
  <c r="J97" i="1"/>
  <c r="K97" i="1"/>
  <c r="L97" i="1"/>
  <c r="M97" i="1"/>
  <c r="N97" i="1"/>
  <c r="O97" i="1"/>
  <c r="P97" i="1"/>
  <c r="Q97" i="1"/>
  <c r="R97" i="1"/>
  <c r="S97" i="1"/>
  <c r="T97" i="1"/>
  <c r="U97" i="1"/>
  <c r="V97" i="1"/>
  <c r="W97" i="1"/>
  <c r="X97" i="1"/>
  <c r="C98" i="1"/>
  <c r="D98" i="1"/>
  <c r="F98" i="1"/>
  <c r="I98" i="1"/>
  <c r="J98" i="1"/>
  <c r="K98" i="1"/>
  <c r="L98" i="1"/>
  <c r="M98" i="1"/>
  <c r="N98" i="1"/>
  <c r="O98" i="1"/>
  <c r="P98" i="1"/>
  <c r="Q98" i="1"/>
  <c r="R98" i="1"/>
  <c r="S98" i="1"/>
  <c r="T98" i="1"/>
  <c r="U98" i="1"/>
  <c r="V98" i="1"/>
  <c r="W98" i="1"/>
  <c r="X98" i="1"/>
  <c r="C99" i="1"/>
  <c r="D99" i="1"/>
  <c r="F99" i="1"/>
  <c r="I99" i="1"/>
  <c r="J99" i="1"/>
  <c r="K99" i="1"/>
  <c r="L99" i="1"/>
  <c r="M99" i="1"/>
  <c r="N99" i="1"/>
  <c r="O99" i="1"/>
  <c r="P99" i="1"/>
  <c r="Q99" i="1"/>
  <c r="R99" i="1"/>
  <c r="S99" i="1"/>
  <c r="T99" i="1"/>
  <c r="U99" i="1"/>
  <c r="V99" i="1"/>
  <c r="W99" i="1"/>
  <c r="X99" i="1"/>
  <c r="C100" i="1"/>
  <c r="D100" i="1"/>
  <c r="F100" i="1"/>
  <c r="I100" i="1"/>
  <c r="J100" i="1"/>
  <c r="K100" i="1"/>
  <c r="L100" i="1"/>
  <c r="M100" i="1"/>
  <c r="N100" i="1"/>
  <c r="O100" i="1"/>
  <c r="P100" i="1"/>
  <c r="Q100" i="1"/>
  <c r="R100" i="1"/>
  <c r="S100" i="1"/>
  <c r="T100" i="1"/>
  <c r="U100" i="1"/>
  <c r="V100" i="1"/>
  <c r="W100" i="1"/>
  <c r="X100" i="1"/>
  <c r="C101" i="1"/>
  <c r="D101" i="1"/>
  <c r="F101" i="1"/>
  <c r="I101" i="1"/>
  <c r="J101" i="1"/>
  <c r="K101" i="1"/>
  <c r="L101" i="1"/>
  <c r="M101" i="1"/>
  <c r="N101" i="1"/>
  <c r="O101" i="1"/>
  <c r="P101" i="1"/>
  <c r="Q101" i="1"/>
  <c r="R101" i="1"/>
  <c r="S101" i="1"/>
  <c r="T101" i="1"/>
  <c r="U101" i="1"/>
  <c r="V101" i="1"/>
  <c r="W101" i="1"/>
  <c r="X101" i="1"/>
  <c r="C102" i="1"/>
  <c r="D102" i="1"/>
  <c r="F102" i="1"/>
  <c r="I102" i="1"/>
  <c r="J102" i="1"/>
  <c r="K102" i="1"/>
  <c r="L102" i="1"/>
  <c r="M102" i="1"/>
  <c r="N102" i="1"/>
  <c r="O102" i="1"/>
  <c r="P102" i="1"/>
  <c r="Q102" i="1"/>
  <c r="R102" i="1"/>
  <c r="S102" i="1"/>
  <c r="T102" i="1"/>
  <c r="U102" i="1"/>
  <c r="V102" i="1"/>
  <c r="W102" i="1"/>
  <c r="X102" i="1"/>
  <c r="C103" i="1"/>
  <c r="D103" i="1"/>
  <c r="F103" i="1"/>
  <c r="C104" i="1"/>
  <c r="D104" i="1"/>
  <c r="F104" i="1"/>
  <c r="C105" i="1"/>
  <c r="D105" i="1"/>
  <c r="F105" i="1"/>
  <c r="I105" i="1"/>
  <c r="J105" i="1"/>
  <c r="K105" i="1"/>
  <c r="L105" i="1"/>
  <c r="M105" i="1"/>
  <c r="N105" i="1"/>
  <c r="O105" i="1"/>
  <c r="P105" i="1"/>
  <c r="Q105" i="1"/>
  <c r="R105" i="1"/>
  <c r="S105" i="1"/>
  <c r="T105" i="1"/>
  <c r="U105" i="1"/>
  <c r="V105" i="1"/>
  <c r="W105" i="1"/>
  <c r="X105" i="1"/>
  <c r="C106" i="1"/>
  <c r="D106" i="1"/>
  <c r="F106" i="1"/>
  <c r="I106" i="1"/>
  <c r="J106" i="1"/>
  <c r="K106" i="1"/>
  <c r="L106" i="1"/>
  <c r="M106" i="1"/>
  <c r="N106" i="1"/>
  <c r="O106" i="1"/>
  <c r="P106" i="1"/>
  <c r="Q106" i="1"/>
  <c r="R106" i="1"/>
  <c r="S106" i="1"/>
  <c r="T106" i="1"/>
  <c r="U106" i="1"/>
  <c r="V106" i="1"/>
  <c r="W106" i="1"/>
  <c r="X106" i="1"/>
  <c r="C107" i="1"/>
  <c r="D107" i="1"/>
  <c r="F107" i="1"/>
  <c r="I107" i="1"/>
  <c r="J107" i="1"/>
  <c r="K107" i="1"/>
  <c r="L107" i="1"/>
  <c r="M107" i="1"/>
  <c r="N107" i="1"/>
  <c r="O107" i="1"/>
  <c r="P107" i="1"/>
  <c r="Q107" i="1"/>
  <c r="R107" i="1"/>
  <c r="S107" i="1"/>
  <c r="T107" i="1"/>
  <c r="U107" i="1"/>
  <c r="V107" i="1"/>
  <c r="W107" i="1"/>
  <c r="X107" i="1"/>
  <c r="C108" i="1"/>
  <c r="D108" i="1"/>
  <c r="F108" i="1"/>
  <c r="I108" i="1"/>
  <c r="J108" i="1"/>
  <c r="K108" i="1"/>
  <c r="L108" i="1"/>
  <c r="M108" i="1"/>
  <c r="N108" i="1"/>
  <c r="O108" i="1"/>
  <c r="P108" i="1"/>
  <c r="Q108" i="1"/>
  <c r="R108" i="1"/>
  <c r="S108" i="1"/>
  <c r="T108" i="1"/>
  <c r="U108" i="1"/>
  <c r="V108" i="1"/>
  <c r="W108" i="1"/>
  <c r="X108" i="1"/>
  <c r="C109" i="1"/>
  <c r="D109" i="1"/>
  <c r="F109" i="1"/>
  <c r="I109" i="1"/>
  <c r="J109" i="1"/>
  <c r="K109" i="1"/>
  <c r="L109" i="1"/>
  <c r="M109" i="1"/>
  <c r="N109" i="1"/>
  <c r="O109" i="1"/>
  <c r="P109" i="1"/>
  <c r="Q109" i="1"/>
  <c r="R109" i="1"/>
  <c r="S109" i="1"/>
  <c r="T109" i="1"/>
  <c r="U109" i="1"/>
  <c r="V109" i="1"/>
  <c r="W109" i="1"/>
  <c r="X109" i="1"/>
  <c r="C110" i="1"/>
  <c r="D110" i="1"/>
  <c r="F110" i="1"/>
  <c r="I110" i="1"/>
  <c r="J110" i="1"/>
  <c r="K110" i="1"/>
  <c r="L110" i="1"/>
  <c r="M110" i="1"/>
  <c r="N110" i="1"/>
  <c r="O110" i="1"/>
  <c r="P110" i="1"/>
  <c r="Q110" i="1"/>
  <c r="R110" i="1"/>
  <c r="S110" i="1"/>
  <c r="T110" i="1"/>
  <c r="U110" i="1"/>
  <c r="V110" i="1"/>
  <c r="W110" i="1"/>
  <c r="X110" i="1"/>
  <c r="C111" i="1"/>
  <c r="D111" i="1"/>
  <c r="F111" i="1"/>
  <c r="I111" i="1"/>
  <c r="J111" i="1"/>
  <c r="K111" i="1"/>
  <c r="L111" i="1"/>
  <c r="M111" i="1"/>
  <c r="N111" i="1"/>
  <c r="O111" i="1"/>
  <c r="P111" i="1"/>
  <c r="Q111" i="1"/>
  <c r="R111" i="1"/>
  <c r="S111" i="1"/>
  <c r="T111" i="1"/>
  <c r="U111" i="1"/>
  <c r="V111" i="1"/>
  <c r="W111" i="1"/>
  <c r="X111" i="1"/>
  <c r="C112" i="1"/>
  <c r="D112" i="1"/>
  <c r="F112" i="1"/>
  <c r="I112" i="1"/>
  <c r="J112" i="1"/>
  <c r="K112" i="1"/>
  <c r="L112" i="1"/>
  <c r="M112" i="1"/>
  <c r="N112" i="1"/>
  <c r="O112" i="1"/>
  <c r="P112" i="1"/>
  <c r="Q112" i="1"/>
  <c r="R112" i="1"/>
  <c r="S112" i="1"/>
  <c r="T112" i="1"/>
  <c r="U112" i="1"/>
  <c r="V112" i="1"/>
  <c r="W112" i="1"/>
  <c r="X112" i="1"/>
  <c r="C113" i="1"/>
  <c r="D113" i="1"/>
  <c r="F113" i="1"/>
  <c r="I113" i="1"/>
  <c r="J113" i="1"/>
  <c r="K113" i="1"/>
  <c r="L113" i="1"/>
  <c r="M113" i="1"/>
  <c r="N113" i="1"/>
  <c r="O113" i="1"/>
  <c r="P113" i="1"/>
  <c r="Q113" i="1"/>
  <c r="R113" i="1"/>
  <c r="S113" i="1"/>
  <c r="T113" i="1"/>
  <c r="U113" i="1"/>
  <c r="V113" i="1"/>
  <c r="W113" i="1"/>
  <c r="X113" i="1"/>
  <c r="C114" i="1"/>
  <c r="D114" i="1"/>
  <c r="F114" i="1"/>
  <c r="I114" i="1"/>
  <c r="J114" i="1"/>
  <c r="K114" i="1"/>
  <c r="L114" i="1"/>
  <c r="M114" i="1"/>
  <c r="N114" i="1"/>
  <c r="O114" i="1"/>
  <c r="P114" i="1"/>
  <c r="Q114" i="1"/>
  <c r="R114" i="1"/>
  <c r="S114" i="1"/>
  <c r="T114" i="1"/>
  <c r="U114" i="1"/>
  <c r="V114" i="1"/>
  <c r="W114" i="1"/>
  <c r="X114" i="1"/>
  <c r="C115" i="1"/>
  <c r="D115" i="1"/>
  <c r="F115" i="1"/>
  <c r="I115" i="1"/>
  <c r="J115" i="1"/>
  <c r="K115" i="1"/>
  <c r="L115" i="1"/>
  <c r="M115" i="1"/>
  <c r="N115" i="1"/>
  <c r="O115" i="1"/>
  <c r="P115" i="1"/>
  <c r="Q115" i="1"/>
  <c r="R115" i="1"/>
  <c r="S115" i="1"/>
  <c r="T115" i="1"/>
  <c r="U115" i="1"/>
  <c r="V115" i="1"/>
  <c r="W115" i="1"/>
  <c r="X115" i="1"/>
  <c r="C116" i="1"/>
  <c r="D116" i="1"/>
  <c r="F116" i="1"/>
  <c r="I116" i="1"/>
  <c r="J116" i="1"/>
  <c r="K116" i="1"/>
  <c r="L116" i="1"/>
  <c r="M116" i="1"/>
  <c r="N116" i="1"/>
  <c r="O116" i="1"/>
  <c r="P116" i="1"/>
  <c r="Q116" i="1"/>
  <c r="R116" i="1"/>
  <c r="S116" i="1"/>
  <c r="T116" i="1"/>
  <c r="U116" i="1"/>
  <c r="V116" i="1"/>
  <c r="W116" i="1"/>
  <c r="X116" i="1"/>
  <c r="C117" i="1"/>
  <c r="D117" i="1"/>
  <c r="F117" i="1"/>
  <c r="I117" i="1"/>
  <c r="J117" i="1"/>
  <c r="K117" i="1"/>
  <c r="L117" i="1"/>
  <c r="M117" i="1"/>
  <c r="N117" i="1"/>
  <c r="O117" i="1"/>
  <c r="P117" i="1"/>
  <c r="Q117" i="1"/>
  <c r="R117" i="1"/>
  <c r="S117" i="1"/>
  <c r="T117" i="1"/>
  <c r="U117" i="1"/>
  <c r="V117" i="1"/>
  <c r="W117" i="1"/>
  <c r="X117" i="1"/>
  <c r="C118" i="1"/>
  <c r="D118" i="1"/>
  <c r="F118" i="1"/>
  <c r="I118" i="1"/>
  <c r="J118" i="1"/>
  <c r="K118" i="1"/>
  <c r="L118" i="1"/>
  <c r="M118" i="1"/>
  <c r="N118" i="1"/>
  <c r="O118" i="1"/>
  <c r="P118" i="1"/>
  <c r="Q118" i="1"/>
  <c r="R118" i="1"/>
  <c r="S118" i="1"/>
  <c r="T118" i="1"/>
  <c r="U118" i="1"/>
  <c r="V118" i="1"/>
  <c r="W118" i="1"/>
  <c r="X118" i="1"/>
  <c r="C119" i="1"/>
  <c r="D119" i="1"/>
  <c r="F119" i="1"/>
  <c r="I119" i="1"/>
  <c r="J119" i="1"/>
  <c r="K119" i="1"/>
  <c r="L119" i="1"/>
  <c r="M119" i="1"/>
  <c r="N119" i="1"/>
  <c r="O119" i="1"/>
  <c r="P119" i="1"/>
  <c r="Q119" i="1"/>
  <c r="R119" i="1"/>
  <c r="S119" i="1"/>
  <c r="T119" i="1"/>
  <c r="U119" i="1"/>
  <c r="V119" i="1"/>
  <c r="W119" i="1"/>
  <c r="X119" i="1"/>
  <c r="C120" i="1"/>
  <c r="D120" i="1"/>
  <c r="F120" i="1"/>
  <c r="I120" i="1"/>
  <c r="J120" i="1"/>
  <c r="K120" i="1"/>
  <c r="L120" i="1"/>
  <c r="M120" i="1"/>
  <c r="N120" i="1"/>
  <c r="O120" i="1"/>
  <c r="P120" i="1"/>
  <c r="Q120" i="1"/>
  <c r="R120" i="1"/>
  <c r="S120" i="1"/>
  <c r="T120" i="1"/>
  <c r="U120" i="1"/>
  <c r="V120" i="1"/>
  <c r="W120" i="1"/>
  <c r="X120" i="1"/>
  <c r="C121" i="1"/>
  <c r="D121" i="1"/>
  <c r="F121" i="1"/>
  <c r="I121" i="1"/>
  <c r="J121" i="1"/>
  <c r="K121" i="1"/>
  <c r="L121" i="1"/>
  <c r="M121" i="1"/>
  <c r="N121" i="1"/>
  <c r="O121" i="1"/>
  <c r="P121" i="1"/>
  <c r="Q121" i="1"/>
  <c r="R121" i="1"/>
  <c r="S121" i="1"/>
  <c r="T121" i="1"/>
  <c r="U121" i="1"/>
  <c r="V121" i="1"/>
  <c r="W121" i="1"/>
  <c r="X121" i="1"/>
  <c r="C122" i="1"/>
  <c r="D122" i="1"/>
  <c r="F122" i="1"/>
  <c r="I122" i="1"/>
  <c r="J122" i="1"/>
  <c r="K122" i="1"/>
  <c r="L122" i="1"/>
  <c r="M122" i="1"/>
  <c r="N122" i="1"/>
  <c r="O122" i="1"/>
  <c r="P122" i="1"/>
  <c r="Q122" i="1"/>
  <c r="R122" i="1"/>
  <c r="S122" i="1"/>
  <c r="T122" i="1"/>
  <c r="U122" i="1"/>
  <c r="V122" i="1"/>
  <c r="W122" i="1"/>
  <c r="X122" i="1"/>
  <c r="C123" i="1"/>
  <c r="D123" i="1"/>
  <c r="F123" i="1"/>
  <c r="I123" i="1"/>
  <c r="J123" i="1"/>
  <c r="K123" i="1"/>
  <c r="L123" i="1"/>
  <c r="M123" i="1"/>
  <c r="N123" i="1"/>
  <c r="O123" i="1"/>
  <c r="P123" i="1"/>
  <c r="Q123" i="1"/>
  <c r="R123" i="1"/>
  <c r="S123" i="1"/>
  <c r="T123" i="1"/>
  <c r="U123" i="1"/>
  <c r="V123" i="1"/>
  <c r="W123" i="1"/>
  <c r="X123" i="1"/>
  <c r="C124" i="1"/>
  <c r="D124" i="1"/>
  <c r="F124" i="1"/>
  <c r="I124" i="1"/>
  <c r="J124" i="1"/>
  <c r="K124" i="1"/>
  <c r="L124" i="1"/>
  <c r="M124" i="1"/>
  <c r="N124" i="1"/>
  <c r="O124" i="1"/>
  <c r="P124" i="1"/>
  <c r="Q124" i="1"/>
  <c r="R124" i="1"/>
  <c r="S124" i="1"/>
  <c r="T124" i="1"/>
  <c r="U124" i="1"/>
  <c r="V124" i="1"/>
  <c r="W124" i="1"/>
  <c r="X124" i="1"/>
  <c r="C125" i="1"/>
  <c r="D125" i="1"/>
  <c r="F125" i="1"/>
  <c r="I125" i="1"/>
  <c r="J125" i="1"/>
  <c r="K125" i="1"/>
  <c r="L125" i="1"/>
  <c r="M125" i="1"/>
  <c r="N125" i="1"/>
  <c r="O125" i="1"/>
  <c r="P125" i="1"/>
  <c r="Q125" i="1"/>
  <c r="R125" i="1"/>
  <c r="S125" i="1"/>
  <c r="T125" i="1"/>
  <c r="U125" i="1"/>
  <c r="V125" i="1"/>
  <c r="W125" i="1"/>
  <c r="X125" i="1"/>
  <c r="C126" i="1"/>
  <c r="D126" i="1"/>
  <c r="F126" i="1"/>
  <c r="I126" i="1"/>
  <c r="J126" i="1"/>
  <c r="K126" i="1"/>
  <c r="L126" i="1"/>
  <c r="M126" i="1"/>
  <c r="N126" i="1"/>
  <c r="O126" i="1"/>
  <c r="P126" i="1"/>
  <c r="Q126" i="1"/>
  <c r="R126" i="1"/>
  <c r="S126" i="1"/>
  <c r="T126" i="1"/>
  <c r="U126" i="1"/>
  <c r="V126" i="1"/>
  <c r="W126" i="1"/>
  <c r="X126" i="1"/>
  <c r="C127" i="1"/>
  <c r="D127" i="1"/>
  <c r="F127" i="1"/>
  <c r="I127" i="1"/>
  <c r="J127" i="1"/>
  <c r="K127" i="1"/>
  <c r="L127" i="1"/>
  <c r="M127" i="1"/>
  <c r="N127" i="1"/>
  <c r="O127" i="1"/>
  <c r="P127" i="1"/>
  <c r="Q127" i="1"/>
  <c r="R127" i="1"/>
  <c r="S127" i="1"/>
  <c r="T127" i="1"/>
  <c r="U127" i="1"/>
  <c r="V127" i="1"/>
  <c r="W127" i="1"/>
  <c r="X127" i="1"/>
  <c r="C128" i="1"/>
  <c r="D128" i="1"/>
  <c r="F128" i="1"/>
  <c r="I128" i="1"/>
  <c r="J128" i="1"/>
  <c r="K128" i="1"/>
  <c r="L128" i="1"/>
  <c r="M128" i="1"/>
  <c r="N128" i="1"/>
  <c r="O128" i="1"/>
  <c r="P128" i="1"/>
  <c r="Q128" i="1"/>
  <c r="R128" i="1"/>
  <c r="S128" i="1"/>
  <c r="T128" i="1"/>
  <c r="U128" i="1"/>
  <c r="V128" i="1"/>
  <c r="W128" i="1"/>
  <c r="X128" i="1"/>
  <c r="C129" i="1"/>
  <c r="D129" i="1"/>
  <c r="F129" i="1"/>
  <c r="C130" i="1"/>
  <c r="D130" i="1"/>
  <c r="F130" i="1"/>
  <c r="C131" i="1"/>
  <c r="D131" i="1"/>
  <c r="F131" i="1"/>
  <c r="I131" i="1"/>
  <c r="J131" i="1"/>
  <c r="K131" i="1"/>
  <c r="L131" i="1"/>
  <c r="M131" i="1"/>
  <c r="N131" i="1"/>
  <c r="O131" i="1"/>
  <c r="P131" i="1"/>
  <c r="Q131" i="1"/>
  <c r="R131" i="1"/>
  <c r="S131" i="1"/>
  <c r="T131" i="1"/>
  <c r="U131" i="1"/>
  <c r="V131" i="1"/>
  <c r="W131" i="1"/>
  <c r="X131" i="1"/>
  <c r="C132" i="1"/>
  <c r="D132" i="1"/>
  <c r="F132" i="1"/>
  <c r="I132" i="1"/>
  <c r="J132" i="1"/>
  <c r="K132" i="1"/>
  <c r="L132" i="1"/>
  <c r="M132" i="1"/>
  <c r="N132" i="1"/>
  <c r="O132" i="1"/>
  <c r="P132" i="1"/>
  <c r="Q132" i="1"/>
  <c r="R132" i="1"/>
  <c r="S132" i="1"/>
  <c r="T132" i="1"/>
  <c r="U132" i="1"/>
  <c r="V132" i="1"/>
  <c r="W132" i="1"/>
  <c r="X132" i="1"/>
  <c r="C133" i="1"/>
  <c r="D133" i="1"/>
  <c r="F133" i="1"/>
  <c r="I133" i="1"/>
  <c r="J133" i="1"/>
  <c r="K133" i="1"/>
  <c r="L133" i="1"/>
  <c r="M133" i="1"/>
  <c r="N133" i="1"/>
  <c r="O133" i="1"/>
  <c r="P133" i="1"/>
  <c r="Q133" i="1"/>
  <c r="R133" i="1"/>
  <c r="S133" i="1"/>
  <c r="T133" i="1"/>
  <c r="U133" i="1"/>
  <c r="V133" i="1"/>
  <c r="W133" i="1"/>
  <c r="X133" i="1"/>
  <c r="C134" i="1"/>
  <c r="D134" i="1"/>
  <c r="F134" i="1"/>
  <c r="I134" i="1"/>
  <c r="J134" i="1"/>
  <c r="K134" i="1"/>
  <c r="L134" i="1"/>
  <c r="M134" i="1"/>
  <c r="N134" i="1"/>
  <c r="O134" i="1"/>
  <c r="P134" i="1"/>
  <c r="Q134" i="1"/>
  <c r="R134" i="1"/>
  <c r="S134" i="1"/>
  <c r="T134" i="1"/>
  <c r="U134" i="1"/>
  <c r="V134" i="1"/>
  <c r="W134" i="1"/>
  <c r="X134" i="1"/>
  <c r="C135" i="1"/>
  <c r="D135" i="1"/>
  <c r="F135" i="1"/>
  <c r="I135" i="1"/>
  <c r="J135" i="1"/>
  <c r="K135" i="1"/>
  <c r="L135" i="1"/>
  <c r="M135" i="1"/>
  <c r="N135" i="1"/>
  <c r="O135" i="1"/>
  <c r="P135" i="1"/>
  <c r="Q135" i="1"/>
  <c r="R135" i="1"/>
  <c r="S135" i="1"/>
  <c r="T135" i="1"/>
  <c r="U135" i="1"/>
  <c r="V135" i="1"/>
  <c r="W135" i="1"/>
  <c r="X135" i="1"/>
  <c r="C136" i="1"/>
  <c r="D136" i="1"/>
  <c r="F136" i="1"/>
  <c r="I136" i="1"/>
  <c r="J136" i="1"/>
  <c r="K136" i="1"/>
  <c r="L136" i="1"/>
  <c r="M136" i="1"/>
  <c r="N136" i="1"/>
  <c r="O136" i="1"/>
  <c r="P136" i="1"/>
  <c r="Q136" i="1"/>
  <c r="R136" i="1"/>
  <c r="S136" i="1"/>
  <c r="T136" i="1"/>
  <c r="U136" i="1"/>
  <c r="V136" i="1"/>
  <c r="W136" i="1"/>
  <c r="X136" i="1"/>
  <c r="C137" i="1"/>
  <c r="D137" i="1"/>
  <c r="F137" i="1"/>
  <c r="I137" i="1"/>
  <c r="J137" i="1"/>
  <c r="K137" i="1"/>
  <c r="L137" i="1"/>
  <c r="M137" i="1"/>
  <c r="N137" i="1"/>
  <c r="O137" i="1"/>
  <c r="P137" i="1"/>
  <c r="Q137" i="1"/>
  <c r="R137" i="1"/>
  <c r="S137" i="1"/>
  <c r="T137" i="1"/>
  <c r="U137" i="1"/>
  <c r="V137" i="1"/>
  <c r="W137" i="1"/>
  <c r="X137" i="1"/>
  <c r="C138" i="1"/>
  <c r="D138" i="1"/>
  <c r="F138" i="1"/>
  <c r="I138" i="1"/>
  <c r="J138" i="1"/>
  <c r="K138" i="1"/>
  <c r="L138" i="1"/>
  <c r="M138" i="1"/>
  <c r="N138" i="1"/>
  <c r="O138" i="1"/>
  <c r="P138" i="1"/>
  <c r="Q138" i="1"/>
  <c r="R138" i="1"/>
  <c r="S138" i="1"/>
  <c r="T138" i="1"/>
  <c r="U138" i="1"/>
  <c r="V138" i="1"/>
  <c r="W138" i="1"/>
  <c r="X138" i="1"/>
  <c r="C139" i="1"/>
  <c r="D139" i="1"/>
  <c r="F139" i="1"/>
  <c r="I139" i="1"/>
  <c r="J139" i="1"/>
  <c r="K139" i="1"/>
  <c r="L139" i="1"/>
  <c r="M139" i="1"/>
  <c r="N139" i="1"/>
  <c r="O139" i="1"/>
  <c r="P139" i="1"/>
  <c r="Q139" i="1"/>
  <c r="R139" i="1"/>
  <c r="S139" i="1"/>
  <c r="T139" i="1"/>
  <c r="U139" i="1"/>
  <c r="V139" i="1"/>
  <c r="W139" i="1"/>
  <c r="X139" i="1"/>
  <c r="C140" i="1"/>
  <c r="D140" i="1"/>
  <c r="F140" i="1"/>
  <c r="I140" i="1"/>
  <c r="J140" i="1"/>
  <c r="K140" i="1"/>
  <c r="L140" i="1"/>
  <c r="M140" i="1"/>
  <c r="N140" i="1"/>
  <c r="O140" i="1"/>
  <c r="P140" i="1"/>
  <c r="Q140" i="1"/>
  <c r="R140" i="1"/>
  <c r="S140" i="1"/>
  <c r="T140" i="1"/>
  <c r="U140" i="1"/>
  <c r="V140" i="1"/>
  <c r="W140" i="1"/>
  <c r="X140" i="1"/>
  <c r="C141" i="1"/>
  <c r="D141" i="1"/>
  <c r="F141" i="1"/>
  <c r="I141" i="1"/>
  <c r="J141" i="1"/>
  <c r="K141" i="1"/>
  <c r="L141" i="1"/>
  <c r="M141" i="1"/>
  <c r="N141" i="1"/>
  <c r="O141" i="1"/>
  <c r="P141" i="1"/>
  <c r="Q141" i="1"/>
  <c r="R141" i="1"/>
  <c r="S141" i="1"/>
  <c r="T141" i="1"/>
  <c r="U141" i="1"/>
  <c r="V141" i="1"/>
  <c r="W141" i="1"/>
  <c r="X141" i="1"/>
  <c r="C142" i="1"/>
  <c r="D142" i="1"/>
  <c r="F142" i="1"/>
  <c r="I142" i="1"/>
  <c r="J142" i="1"/>
  <c r="K142" i="1"/>
  <c r="L142" i="1"/>
  <c r="M142" i="1"/>
  <c r="N142" i="1"/>
  <c r="O142" i="1"/>
  <c r="P142" i="1"/>
  <c r="Q142" i="1"/>
  <c r="R142" i="1"/>
  <c r="S142" i="1"/>
  <c r="T142" i="1"/>
  <c r="U142" i="1"/>
  <c r="V142" i="1"/>
  <c r="W142" i="1"/>
  <c r="X142" i="1"/>
  <c r="C143" i="1"/>
  <c r="D143" i="1"/>
  <c r="F143" i="1"/>
  <c r="I143" i="1"/>
  <c r="J143" i="1"/>
  <c r="K143" i="1"/>
  <c r="L143" i="1"/>
  <c r="M143" i="1"/>
  <c r="N143" i="1"/>
  <c r="O143" i="1"/>
  <c r="P143" i="1"/>
  <c r="Q143" i="1"/>
  <c r="R143" i="1"/>
  <c r="S143" i="1"/>
  <c r="T143" i="1"/>
  <c r="U143" i="1"/>
  <c r="V143" i="1"/>
  <c r="W143" i="1"/>
  <c r="X143" i="1"/>
  <c r="C144" i="1"/>
  <c r="D144" i="1"/>
  <c r="F144" i="1"/>
  <c r="I144" i="1"/>
  <c r="J144" i="1"/>
  <c r="K144" i="1"/>
  <c r="L144" i="1"/>
  <c r="M144" i="1"/>
  <c r="N144" i="1"/>
  <c r="O144" i="1"/>
  <c r="P144" i="1"/>
  <c r="Q144" i="1"/>
  <c r="R144" i="1"/>
  <c r="S144" i="1"/>
  <c r="T144" i="1"/>
  <c r="U144" i="1"/>
  <c r="V144" i="1"/>
  <c r="W144" i="1"/>
  <c r="X144" i="1"/>
  <c r="C145" i="1"/>
  <c r="D145" i="1"/>
  <c r="F145" i="1"/>
  <c r="I145" i="1"/>
  <c r="J145" i="1"/>
  <c r="K145" i="1"/>
  <c r="L145" i="1"/>
  <c r="M145" i="1"/>
  <c r="N145" i="1"/>
  <c r="O145" i="1"/>
  <c r="P145" i="1"/>
  <c r="Q145" i="1"/>
  <c r="R145" i="1"/>
  <c r="S145" i="1"/>
  <c r="T145" i="1"/>
  <c r="U145" i="1"/>
  <c r="V145" i="1"/>
  <c r="W145" i="1"/>
  <c r="X145" i="1"/>
  <c r="C146" i="1"/>
  <c r="D146" i="1"/>
  <c r="F146" i="1"/>
  <c r="I146" i="1"/>
  <c r="J146" i="1"/>
  <c r="K146" i="1"/>
  <c r="L146" i="1"/>
  <c r="M146" i="1"/>
  <c r="N146" i="1"/>
  <c r="O146" i="1"/>
  <c r="P146" i="1"/>
  <c r="Q146" i="1"/>
  <c r="R146" i="1"/>
  <c r="S146" i="1"/>
  <c r="T146" i="1"/>
  <c r="U146" i="1"/>
  <c r="V146" i="1"/>
  <c r="W146" i="1"/>
  <c r="X146" i="1"/>
  <c r="C147" i="1"/>
  <c r="D147" i="1"/>
  <c r="F147" i="1"/>
  <c r="I147" i="1"/>
  <c r="J147" i="1"/>
  <c r="K147" i="1"/>
  <c r="L147" i="1"/>
  <c r="M147" i="1"/>
  <c r="N147" i="1"/>
  <c r="O147" i="1"/>
  <c r="P147" i="1"/>
  <c r="Q147" i="1"/>
  <c r="R147" i="1"/>
  <c r="S147" i="1"/>
  <c r="T147" i="1"/>
  <c r="U147" i="1"/>
  <c r="V147" i="1"/>
  <c r="W147" i="1"/>
  <c r="X147" i="1"/>
  <c r="C148" i="1"/>
  <c r="D148" i="1"/>
  <c r="F148" i="1"/>
  <c r="I148" i="1"/>
  <c r="J148" i="1"/>
  <c r="K148" i="1"/>
  <c r="L148" i="1"/>
  <c r="M148" i="1"/>
  <c r="N148" i="1"/>
  <c r="O148" i="1"/>
  <c r="P148" i="1"/>
  <c r="Q148" i="1"/>
  <c r="R148" i="1"/>
  <c r="S148" i="1"/>
  <c r="T148" i="1"/>
  <c r="U148" i="1"/>
  <c r="V148" i="1"/>
  <c r="W148" i="1"/>
  <c r="X148" i="1"/>
  <c r="C149" i="1"/>
  <c r="D149" i="1"/>
  <c r="F149" i="1"/>
  <c r="I149" i="1"/>
  <c r="J149" i="1"/>
  <c r="K149" i="1"/>
  <c r="L149" i="1"/>
  <c r="M149" i="1"/>
  <c r="N149" i="1"/>
  <c r="O149" i="1"/>
  <c r="P149" i="1"/>
  <c r="Q149" i="1"/>
  <c r="R149" i="1"/>
  <c r="S149" i="1"/>
  <c r="T149" i="1"/>
  <c r="U149" i="1"/>
  <c r="V149" i="1"/>
  <c r="W149" i="1"/>
  <c r="X149" i="1"/>
  <c r="C150" i="1"/>
  <c r="D150" i="1"/>
  <c r="F150" i="1"/>
  <c r="I150" i="1"/>
  <c r="J150" i="1"/>
  <c r="K150" i="1"/>
  <c r="L150" i="1"/>
  <c r="M150" i="1"/>
  <c r="N150" i="1"/>
  <c r="O150" i="1"/>
  <c r="P150" i="1"/>
  <c r="Q150" i="1"/>
  <c r="R150" i="1"/>
  <c r="S150" i="1"/>
  <c r="T150" i="1"/>
  <c r="U150" i="1"/>
  <c r="V150" i="1"/>
  <c r="W150" i="1"/>
  <c r="X150" i="1"/>
  <c r="C151" i="1"/>
  <c r="D151" i="1"/>
  <c r="F151" i="1"/>
  <c r="I151" i="1"/>
  <c r="J151" i="1"/>
  <c r="K151" i="1"/>
  <c r="L151" i="1"/>
  <c r="M151" i="1"/>
  <c r="N151" i="1"/>
  <c r="O151" i="1"/>
  <c r="P151" i="1"/>
  <c r="Q151" i="1"/>
  <c r="R151" i="1"/>
  <c r="S151" i="1"/>
  <c r="T151" i="1"/>
  <c r="U151" i="1"/>
  <c r="V151" i="1"/>
  <c r="W151" i="1"/>
  <c r="X151" i="1"/>
  <c r="C152" i="1"/>
  <c r="D152" i="1"/>
  <c r="F152" i="1"/>
  <c r="I152" i="1"/>
  <c r="J152" i="1"/>
  <c r="K152" i="1"/>
  <c r="L152" i="1"/>
  <c r="M152" i="1"/>
  <c r="N152" i="1"/>
  <c r="O152" i="1"/>
  <c r="P152" i="1"/>
  <c r="Q152" i="1"/>
  <c r="R152" i="1"/>
  <c r="S152" i="1"/>
  <c r="T152" i="1"/>
  <c r="U152" i="1"/>
  <c r="V152" i="1"/>
  <c r="W152" i="1"/>
  <c r="X152" i="1"/>
  <c r="C153" i="1"/>
  <c r="D153" i="1"/>
  <c r="F153" i="1"/>
  <c r="I153" i="1"/>
  <c r="J153" i="1"/>
  <c r="K153" i="1"/>
  <c r="L153" i="1"/>
  <c r="M153" i="1"/>
  <c r="N153" i="1"/>
  <c r="O153" i="1"/>
  <c r="P153" i="1"/>
  <c r="Q153" i="1"/>
  <c r="R153" i="1"/>
  <c r="S153" i="1"/>
  <c r="T153" i="1"/>
  <c r="U153" i="1"/>
  <c r="V153" i="1"/>
  <c r="W153" i="1"/>
  <c r="X153" i="1"/>
  <c r="C154" i="1"/>
  <c r="D154" i="1"/>
  <c r="F154" i="1"/>
  <c r="I154" i="1"/>
  <c r="J154" i="1"/>
  <c r="K154" i="1"/>
  <c r="L154" i="1"/>
  <c r="M154" i="1"/>
  <c r="N154" i="1"/>
  <c r="O154" i="1"/>
  <c r="P154" i="1"/>
  <c r="Q154" i="1"/>
  <c r="R154" i="1"/>
  <c r="S154" i="1"/>
  <c r="T154" i="1"/>
  <c r="U154" i="1"/>
  <c r="V154" i="1"/>
  <c r="W154" i="1"/>
  <c r="X154" i="1"/>
  <c r="C155" i="1"/>
  <c r="D155" i="1"/>
  <c r="F155" i="1"/>
  <c r="I155" i="1"/>
  <c r="J155" i="1"/>
  <c r="K155" i="1"/>
  <c r="L155" i="1"/>
  <c r="M155" i="1"/>
  <c r="N155" i="1"/>
  <c r="O155" i="1"/>
  <c r="P155" i="1"/>
  <c r="Q155" i="1"/>
  <c r="R155" i="1"/>
  <c r="S155" i="1"/>
  <c r="T155" i="1"/>
  <c r="U155" i="1"/>
  <c r="V155" i="1"/>
  <c r="W155" i="1"/>
  <c r="X155" i="1"/>
  <c r="C156" i="1"/>
  <c r="D156" i="1"/>
  <c r="F156" i="1"/>
  <c r="I156" i="1"/>
  <c r="J156" i="1"/>
  <c r="K156" i="1"/>
  <c r="L156" i="1"/>
  <c r="M156" i="1"/>
  <c r="N156" i="1"/>
  <c r="O156" i="1"/>
  <c r="P156" i="1"/>
  <c r="Q156" i="1"/>
  <c r="R156" i="1"/>
  <c r="S156" i="1"/>
  <c r="T156" i="1"/>
  <c r="U156" i="1"/>
  <c r="V156" i="1"/>
  <c r="W156" i="1"/>
  <c r="X156" i="1"/>
  <c r="C157" i="1"/>
  <c r="D157" i="1"/>
  <c r="F157" i="1"/>
  <c r="I157" i="1"/>
  <c r="J157" i="1"/>
  <c r="K157" i="1"/>
  <c r="L157" i="1"/>
  <c r="M157" i="1"/>
  <c r="N157" i="1"/>
  <c r="O157" i="1"/>
  <c r="P157" i="1"/>
  <c r="Q157" i="1"/>
  <c r="R157" i="1"/>
  <c r="S157" i="1"/>
  <c r="T157" i="1"/>
  <c r="U157" i="1"/>
  <c r="V157" i="1"/>
  <c r="W157" i="1"/>
  <c r="X157" i="1"/>
  <c r="C158" i="1"/>
  <c r="D158" i="1"/>
  <c r="F158" i="1"/>
  <c r="I158" i="1"/>
  <c r="J158" i="1"/>
  <c r="K158" i="1"/>
  <c r="L158" i="1"/>
  <c r="M158" i="1"/>
  <c r="N158" i="1"/>
  <c r="O158" i="1"/>
  <c r="P158" i="1"/>
  <c r="Q158" i="1"/>
  <c r="R158" i="1"/>
  <c r="S158" i="1"/>
  <c r="T158" i="1"/>
  <c r="U158" i="1"/>
  <c r="V158" i="1"/>
  <c r="W158" i="1"/>
  <c r="X158" i="1"/>
  <c r="C159" i="1"/>
  <c r="D159" i="1"/>
  <c r="F159" i="1"/>
  <c r="I159" i="1"/>
  <c r="J159" i="1"/>
  <c r="K159" i="1"/>
  <c r="L159" i="1"/>
  <c r="M159" i="1"/>
  <c r="N159" i="1"/>
  <c r="O159" i="1"/>
  <c r="P159" i="1"/>
  <c r="Q159" i="1"/>
  <c r="R159" i="1"/>
  <c r="S159" i="1"/>
  <c r="T159" i="1"/>
  <c r="U159" i="1"/>
  <c r="V159" i="1"/>
  <c r="W159" i="1"/>
  <c r="X159" i="1"/>
  <c r="C160" i="1"/>
  <c r="D160" i="1"/>
  <c r="F160" i="1"/>
  <c r="I160" i="1"/>
  <c r="J160" i="1"/>
  <c r="K160" i="1"/>
  <c r="L160" i="1"/>
  <c r="M160" i="1"/>
  <c r="N160" i="1"/>
  <c r="O160" i="1"/>
  <c r="P160" i="1"/>
  <c r="Q160" i="1"/>
  <c r="R160" i="1"/>
  <c r="S160" i="1"/>
  <c r="T160" i="1"/>
  <c r="U160" i="1"/>
  <c r="V160" i="1"/>
  <c r="W160" i="1"/>
  <c r="X160" i="1"/>
  <c r="C161" i="1"/>
  <c r="D161" i="1"/>
  <c r="F161" i="1"/>
  <c r="I161" i="1"/>
  <c r="J161" i="1"/>
  <c r="K161" i="1"/>
  <c r="L161" i="1"/>
  <c r="M161" i="1"/>
  <c r="N161" i="1"/>
  <c r="O161" i="1"/>
  <c r="P161" i="1"/>
  <c r="Q161" i="1"/>
  <c r="R161" i="1"/>
  <c r="S161" i="1"/>
  <c r="T161" i="1"/>
  <c r="U161" i="1"/>
  <c r="V161" i="1"/>
  <c r="W161" i="1"/>
  <c r="X161" i="1"/>
  <c r="C162" i="1"/>
  <c r="D162" i="1"/>
  <c r="F162" i="1"/>
  <c r="I162" i="1"/>
  <c r="J162" i="1"/>
  <c r="K162" i="1"/>
  <c r="L162" i="1"/>
  <c r="M162" i="1"/>
  <c r="N162" i="1"/>
  <c r="O162" i="1"/>
  <c r="P162" i="1"/>
  <c r="Q162" i="1"/>
  <c r="R162" i="1"/>
  <c r="S162" i="1"/>
  <c r="T162" i="1"/>
  <c r="U162" i="1"/>
  <c r="V162" i="1"/>
  <c r="W162" i="1"/>
  <c r="X162" i="1"/>
  <c r="C163" i="1"/>
  <c r="D163" i="1"/>
  <c r="F163" i="1"/>
  <c r="I163" i="1"/>
  <c r="J163" i="1"/>
  <c r="K163" i="1"/>
  <c r="L163" i="1"/>
  <c r="M163" i="1"/>
  <c r="N163" i="1"/>
  <c r="O163" i="1"/>
  <c r="P163" i="1"/>
  <c r="Q163" i="1"/>
  <c r="R163" i="1"/>
  <c r="S163" i="1"/>
  <c r="T163" i="1"/>
  <c r="U163" i="1"/>
  <c r="V163" i="1"/>
  <c r="W163" i="1"/>
  <c r="X163" i="1"/>
  <c r="C164" i="1"/>
  <c r="D164" i="1"/>
  <c r="F164" i="1"/>
  <c r="I164" i="1"/>
  <c r="J164" i="1"/>
  <c r="K164" i="1"/>
  <c r="L164" i="1"/>
  <c r="M164" i="1"/>
  <c r="N164" i="1"/>
  <c r="O164" i="1"/>
  <c r="P164" i="1"/>
  <c r="Q164" i="1"/>
  <c r="R164" i="1"/>
  <c r="S164" i="1"/>
  <c r="T164" i="1"/>
  <c r="U164" i="1"/>
  <c r="V164" i="1"/>
  <c r="W164" i="1"/>
  <c r="X164" i="1"/>
  <c r="C165" i="1"/>
  <c r="D165" i="1"/>
  <c r="F165" i="1"/>
  <c r="I165" i="1"/>
  <c r="J165" i="1"/>
  <c r="K165" i="1"/>
  <c r="L165" i="1"/>
  <c r="M165" i="1"/>
  <c r="N165" i="1"/>
  <c r="O165" i="1"/>
  <c r="P165" i="1"/>
  <c r="Q165" i="1"/>
  <c r="R165" i="1"/>
  <c r="S165" i="1"/>
  <c r="T165" i="1"/>
  <c r="U165" i="1"/>
  <c r="V165" i="1"/>
  <c r="W165" i="1"/>
  <c r="X165" i="1"/>
  <c r="C166" i="1"/>
  <c r="D166" i="1"/>
  <c r="F166" i="1"/>
  <c r="I166" i="1"/>
  <c r="J166" i="1"/>
  <c r="K166" i="1"/>
  <c r="L166" i="1"/>
  <c r="M166" i="1"/>
  <c r="N166" i="1"/>
  <c r="O166" i="1"/>
  <c r="P166" i="1"/>
  <c r="Q166" i="1"/>
  <c r="R166" i="1"/>
  <c r="S166" i="1"/>
  <c r="T166" i="1"/>
  <c r="U166" i="1"/>
  <c r="V166" i="1"/>
  <c r="W166" i="1"/>
  <c r="X166" i="1"/>
  <c r="C167" i="1"/>
  <c r="D167" i="1"/>
  <c r="F167" i="1"/>
  <c r="I167" i="1"/>
  <c r="J167" i="1"/>
  <c r="K167" i="1"/>
  <c r="L167" i="1"/>
  <c r="M167" i="1"/>
  <c r="N167" i="1"/>
  <c r="O167" i="1"/>
  <c r="P167" i="1"/>
  <c r="Q167" i="1"/>
  <c r="R167" i="1"/>
  <c r="S167" i="1"/>
  <c r="T167" i="1"/>
  <c r="U167" i="1"/>
  <c r="V167" i="1"/>
  <c r="W167" i="1"/>
  <c r="X167" i="1"/>
  <c r="C168" i="1"/>
  <c r="D168" i="1"/>
  <c r="F168" i="1"/>
  <c r="I168" i="1"/>
  <c r="J168" i="1"/>
  <c r="K168" i="1"/>
  <c r="L168" i="1"/>
  <c r="M168" i="1"/>
  <c r="N168" i="1"/>
  <c r="O168" i="1"/>
  <c r="P168" i="1"/>
  <c r="Q168" i="1"/>
  <c r="R168" i="1"/>
  <c r="S168" i="1"/>
  <c r="T168" i="1"/>
  <c r="U168" i="1"/>
  <c r="V168" i="1"/>
  <c r="W168" i="1"/>
  <c r="X168" i="1"/>
  <c r="J364" i="14"/>
  <c r="E364" i="14"/>
  <c r="E401" i="14"/>
  <c r="F401" i="14"/>
  <c r="I401" i="14"/>
  <c r="J431" i="14"/>
  <c r="E431" i="14"/>
  <c r="F431" i="14"/>
  <c r="I431" i="14"/>
  <c r="J276" i="14"/>
  <c r="E276" i="14"/>
  <c r="G276" i="14"/>
  <c r="J305" i="14"/>
  <c r="E305" i="14"/>
  <c r="J329" i="14"/>
  <c r="E329" i="14"/>
  <c r="F329" i="14"/>
  <c r="I329" i="14"/>
  <c r="J358" i="14"/>
  <c r="E358" i="14"/>
  <c r="G358" i="14"/>
  <c r="J388" i="14"/>
  <c r="E388" i="14"/>
  <c r="J394" i="14"/>
  <c r="E394" i="14"/>
  <c r="J418" i="14"/>
  <c r="E418" i="14"/>
  <c r="F418" i="14"/>
  <c r="I418" i="14"/>
  <c r="J424" i="14"/>
  <c r="E424" i="14"/>
  <c r="F424" i="14"/>
  <c r="J25" i="14"/>
  <c r="J53" i="14"/>
  <c r="J64" i="14"/>
  <c r="J66" i="14"/>
  <c r="J68" i="14"/>
  <c r="J70" i="14"/>
  <c r="J73" i="14"/>
  <c r="J372" i="14"/>
  <c r="E372" i="14"/>
  <c r="G372" i="14"/>
  <c r="J415" i="14"/>
  <c r="E415" i="14"/>
  <c r="J349" i="14"/>
  <c r="E349" i="14"/>
  <c r="J369" i="14"/>
  <c r="E369" i="14"/>
  <c r="F369" i="14"/>
  <c r="I369" i="14"/>
  <c r="J384" i="14"/>
  <c r="E384" i="14"/>
  <c r="J404" i="14"/>
  <c r="E404" i="14"/>
  <c r="J442" i="14"/>
  <c r="E442" i="14"/>
  <c r="J456" i="14"/>
  <c r="E456" i="14"/>
  <c r="G456" i="14"/>
  <c r="J116" i="14"/>
  <c r="J133" i="14"/>
  <c r="J135" i="14"/>
  <c r="J155" i="14"/>
  <c r="J159" i="14"/>
  <c r="J167" i="14"/>
  <c r="J175" i="14"/>
  <c r="J177" i="14"/>
  <c r="J185" i="14"/>
  <c r="J187" i="14"/>
  <c r="J191" i="14"/>
  <c r="J210" i="14"/>
  <c r="J214" i="14"/>
  <c r="J261" i="14"/>
  <c r="E261" i="14"/>
  <c r="F261" i="14"/>
  <c r="I261" i="14"/>
  <c r="J301" i="14"/>
  <c r="E301" i="14"/>
  <c r="E310" i="14"/>
  <c r="J313" i="14"/>
  <c r="J360" i="14"/>
  <c r="E360" i="14"/>
  <c r="G360" i="14"/>
  <c r="J374" i="14"/>
  <c r="E374" i="14"/>
  <c r="G374" i="14"/>
  <c r="J379" i="14"/>
  <c r="J390" i="14"/>
  <c r="E390" i="14"/>
  <c r="J406" i="14"/>
  <c r="E406" i="14"/>
  <c r="J420" i="14"/>
  <c r="E420" i="14"/>
  <c r="J438" i="14"/>
  <c r="E438" i="14"/>
  <c r="F438" i="14"/>
  <c r="J454" i="14"/>
  <c r="E454" i="14"/>
  <c r="F454" i="14"/>
  <c r="I454" i="14"/>
  <c r="J503" i="14"/>
  <c r="B49" i="17"/>
  <c r="J527" i="14"/>
  <c r="B73" i="17"/>
  <c r="J317" i="14"/>
  <c r="E317" i="14"/>
  <c r="J345" i="14"/>
  <c r="E345" i="14"/>
  <c r="J382" i="14"/>
  <c r="E382" i="14"/>
  <c r="J402" i="14"/>
  <c r="E402" i="14"/>
  <c r="J410" i="14"/>
  <c r="E410" i="14"/>
  <c r="J416" i="14"/>
  <c r="E416" i="14"/>
  <c r="J432" i="14"/>
  <c r="E432" i="14"/>
  <c r="J450" i="14"/>
  <c r="E450" i="14"/>
  <c r="J476" i="14"/>
  <c r="B22" i="17"/>
  <c r="J524" i="14"/>
  <c r="B70" i="17"/>
  <c r="E524" i="14"/>
  <c r="J531" i="14"/>
  <c r="B77" i="17" s="1"/>
  <c r="D77" i="17" s="1"/>
  <c r="J552" i="14"/>
  <c r="B98" i="17" s="1"/>
  <c r="D98" i="17" s="1"/>
  <c r="J59" i="14"/>
  <c r="J63" i="14"/>
  <c r="J72" i="14"/>
  <c r="J139" i="14"/>
  <c r="J143" i="14"/>
  <c r="J153" i="14"/>
  <c r="J157" i="14"/>
  <c r="J161" i="14"/>
  <c r="J165" i="14"/>
  <c r="J179" i="14"/>
  <c r="J189" i="14"/>
  <c r="J193" i="14"/>
  <c r="J208" i="14"/>
  <c r="J212" i="14"/>
  <c r="J216" i="14"/>
  <c r="J248" i="14"/>
  <c r="J280" i="14"/>
  <c r="J291" i="14"/>
  <c r="J300" i="14"/>
  <c r="J314" i="14"/>
  <c r="E314" i="14"/>
  <c r="G314" i="14"/>
  <c r="J319" i="14"/>
  <c r="E321" i="14"/>
  <c r="J338" i="14"/>
  <c r="E338" i="14"/>
  <c r="J353" i="14"/>
  <c r="J373" i="14"/>
  <c r="E386" i="14"/>
  <c r="J389" i="14"/>
  <c r="J398" i="14"/>
  <c r="E398" i="14"/>
  <c r="J405" i="14"/>
  <c r="J412" i="14"/>
  <c r="E412" i="14"/>
  <c r="J419" i="14"/>
  <c r="J428" i="14"/>
  <c r="E428" i="14"/>
  <c r="F428" i="14"/>
  <c r="I428" i="14"/>
  <c r="E434" i="14"/>
  <c r="F434" i="14"/>
  <c r="J446" i="14"/>
  <c r="E446" i="14"/>
  <c r="J460" i="14"/>
  <c r="B6" i="17" s="1"/>
  <c r="D6" i="17" s="1"/>
  <c r="J507" i="14"/>
  <c r="B53" i="17" s="1"/>
  <c r="D53" i="17" s="1"/>
  <c r="J512" i="14"/>
  <c r="B58" i="17" s="1"/>
  <c r="D58" i="17" s="1"/>
  <c r="E512" i="14"/>
  <c r="J546" i="14"/>
  <c r="B92" i="17" s="1"/>
  <c r="J516" i="14"/>
  <c r="B62" i="17" s="1"/>
  <c r="E516" i="14"/>
  <c r="G516" i="14"/>
  <c r="E899" i="14"/>
  <c r="G899" i="14"/>
  <c r="J463" i="14"/>
  <c r="B9" i="17" s="1"/>
  <c r="J475" i="14"/>
  <c r="J498" i="14"/>
  <c r="B44" i="17" s="1"/>
  <c r="D44" i="17" s="1"/>
  <c r="J499" i="14"/>
  <c r="J581" i="14"/>
  <c r="B127" i="17"/>
  <c r="J587" i="14"/>
  <c r="B133" i="17"/>
  <c r="J603" i="14"/>
  <c r="B149" i="17"/>
  <c r="J611" i="14"/>
  <c r="B157" i="17"/>
  <c r="J627" i="14"/>
  <c r="B173" i="17"/>
  <c r="J651" i="14"/>
  <c r="B197" i="17"/>
  <c r="J659" i="14"/>
  <c r="B205" i="17"/>
  <c r="J683" i="14"/>
  <c r="B229" i="17"/>
  <c r="J699" i="14"/>
  <c r="B245" i="17"/>
  <c r="J715" i="14"/>
  <c r="B261" i="17"/>
  <c r="J717" i="14"/>
  <c r="B263" i="17"/>
  <c r="J727" i="14"/>
  <c r="B273" i="17"/>
  <c r="J737" i="14"/>
  <c r="B283" i="17"/>
  <c r="J788" i="14"/>
  <c r="B334" i="17"/>
  <c r="J789" i="14"/>
  <c r="B335" i="17"/>
  <c r="J808" i="14"/>
  <c r="B354" i="17"/>
  <c r="J821" i="14"/>
  <c r="B367" i="17"/>
  <c r="E850" i="14"/>
  <c r="F850" i="14"/>
  <c r="I850" i="14"/>
  <c r="E877" i="14"/>
  <c r="G877" i="14"/>
  <c r="J877" i="14"/>
  <c r="B423" i="17" s="1"/>
  <c r="D423" i="17" s="1"/>
  <c r="J470" i="14"/>
  <c r="B16" i="17" s="1"/>
  <c r="D16" i="17" s="1"/>
  <c r="J495" i="14"/>
  <c r="B41" i="17" s="1"/>
  <c r="D41" i="17" s="1"/>
  <c r="J589" i="14"/>
  <c r="B135" i="17" s="1"/>
  <c r="D135" i="17" s="1"/>
  <c r="J613" i="14"/>
  <c r="B159" i="17" s="1"/>
  <c r="D159" i="17" s="1"/>
  <c r="J621" i="14"/>
  <c r="B167" i="17" s="1"/>
  <c r="D167" i="17" s="1"/>
  <c r="E855" i="14"/>
  <c r="J855" i="14"/>
  <c r="B401" i="17"/>
  <c r="E871" i="14"/>
  <c r="J871" i="14"/>
  <c r="B417" i="17" s="1"/>
  <c r="D417" i="17" s="1"/>
  <c r="J255" i="14"/>
  <c r="J267" i="14"/>
  <c r="J277" i="14"/>
  <c r="J286" i="14"/>
  <c r="J296" i="14"/>
  <c r="J318" i="14"/>
  <c r="J331" i="14"/>
  <c r="J334" i="14"/>
  <c r="J343" i="14"/>
  <c r="J346" i="14"/>
  <c r="J352" i="14"/>
  <c r="J355" i="14"/>
  <c r="J367" i="14"/>
  <c r="J371" i="14"/>
  <c r="J375" i="14"/>
  <c r="J383" i="14"/>
  <c r="J385" i="14"/>
  <c r="J399" i="14"/>
  <c r="J413" i="14"/>
  <c r="J417" i="14"/>
  <c r="J421" i="14"/>
  <c r="J425" i="14"/>
  <c r="J429" i="14"/>
  <c r="J435" i="14"/>
  <c r="J439" i="14"/>
  <c r="J457" i="14"/>
  <c r="B3" i="17" s="1"/>
  <c r="J482" i="14"/>
  <c r="B28" i="17" s="1"/>
  <c r="D28" i="17" s="1"/>
  <c r="J487" i="14"/>
  <c r="B33" i="17" s="1"/>
  <c r="D33" i="17" s="1"/>
  <c r="J502" i="14"/>
  <c r="B48" i="17" s="1"/>
  <c r="D48" i="17" s="1"/>
  <c r="J508" i="14"/>
  <c r="B54" i="17" s="1"/>
  <c r="D54" i="17" s="1"/>
  <c r="J532" i="14"/>
  <c r="B78" i="17" s="1"/>
  <c r="D78" i="17" s="1"/>
  <c r="J534" i="14"/>
  <c r="B80" i="17" s="1"/>
  <c r="D80" i="17" s="1"/>
  <c r="J579" i="14"/>
  <c r="B125" i="17" s="1"/>
  <c r="D125" i="17" s="1"/>
  <c r="J591" i="14"/>
  <c r="B137" i="17" s="1"/>
  <c r="D137" i="17" s="1"/>
  <c r="J607" i="14"/>
  <c r="B153" i="17" s="1"/>
  <c r="D153" i="17" s="1"/>
  <c r="J615" i="14"/>
  <c r="B161" i="17" s="1"/>
  <c r="D161" i="17" s="1"/>
  <c r="J631" i="14"/>
  <c r="B177" i="17" s="1"/>
  <c r="D177" i="17" s="1"/>
  <c r="J647" i="14"/>
  <c r="B193" i="17" s="1"/>
  <c r="D193" i="17" s="1"/>
  <c r="J655" i="14"/>
  <c r="B201" i="17" s="1"/>
  <c r="D201" i="17" s="1"/>
  <c r="J663" i="14"/>
  <c r="B209" i="17" s="1"/>
  <c r="D209" i="17" s="1"/>
  <c r="J679" i="14"/>
  <c r="B225" i="17" s="1"/>
  <c r="D225" i="17" s="1"/>
  <c r="J687" i="14"/>
  <c r="B233" i="17" s="1"/>
  <c r="D233" i="17" s="1"/>
  <c r="J703" i="14"/>
  <c r="B249" i="17" s="1"/>
  <c r="D249" i="17" s="1"/>
  <c r="J711" i="14"/>
  <c r="B257" i="17" s="1"/>
  <c r="D257" i="17" s="1"/>
  <c r="J751" i="14"/>
  <c r="B297" i="17" s="1"/>
  <c r="D297" i="17" s="1"/>
  <c r="J759" i="14"/>
  <c r="B305" i="17" s="1"/>
  <c r="D305" i="17" s="1"/>
  <c r="J775" i="14"/>
  <c r="B321" i="17" s="1"/>
  <c r="D321" i="17" s="1"/>
  <c r="J782" i="14"/>
  <c r="B328" i="17" s="1"/>
  <c r="D328" i="17" s="1"/>
  <c r="J784" i="14"/>
  <c r="B330" i="17" s="1"/>
  <c r="D330" i="17" s="1"/>
  <c r="J793" i="14"/>
  <c r="B339" i="17" s="1"/>
  <c r="D339" i="17" s="1"/>
  <c r="J803" i="14"/>
  <c r="B349" i="17" s="1"/>
  <c r="D349" i="17" s="1"/>
  <c r="J812" i="14"/>
  <c r="B358" i="17" s="1"/>
  <c r="D358" i="17" s="1"/>
  <c r="J824" i="14"/>
  <c r="B370" i="17" s="1"/>
  <c r="D370" i="17" s="1"/>
  <c r="J825" i="14"/>
  <c r="J837" i="14"/>
  <c r="B383" i="17" s="1"/>
  <c r="J841" i="14"/>
  <c r="B387" i="17" s="1"/>
  <c r="E849" i="14"/>
  <c r="G849" i="14"/>
  <c r="J849" i="14"/>
  <c r="B395" i="17" s="1"/>
  <c r="J932" i="14"/>
  <c r="J933" i="14"/>
  <c r="J977" i="14"/>
  <c r="J1004" i="14"/>
  <c r="E1004" i="14"/>
  <c r="J1023" i="14"/>
  <c r="E1023" i="14"/>
  <c r="J1217" i="14"/>
  <c r="E1217" i="14"/>
  <c r="J1167" i="14"/>
  <c r="E1167" i="14"/>
  <c r="E1169" i="14"/>
  <c r="G1169" i="14"/>
  <c r="J1169" i="14"/>
  <c r="J831" i="14"/>
  <c r="B377" i="17" s="1"/>
  <c r="J836" i="14"/>
  <c r="B382" i="17" s="1"/>
  <c r="J851" i="14"/>
  <c r="B397" i="17" s="1"/>
  <c r="J853" i="14"/>
  <c r="B399" i="17" s="1"/>
  <c r="J870" i="14"/>
  <c r="B416" i="17" s="1"/>
  <c r="J878" i="14"/>
  <c r="B424" i="17" s="1"/>
  <c r="J879" i="14"/>
  <c r="B425" i="17" s="1"/>
  <c r="J939" i="14"/>
  <c r="J943" i="14"/>
  <c r="J974" i="14"/>
  <c r="E996" i="14"/>
  <c r="J996" i="14"/>
  <c r="J1003" i="14"/>
  <c r="E1003" i="14"/>
  <c r="G1003" i="14"/>
  <c r="E1142" i="14"/>
  <c r="J1191" i="14"/>
  <c r="E1191" i="14"/>
  <c r="G1191" i="14"/>
  <c r="J730" i="14"/>
  <c r="B276" i="17" s="1"/>
  <c r="J746" i="14"/>
  <c r="B292" i="17" s="1"/>
  <c r="J758" i="14"/>
  <c r="B304" i="17" s="1"/>
  <c r="J762" i="14"/>
  <c r="B308" i="17" s="1"/>
  <c r="J765" i="14"/>
  <c r="B311" i="17" s="1"/>
  <c r="J794" i="14"/>
  <c r="B340" i="17" s="1"/>
  <c r="J797" i="14"/>
  <c r="B343" i="17" s="1"/>
  <c r="J806" i="14"/>
  <c r="B352" i="17" s="1"/>
  <c r="J822" i="14"/>
  <c r="B368" i="17" s="1"/>
  <c r="J833" i="14"/>
  <c r="B379" i="17" s="1"/>
  <c r="J835" i="14"/>
  <c r="B381" i="17" s="1"/>
  <c r="J867" i="14"/>
  <c r="B413" i="17"/>
  <c r="J869" i="14"/>
  <c r="B415" i="17"/>
  <c r="J938" i="14"/>
  <c r="J942" i="14"/>
  <c r="J946" i="14"/>
  <c r="J1170" i="14"/>
  <c r="E1170" i="14"/>
  <c r="J966" i="14"/>
  <c r="J967" i="14"/>
  <c r="J1032" i="14"/>
  <c r="J1038" i="14"/>
  <c r="J1039" i="14"/>
  <c r="J1040" i="14"/>
  <c r="J1046" i="14"/>
  <c r="J1047" i="14"/>
  <c r="J1056" i="14"/>
  <c r="J1062" i="14"/>
  <c r="J1091" i="14"/>
  <c r="J1095" i="14"/>
  <c r="J1101" i="14"/>
  <c r="J1114" i="14"/>
  <c r="J1123" i="14"/>
  <c r="J1139" i="14"/>
  <c r="J1161" i="14"/>
  <c r="J1166" i="14"/>
  <c r="J1183" i="14"/>
  <c r="J1246" i="14"/>
  <c r="J1271" i="14"/>
  <c r="E1271" i="14"/>
  <c r="F1271" i="14"/>
  <c r="J1113" i="14"/>
  <c r="J1119" i="14"/>
  <c r="J1134" i="14"/>
  <c r="J1138" i="14"/>
  <c r="J1156" i="14"/>
  <c r="J1158" i="14"/>
  <c r="J1173" i="14"/>
  <c r="J1189" i="14"/>
  <c r="J1197" i="14"/>
  <c r="J1307" i="14"/>
  <c r="E1307" i="14"/>
  <c r="F1307" i="14"/>
  <c r="I1307" i="14"/>
  <c r="J1107" i="14"/>
  <c r="E1213" i="14"/>
  <c r="G1213" i="14"/>
  <c r="J1213" i="14"/>
  <c r="J1299" i="14"/>
  <c r="E1299" i="14"/>
  <c r="F1299" i="14"/>
  <c r="J1407" i="14"/>
  <c r="E1407" i="14"/>
  <c r="K1472" i="14"/>
  <c r="J1185" i="14"/>
  <c r="J1195" i="14"/>
  <c r="J1220" i="14"/>
  <c r="J1267" i="14"/>
  <c r="J1303" i="14"/>
  <c r="J1325" i="14"/>
  <c r="J1338" i="14"/>
  <c r="J1341" i="14"/>
  <c r="J1385" i="14"/>
  <c r="J1386" i="14"/>
  <c r="J1400" i="14"/>
  <c r="J1412" i="14"/>
  <c r="J1419" i="14"/>
  <c r="J1435" i="14"/>
  <c r="J1458" i="14"/>
  <c r="J1460" i="14"/>
  <c r="J1457" i="14"/>
  <c r="E1468" i="14"/>
  <c r="G1468" i="14"/>
  <c r="K1470" i="14"/>
  <c r="J1216" i="14"/>
  <c r="J1251" i="14"/>
  <c r="J1258" i="14"/>
  <c r="J1274" i="14"/>
  <c r="J1282" i="14"/>
  <c r="J1294" i="14"/>
  <c r="J1296" i="14"/>
  <c r="J1323" i="14"/>
  <c r="J1335" i="14"/>
  <c r="J1379" i="14"/>
  <c r="J1380" i="14"/>
  <c r="H1472" i="14"/>
  <c r="W167" i="3"/>
  <c r="W160" i="3"/>
  <c r="W85" i="3"/>
  <c r="W164" i="3"/>
  <c r="W163" i="3"/>
  <c r="W155" i="3"/>
  <c r="W139" i="3"/>
  <c r="W150" i="3"/>
  <c r="W140" i="3"/>
  <c r="W146" i="3"/>
  <c r="W131" i="3"/>
  <c r="W128" i="3"/>
  <c r="W112" i="3"/>
  <c r="W122" i="3"/>
  <c r="W121" i="3"/>
  <c r="W118" i="3"/>
  <c r="W114" i="3"/>
  <c r="W107" i="3"/>
  <c r="W100" i="3"/>
  <c r="W84" i="3"/>
  <c r="W116" i="3"/>
  <c r="W109" i="3"/>
  <c r="W105" i="3"/>
  <c r="W101" i="3"/>
  <c r="W98" i="3"/>
  <c r="W97" i="3"/>
  <c r="W95" i="3"/>
  <c r="W75" i="3"/>
  <c r="W106" i="3"/>
  <c r="W104" i="3"/>
  <c r="W103" i="3"/>
  <c r="W99" i="3"/>
  <c r="W86" i="3"/>
  <c r="W91" i="3"/>
  <c r="W82" i="3"/>
  <c r="W55" i="3"/>
  <c r="W74" i="3"/>
  <c r="W73" i="3"/>
  <c r="W79" i="3"/>
  <c r="W69" i="3"/>
  <c r="W71" i="3"/>
  <c r="W67" i="3"/>
  <c r="W54" i="3"/>
  <c r="W39" i="3"/>
  <c r="W34" i="3"/>
  <c r="W29" i="3"/>
  <c r="W56" i="3"/>
  <c r="W52" i="3"/>
  <c r="W43" i="3"/>
  <c r="W35" i="3"/>
  <c r="W30" i="3"/>
  <c r="W65" i="3"/>
  <c r="W36" i="3"/>
  <c r="W32" i="3"/>
  <c r="W21" i="3"/>
  <c r="W127" i="3"/>
  <c r="W27" i="3"/>
  <c r="W38" i="3"/>
  <c r="W23" i="3"/>
  <c r="W45" i="3"/>
  <c r="W33" i="3"/>
  <c r="W25" i="3"/>
  <c r="W136" i="3"/>
  <c r="W31" i="3"/>
  <c r="W41" i="3"/>
  <c r="W172" i="3"/>
  <c r="W37" i="3"/>
  <c r="W22" i="3"/>
  <c r="W50" i="3"/>
  <c r="W53" i="3"/>
  <c r="W59" i="3"/>
  <c r="W63" i="3"/>
  <c r="W68" i="3"/>
  <c r="W80" i="3"/>
  <c r="W108" i="3"/>
  <c r="W111" i="3"/>
  <c r="W113" i="3"/>
  <c r="W120" i="3"/>
  <c r="W123" i="3"/>
  <c r="W129" i="3"/>
  <c r="W143" i="3"/>
  <c r="W147" i="3"/>
  <c r="W169" i="3"/>
  <c r="W40" i="3"/>
  <c r="W51" i="3"/>
  <c r="W58" i="3"/>
  <c r="W62" i="3"/>
  <c r="W93" i="3"/>
  <c r="W102" i="3"/>
  <c r="W144" i="3"/>
  <c r="W152" i="3"/>
  <c r="W154" i="3"/>
  <c r="W165" i="3"/>
  <c r="W57" i="3"/>
  <c r="W61" i="3"/>
  <c r="W64" i="3"/>
  <c r="W90" i="3"/>
  <c r="W124" i="3"/>
  <c r="W130" i="3"/>
  <c r="W133" i="3"/>
  <c r="W145" i="3"/>
  <c r="W148" i="3"/>
  <c r="W168" i="3"/>
  <c r="W170" i="3"/>
  <c r="W28" i="3"/>
  <c r="W42" i="3"/>
  <c r="W47" i="3"/>
  <c r="W48" i="3"/>
  <c r="W60" i="3"/>
  <c r="W72" i="3"/>
  <c r="W78" i="3"/>
  <c r="W81" i="3"/>
  <c r="W83" i="3"/>
  <c r="W89" i="3"/>
  <c r="W92" i="3"/>
  <c r="W94" i="3"/>
  <c r="W96" i="3"/>
  <c r="W137" i="3"/>
  <c r="W151" i="3"/>
  <c r="W153" i="3"/>
  <c r="W158" i="3"/>
  <c r="W161" i="3"/>
  <c r="W166" i="3"/>
  <c r="I1450" i="14"/>
  <c r="I1289" i="14"/>
  <c r="I884" i="14"/>
  <c r="I863" i="14"/>
  <c r="I970" i="14"/>
  <c r="I968" i="14"/>
  <c r="I883" i="14"/>
  <c r="I548" i="14"/>
  <c r="I575" i="14"/>
  <c r="I547" i="14"/>
  <c r="I519" i="14"/>
  <c r="I283" i="14"/>
  <c r="B102" i="11"/>
  <c r="B103" i="11"/>
  <c r="I1423" i="14"/>
  <c r="I1414" i="14"/>
  <c r="I1398" i="14"/>
  <c r="I1269" i="14"/>
  <c r="I1310" i="14"/>
  <c r="I1178" i="14"/>
  <c r="I1078" i="14"/>
  <c r="I1026" i="14"/>
  <c r="I956" i="14"/>
  <c r="I948" i="14"/>
  <c r="I892" i="14"/>
  <c r="I847" i="14"/>
  <c r="I966" i="14"/>
  <c r="I965" i="14"/>
  <c r="I959" i="14"/>
  <c r="I891" i="14"/>
  <c r="I576" i="14"/>
  <c r="I567" i="14"/>
  <c r="I563" i="14"/>
  <c r="I535" i="14"/>
  <c r="I527" i="14"/>
  <c r="I311" i="14"/>
  <c r="X48" i="1"/>
  <c r="T48" i="1"/>
  <c r="P48" i="1"/>
  <c r="L48" i="1"/>
  <c r="M47" i="1"/>
  <c r="I47" i="1"/>
  <c r="V46" i="1"/>
  <c r="R46" i="1"/>
  <c r="N46" i="1"/>
  <c r="J46" i="1"/>
  <c r="U45" i="1"/>
  <c r="Q45" i="1"/>
  <c r="M45" i="1"/>
  <c r="I45" i="1"/>
  <c r="X44" i="1"/>
  <c r="T44" i="1"/>
  <c r="P44" i="1"/>
  <c r="L44" i="1"/>
  <c r="W43" i="1"/>
  <c r="S43" i="1"/>
  <c r="O43" i="1"/>
  <c r="K43" i="1"/>
  <c r="V42" i="1"/>
  <c r="R42" i="1"/>
  <c r="N42" i="1"/>
  <c r="J42" i="1"/>
  <c r="W41" i="1"/>
  <c r="S41" i="1"/>
  <c r="O41" i="1"/>
  <c r="K41" i="1"/>
  <c r="X40" i="1"/>
  <c r="T40" i="1"/>
  <c r="P40" i="1"/>
  <c r="L40" i="1"/>
  <c r="W39" i="1"/>
  <c r="S39" i="1"/>
  <c r="O39" i="1"/>
  <c r="K39" i="1"/>
  <c r="X38" i="1"/>
  <c r="T38" i="1"/>
  <c r="P38" i="1"/>
  <c r="L38" i="1"/>
  <c r="U37" i="1"/>
  <c r="Q37" i="1"/>
  <c r="M37" i="1"/>
  <c r="I37" i="1"/>
  <c r="X36" i="1"/>
  <c r="T36" i="1"/>
  <c r="P36" i="1"/>
  <c r="L36" i="1"/>
  <c r="W35" i="1"/>
  <c r="S35" i="1"/>
  <c r="O35" i="1"/>
  <c r="K35" i="1"/>
  <c r="V34" i="1"/>
  <c r="R34" i="1"/>
  <c r="N34" i="1"/>
  <c r="J34" i="1"/>
  <c r="U33" i="1"/>
  <c r="Q33" i="1"/>
  <c r="M33" i="1"/>
  <c r="I33" i="1"/>
  <c r="V32" i="1"/>
  <c r="R32" i="1"/>
  <c r="N32" i="1"/>
  <c r="J32" i="1"/>
  <c r="V31" i="1"/>
  <c r="R31" i="1"/>
  <c r="N31" i="1"/>
  <c r="J31" i="1"/>
  <c r="W30" i="1"/>
  <c r="S30" i="1"/>
  <c r="O30" i="1"/>
  <c r="K30" i="1"/>
  <c r="V29" i="1"/>
  <c r="R29" i="1"/>
  <c r="N29" i="1"/>
  <c r="J29" i="1"/>
  <c r="U28" i="1"/>
  <c r="Q28" i="1"/>
  <c r="M28" i="1"/>
  <c r="I28" i="1"/>
  <c r="X27" i="1"/>
  <c r="T27" i="1"/>
  <c r="P27" i="1"/>
  <c r="L27" i="1"/>
  <c r="W26" i="1"/>
  <c r="S26" i="1"/>
  <c r="O26" i="1"/>
  <c r="K26" i="1"/>
  <c r="V25" i="1"/>
  <c r="R25" i="1"/>
  <c r="N25" i="1"/>
  <c r="J25" i="1"/>
  <c r="U24" i="1"/>
  <c r="Q24" i="1"/>
  <c r="M24" i="1"/>
  <c r="I24" i="1"/>
  <c r="X23" i="1"/>
  <c r="T23" i="1"/>
  <c r="P23" i="1"/>
  <c r="L23" i="1"/>
  <c r="W22" i="1"/>
  <c r="S22" i="1"/>
  <c r="O22" i="1"/>
  <c r="K22" i="1"/>
  <c r="W21" i="1"/>
  <c r="S21" i="1"/>
  <c r="O21" i="1"/>
  <c r="K21" i="1"/>
  <c r="V20" i="1"/>
  <c r="R20" i="1"/>
  <c r="N20" i="1"/>
  <c r="J20" i="1"/>
  <c r="U19" i="1"/>
  <c r="Q19" i="1"/>
  <c r="M19" i="1"/>
  <c r="I19" i="1"/>
  <c r="V18" i="1"/>
  <c r="R18" i="1"/>
  <c r="N18" i="1"/>
  <c r="J18" i="1"/>
  <c r="U17" i="1"/>
  <c r="Q17" i="1"/>
  <c r="M17" i="1"/>
  <c r="I17" i="1"/>
  <c r="X16" i="1"/>
  <c r="T16" i="1"/>
  <c r="P16" i="1"/>
  <c r="L16" i="1"/>
  <c r="W15" i="1"/>
  <c r="S15" i="1"/>
  <c r="O15" i="1"/>
  <c r="K15" i="1"/>
  <c r="V14" i="1"/>
  <c r="R14" i="1"/>
  <c r="N14" i="1"/>
  <c r="J14" i="1"/>
  <c r="U13" i="1"/>
  <c r="Q13" i="1"/>
  <c r="M13" i="1"/>
  <c r="I13" i="1"/>
  <c r="X12" i="1"/>
  <c r="T12" i="1"/>
  <c r="P12" i="1"/>
  <c r="L12" i="1"/>
  <c r="W11" i="1"/>
  <c r="S11" i="1"/>
  <c r="O11" i="1"/>
  <c r="K11" i="1"/>
  <c r="B114" i="11"/>
  <c r="K47" i="1"/>
  <c r="X46" i="1"/>
  <c r="T46" i="1"/>
  <c r="P46" i="1"/>
  <c r="W45" i="1"/>
  <c r="S45" i="1"/>
  <c r="O45" i="1"/>
  <c r="K45" i="1"/>
  <c r="V44" i="1"/>
  <c r="R44" i="1"/>
  <c r="N44" i="1"/>
  <c r="J44" i="1"/>
  <c r="U43" i="1"/>
  <c r="Q43" i="1"/>
  <c r="M43" i="1"/>
  <c r="X42" i="1"/>
  <c r="T42" i="1"/>
  <c r="P42" i="1"/>
  <c r="L42" i="1"/>
  <c r="U41" i="1"/>
  <c r="Q41" i="1"/>
  <c r="M41" i="1"/>
  <c r="I41" i="1"/>
  <c r="V40" i="1"/>
  <c r="R40" i="1"/>
  <c r="N40" i="1"/>
  <c r="J40" i="1"/>
  <c r="U39" i="1"/>
  <c r="Q39" i="1"/>
  <c r="M39" i="1"/>
  <c r="I39" i="1"/>
  <c r="V38" i="1"/>
  <c r="R38" i="1"/>
  <c r="N38" i="1"/>
  <c r="J38" i="1"/>
  <c r="W37" i="1"/>
  <c r="S37" i="1"/>
  <c r="O37" i="1"/>
  <c r="K37" i="1"/>
  <c r="V36" i="1"/>
  <c r="R36" i="1"/>
  <c r="N36" i="1"/>
  <c r="J36" i="1"/>
  <c r="U35" i="1"/>
  <c r="Q35" i="1"/>
  <c r="M35" i="1"/>
  <c r="I35" i="1"/>
  <c r="X34" i="1"/>
  <c r="T34" i="1"/>
  <c r="P34" i="1"/>
  <c r="L34" i="1"/>
  <c r="W33" i="1"/>
  <c r="S33" i="1"/>
  <c r="O33" i="1"/>
  <c r="K33" i="1"/>
  <c r="X32" i="1"/>
  <c r="T32" i="1"/>
  <c r="P32" i="1"/>
  <c r="L32" i="1"/>
  <c r="X31" i="1"/>
  <c r="T31" i="1"/>
  <c r="P31" i="1"/>
  <c r="L31" i="1"/>
  <c r="U30" i="1"/>
  <c r="Q30" i="1"/>
  <c r="M30" i="1"/>
  <c r="I30" i="1"/>
  <c r="X29" i="1"/>
  <c r="T29" i="1"/>
  <c r="P29" i="1"/>
  <c r="L29" i="1"/>
  <c r="W28" i="1"/>
  <c r="S28" i="1"/>
  <c r="O28" i="1"/>
  <c r="K28" i="1"/>
  <c r="V27" i="1"/>
  <c r="R27" i="1"/>
  <c r="N27" i="1"/>
  <c r="J27" i="1"/>
  <c r="U26" i="1"/>
  <c r="Q26" i="1"/>
  <c r="M26" i="1"/>
  <c r="I26" i="1"/>
  <c r="X25" i="1"/>
  <c r="T25" i="1"/>
  <c r="P25" i="1"/>
  <c r="L25" i="1"/>
  <c r="W24" i="1"/>
  <c r="S24" i="1"/>
  <c r="O24" i="1"/>
  <c r="K24" i="1"/>
  <c r="V23" i="1"/>
  <c r="R23" i="1"/>
  <c r="N23" i="1"/>
  <c r="J23" i="1"/>
  <c r="U22" i="1"/>
  <c r="Q22" i="1"/>
  <c r="M22" i="1"/>
  <c r="I22" i="1"/>
  <c r="U21" i="1"/>
  <c r="Q21" i="1"/>
  <c r="M21" i="1"/>
  <c r="I21" i="1"/>
  <c r="X20" i="1"/>
  <c r="T20" i="1"/>
  <c r="P20" i="1"/>
  <c r="L20" i="1"/>
  <c r="W19" i="1"/>
  <c r="S19" i="1"/>
  <c r="O19" i="1"/>
  <c r="K19" i="1"/>
  <c r="X18" i="1"/>
  <c r="T18" i="1"/>
  <c r="P18" i="1"/>
  <c r="L18" i="1"/>
  <c r="W17" i="1"/>
  <c r="S17" i="1"/>
  <c r="O17" i="1"/>
  <c r="K17" i="1"/>
  <c r="V16" i="1"/>
  <c r="R16" i="1"/>
  <c r="N16" i="1"/>
  <c r="J16" i="1"/>
  <c r="U15" i="1"/>
  <c r="Q15" i="1"/>
  <c r="M15" i="1"/>
  <c r="I15" i="1"/>
  <c r="X14" i="1"/>
  <c r="T14" i="1"/>
  <c r="P14" i="1"/>
  <c r="L14" i="1"/>
  <c r="W13" i="1"/>
  <c r="S13" i="1"/>
  <c r="O13" i="1"/>
  <c r="K13" i="1"/>
  <c r="V12" i="1"/>
  <c r="R12" i="1"/>
  <c r="N12" i="1"/>
  <c r="J12" i="1"/>
  <c r="U11" i="1"/>
  <c r="Q11" i="1"/>
  <c r="B59" i="11"/>
  <c r="I1032" i="14"/>
  <c r="I29" i="14"/>
  <c r="J37" i="14"/>
  <c r="J39" i="14"/>
  <c r="J41" i="14"/>
  <c r="J43" i="14"/>
  <c r="J45" i="14"/>
  <c r="J57" i="14"/>
  <c r="I128" i="14"/>
  <c r="I173" i="14"/>
  <c r="I183" i="14"/>
  <c r="I198" i="14"/>
  <c r="I212" i="14"/>
  <c r="I216" i="14"/>
  <c r="I136" i="14"/>
  <c r="I182" i="14"/>
  <c r="I192" i="14"/>
  <c r="I201" i="14"/>
  <c r="I207" i="14"/>
  <c r="I211" i="14"/>
  <c r="I215" i="14"/>
  <c r="J54" i="14"/>
  <c r="J56" i="14"/>
  <c r="I129" i="14"/>
  <c r="I147" i="14"/>
  <c r="I171" i="14"/>
  <c r="I181" i="14"/>
  <c r="I240" i="14"/>
  <c r="I318" i="14"/>
  <c r="I346" i="14"/>
  <c r="J28" i="14"/>
  <c r="J48" i="14"/>
  <c r="J50" i="14"/>
  <c r="J60" i="14"/>
  <c r="I140" i="14"/>
  <c r="I170" i="14"/>
  <c r="I184" i="14"/>
  <c r="I194" i="14"/>
  <c r="I274" i="14"/>
  <c r="I222" i="14"/>
  <c r="E223" i="14"/>
  <c r="F223" i="14"/>
  <c r="I223" i="14"/>
  <c r="I225" i="14"/>
  <c r="E230" i="14"/>
  <c r="I256" i="14"/>
  <c r="E262" i="14"/>
  <c r="F262" i="14"/>
  <c r="I262" i="14"/>
  <c r="E269" i="14"/>
  <c r="I293" i="14"/>
  <c r="J306" i="14"/>
  <c r="E306" i="14"/>
  <c r="J312" i="14"/>
  <c r="E312" i="14"/>
  <c r="J320" i="14"/>
  <c r="E320" i="14"/>
  <c r="J327" i="14"/>
  <c r="E327" i="14"/>
  <c r="G327" i="14"/>
  <c r="E330" i="14"/>
  <c r="G330" i="14"/>
  <c r="I334" i="14"/>
  <c r="J336" i="14"/>
  <c r="E336" i="14"/>
  <c r="F336" i="14"/>
  <c r="I336" i="14"/>
  <c r="E341" i="14"/>
  <c r="F341" i="14"/>
  <c r="I341" i="14"/>
  <c r="E344" i="14"/>
  <c r="I361" i="14"/>
  <c r="I376" i="14"/>
  <c r="I396" i="14"/>
  <c r="I400" i="14"/>
  <c r="I408" i="14"/>
  <c r="J219" i="14"/>
  <c r="E219" i="14"/>
  <c r="G219" i="14"/>
  <c r="I221" i="14"/>
  <c r="E235" i="14"/>
  <c r="J241" i="14"/>
  <c r="J244" i="14"/>
  <c r="J250" i="14"/>
  <c r="J254" i="14"/>
  <c r="E254" i="14"/>
  <c r="F254" i="14"/>
  <c r="I254" i="14"/>
  <c r="J260" i="14"/>
  <c r="E260" i="14"/>
  <c r="J284" i="14"/>
  <c r="E284" i="14"/>
  <c r="J288" i="14"/>
  <c r="E288" i="14"/>
  <c r="G288" i="14"/>
  <c r="J309" i="14"/>
  <c r="E309" i="14"/>
  <c r="G309" i="14"/>
  <c r="J347" i="14"/>
  <c r="E347" i="14"/>
  <c r="F347" i="14"/>
  <c r="E351" i="14"/>
  <c r="I371" i="14"/>
  <c r="I385" i="14"/>
  <c r="I395" i="14"/>
  <c r="I399" i="14"/>
  <c r="I403" i="14"/>
  <c r="E245" i="14"/>
  <c r="F245" i="14"/>
  <c r="I245" i="14"/>
  <c r="E251" i="14"/>
  <c r="E257" i="14"/>
  <c r="G257" i="14"/>
  <c r="E263" i="14"/>
  <c r="F263" i="14"/>
  <c r="I263" i="14"/>
  <c r="I270" i="14"/>
  <c r="J272" i="14"/>
  <c r="E272" i="14"/>
  <c r="E292" i="14"/>
  <c r="F292" i="14"/>
  <c r="I292" i="14"/>
  <c r="E295" i="14"/>
  <c r="J299" i="14"/>
  <c r="E299" i="14"/>
  <c r="E303" i="14"/>
  <c r="G303" i="14"/>
  <c r="I307" i="14"/>
  <c r="I313" i="14"/>
  <c r="J316" i="14"/>
  <c r="E316" i="14"/>
  <c r="F316" i="14"/>
  <c r="I316" i="14"/>
  <c r="J323" i="14"/>
  <c r="E323" i="14"/>
  <c r="F323" i="14"/>
  <c r="J333" i="14"/>
  <c r="E333" i="14"/>
  <c r="G333" i="14"/>
  <c r="E340" i="14"/>
  <c r="F340" i="14"/>
  <c r="I340" i="14"/>
  <c r="I363" i="14"/>
  <c r="J222" i="14"/>
  <c r="E227" i="14"/>
  <c r="F227" i="14"/>
  <c r="I227" i="14"/>
  <c r="E233" i="14"/>
  <c r="G233" i="14"/>
  <c r="E239" i="14"/>
  <c r="E266" i="14"/>
  <c r="G266" i="14"/>
  <c r="E275" i="14"/>
  <c r="F275" i="14"/>
  <c r="J278" i="14"/>
  <c r="E278" i="14"/>
  <c r="J281" i="14"/>
  <c r="E281" i="14"/>
  <c r="F281" i="14"/>
  <c r="I281" i="14"/>
  <c r="E285" i="14"/>
  <c r="G285" i="14"/>
  <c r="I352" i="14"/>
  <c r="J354" i="14"/>
  <c r="E354" i="14"/>
  <c r="F354" i="14"/>
  <c r="I373" i="14"/>
  <c r="I377" i="14"/>
  <c r="I380" i="14"/>
  <c r="I405" i="14"/>
  <c r="I409" i="14"/>
  <c r="E277" i="14"/>
  <c r="G277" i="14"/>
  <c r="E280" i="14"/>
  <c r="E291" i="14"/>
  <c r="E298" i="14"/>
  <c r="E308" i="14"/>
  <c r="F308" i="14"/>
  <c r="I308" i="14"/>
  <c r="E319" i="14"/>
  <c r="F319" i="14"/>
  <c r="I319" i="14"/>
  <c r="E326" i="14"/>
  <c r="F326" i="14"/>
  <c r="I326" i="14"/>
  <c r="E339" i="14"/>
  <c r="E343" i="14"/>
  <c r="F343" i="14"/>
  <c r="I343" i="14"/>
  <c r="E350" i="14"/>
  <c r="F350" i="14"/>
  <c r="E353" i="14"/>
  <c r="F353" i="14"/>
  <c r="I353" i="14"/>
  <c r="I453" i="14"/>
  <c r="I484" i="14"/>
  <c r="I490" i="14"/>
  <c r="I536" i="14"/>
  <c r="I540" i="14"/>
  <c r="I554" i="14"/>
  <c r="I580" i="14"/>
  <c r="I444" i="14"/>
  <c r="I448" i="14"/>
  <c r="I452" i="14"/>
  <c r="I486" i="14"/>
  <c r="I533" i="14"/>
  <c r="I560" i="14"/>
  <c r="I562" i="14"/>
  <c r="I564" i="14"/>
  <c r="I569" i="14"/>
  <c r="I572" i="14"/>
  <c r="I419" i="14"/>
  <c r="I422" i="14"/>
  <c r="I423" i="14"/>
  <c r="I425" i="14"/>
  <c r="I426" i="14"/>
  <c r="I427" i="14"/>
  <c r="I429" i="14"/>
  <c r="I430" i="14"/>
  <c r="I433" i="14"/>
  <c r="I443" i="14"/>
  <c r="I447" i="14"/>
  <c r="I451" i="14"/>
  <c r="I455" i="14"/>
  <c r="I508" i="14"/>
  <c r="I509" i="14"/>
  <c r="I525" i="14"/>
  <c r="I532" i="14"/>
  <c r="I550" i="14"/>
  <c r="I553" i="14"/>
  <c r="I557" i="14"/>
  <c r="I582" i="14"/>
  <c r="I496" i="14"/>
  <c r="I498" i="14"/>
  <c r="I520" i="14"/>
  <c r="I521" i="14"/>
  <c r="I537" i="14"/>
  <c r="I544" i="14"/>
  <c r="I549" i="14"/>
  <c r="I561" i="14"/>
  <c r="I565" i="14"/>
  <c r="I568" i="14"/>
  <c r="I483" i="14"/>
  <c r="I487" i="14"/>
  <c r="E586" i="14"/>
  <c r="I589" i="14"/>
  <c r="E590" i="14"/>
  <c r="I593" i="14"/>
  <c r="E594" i="14"/>
  <c r="G594" i="14"/>
  <c r="J594" i="14"/>
  <c r="B140" i="17" s="1"/>
  <c r="D140" i="17" s="1"/>
  <c r="I597" i="14"/>
  <c r="E598" i="14"/>
  <c r="J598" i="14"/>
  <c r="B144" i="17" s="1"/>
  <c r="D144" i="17" s="1"/>
  <c r="E602" i="14"/>
  <c r="E606" i="14"/>
  <c r="J606" i="14"/>
  <c r="B152" i="17" s="1"/>
  <c r="D152" i="17" s="1"/>
  <c r="I609" i="14"/>
  <c r="E610" i="14"/>
  <c r="E614" i="14"/>
  <c r="F614" i="14"/>
  <c r="I614" i="14"/>
  <c r="J614" i="14"/>
  <c r="B160" i="17" s="1"/>
  <c r="D160" i="17" s="1"/>
  <c r="E618" i="14"/>
  <c r="J618" i="14"/>
  <c r="B164" i="17" s="1"/>
  <c r="D164" i="17" s="1"/>
  <c r="I621" i="14"/>
  <c r="E622" i="14"/>
  <c r="G622" i="14"/>
  <c r="E626" i="14"/>
  <c r="J626" i="14"/>
  <c r="B172" i="17" s="1"/>
  <c r="D172" i="17" s="1"/>
  <c r="E630" i="14"/>
  <c r="G630" i="14"/>
  <c r="J630" i="14"/>
  <c r="B176" i="17" s="1"/>
  <c r="D176" i="17" s="1"/>
  <c r="I633" i="14"/>
  <c r="E634" i="14"/>
  <c r="F634" i="14"/>
  <c r="I634" i="14"/>
  <c r="I637" i="14"/>
  <c r="E638" i="14"/>
  <c r="F638" i="14"/>
  <c r="I638" i="14"/>
  <c r="J638" i="14"/>
  <c r="B184" i="17" s="1"/>
  <c r="D184" i="17" s="1"/>
  <c r="E642" i="14"/>
  <c r="I645" i="14"/>
  <c r="E646" i="14"/>
  <c r="F646" i="14"/>
  <c r="I646" i="14"/>
  <c r="J646" i="14"/>
  <c r="B192" i="17" s="1"/>
  <c r="D192" i="17" s="1"/>
  <c r="I649" i="14"/>
  <c r="E650" i="14"/>
  <c r="F650" i="14"/>
  <c r="I653" i="14"/>
  <c r="E654" i="14"/>
  <c r="J654" i="14"/>
  <c r="B200" i="17" s="1"/>
  <c r="D200" i="17" s="1"/>
  <c r="E658" i="14"/>
  <c r="G658" i="14"/>
  <c r="J658" i="14"/>
  <c r="B204" i="17" s="1"/>
  <c r="D204" i="17" s="1"/>
  <c r="E662" i="14"/>
  <c r="F662" i="14"/>
  <c r="I662" i="14"/>
  <c r="I665" i="14"/>
  <c r="E666" i="14"/>
  <c r="F666" i="14"/>
  <c r="I669" i="14"/>
  <c r="E670" i="14"/>
  <c r="I673" i="14"/>
  <c r="E674" i="14"/>
  <c r="G674" i="14"/>
  <c r="I677" i="14"/>
  <c r="E678" i="14"/>
  <c r="I681" i="14"/>
  <c r="E682" i="14"/>
  <c r="F682" i="14"/>
  <c r="I682" i="14"/>
  <c r="I696" i="14"/>
  <c r="I701" i="14"/>
  <c r="I704" i="14"/>
  <c r="I709" i="14"/>
  <c r="I717" i="14"/>
  <c r="I720" i="14"/>
  <c r="I723" i="14"/>
  <c r="I742" i="14"/>
  <c r="I786" i="14"/>
  <c r="I799" i="14"/>
  <c r="I802" i="14"/>
  <c r="J555" i="14"/>
  <c r="B101" i="17" s="1"/>
  <c r="D101" i="17" s="1"/>
  <c r="J559" i="14"/>
  <c r="B105" i="17" s="1"/>
  <c r="D105" i="17" s="1"/>
  <c r="J563" i="14"/>
  <c r="B109" i="17" s="1"/>
  <c r="D109" i="17" s="1"/>
  <c r="J571" i="14"/>
  <c r="B117" i="17" s="1"/>
  <c r="D117" i="17" s="1"/>
  <c r="J578" i="14"/>
  <c r="B124" i="17" s="1"/>
  <c r="D124" i="17" s="1"/>
  <c r="J582" i="14"/>
  <c r="B128" i="17" s="1"/>
  <c r="D128" i="17" s="1"/>
  <c r="I690" i="14"/>
  <c r="I695" i="14"/>
  <c r="I722" i="14"/>
  <c r="I782" i="14"/>
  <c r="I798" i="14"/>
  <c r="I807" i="14"/>
  <c r="I811" i="14"/>
  <c r="I815" i="14"/>
  <c r="I473" i="14"/>
  <c r="I493" i="14"/>
  <c r="I497" i="14"/>
  <c r="E502" i="14"/>
  <c r="E506" i="14"/>
  <c r="E510" i="14"/>
  <c r="E514" i="14"/>
  <c r="F514" i="14"/>
  <c r="I514" i="14"/>
  <c r="E518" i="14"/>
  <c r="F518" i="14"/>
  <c r="E522" i="14"/>
  <c r="E526" i="14"/>
  <c r="G526" i="14"/>
  <c r="E530" i="14"/>
  <c r="E534" i="14"/>
  <c r="E538" i="14"/>
  <c r="F538" i="14"/>
  <c r="I538" i="14"/>
  <c r="I579" i="14"/>
  <c r="I581" i="14"/>
  <c r="I583" i="14"/>
  <c r="I587" i="14"/>
  <c r="E588" i="14"/>
  <c r="G588" i="14"/>
  <c r="I591" i="14"/>
  <c r="E592" i="14"/>
  <c r="F592" i="14"/>
  <c r="J592" i="14"/>
  <c r="B138" i="17" s="1"/>
  <c r="D138" i="17" s="1"/>
  <c r="I595" i="14"/>
  <c r="E596" i="14"/>
  <c r="F596" i="14"/>
  <c r="J596" i="14"/>
  <c r="B142" i="17"/>
  <c r="E600" i="14"/>
  <c r="J600" i="14"/>
  <c r="B146" i="17" s="1"/>
  <c r="D146" i="17" s="1"/>
  <c r="I603" i="14"/>
  <c r="E604" i="14"/>
  <c r="J604" i="14"/>
  <c r="B150" i="17" s="1"/>
  <c r="D150" i="17" s="1"/>
  <c r="E608" i="14"/>
  <c r="F608" i="14"/>
  <c r="I608" i="14"/>
  <c r="I611" i="14"/>
  <c r="E612" i="14"/>
  <c r="I615" i="14"/>
  <c r="E616" i="14"/>
  <c r="G616" i="14"/>
  <c r="J616" i="14"/>
  <c r="B162" i="17" s="1"/>
  <c r="D162" i="17" s="1"/>
  <c r="I619" i="14"/>
  <c r="E620" i="14"/>
  <c r="I623" i="14"/>
  <c r="E624" i="14"/>
  <c r="F624" i="14"/>
  <c r="I624" i="14"/>
  <c r="J624" i="14"/>
  <c r="B170" i="17" s="1"/>
  <c r="D170" i="17" s="1"/>
  <c r="I627" i="14"/>
  <c r="E628" i="14"/>
  <c r="G628" i="14"/>
  <c r="J628" i="14"/>
  <c r="B174" i="17"/>
  <c r="I631" i="14"/>
  <c r="E632" i="14"/>
  <c r="J632" i="14"/>
  <c r="B178" i="17"/>
  <c r="E636" i="14"/>
  <c r="J636" i="14"/>
  <c r="B182" i="17" s="1"/>
  <c r="D182" i="17" s="1"/>
  <c r="I639" i="14"/>
  <c r="E640" i="14"/>
  <c r="F640" i="14"/>
  <c r="I640" i="14"/>
  <c r="J640" i="14"/>
  <c r="B186" i="17" s="1"/>
  <c r="D186" i="17" s="1"/>
  <c r="E644" i="14"/>
  <c r="J644" i="14"/>
  <c r="B190" i="17"/>
  <c r="I647" i="14"/>
  <c r="E648" i="14"/>
  <c r="F648" i="14"/>
  <c r="I651" i="14"/>
  <c r="E652" i="14"/>
  <c r="I655" i="14"/>
  <c r="E656" i="14"/>
  <c r="F656" i="14"/>
  <c r="J656" i="14"/>
  <c r="E660" i="14"/>
  <c r="J660" i="14"/>
  <c r="B206" i="17"/>
  <c r="E664" i="14"/>
  <c r="G664" i="14"/>
  <c r="I667" i="14"/>
  <c r="E668" i="14"/>
  <c r="J668" i="14"/>
  <c r="I671" i="14"/>
  <c r="E672" i="14"/>
  <c r="G672" i="14"/>
  <c r="E676" i="14"/>
  <c r="J676" i="14"/>
  <c r="B222" i="17" s="1"/>
  <c r="D222" i="17" s="1"/>
  <c r="I679" i="14"/>
  <c r="E680" i="14"/>
  <c r="G680" i="14"/>
  <c r="J680" i="14"/>
  <c r="B226" i="17" s="1"/>
  <c r="D226" i="17" s="1"/>
  <c r="I684" i="14"/>
  <c r="I708" i="14"/>
  <c r="I713" i="14"/>
  <c r="I716" i="14"/>
  <c r="I743" i="14"/>
  <c r="I751" i="14"/>
  <c r="I759" i="14"/>
  <c r="I775" i="14"/>
  <c r="I810" i="14"/>
  <c r="I814" i="14"/>
  <c r="J557" i="14"/>
  <c r="J561" i="14"/>
  <c r="B107" i="17" s="1"/>
  <c r="D107" i="17" s="1"/>
  <c r="J565" i="14"/>
  <c r="B111" i="17" s="1"/>
  <c r="D111" i="17" s="1"/>
  <c r="J569" i="14"/>
  <c r="B115" i="17"/>
  <c r="I691" i="14"/>
  <c r="I746" i="14"/>
  <c r="I750" i="14"/>
  <c r="I758" i="14"/>
  <c r="I767" i="14"/>
  <c r="I774" i="14"/>
  <c r="I783" i="14"/>
  <c r="I790" i="14"/>
  <c r="I794" i="14"/>
  <c r="I803" i="14"/>
  <c r="I819" i="14"/>
  <c r="I822" i="14"/>
  <c r="I834" i="14"/>
  <c r="I836" i="14"/>
  <c r="I841" i="14"/>
  <c r="I843" i="14"/>
  <c r="I845" i="14"/>
  <c r="E848" i="14"/>
  <c r="J848" i="14"/>
  <c r="B394" i="17"/>
  <c r="E856" i="14"/>
  <c r="F856" i="14"/>
  <c r="J856" i="14"/>
  <c r="B402" i="17"/>
  <c r="I888" i="14"/>
  <c r="I889" i="14"/>
  <c r="I907" i="14"/>
  <c r="I915" i="14"/>
  <c r="I963" i="14"/>
  <c r="I972" i="14"/>
  <c r="E825" i="14"/>
  <c r="E830" i="14"/>
  <c r="G830" i="14"/>
  <c r="I835" i="14"/>
  <c r="E838" i="14"/>
  <c r="G838" i="14"/>
  <c r="J838" i="14"/>
  <c r="I868" i="14"/>
  <c r="I881" i="14"/>
  <c r="I893" i="14"/>
  <c r="X173" i="3"/>
  <c r="E898" i="14"/>
  <c r="G898" i="14"/>
  <c r="I913" i="14"/>
  <c r="I921" i="14"/>
  <c r="I950" i="14"/>
  <c r="I953" i="14"/>
  <c r="I957" i="14"/>
  <c r="I961" i="14"/>
  <c r="I983" i="14"/>
  <c r="J694" i="14"/>
  <c r="B240" i="17"/>
  <c r="J700" i="14"/>
  <c r="B246" i="17"/>
  <c r="J706" i="14"/>
  <c r="B252" i="17"/>
  <c r="J716" i="14"/>
  <c r="B262" i="17"/>
  <c r="J720" i="14"/>
  <c r="B266" i="17"/>
  <c r="I728" i="14"/>
  <c r="I732" i="14"/>
  <c r="I736" i="14"/>
  <c r="I740" i="14"/>
  <c r="I752" i="14"/>
  <c r="I760" i="14"/>
  <c r="I784" i="14"/>
  <c r="I800" i="14"/>
  <c r="I808" i="14"/>
  <c r="I812" i="14"/>
  <c r="I816" i="14"/>
  <c r="I824" i="14"/>
  <c r="I837" i="14"/>
  <c r="I860" i="14"/>
  <c r="I862" i="14"/>
  <c r="I867" i="14"/>
  <c r="I869" i="14"/>
  <c r="E872" i="14"/>
  <c r="I885" i="14"/>
  <c r="I890" i="14"/>
  <c r="I895" i="14"/>
  <c r="I903" i="14"/>
  <c r="I911" i="14"/>
  <c r="I919" i="14"/>
  <c r="I927" i="14"/>
  <c r="I973" i="14"/>
  <c r="I1017" i="14"/>
  <c r="I733" i="14"/>
  <c r="I737" i="14"/>
  <c r="I753" i="14"/>
  <c r="I757" i="14"/>
  <c r="I773" i="14"/>
  <c r="I781" i="14"/>
  <c r="I785" i="14"/>
  <c r="I789" i="14"/>
  <c r="I801" i="14"/>
  <c r="I809" i="14"/>
  <c r="I813" i="14"/>
  <c r="I842" i="14"/>
  <c r="I844" i="14"/>
  <c r="I846" i="14"/>
  <c r="I859" i="14"/>
  <c r="I861" i="14"/>
  <c r="E864" i="14"/>
  <c r="G864" i="14"/>
  <c r="J864" i="14"/>
  <c r="B410" i="17" s="1"/>
  <c r="D410" i="17" s="1"/>
  <c r="I882" i="14"/>
  <c r="I887" i="14"/>
  <c r="I901" i="14"/>
  <c r="I909" i="14"/>
  <c r="I917" i="14"/>
  <c r="I949" i="14"/>
  <c r="I982" i="14"/>
  <c r="I984" i="14"/>
  <c r="I933" i="14"/>
  <c r="I939" i="14"/>
  <c r="I941" i="14"/>
  <c r="I943" i="14"/>
  <c r="I945" i="14"/>
  <c r="I979" i="14"/>
  <c r="I980" i="14"/>
  <c r="I987" i="14"/>
  <c r="I990" i="14"/>
  <c r="I991" i="14"/>
  <c r="I993" i="14"/>
  <c r="I994" i="14"/>
  <c r="I995" i="14"/>
  <c r="I998" i="14"/>
  <c r="I1000" i="14"/>
  <c r="I1006" i="14"/>
  <c r="I1007" i="14"/>
  <c r="I1009" i="14"/>
  <c r="I1010" i="14"/>
  <c r="I1013" i="14"/>
  <c r="I1016" i="14"/>
  <c r="E1021" i="14"/>
  <c r="F1021" i="14"/>
  <c r="I1021" i="14"/>
  <c r="J1021" i="14"/>
  <c r="I1024" i="14"/>
  <c r="I1038" i="14"/>
  <c r="I1041" i="14"/>
  <c r="I1051" i="14"/>
  <c r="I1054" i="14"/>
  <c r="I1057" i="14"/>
  <c r="I1080" i="14"/>
  <c r="I840" i="14"/>
  <c r="J852" i="14"/>
  <c r="B398" i="17" s="1"/>
  <c r="D398" i="17" s="1"/>
  <c r="I865" i="14"/>
  <c r="J868" i="14"/>
  <c r="B414" i="17" s="1"/>
  <c r="D414" i="17" s="1"/>
  <c r="J873" i="14"/>
  <c r="B419" i="17" s="1"/>
  <c r="D419" i="17" s="1"/>
  <c r="J874" i="14"/>
  <c r="B420" i="17" s="1"/>
  <c r="D420" i="17" s="1"/>
  <c r="J875" i="14"/>
  <c r="B421" i="17" s="1"/>
  <c r="D421" i="17" s="1"/>
  <c r="J881" i="14"/>
  <c r="B427" i="17" s="1"/>
  <c r="D427" i="17" s="1"/>
  <c r="J883" i="14"/>
  <c r="J889" i="14"/>
  <c r="J890" i="14"/>
  <c r="B436" i="17" s="1"/>
  <c r="D436" i="17" s="1"/>
  <c r="J891" i="14"/>
  <c r="B437" i="17" s="1"/>
  <c r="D437" i="17" s="1"/>
  <c r="I974" i="14"/>
  <c r="I976" i="14"/>
  <c r="I977" i="14"/>
  <c r="I978" i="14"/>
  <c r="J982" i="14"/>
  <c r="I1001" i="14"/>
  <c r="I1018" i="14"/>
  <c r="I1019" i="14"/>
  <c r="I1020" i="14"/>
  <c r="I1027" i="14"/>
  <c r="I1034" i="14"/>
  <c r="I1037" i="14"/>
  <c r="I1047" i="14"/>
  <c r="I1050" i="14"/>
  <c r="I1063" i="14"/>
  <c r="I1064" i="14"/>
  <c r="I886" i="14"/>
  <c r="I894" i="14"/>
  <c r="I902" i="14"/>
  <c r="I914" i="14"/>
  <c r="I916" i="14"/>
  <c r="I922" i="14"/>
  <c r="I924" i="14"/>
  <c r="I926" i="14"/>
  <c r="I932" i="14"/>
  <c r="I936" i="14"/>
  <c r="I938" i="14"/>
  <c r="I942" i="14"/>
  <c r="I946" i="14"/>
  <c r="J962" i="14"/>
  <c r="J963" i="14"/>
  <c r="I1002" i="14"/>
  <c r="I1046" i="14"/>
  <c r="I1062" i="14"/>
  <c r="I1068" i="14"/>
  <c r="I1073" i="14"/>
  <c r="E1109" i="14"/>
  <c r="F1109" i="14"/>
  <c r="I1109" i="14"/>
  <c r="I839" i="14"/>
  <c r="I858" i="14"/>
  <c r="I866" i="14"/>
  <c r="J949" i="14"/>
  <c r="J953" i="14"/>
  <c r="J957" i="14"/>
  <c r="J961" i="14"/>
  <c r="U171" i="3"/>
  <c r="X171" i="3"/>
  <c r="J972" i="14"/>
  <c r="E1025" i="14"/>
  <c r="G1025" i="14"/>
  <c r="I1055" i="14"/>
  <c r="I1058" i="14"/>
  <c r="I1071" i="14"/>
  <c r="I1072" i="14"/>
  <c r="I1094" i="14"/>
  <c r="I1030" i="14"/>
  <c r="I1079" i="14"/>
  <c r="I1087" i="14"/>
  <c r="E1088" i="14"/>
  <c r="J1088" i="14"/>
  <c r="I1093" i="14"/>
  <c r="I1100" i="14"/>
  <c r="I1107" i="14"/>
  <c r="I1108" i="14"/>
  <c r="I1121" i="14"/>
  <c r="I1160" i="14"/>
  <c r="I1162" i="14"/>
  <c r="I1139" i="14"/>
  <c r="I1148" i="14"/>
  <c r="I1031" i="14"/>
  <c r="I1052" i="14"/>
  <c r="I1076" i="14"/>
  <c r="E1086" i="14"/>
  <c r="I1092" i="14"/>
  <c r="I1097" i="14"/>
  <c r="I1104" i="14"/>
  <c r="I1113" i="14"/>
  <c r="I1151" i="14"/>
  <c r="I1161" i="14"/>
  <c r="I1098" i="14"/>
  <c r="I1102" i="14"/>
  <c r="E1105" i="14"/>
  <c r="G1105" i="14"/>
  <c r="J1105" i="14"/>
  <c r="E1118" i="14"/>
  <c r="J1117" i="14"/>
  <c r="E1117" i="14"/>
  <c r="J1155" i="14"/>
  <c r="E1155" i="14"/>
  <c r="I1198" i="14"/>
  <c r="I1209" i="14"/>
  <c r="I1141" i="14"/>
  <c r="J1147" i="14"/>
  <c r="E1147" i="14"/>
  <c r="I1152" i="14"/>
  <c r="I1159" i="14"/>
  <c r="I1177" i="14"/>
  <c r="U54" i="3"/>
  <c r="X54" i="3"/>
  <c r="I1211" i="14"/>
  <c r="I1215" i="14"/>
  <c r="I1070" i="14"/>
  <c r="J1094" i="14"/>
  <c r="J1096" i="14"/>
  <c r="E1106" i="14"/>
  <c r="I1110" i="14"/>
  <c r="I1112" i="14"/>
  <c r="E1120" i="14"/>
  <c r="E1132" i="14"/>
  <c r="E1146" i="14"/>
  <c r="I1171" i="14"/>
  <c r="I1195" i="14"/>
  <c r="I1200" i="14"/>
  <c r="I1210" i="14"/>
  <c r="J1079" i="14"/>
  <c r="J1081" i="14"/>
  <c r="J1083" i="14"/>
  <c r="I1125" i="14"/>
  <c r="E1131" i="14"/>
  <c r="E1145" i="14"/>
  <c r="G1145" i="14"/>
  <c r="J1165" i="14"/>
  <c r="E1165" i="14"/>
  <c r="F1165" i="14"/>
  <c r="I1165" i="14"/>
  <c r="I1172" i="14"/>
  <c r="I1173" i="14"/>
  <c r="I1194" i="14"/>
  <c r="I1199" i="14"/>
  <c r="I1203" i="14"/>
  <c r="J1176" i="14"/>
  <c r="J1209" i="14"/>
  <c r="E1230" i="14"/>
  <c r="E1234" i="14"/>
  <c r="F1234" i="14"/>
  <c r="I1234" i="14"/>
  <c r="E1238" i="14"/>
  <c r="I1241" i="14"/>
  <c r="I1248" i="14"/>
  <c r="I1252" i="14"/>
  <c r="I1266" i="14"/>
  <c r="I1275" i="14"/>
  <c r="I1283" i="14"/>
  <c r="I1305" i="14"/>
  <c r="E1189" i="14"/>
  <c r="G1189" i="14"/>
  <c r="E1229" i="14"/>
  <c r="E1233" i="14"/>
  <c r="F1233" i="14"/>
  <c r="I1233" i="14"/>
  <c r="J1233" i="14"/>
  <c r="E1237" i="14"/>
  <c r="J1237" i="14"/>
  <c r="I1242" i="14"/>
  <c r="I1254" i="14"/>
  <c r="I1256" i="14"/>
  <c r="I1261" i="14"/>
  <c r="I1263" i="14"/>
  <c r="I1265" i="14"/>
  <c r="I1274" i="14"/>
  <c r="I1295" i="14"/>
  <c r="I1312" i="14"/>
  <c r="J1207" i="14"/>
  <c r="J1211" i="14"/>
  <c r="E1216" i="14"/>
  <c r="G1216" i="14"/>
  <c r="I1224" i="14"/>
  <c r="J1228" i="14"/>
  <c r="E1228" i="14"/>
  <c r="G1228" i="14"/>
  <c r="E1232" i="14"/>
  <c r="E1236" i="14"/>
  <c r="I1282" i="14"/>
  <c r="I1292" i="14"/>
  <c r="I1304" i="14"/>
  <c r="I1308" i="14"/>
  <c r="I1214" i="14"/>
  <c r="I1220" i="14"/>
  <c r="E1231" i="14"/>
  <c r="G1231" i="14"/>
  <c r="J1231" i="14"/>
  <c r="E1235" i="14"/>
  <c r="J1235" i="14"/>
  <c r="E1239" i="14"/>
  <c r="F1239" i="14"/>
  <c r="I1239" i="14"/>
  <c r="J1239" i="14"/>
  <c r="I1253" i="14"/>
  <c r="I1255" i="14"/>
  <c r="I1257" i="14"/>
  <c r="I1262" i="14"/>
  <c r="I1267" i="14"/>
  <c r="I1270" i="14"/>
  <c r="I1276" i="14"/>
  <c r="I1281" i="14"/>
  <c r="I1284" i="14"/>
  <c r="I1291" i="14"/>
  <c r="J1255" i="14"/>
  <c r="E1258" i="14"/>
  <c r="J1260" i="14"/>
  <c r="J1263" i="14"/>
  <c r="I1293" i="14"/>
  <c r="I1296" i="14"/>
  <c r="I1298" i="14"/>
  <c r="E1309" i="14"/>
  <c r="G1309" i="14"/>
  <c r="I1313" i="14"/>
  <c r="I1316" i="14"/>
  <c r="I1321" i="14"/>
  <c r="I1337" i="14"/>
  <c r="I1345" i="14"/>
  <c r="I1277" i="14"/>
  <c r="I1290" i="14"/>
  <c r="I1315" i="14"/>
  <c r="E1294" i="14"/>
  <c r="I1297" i="14"/>
  <c r="J1304" i="14"/>
  <c r="I1311" i="14"/>
  <c r="I1342" i="14"/>
  <c r="I1322" i="14"/>
  <c r="I1326" i="14"/>
  <c r="I1354" i="14"/>
  <c r="J1357" i="14"/>
  <c r="I1381" i="14"/>
  <c r="E1325" i="14"/>
  <c r="G1325" i="14"/>
  <c r="I1349" i="14"/>
  <c r="I1350" i="14"/>
  <c r="I1358" i="14"/>
  <c r="I1364" i="14"/>
  <c r="I1378" i="14"/>
  <c r="J1312" i="14"/>
  <c r="E1338" i="14"/>
  <c r="F1338" i="14"/>
  <c r="I1338" i="14"/>
  <c r="J1340" i="14"/>
  <c r="I1363" i="14"/>
  <c r="I1357" i="14"/>
  <c r="I1384" i="14"/>
  <c r="E1365" i="14"/>
  <c r="I1373" i="14"/>
  <c r="I1387" i="14"/>
  <c r="I1392" i="14"/>
  <c r="I1396" i="14"/>
  <c r="J1358" i="14"/>
  <c r="J1360" i="14"/>
  <c r="E1361" i="14"/>
  <c r="G1361" i="14"/>
  <c r="I1374" i="14"/>
  <c r="I1377" i="14"/>
  <c r="I1389" i="14"/>
  <c r="I1391" i="14"/>
  <c r="I1395" i="14"/>
  <c r="I1397" i="14"/>
  <c r="I1401" i="14"/>
  <c r="J1356" i="14"/>
  <c r="E1366" i="14"/>
  <c r="F1366" i="14"/>
  <c r="I1366" i="14"/>
  <c r="I1369" i="14"/>
  <c r="I1383" i="14"/>
  <c r="I1406" i="14"/>
  <c r="I1412" i="14"/>
  <c r="I1421" i="14"/>
  <c r="I1424" i="14"/>
  <c r="I1426" i="14"/>
  <c r="I1413" i="14"/>
  <c r="I1420" i="14"/>
  <c r="J1389" i="14"/>
  <c r="J1390" i="14"/>
  <c r="J1391" i="14"/>
  <c r="J1392" i="14"/>
  <c r="J1393" i="14"/>
  <c r="J1394" i="14"/>
  <c r="J1395" i="14"/>
  <c r="J1396" i="14"/>
  <c r="I1425" i="14"/>
  <c r="I1435" i="14"/>
  <c r="I1440" i="14"/>
  <c r="I1441" i="14"/>
  <c r="I1443" i="14"/>
  <c r="X139" i="3"/>
  <c r="J1421" i="14"/>
  <c r="J1424" i="14"/>
  <c r="E1431" i="14"/>
  <c r="F1431" i="14"/>
  <c r="I1431" i="14"/>
  <c r="E1433" i="14"/>
  <c r="G1433" i="14"/>
  <c r="J1433" i="14"/>
  <c r="I1439" i="14"/>
  <c r="I1452" i="14"/>
  <c r="J1425" i="14"/>
  <c r="E1430" i="14"/>
  <c r="J1430" i="14"/>
  <c r="J1432" i="14"/>
  <c r="E1432" i="14"/>
  <c r="F1432" i="14"/>
  <c r="I1432" i="14"/>
  <c r="I1442" i="14"/>
  <c r="I1454" i="14"/>
  <c r="E1429" i="14"/>
  <c r="J1429" i="14"/>
  <c r="I1444" i="14"/>
  <c r="I1451" i="14"/>
  <c r="I1453" i="14"/>
  <c r="J1434" i="14"/>
  <c r="J1444" i="14"/>
  <c r="I1458" i="14"/>
  <c r="I1460" i="14"/>
  <c r="I1461" i="14"/>
  <c r="I1456" i="14"/>
  <c r="I1464" i="14"/>
  <c r="G1470" i="14"/>
  <c r="F1470" i="14"/>
  <c r="I1470" i="14"/>
  <c r="F1472" i="14"/>
  <c r="I1472" i="14"/>
  <c r="G1472" i="14"/>
  <c r="E1445" i="14"/>
  <c r="G1445" i="14"/>
  <c r="J1452" i="14"/>
  <c r="I1449" i="14"/>
  <c r="E1471" i="14"/>
  <c r="G1471" i="14"/>
  <c r="F1407" i="14"/>
  <c r="I1407" i="14"/>
  <c r="G1407" i="14"/>
  <c r="F1170" i="14"/>
  <c r="I1170" i="14"/>
  <c r="G1170" i="14"/>
  <c r="I434" i="14"/>
  <c r="G434" i="14"/>
  <c r="F412" i="14"/>
  <c r="I412" i="14"/>
  <c r="G412" i="14"/>
  <c r="F524" i="14"/>
  <c r="I524" i="14"/>
  <c r="G524" i="14"/>
  <c r="F374" i="14"/>
  <c r="I374" i="14"/>
  <c r="G261" i="14"/>
  <c r="F388" i="14"/>
  <c r="I388" i="14"/>
  <c r="G388" i="14"/>
  <c r="F276" i="14"/>
  <c r="I276" i="14"/>
  <c r="G401" i="14"/>
  <c r="F1468" i="14"/>
  <c r="I1468" i="14"/>
  <c r="F1213" i="14"/>
  <c r="I1213" i="14"/>
  <c r="F1142" i="14"/>
  <c r="I1142" i="14"/>
  <c r="G1142" i="14"/>
  <c r="F996" i="14"/>
  <c r="I996" i="14"/>
  <c r="G996" i="14"/>
  <c r="F1169" i="14"/>
  <c r="I1169" i="14"/>
  <c r="F877" i="14"/>
  <c r="I877" i="14"/>
  <c r="F338" i="14"/>
  <c r="I338" i="14"/>
  <c r="G338" i="14"/>
  <c r="F314" i="14"/>
  <c r="I314" i="14"/>
  <c r="G454" i="14"/>
  <c r="F372" i="14"/>
  <c r="I372" i="14"/>
  <c r="G1271" i="14"/>
  <c r="F1003" i="14"/>
  <c r="I1003" i="14"/>
  <c r="F849" i="14"/>
  <c r="I849" i="14"/>
  <c r="F855" i="14"/>
  <c r="I855" i="14"/>
  <c r="G855" i="14"/>
  <c r="F899" i="14"/>
  <c r="I899" i="14"/>
  <c r="F512" i="14"/>
  <c r="I512" i="14"/>
  <c r="G512" i="14"/>
  <c r="F446" i="14"/>
  <c r="I446" i="14"/>
  <c r="G446" i="14"/>
  <c r="F386" i="14"/>
  <c r="I386" i="14"/>
  <c r="G386" i="14"/>
  <c r="F360" i="14"/>
  <c r="I360" i="14"/>
  <c r="F301" i="14"/>
  <c r="I301" i="14"/>
  <c r="G301" i="14"/>
  <c r="I424" i="14"/>
  <c r="G424" i="14"/>
  <c r="F394" i="14"/>
  <c r="I394" i="14"/>
  <c r="G394" i="14"/>
  <c r="F358" i="14"/>
  <c r="I358" i="14"/>
  <c r="F305" i="14"/>
  <c r="I305" i="14"/>
  <c r="G305" i="14"/>
  <c r="G431" i="14"/>
  <c r="F364" i="14"/>
  <c r="I364" i="14"/>
  <c r="G364" i="14"/>
  <c r="G1307" i="14"/>
  <c r="F1191" i="14"/>
  <c r="I1191" i="14"/>
  <c r="G850" i="14"/>
  <c r="F516" i="14"/>
  <c r="I516" i="14"/>
  <c r="F398" i="14"/>
  <c r="I398" i="14"/>
  <c r="G398" i="14"/>
  <c r="F321" i="14"/>
  <c r="I321" i="14"/>
  <c r="G321" i="14"/>
  <c r="F450" i="14"/>
  <c r="I450" i="14"/>
  <c r="G450" i="14"/>
  <c r="F416" i="14"/>
  <c r="I416" i="14"/>
  <c r="G416" i="14"/>
  <c r="F402" i="14"/>
  <c r="I402" i="14"/>
  <c r="G402" i="14"/>
  <c r="F345" i="14"/>
  <c r="I345" i="14"/>
  <c r="G345" i="14"/>
  <c r="I438" i="14"/>
  <c r="F406" i="14"/>
  <c r="I406" i="14"/>
  <c r="G406" i="14"/>
  <c r="F456" i="14"/>
  <c r="I456" i="14"/>
  <c r="F404" i="14"/>
  <c r="I404" i="14"/>
  <c r="G404" i="14"/>
  <c r="G369" i="14"/>
  <c r="F415" i="14"/>
  <c r="I415" i="14"/>
  <c r="G415" i="14"/>
  <c r="F1229" i="14"/>
  <c r="I1229" i="14"/>
  <c r="G1229" i="14"/>
  <c r="F838" i="14"/>
  <c r="I838" i="14"/>
  <c r="F830" i="14"/>
  <c r="I830" i="14"/>
  <c r="I856" i="14"/>
  <c r="B214" i="17"/>
  <c r="B202" i="17"/>
  <c r="G538" i="14"/>
  <c r="I350" i="14"/>
  <c r="G350" i="14"/>
  <c r="G308" i="14"/>
  <c r="F277" i="14"/>
  <c r="I277" i="14"/>
  <c r="I275" i="14"/>
  <c r="G275" i="14"/>
  <c r="F233" i="14"/>
  <c r="I233" i="14"/>
  <c r="F333" i="14"/>
  <c r="I333" i="14"/>
  <c r="F257" i="14"/>
  <c r="I257" i="14"/>
  <c r="G245" i="14"/>
  <c r="F288" i="14"/>
  <c r="I288" i="14"/>
  <c r="G223" i="14"/>
  <c r="I189" i="14"/>
  <c r="G1234" i="14"/>
  <c r="F1145" i="14"/>
  <c r="I1145" i="14"/>
  <c r="F1105" i="14"/>
  <c r="I1105" i="14"/>
  <c r="F864" i="14"/>
  <c r="I864" i="14"/>
  <c r="F898" i="14"/>
  <c r="I898" i="14"/>
  <c r="F680" i="14"/>
  <c r="I680" i="14"/>
  <c r="F672" i="14"/>
  <c r="I672" i="14"/>
  <c r="F664" i="14"/>
  <c r="I664" i="14"/>
  <c r="I656" i="14"/>
  <c r="G656" i="14"/>
  <c r="I648" i="14"/>
  <c r="F644" i="14"/>
  <c r="I644" i="14"/>
  <c r="G644" i="14"/>
  <c r="G640" i="14"/>
  <c r="F636" i="14"/>
  <c r="I636" i="14"/>
  <c r="G636" i="14"/>
  <c r="F628" i="14"/>
  <c r="I628" i="14"/>
  <c r="G624" i="14"/>
  <c r="F612" i="14"/>
  <c r="I612" i="14"/>
  <c r="G612" i="14"/>
  <c r="F604" i="14"/>
  <c r="I604" i="14"/>
  <c r="G604" i="14"/>
  <c r="I596" i="14"/>
  <c r="G596" i="14"/>
  <c r="I592" i="14"/>
  <c r="G592" i="14"/>
  <c r="F588" i="14"/>
  <c r="I588" i="14"/>
  <c r="F534" i="14"/>
  <c r="I534" i="14"/>
  <c r="G534" i="14"/>
  <c r="I518" i="14"/>
  <c r="G518" i="14"/>
  <c r="F502" i="14"/>
  <c r="I502" i="14"/>
  <c r="G502" i="14"/>
  <c r="G343" i="14"/>
  <c r="G326" i="14"/>
  <c r="F239" i="14"/>
  <c r="I239" i="14"/>
  <c r="G239" i="14"/>
  <c r="G340" i="14"/>
  <c r="I323" i="14"/>
  <c r="G323" i="14"/>
  <c r="G316" i="14"/>
  <c r="G292" i="14"/>
  <c r="I347" i="14"/>
  <c r="G347" i="14"/>
  <c r="G254" i="14"/>
  <c r="F219" i="14"/>
  <c r="I219" i="14"/>
  <c r="G341" i="14"/>
  <c r="F330" i="14"/>
  <c r="I330" i="14"/>
  <c r="F312" i="14"/>
  <c r="I312" i="14"/>
  <c r="G312" i="14"/>
  <c r="I1320" i="14"/>
  <c r="I1240" i="14"/>
  <c r="I981" i="14"/>
  <c r="B105" i="11"/>
  <c r="B107" i="11"/>
  <c r="Y151" i="3"/>
  <c r="G1233" i="14"/>
  <c r="F1025" i="14"/>
  <c r="I1025" i="14"/>
  <c r="F530" i="14"/>
  <c r="I530" i="14"/>
  <c r="G530" i="14"/>
  <c r="G514" i="14"/>
  <c r="F674" i="14"/>
  <c r="I674" i="14"/>
  <c r="I666" i="14"/>
  <c r="G666" i="14"/>
  <c r="G662" i="14"/>
  <c r="F658" i="14"/>
  <c r="I658" i="14"/>
  <c r="F654" i="14"/>
  <c r="I654" i="14"/>
  <c r="G654" i="14"/>
  <c r="I650" i="14"/>
  <c r="G646" i="14"/>
  <c r="G638" i="14"/>
  <c r="G634" i="14"/>
  <c r="F630" i="14"/>
  <c r="I630" i="14"/>
  <c r="F626" i="14"/>
  <c r="I626" i="14"/>
  <c r="G626" i="14"/>
  <c r="F622" i="14"/>
  <c r="I622" i="14"/>
  <c r="F618" i="14"/>
  <c r="I618" i="14"/>
  <c r="G618" i="14"/>
  <c r="G614" i="14"/>
  <c r="F610" i="14"/>
  <c r="I610" i="14"/>
  <c r="G610" i="14"/>
  <c r="F602" i="14"/>
  <c r="I602" i="14"/>
  <c r="G602" i="14"/>
  <c r="F598" i="14"/>
  <c r="I598" i="14"/>
  <c r="G598" i="14"/>
  <c r="F594" i="14"/>
  <c r="I594" i="14"/>
  <c r="F586" i="14"/>
  <c r="I586" i="14"/>
  <c r="G586" i="14"/>
  <c r="F280" i="14"/>
  <c r="I280" i="14"/>
  <c r="G280" i="14"/>
  <c r="F278" i="14"/>
  <c r="I278" i="14"/>
  <c r="G278" i="14"/>
  <c r="F303" i="14"/>
  <c r="I303" i="14"/>
  <c r="G263" i="14"/>
  <c r="F251" i="14"/>
  <c r="I251" i="14"/>
  <c r="G251" i="14"/>
  <c r="F284" i="14"/>
  <c r="I284" i="14"/>
  <c r="G284" i="14"/>
  <c r="F260" i="14"/>
  <c r="I260" i="14"/>
  <c r="G260" i="14"/>
  <c r="G336" i="14"/>
  <c r="F320" i="14"/>
  <c r="I320" i="14"/>
  <c r="G320" i="14"/>
  <c r="G262" i="14"/>
  <c r="AD85" i="3"/>
  <c r="AD164" i="3"/>
  <c r="AD163" i="3"/>
  <c r="AD20" i="3"/>
  <c r="AD167" i="3"/>
  <c r="AD160" i="3"/>
  <c r="AD146" i="3"/>
  <c r="AD150" i="3"/>
  <c r="AD140" i="3"/>
  <c r="AD155" i="3"/>
  <c r="AD157" i="3"/>
  <c r="AD135" i="3"/>
  <c r="AD128" i="3"/>
  <c r="AD139" i="3"/>
  <c r="AD132" i="3"/>
  <c r="AD116" i="3"/>
  <c r="AD115" i="3"/>
  <c r="AD109" i="3"/>
  <c r="AD131" i="3"/>
  <c r="AD126" i="3"/>
  <c r="AD121" i="3"/>
  <c r="AD112" i="3"/>
  <c r="AD106" i="3"/>
  <c r="AD105" i="3"/>
  <c r="AD122" i="3"/>
  <c r="AD119" i="3"/>
  <c r="AD118" i="3"/>
  <c r="AD110" i="3"/>
  <c r="AD103" i="3"/>
  <c r="AD98" i="3"/>
  <c r="AD117" i="3"/>
  <c r="AD114" i="3"/>
  <c r="AD82" i="3"/>
  <c r="AD74" i="3"/>
  <c r="AD107" i="3"/>
  <c r="AD104" i="3"/>
  <c r="AD101" i="3"/>
  <c r="AD100" i="3"/>
  <c r="AD99" i="3"/>
  <c r="AD97" i="3"/>
  <c r="AD95" i="3"/>
  <c r="AD86" i="3"/>
  <c r="AD91" i="3"/>
  <c r="AD84" i="3"/>
  <c r="AD79" i="3"/>
  <c r="AD75" i="3"/>
  <c r="AD73" i="3"/>
  <c r="AD71" i="3"/>
  <c r="AD69" i="3"/>
  <c r="AD54" i="3"/>
  <c r="AD67" i="3"/>
  <c r="AD65" i="3"/>
  <c r="AD55" i="3"/>
  <c r="AD49" i="3"/>
  <c r="AD44" i="3"/>
  <c r="AD36" i="3"/>
  <c r="AD32" i="3"/>
  <c r="AD26" i="3"/>
  <c r="AD21" i="3"/>
  <c r="AD56" i="3"/>
  <c r="AD52" i="3"/>
  <c r="AD45" i="3"/>
  <c r="AD38" i="3"/>
  <c r="AD33" i="3"/>
  <c r="AD27" i="3"/>
  <c r="AD70" i="3"/>
  <c r="AD46" i="3"/>
  <c r="AD39" i="3"/>
  <c r="AD34" i="3"/>
  <c r="AD29" i="3"/>
  <c r="AD24" i="3"/>
  <c r="AD43" i="3"/>
  <c r="AD30" i="3"/>
  <c r="AD23" i="3"/>
  <c r="AD35" i="3"/>
  <c r="AD136" i="3"/>
  <c r="AD127" i="3"/>
  <c r="AD88" i="3"/>
  <c r="AD171" i="3"/>
  <c r="AD41" i="3"/>
  <c r="AD25" i="3"/>
  <c r="AD31" i="3"/>
  <c r="AD172" i="3"/>
  <c r="AD173" i="3"/>
  <c r="AD22" i="3"/>
  <c r="AD37" i="3"/>
  <c r="AD40" i="3"/>
  <c r="AD51" i="3"/>
  <c r="AD58" i="3"/>
  <c r="AD62" i="3"/>
  <c r="AD66" i="3"/>
  <c r="AD76" i="3"/>
  <c r="AD93" i="3"/>
  <c r="AD102" i="3"/>
  <c r="AD138" i="3"/>
  <c r="AD141" i="3"/>
  <c r="AD144" i="3"/>
  <c r="AD152" i="3"/>
  <c r="AD154" i="3"/>
  <c r="AD159" i="3"/>
  <c r="AD162" i="3"/>
  <c r="AD165" i="3"/>
  <c r="AD57" i="3"/>
  <c r="AD61" i="3"/>
  <c r="AD64" i="3"/>
  <c r="AD72" i="3"/>
  <c r="AD87" i="3"/>
  <c r="AD90" i="3"/>
  <c r="AD124" i="3"/>
  <c r="AD130" i="3"/>
  <c r="AD133" i="3"/>
  <c r="AD145" i="3"/>
  <c r="AD148" i="3"/>
  <c r="AD168" i="3"/>
  <c r="AD170" i="3"/>
  <c r="AD28" i="3"/>
  <c r="AD42" i="3"/>
  <c r="AD47" i="3"/>
  <c r="AD48" i="3"/>
  <c r="AD60" i="3"/>
  <c r="AD78" i="3"/>
  <c r="AD81" i="3"/>
  <c r="AD83" i="3"/>
  <c r="AD89" i="3"/>
  <c r="AD92" i="3"/>
  <c r="AD94" i="3"/>
  <c r="AD96" i="3"/>
  <c r="AD137" i="3"/>
  <c r="AD142" i="3"/>
  <c r="AD151" i="3"/>
  <c r="AD153" i="3"/>
  <c r="AD158" i="3"/>
  <c r="AD161" i="3"/>
  <c r="AD166" i="3"/>
  <c r="AD50" i="3"/>
  <c r="AD53" i="3"/>
  <c r="AD59" i="3"/>
  <c r="AD63" i="3"/>
  <c r="AD68" i="3"/>
  <c r="AD77" i="3"/>
  <c r="AD80" i="3"/>
  <c r="AD108" i="3"/>
  <c r="AD111" i="3"/>
  <c r="AD113" i="3"/>
  <c r="AD120" i="3"/>
  <c r="AD123" i="3"/>
  <c r="AD125" i="3"/>
  <c r="AD129" i="3"/>
  <c r="AD134" i="3"/>
  <c r="AD143" i="3"/>
  <c r="AD147" i="3"/>
  <c r="AD149" i="3"/>
  <c r="AD156" i="3"/>
  <c r="AD169" i="3"/>
  <c r="B104" i="11"/>
  <c r="B106" i="11"/>
  <c r="G1431" i="14"/>
  <c r="F1361" i="14"/>
  <c r="I1361" i="14"/>
  <c r="F1228" i="14"/>
  <c r="I1228" i="14"/>
  <c r="G1109" i="14"/>
  <c r="G1021" i="14"/>
  <c r="F872" i="14"/>
  <c r="I872" i="14"/>
  <c r="G872" i="14"/>
  <c r="F526" i="14"/>
  <c r="I526" i="14"/>
  <c r="F510" i="14"/>
  <c r="I510" i="14"/>
  <c r="G510" i="14"/>
  <c r="G353" i="14"/>
  <c r="G319" i="14"/>
  <c r="F291" i="14"/>
  <c r="I291" i="14"/>
  <c r="G291" i="14"/>
  <c r="I354" i="14"/>
  <c r="G354" i="14"/>
  <c r="F285" i="14"/>
  <c r="I285" i="14"/>
  <c r="F266" i="14"/>
  <c r="I266" i="14"/>
  <c r="F295" i="14"/>
  <c r="I295" i="14"/>
  <c r="G295" i="14"/>
  <c r="F309" i="14"/>
  <c r="I309" i="14"/>
  <c r="F344" i="14"/>
  <c r="I344" i="14"/>
  <c r="G344" i="14"/>
  <c r="F327" i="14"/>
  <c r="I327" i="14"/>
  <c r="F306" i="14"/>
  <c r="I306" i="14"/>
  <c r="G306" i="14"/>
  <c r="F269" i="14"/>
  <c r="I269" i="14"/>
  <c r="G269" i="14"/>
  <c r="I208" i="14"/>
  <c r="V20" i="3"/>
  <c r="V146" i="3"/>
  <c r="V139" i="3"/>
  <c r="V118" i="3"/>
  <c r="V107" i="3"/>
  <c r="V106" i="3"/>
  <c r="V115" i="3"/>
  <c r="V109" i="3"/>
  <c r="V112" i="3"/>
  <c r="V110" i="3"/>
  <c r="V103" i="3"/>
  <c r="V100" i="3"/>
  <c r="V67" i="3"/>
  <c r="V54" i="3"/>
  <c r="V52" i="3"/>
  <c r="V49" i="3"/>
  <c r="V30" i="3"/>
  <c r="V25" i="3"/>
  <c r="V32" i="3"/>
  <c r="V55" i="3"/>
  <c r="V33" i="3"/>
  <c r="V27" i="3"/>
  <c r="V39" i="3"/>
  <c r="V29" i="3"/>
  <c r="V26" i="3"/>
  <c r="V127" i="3"/>
  <c r="V37" i="3"/>
  <c r="V22" i="3"/>
  <c r="R139" i="3"/>
  <c r="R126" i="3"/>
  <c r="R116" i="3"/>
  <c r="R115" i="3"/>
  <c r="R110" i="3"/>
  <c r="R109" i="3"/>
  <c r="R101" i="3"/>
  <c r="R67" i="3"/>
  <c r="R55" i="3"/>
  <c r="R54" i="3"/>
  <c r="R52" i="3"/>
  <c r="R46" i="3"/>
  <c r="R45" i="3"/>
  <c r="R44" i="3"/>
  <c r="R39" i="3"/>
  <c r="R38" i="3"/>
  <c r="R37" i="3"/>
  <c r="R35" i="3"/>
  <c r="R34" i="3"/>
  <c r="R99" i="3"/>
  <c r="R105" i="3"/>
  <c r="R103" i="3"/>
  <c r="R100" i="3"/>
  <c r="R27" i="3"/>
  <c r="R26" i="3"/>
  <c r="R24" i="3"/>
  <c r="R22" i="3"/>
  <c r="R21" i="3"/>
  <c r="R20" i="3"/>
  <c r="R104" i="3"/>
  <c r="R32" i="3"/>
  <c r="R33" i="3"/>
  <c r="R25" i="3"/>
  <c r="R29" i="3"/>
  <c r="R30" i="3"/>
  <c r="R40" i="3"/>
  <c r="V40" i="3"/>
  <c r="R51" i="3"/>
  <c r="V51" i="3"/>
  <c r="R58" i="3"/>
  <c r="V58" i="3"/>
  <c r="R62" i="3"/>
  <c r="V62" i="3"/>
  <c r="R66" i="3"/>
  <c r="V66" i="3"/>
  <c r="R102" i="3"/>
  <c r="V102" i="3"/>
  <c r="R141" i="3"/>
  <c r="V141" i="3"/>
  <c r="R144" i="3"/>
  <c r="V144" i="3"/>
  <c r="R41" i="3"/>
  <c r="R57" i="3"/>
  <c r="V57" i="3"/>
  <c r="R61" i="3"/>
  <c r="V61" i="3"/>
  <c r="R64" i="3"/>
  <c r="V64" i="3"/>
  <c r="R124" i="3"/>
  <c r="V124" i="3"/>
  <c r="R145" i="3"/>
  <c r="V145" i="3"/>
  <c r="R148" i="3"/>
  <c r="V148" i="3"/>
  <c r="R28" i="3"/>
  <c r="V28" i="3"/>
  <c r="R42" i="3"/>
  <c r="V42" i="3"/>
  <c r="R47" i="3"/>
  <c r="V47" i="3"/>
  <c r="R48" i="3"/>
  <c r="V48" i="3"/>
  <c r="R60" i="3"/>
  <c r="V60" i="3"/>
  <c r="R142" i="3"/>
  <c r="V142" i="3"/>
  <c r="R31" i="3"/>
  <c r="R50" i="3"/>
  <c r="V50" i="3"/>
  <c r="R53" i="3"/>
  <c r="V53" i="3"/>
  <c r="R59" i="3"/>
  <c r="V59" i="3"/>
  <c r="R63" i="3"/>
  <c r="V63" i="3"/>
  <c r="R68" i="3"/>
  <c r="V68" i="3"/>
  <c r="R108" i="3"/>
  <c r="V108" i="3"/>
  <c r="R111" i="3"/>
  <c r="V111" i="3"/>
  <c r="R113" i="3"/>
  <c r="V113" i="3"/>
  <c r="R123" i="3"/>
  <c r="V123" i="3"/>
  <c r="R125" i="3"/>
  <c r="V125" i="3"/>
  <c r="R127" i="3"/>
  <c r="R143" i="3"/>
  <c r="V143" i="3"/>
  <c r="R147" i="3"/>
  <c r="V147" i="3"/>
  <c r="R149" i="3"/>
  <c r="V149" i="3"/>
  <c r="Y72" i="3"/>
  <c r="Y78" i="3"/>
  <c r="Y81" i="3"/>
  <c r="Y83" i="3"/>
  <c r="Y89" i="3"/>
  <c r="Y92" i="3"/>
  <c r="Y94" i="3"/>
  <c r="Y96" i="3"/>
  <c r="Y137" i="3"/>
  <c r="Y153" i="3"/>
  <c r="Y158" i="3"/>
  <c r="Y161" i="3"/>
  <c r="Y76" i="3"/>
  <c r="Y93" i="3"/>
  <c r="Y152" i="3"/>
  <c r="Y154" i="3"/>
  <c r="Y165" i="3"/>
  <c r="Y169" i="3"/>
  <c r="Y168" i="3"/>
  <c r="Y129" i="3"/>
  <c r="Y90" i="3"/>
  <c r="Y156" i="3"/>
  <c r="Y128" i="3"/>
  <c r="Y122" i="3"/>
  <c r="Y107" i="3"/>
  <c r="Y121" i="3"/>
  <c r="Y105" i="3"/>
  <c r="Y84" i="3"/>
  <c r="Y171" i="3"/>
  <c r="Y104" i="3"/>
  <c r="Y120" i="3"/>
  <c r="Y80" i="3"/>
  <c r="Y170" i="3"/>
  <c r="Y160" i="3"/>
  <c r="Y136" i="3"/>
  <c r="Y85" i="3"/>
  <c r="Y106" i="3"/>
  <c r="Y95" i="3"/>
  <c r="Y74" i="3"/>
  <c r="Y82" i="3"/>
  <c r="Y113" i="3"/>
  <c r="Y111" i="3"/>
  <c r="Y133" i="3"/>
  <c r="Y150" i="3"/>
  <c r="Y135" i="3"/>
  <c r="Y69" i="3"/>
  <c r="Y112" i="3"/>
  <c r="Y173" i="3"/>
  <c r="Y164" i="3"/>
  <c r="Y131" i="3"/>
  <c r="Y86" i="3"/>
  <c r="Y75" i="3"/>
  <c r="Y130" i="3"/>
  <c r="Y108" i="3"/>
  <c r="Y163" i="3"/>
  <c r="Y155" i="3"/>
  <c r="Y109" i="3"/>
  <c r="Y79" i="3"/>
  <c r="Y167" i="3"/>
  <c r="Y91" i="3"/>
  <c r="Y71" i="3"/>
  <c r="Y172" i="3"/>
  <c r="Y73" i="3"/>
  <c r="Y28" i="3"/>
  <c r="Y42" i="3"/>
  <c r="Y47" i="3"/>
  <c r="Y48" i="3"/>
  <c r="Y60" i="3"/>
  <c r="Y142" i="3"/>
  <c r="Y40" i="3"/>
  <c r="Y51" i="3"/>
  <c r="Y58" i="3"/>
  <c r="Y62" i="3"/>
  <c r="Y66" i="3"/>
  <c r="Y102" i="3"/>
  <c r="Y144" i="3"/>
  <c r="Y123" i="3"/>
  <c r="Y63" i="3"/>
  <c r="Y68" i="3"/>
  <c r="Y67" i="3"/>
  <c r="Y38" i="3"/>
  <c r="Y24" i="3"/>
  <c r="Y37" i="3"/>
  <c r="Y23" i="3"/>
  <c r="Y56" i="3"/>
  <c r="Y32" i="3"/>
  <c r="Y22" i="3"/>
  <c r="Y140" i="3"/>
  <c r="Y97" i="3"/>
  <c r="Y39" i="3"/>
  <c r="Y21" i="3"/>
  <c r="Y148" i="3"/>
  <c r="Y59" i="3"/>
  <c r="Y149" i="3"/>
  <c r="Y125" i="3"/>
  <c r="Y143" i="3"/>
  <c r="Y53" i="3"/>
  <c r="Y127" i="3"/>
  <c r="Y100" i="3"/>
  <c r="Y49" i="3"/>
  <c r="Y34" i="3"/>
  <c r="Y118" i="3"/>
  <c r="Y46" i="3"/>
  <c r="Y33" i="3"/>
  <c r="Y98" i="3"/>
  <c r="Y45" i="3"/>
  <c r="Y29" i="3"/>
  <c r="Y35" i="3"/>
  <c r="Y147" i="3"/>
  <c r="Y145" i="3"/>
  <c r="Y61" i="3"/>
  <c r="Y50" i="3"/>
  <c r="Y115" i="3"/>
  <c r="Y103" i="3"/>
  <c r="Y43" i="3"/>
  <c r="Y31" i="3"/>
  <c r="Y20" i="3"/>
  <c r="Y114" i="3"/>
  <c r="Y54" i="3"/>
  <c r="Y30" i="3"/>
  <c r="Y41" i="3"/>
  <c r="Y26" i="3"/>
  <c r="Y101" i="3"/>
  <c r="Y65" i="3"/>
  <c r="Y44" i="3"/>
  <c r="Y124" i="3"/>
  <c r="Y64" i="3"/>
  <c r="Y57" i="3"/>
  <c r="Y146" i="3"/>
  <c r="Y139" i="3"/>
  <c r="Y55" i="3"/>
  <c r="Y126" i="3"/>
  <c r="Y99" i="3"/>
  <c r="Y52" i="3"/>
  <c r="Y27" i="3"/>
  <c r="Y36" i="3"/>
  <c r="Y116" i="3"/>
  <c r="Y25" i="3"/>
  <c r="V160" i="3"/>
  <c r="V85" i="3"/>
  <c r="V164" i="3"/>
  <c r="V163" i="3"/>
  <c r="V157" i="3"/>
  <c r="V167" i="3"/>
  <c r="V150" i="3"/>
  <c r="V155" i="3"/>
  <c r="V132" i="3"/>
  <c r="V135" i="3"/>
  <c r="V131" i="3"/>
  <c r="V122" i="3"/>
  <c r="V121" i="3"/>
  <c r="V119" i="3"/>
  <c r="V128" i="3"/>
  <c r="V95" i="3"/>
  <c r="V86" i="3"/>
  <c r="V79" i="3"/>
  <c r="V91" i="3"/>
  <c r="V84" i="3"/>
  <c r="V82" i="3"/>
  <c r="V74" i="3"/>
  <c r="V73" i="3"/>
  <c r="V71" i="3"/>
  <c r="V69" i="3"/>
  <c r="V75" i="3"/>
  <c r="V70" i="3"/>
  <c r="V172" i="3"/>
  <c r="V88" i="3"/>
  <c r="V136" i="3"/>
  <c r="V173" i="3"/>
  <c r="V171" i="3"/>
  <c r="R173" i="3"/>
  <c r="R172" i="3"/>
  <c r="R171" i="3"/>
  <c r="R167" i="3"/>
  <c r="R164" i="3"/>
  <c r="R163" i="3"/>
  <c r="R160" i="3"/>
  <c r="R157" i="3"/>
  <c r="R155" i="3"/>
  <c r="R150" i="3"/>
  <c r="R135" i="3"/>
  <c r="R132" i="3"/>
  <c r="R131" i="3"/>
  <c r="R128" i="3"/>
  <c r="R122" i="3"/>
  <c r="R121" i="3"/>
  <c r="R119" i="3"/>
  <c r="R91" i="3"/>
  <c r="R84" i="3"/>
  <c r="R82" i="3"/>
  <c r="R79" i="3"/>
  <c r="R75" i="3"/>
  <c r="R74" i="3"/>
  <c r="R73" i="3"/>
  <c r="R71" i="3"/>
  <c r="R70" i="3"/>
  <c r="R69" i="3"/>
  <c r="R85" i="3"/>
  <c r="R95" i="3"/>
  <c r="R86" i="3"/>
  <c r="R76" i="3"/>
  <c r="V76" i="3"/>
  <c r="R88" i="3"/>
  <c r="R93" i="3"/>
  <c r="V93" i="3"/>
  <c r="R138" i="3"/>
  <c r="V138" i="3"/>
  <c r="R152" i="3"/>
  <c r="V152" i="3"/>
  <c r="R154" i="3"/>
  <c r="V154" i="3"/>
  <c r="R159" i="3"/>
  <c r="V159" i="3"/>
  <c r="R162" i="3"/>
  <c r="V162" i="3"/>
  <c r="R165" i="3"/>
  <c r="V165" i="3"/>
  <c r="R87" i="3"/>
  <c r="V87" i="3"/>
  <c r="R90" i="3"/>
  <c r="V90" i="3"/>
  <c r="R130" i="3"/>
  <c r="V130" i="3"/>
  <c r="R133" i="3"/>
  <c r="V133" i="3"/>
  <c r="R168" i="3"/>
  <c r="V168" i="3"/>
  <c r="R170" i="3"/>
  <c r="V170" i="3"/>
  <c r="R72" i="3"/>
  <c r="V72" i="3"/>
  <c r="R78" i="3"/>
  <c r="V78" i="3"/>
  <c r="R81" i="3"/>
  <c r="V81" i="3"/>
  <c r="R83" i="3"/>
  <c r="V83" i="3"/>
  <c r="R89" i="3"/>
  <c r="V89" i="3"/>
  <c r="R92" i="3"/>
  <c r="V92" i="3"/>
  <c r="R94" i="3"/>
  <c r="V94" i="3"/>
  <c r="R96" i="3"/>
  <c r="V96" i="3"/>
  <c r="R137" i="3"/>
  <c r="V137" i="3"/>
  <c r="R151" i="3"/>
  <c r="V151" i="3"/>
  <c r="R153" i="3"/>
  <c r="V153" i="3"/>
  <c r="R158" i="3"/>
  <c r="V158" i="3"/>
  <c r="R161" i="3"/>
  <c r="V161" i="3"/>
  <c r="R166" i="3"/>
  <c r="V166" i="3"/>
  <c r="R77" i="3"/>
  <c r="V77" i="3"/>
  <c r="R80" i="3"/>
  <c r="V80" i="3"/>
  <c r="R120" i="3"/>
  <c r="V120" i="3"/>
  <c r="R129" i="3"/>
  <c r="V129" i="3"/>
  <c r="R134" i="3"/>
  <c r="V134" i="3"/>
  <c r="R136" i="3"/>
  <c r="R156" i="3"/>
  <c r="V156" i="3"/>
  <c r="R169" i="3"/>
  <c r="V169" i="3"/>
  <c r="F163" i="14"/>
  <c r="I163" i="14"/>
  <c r="G163" i="14"/>
  <c r="F188" i="14"/>
  <c r="I188" i="14"/>
  <c r="G188" i="14"/>
  <c r="F214" i="14"/>
  <c r="I214" i="14"/>
  <c r="G214" i="14"/>
  <c r="F322" i="14"/>
  <c r="I322" i="14"/>
  <c r="G322" i="14"/>
  <c r="F413" i="14"/>
  <c r="I413" i="14"/>
  <c r="G413" i="14"/>
  <c r="F468" i="14"/>
  <c r="I468" i="14"/>
  <c r="G468" i="14"/>
  <c r="F513" i="14"/>
  <c r="I513" i="14"/>
  <c r="G513" i="14"/>
  <c r="F661" i="14"/>
  <c r="I661" i="14"/>
  <c r="G661" i="14"/>
  <c r="F663" i="14"/>
  <c r="I663" i="14"/>
  <c r="G663" i="14"/>
  <c r="F958" i="14"/>
  <c r="I958" i="14"/>
  <c r="G958" i="14"/>
  <c r="F1096" i="14"/>
  <c r="I1096" i="14"/>
  <c r="G1096" i="14"/>
  <c r="F1264" i="14"/>
  <c r="I1264" i="14"/>
  <c r="G1264" i="14"/>
  <c r="F72" i="14"/>
  <c r="I72" i="14"/>
  <c r="G72" i="14"/>
  <c r="F106" i="14"/>
  <c r="I106" i="14"/>
  <c r="G106" i="14"/>
  <c r="F482" i="14"/>
  <c r="I482" i="14"/>
  <c r="G482" i="14"/>
  <c r="F697" i="14"/>
  <c r="I697" i="14"/>
  <c r="G697" i="14"/>
  <c r="F986" i="14"/>
  <c r="I986" i="14"/>
  <c r="G986" i="14"/>
  <c r="F1008" i="14"/>
  <c r="I1008" i="14"/>
  <c r="G1008" i="14"/>
  <c r="F1014" i="14"/>
  <c r="I1014" i="14"/>
  <c r="G1014" i="14"/>
  <c r="F1045" i="14"/>
  <c r="I1045" i="14"/>
  <c r="G1045" i="14"/>
  <c r="F1219" i="14"/>
  <c r="I1219" i="14"/>
  <c r="G1219" i="14"/>
  <c r="F1375" i="14"/>
  <c r="I1375" i="14"/>
  <c r="G1375" i="14"/>
  <c r="F43" i="14"/>
  <c r="I43" i="14"/>
  <c r="G43" i="14"/>
  <c r="F69" i="14"/>
  <c r="I69" i="14"/>
  <c r="G69" i="14"/>
  <c r="F555" i="14"/>
  <c r="I555" i="14"/>
  <c r="G555" i="14"/>
  <c r="B243" i="17"/>
  <c r="F719" i="14"/>
  <c r="I719" i="14"/>
  <c r="G719" i="14"/>
  <c r="F870" i="14"/>
  <c r="I870" i="14"/>
  <c r="G870" i="14"/>
  <c r="F1343" i="14"/>
  <c r="I1343" i="14"/>
  <c r="G1343" i="14"/>
  <c r="F439" i="14"/>
  <c r="I439" i="14"/>
  <c r="G439" i="14"/>
  <c r="F747" i="14"/>
  <c r="I747" i="14"/>
  <c r="G747" i="14"/>
  <c r="F804" i="14"/>
  <c r="I804" i="14"/>
  <c r="G804" i="14"/>
  <c r="F930" i="14"/>
  <c r="I930" i="14"/>
  <c r="G930" i="14"/>
  <c r="F969" i="14"/>
  <c r="I969" i="14"/>
  <c r="G969" i="14"/>
  <c r="F1457" i="14"/>
  <c r="I1457" i="14"/>
  <c r="G1457" i="14"/>
  <c r="J1329" i="14"/>
  <c r="J188" i="14"/>
  <c r="J341" i="14"/>
  <c r="J568" i="14"/>
  <c r="B114" i="17" s="1"/>
  <c r="D114" i="17" s="1"/>
  <c r="J665" i="14"/>
  <c r="B211" i="17" s="1"/>
  <c r="D211" i="17" s="1"/>
  <c r="J723" i="14"/>
  <c r="B269" i="17" s="1"/>
  <c r="D269" i="17" s="1"/>
  <c r="J994" i="14"/>
  <c r="K1096" i="14"/>
  <c r="K1248" i="14"/>
  <c r="J1250" i="14"/>
  <c r="K1295" i="14"/>
  <c r="J122" i="14"/>
  <c r="J124" i="14"/>
  <c r="J172" i="14"/>
  <c r="J453" i="14"/>
  <c r="J484" i="14"/>
  <c r="B30" i="17" s="1"/>
  <c r="D30" i="17" s="1"/>
  <c r="J513" i="14"/>
  <c r="J773" i="14"/>
  <c r="B319" i="17" s="1"/>
  <c r="D319" i="17" s="1"/>
  <c r="J930" i="14"/>
  <c r="J995" i="14"/>
  <c r="J1111" i="14"/>
  <c r="J1133" i="14"/>
  <c r="J1171" i="14"/>
  <c r="J1253" i="14"/>
  <c r="J1273" i="14"/>
  <c r="J1298" i="14"/>
  <c r="K1304" i="14"/>
  <c r="J1414" i="14"/>
  <c r="G1236" i="14"/>
  <c r="F1236" i="14"/>
  <c r="I1236" i="14"/>
  <c r="F1471" i="14"/>
  <c r="I1471" i="14"/>
  <c r="F1445" i="14"/>
  <c r="I1445" i="14"/>
  <c r="E14" i="15"/>
  <c r="G1165" i="14"/>
  <c r="J828" i="14"/>
  <c r="B374" i="17" s="1"/>
  <c r="D374" i="17" s="1"/>
  <c r="F113" i="14"/>
  <c r="I113" i="14"/>
  <c r="G113" i="14"/>
  <c r="F196" i="14"/>
  <c r="I196" i="14"/>
  <c r="G196" i="14"/>
  <c r="F234" i="14"/>
  <c r="I234" i="14"/>
  <c r="G234" i="14"/>
  <c r="F375" i="14"/>
  <c r="I375" i="14"/>
  <c r="G375" i="14"/>
  <c r="F507" i="14"/>
  <c r="I507" i="14"/>
  <c r="G507" i="14"/>
  <c r="F44" i="14"/>
  <c r="I44" i="14"/>
  <c r="G44" i="14"/>
  <c r="F80" i="14"/>
  <c r="I80" i="14"/>
  <c r="G80" i="14"/>
  <c r="F135" i="14"/>
  <c r="I135" i="14"/>
  <c r="G135" i="14"/>
  <c r="F177" i="14"/>
  <c r="I177" i="14"/>
  <c r="G177" i="14"/>
  <c r="F193" i="14"/>
  <c r="I193" i="14"/>
  <c r="G193" i="14"/>
  <c r="F57" i="14"/>
  <c r="I57" i="14"/>
  <c r="G57" i="14"/>
  <c r="F160" i="14"/>
  <c r="I160" i="14"/>
  <c r="G160" i="14"/>
  <c r="F407" i="14"/>
  <c r="I407" i="14"/>
  <c r="G407" i="14"/>
  <c r="F210" i="14"/>
  <c r="I210" i="14"/>
  <c r="G210" i="14"/>
  <c r="G1239" i="14"/>
  <c r="J80" i="14"/>
  <c r="J82" i="14"/>
  <c r="J224" i="14"/>
  <c r="J234" i="14"/>
  <c r="J246" i="14"/>
  <c r="J307" i="14"/>
  <c r="J893" i="14"/>
  <c r="B439" i="17"/>
  <c r="J27" i="14"/>
  <c r="J46" i="14"/>
  <c r="J113" i="14"/>
  <c r="J127" i="14"/>
  <c r="J132" i="14"/>
  <c r="J472" i="14"/>
  <c r="J519" i="14"/>
  <c r="B65" i="17"/>
  <c r="J521" i="14"/>
  <c r="B67" i="17"/>
  <c r="J827" i="14"/>
  <c r="B373" i="17"/>
  <c r="F1189" i="14"/>
  <c r="I1189" i="14"/>
  <c r="F1231" i="14"/>
  <c r="I1231" i="14"/>
  <c r="J1426" i="14"/>
  <c r="J308" i="14"/>
  <c r="J339" i="14"/>
  <c r="J350" i="14"/>
  <c r="J444" i="14"/>
  <c r="J448" i="14"/>
  <c r="J452" i="14"/>
  <c r="J464" i="14"/>
  <c r="J478" i="14"/>
  <c r="B24" i="17"/>
  <c r="J485" i="14"/>
  <c r="B31" i="17"/>
  <c r="J548" i="14"/>
  <c r="B94" i="17"/>
  <c r="J550" i="14"/>
  <c r="B96" i="17"/>
  <c r="J574" i="14"/>
  <c r="B120" i="17"/>
  <c r="J649" i="14"/>
  <c r="B195" i="17"/>
  <c r="J653" i="14"/>
  <c r="B199" i="17"/>
  <c r="J673" i="14"/>
  <c r="B219" i="17"/>
  <c r="J740" i="14"/>
  <c r="J799" i="14"/>
  <c r="B345" i="17" s="1"/>
  <c r="D345" i="17" s="1"/>
  <c r="J839" i="14"/>
  <c r="B385" i="17"/>
  <c r="J955" i="14"/>
  <c r="J976" i="14"/>
  <c r="J1024" i="14"/>
  <c r="K1086" i="14"/>
  <c r="K1088" i="14"/>
  <c r="J1152" i="14"/>
  <c r="K1212" i="14"/>
  <c r="J1243" i="14"/>
  <c r="K1258" i="14"/>
  <c r="J1361" i="14"/>
  <c r="J540" i="14"/>
  <c r="B86" i="17"/>
  <c r="J755" i="14"/>
  <c r="B301" i="17"/>
  <c r="J885" i="14"/>
  <c r="B431" i="17"/>
  <c r="J954" i="14"/>
  <c r="J1010" i="14"/>
  <c r="J1041" i="14"/>
  <c r="J1059" i="14"/>
  <c r="J1085" i="14"/>
  <c r="K1224" i="14"/>
  <c r="J1270" i="14"/>
  <c r="J1276" i="14"/>
  <c r="J1368" i="14"/>
  <c r="J1376" i="14"/>
  <c r="J1381" i="14"/>
  <c r="J1472" i="14"/>
  <c r="F42" i="14"/>
  <c r="I42" i="14"/>
  <c r="G42" i="14"/>
  <c r="F45" i="14"/>
  <c r="I45" i="14"/>
  <c r="G45" i="14"/>
  <c r="F85" i="14"/>
  <c r="I85" i="14"/>
  <c r="G85" i="14"/>
  <c r="F110" i="14"/>
  <c r="I110" i="14"/>
  <c r="G110" i="14"/>
  <c r="F121" i="14"/>
  <c r="I121" i="14"/>
  <c r="G121" i="14"/>
  <c r="F79" i="14"/>
  <c r="I79" i="14"/>
  <c r="G79" i="14"/>
  <c r="F27" i="14"/>
  <c r="I27" i="14"/>
  <c r="G27" i="14"/>
  <c r="F35" i="14"/>
  <c r="I35" i="14"/>
  <c r="G35" i="14"/>
  <c r="F67" i="14"/>
  <c r="I67" i="14"/>
  <c r="G67" i="14"/>
  <c r="F98" i="14"/>
  <c r="I98" i="14"/>
  <c r="G98" i="14"/>
  <c r="F120" i="14"/>
  <c r="I120" i="14"/>
  <c r="G120" i="14"/>
  <c r="F78" i="14"/>
  <c r="I78" i="14"/>
  <c r="G78" i="14"/>
  <c r="F117" i="14"/>
  <c r="I117" i="14"/>
  <c r="G117" i="14"/>
  <c r="J21" i="14"/>
  <c r="J69" i="14"/>
  <c r="J88" i="14"/>
  <c r="J130" i="14"/>
  <c r="J199" i="14"/>
  <c r="F21" i="14"/>
  <c r="I21" i="14"/>
  <c r="J77" i="14"/>
  <c r="J78" i="14"/>
  <c r="J85" i="14"/>
  <c r="J100" i="14"/>
  <c r="J120" i="14"/>
  <c r="J205" i="14"/>
  <c r="J164" i="14"/>
  <c r="J168" i="14"/>
  <c r="J192" i="14"/>
  <c r="J197" i="14"/>
  <c r="J207" i="14"/>
  <c r="J215" i="14"/>
  <c r="J221" i="14"/>
  <c r="J226" i="14"/>
  <c r="J240" i="14"/>
  <c r="J409" i="14"/>
  <c r="J422" i="14"/>
  <c r="J440" i="14"/>
  <c r="J496" i="14"/>
  <c r="J517" i="14"/>
  <c r="J585" i="14"/>
  <c r="B131" i="17"/>
  <c r="J689" i="14"/>
  <c r="B235" i="17"/>
  <c r="J745" i="14"/>
  <c r="J756" i="14"/>
  <c r="B302" i="17" s="1"/>
  <c r="D302" i="17" s="1"/>
  <c r="J778" i="14"/>
  <c r="B324" i="17"/>
  <c r="J894" i="14"/>
  <c r="J170" i="14"/>
  <c r="J182" i="14"/>
  <c r="J194" i="14"/>
  <c r="J201" i="14"/>
  <c r="J220" i="14"/>
  <c r="J326" i="14"/>
  <c r="J362" i="14"/>
  <c r="J376" i="14"/>
  <c r="J408" i="14"/>
  <c r="J414" i="14"/>
  <c r="J430" i="14"/>
  <c r="J509" i="14"/>
  <c r="B55" i="17"/>
  <c r="J539" i="14"/>
  <c r="J601" i="14"/>
  <c r="J609" i="14"/>
  <c r="B155" i="17"/>
  <c r="J725" i="14"/>
  <c r="B271" i="17"/>
  <c r="J801" i="14"/>
  <c r="J813" i="14"/>
  <c r="B359" i="17" s="1"/>
  <c r="D359" i="17" s="1"/>
  <c r="J815" i="14"/>
  <c r="B361" i="17"/>
  <c r="J845" i="14"/>
  <c r="B391" i="17"/>
  <c r="J1463" i="14"/>
  <c r="J780" i="14"/>
  <c r="J843" i="14"/>
  <c r="B389" i="17"/>
  <c r="J861" i="14"/>
  <c r="B407" i="17"/>
  <c r="J865" i="14"/>
  <c r="B411" i="17"/>
  <c r="J956" i="14"/>
  <c r="J960" i="14"/>
  <c r="J981" i="14"/>
  <c r="J983" i="14"/>
  <c r="J1028" i="14"/>
  <c r="J1034" i="14"/>
  <c r="J1044" i="14"/>
  <c r="J1089" i="14"/>
  <c r="J1093" i="14"/>
  <c r="J1120" i="14"/>
  <c r="J1160" i="14"/>
  <c r="J1301" i="14"/>
  <c r="J1411" i="14"/>
  <c r="J1438" i="14"/>
  <c r="J1468" i="14"/>
  <c r="J859" i="14"/>
  <c r="B405" i="17" s="1"/>
  <c r="D405" i="17" s="1"/>
  <c r="J927" i="14"/>
  <c r="J1012" i="14"/>
  <c r="J1106" i="14"/>
  <c r="J1140" i="14"/>
  <c r="J1198" i="14"/>
  <c r="J1200" i="14"/>
  <c r="J1222" i="14"/>
  <c r="J1245" i="14"/>
  <c r="J1397" i="14"/>
  <c r="J1405" i="14"/>
  <c r="J884" i="14"/>
  <c r="B430" i="17"/>
  <c r="J892" i="14"/>
  <c r="B438" i="17"/>
  <c r="G1217" i="14"/>
  <c r="F1217" i="14"/>
  <c r="I1217" i="14"/>
  <c r="G1004" i="14"/>
  <c r="F1004" i="14"/>
  <c r="I1004" i="14"/>
  <c r="G871" i="14"/>
  <c r="F871" i="14"/>
  <c r="I871" i="14"/>
  <c r="F432" i="14"/>
  <c r="I432" i="14"/>
  <c r="G432" i="14"/>
  <c r="F410" i="14"/>
  <c r="I410" i="14"/>
  <c r="G410" i="14"/>
  <c r="F382" i="14"/>
  <c r="I382" i="14"/>
  <c r="G382" i="14"/>
  <c r="G317" i="14"/>
  <c r="F317" i="14"/>
  <c r="I317" i="14"/>
  <c r="G420" i="14"/>
  <c r="F420" i="14"/>
  <c r="I420" i="14"/>
  <c r="G390" i="14"/>
  <c r="F390" i="14"/>
  <c r="I390" i="14"/>
  <c r="F310" i="14"/>
  <c r="I310" i="14"/>
  <c r="G310" i="14"/>
  <c r="F1429" i="14"/>
  <c r="I1429" i="14"/>
  <c r="G1429" i="14"/>
  <c r="G1365" i="14"/>
  <c r="F1365" i="14"/>
  <c r="I1365" i="14"/>
  <c r="F1294" i="14"/>
  <c r="I1294" i="14"/>
  <c r="G1294" i="14"/>
  <c r="G1232" i="14"/>
  <c r="F1232" i="14"/>
  <c r="I1232" i="14"/>
  <c r="F1237" i="14"/>
  <c r="I1237" i="14"/>
  <c r="G1237" i="14"/>
  <c r="F1238" i="14"/>
  <c r="I1238" i="14"/>
  <c r="G1238" i="14"/>
  <c r="F1132" i="14"/>
  <c r="I1132" i="14"/>
  <c r="G1132" i="14"/>
  <c r="F1106" i="14"/>
  <c r="I1106" i="14"/>
  <c r="G1106" i="14"/>
  <c r="F1086" i="14"/>
  <c r="I1086" i="14"/>
  <c r="G1086" i="14"/>
  <c r="G1088" i="14"/>
  <c r="F1088" i="14"/>
  <c r="I1088" i="14"/>
  <c r="B435" i="17"/>
  <c r="F825" i="14"/>
  <c r="I825" i="14"/>
  <c r="G825" i="14"/>
  <c r="G848" i="14"/>
  <c r="F848" i="14"/>
  <c r="I848" i="14"/>
  <c r="G676" i="14"/>
  <c r="F676" i="14"/>
  <c r="I676" i="14"/>
  <c r="F668" i="14"/>
  <c r="I668" i="14"/>
  <c r="G668" i="14"/>
  <c r="G660" i="14"/>
  <c r="F660" i="14"/>
  <c r="I660" i="14"/>
  <c r="F652" i="14"/>
  <c r="I652" i="14"/>
  <c r="G652" i="14"/>
  <c r="G632" i="14"/>
  <c r="F632" i="14"/>
  <c r="I632" i="14"/>
  <c r="G620" i="14"/>
  <c r="F620" i="14"/>
  <c r="I620" i="14"/>
  <c r="G600" i="14"/>
  <c r="F600" i="14"/>
  <c r="I600" i="14"/>
  <c r="G522" i="14"/>
  <c r="F522" i="14"/>
  <c r="I522" i="14"/>
  <c r="F506" i="14"/>
  <c r="I506" i="14"/>
  <c r="G506" i="14"/>
  <c r="G678" i="14"/>
  <c r="F678" i="14"/>
  <c r="I678" i="14"/>
  <c r="F670" i="14"/>
  <c r="I670" i="14"/>
  <c r="G670" i="14"/>
  <c r="G642" i="14"/>
  <c r="F642" i="14"/>
  <c r="I642" i="14"/>
  <c r="F606" i="14"/>
  <c r="I606" i="14"/>
  <c r="G606" i="14"/>
  <c r="G590" i="14"/>
  <c r="F590" i="14"/>
  <c r="I590" i="14"/>
  <c r="G339" i="14"/>
  <c r="F339" i="14"/>
  <c r="I339" i="14"/>
  <c r="F298" i="14"/>
  <c r="I298" i="14"/>
  <c r="G298" i="14"/>
  <c r="B384" i="17"/>
  <c r="G299" i="14"/>
  <c r="F299" i="14"/>
  <c r="I299" i="14"/>
  <c r="G272" i="14"/>
  <c r="F272" i="14"/>
  <c r="I272" i="14"/>
  <c r="F351" i="14"/>
  <c r="I351" i="14"/>
  <c r="G351" i="14"/>
  <c r="G235" i="14"/>
  <c r="F235" i="14"/>
  <c r="I235" i="14"/>
  <c r="G230" i="14"/>
  <c r="F230" i="14"/>
  <c r="I230" i="14"/>
  <c r="F1216" i="14"/>
  <c r="I1216" i="14"/>
  <c r="F1433" i="14"/>
  <c r="I1433" i="14"/>
  <c r="B45" i="17"/>
  <c r="G442" i="14"/>
  <c r="F442" i="14"/>
  <c r="I442" i="14"/>
  <c r="F384" i="14"/>
  <c r="I384" i="14"/>
  <c r="G384" i="14"/>
  <c r="F349" i="14"/>
  <c r="I349" i="14"/>
  <c r="G349" i="14"/>
  <c r="F31" i="14"/>
  <c r="I31" i="14"/>
  <c r="G31" i="14"/>
  <c r="F39" i="14"/>
  <c r="I39" i="14"/>
  <c r="G39" i="14"/>
  <c r="F48" i="14"/>
  <c r="I48" i="14"/>
  <c r="G48" i="14"/>
  <c r="F74" i="14"/>
  <c r="I74" i="14"/>
  <c r="G74" i="14"/>
  <c r="F397" i="14"/>
  <c r="I397" i="14"/>
  <c r="G397" i="14"/>
  <c r="F53" i="14"/>
  <c r="I53" i="14"/>
  <c r="G53" i="14"/>
  <c r="F58" i="14"/>
  <c r="I58" i="14"/>
  <c r="G58" i="14"/>
  <c r="F92" i="14"/>
  <c r="I92" i="14"/>
  <c r="G92" i="14"/>
  <c r="G227" i="14"/>
  <c r="G682" i="14"/>
  <c r="G608" i="14"/>
  <c r="F616" i="14"/>
  <c r="I616" i="14"/>
  <c r="G281" i="14"/>
  <c r="G856" i="14"/>
  <c r="G1299" i="14"/>
  <c r="G428" i="14"/>
  <c r="G329" i="14"/>
  <c r="G418" i="14"/>
  <c r="F33" i="14"/>
  <c r="I33" i="14"/>
  <c r="G33" i="14"/>
  <c r="F52" i="14"/>
  <c r="I52" i="14"/>
  <c r="G52" i="14"/>
  <c r="G61" i="14"/>
  <c r="F61" i="14"/>
  <c r="I61" i="14"/>
  <c r="F66" i="14"/>
  <c r="I66" i="14"/>
  <c r="G66" i="14"/>
  <c r="F93" i="14"/>
  <c r="I93" i="14"/>
  <c r="G93" i="14"/>
  <c r="F289" i="14"/>
  <c r="I289" i="14"/>
  <c r="G289" i="14"/>
  <c r="G650" i="14"/>
  <c r="F38" i="14"/>
  <c r="I38" i="14"/>
  <c r="G38" i="14"/>
  <c r="F56" i="14"/>
  <c r="I56" i="14"/>
  <c r="G56" i="14"/>
  <c r="F68" i="14"/>
  <c r="I68" i="14"/>
  <c r="G68" i="14"/>
  <c r="F99" i="14"/>
  <c r="I99" i="14"/>
  <c r="G99" i="14"/>
  <c r="G480" i="14"/>
  <c r="H448" i="14"/>
  <c r="G447" i="14"/>
  <c r="G427" i="14"/>
  <c r="G399" i="14"/>
  <c r="G366" i="14"/>
  <c r="G352" i="14"/>
  <c r="G256" i="14"/>
  <c r="G250" i="14"/>
  <c r="H220" i="14"/>
  <c r="G217" i="14"/>
  <c r="G180" i="14"/>
  <c r="G169" i="14"/>
  <c r="G165" i="14"/>
  <c r="G131" i="14"/>
  <c r="H129" i="14"/>
  <c r="G112" i="14"/>
  <c r="G88" i="14"/>
  <c r="G29" i="14"/>
  <c r="G26" i="14"/>
  <c r="H1248" i="14"/>
  <c r="H1224" i="14"/>
  <c r="G1203" i="14"/>
  <c r="K1310" i="14"/>
  <c r="K1254" i="14"/>
  <c r="J22" i="14"/>
  <c r="F70" i="14"/>
  <c r="I70" i="14"/>
  <c r="J74" i="14"/>
  <c r="F76" i="14"/>
  <c r="I76" i="14"/>
  <c r="F86" i="14"/>
  <c r="I86" i="14"/>
  <c r="F87" i="14"/>
  <c r="I87" i="14"/>
  <c r="J99" i="14"/>
  <c r="F265" i="14"/>
  <c r="I265" i="14"/>
  <c r="F391" i="14"/>
  <c r="I391" i="14"/>
  <c r="J436" i="14"/>
  <c r="J493" i="14"/>
  <c r="B39" i="17" s="1"/>
  <c r="D39" i="17" s="1"/>
  <c r="J748" i="14"/>
  <c r="B294" i="17" s="1"/>
  <c r="D294" i="17" s="1"/>
  <c r="E748" i="14"/>
  <c r="E566" i="14"/>
  <c r="J566" i="14"/>
  <c r="B112" i="17" s="1"/>
  <c r="D112" i="17" s="1"/>
  <c r="H756" i="14"/>
  <c r="G755" i="14"/>
  <c r="G692" i="14"/>
  <c r="G617" i="14"/>
  <c r="G585" i="14"/>
  <c r="G569" i="14"/>
  <c r="H538" i="14"/>
  <c r="G478" i="14"/>
  <c r="G440" i="14"/>
  <c r="G414" i="14"/>
  <c r="G380" i="14"/>
  <c r="G368" i="14"/>
  <c r="G337" i="14"/>
  <c r="G273" i="14"/>
  <c r="H240" i="14"/>
  <c r="G148" i="14"/>
  <c r="G122" i="14"/>
  <c r="H1243" i="14"/>
  <c r="G1125" i="14"/>
  <c r="K1308" i="14"/>
  <c r="K1256" i="14"/>
  <c r="J31" i="14"/>
  <c r="J95" i="14"/>
  <c r="J103" i="14"/>
  <c r="J217" i="14"/>
  <c r="J397" i="14"/>
  <c r="E449" i="14"/>
  <c r="J449" i="14"/>
  <c r="E511" i="14"/>
  <c r="J511" i="14"/>
  <c r="B57" i="17" s="1"/>
  <c r="D57" i="17" s="1"/>
  <c r="J514" i="14"/>
  <c r="B60" i="17" s="1"/>
  <c r="D60" i="17" s="1"/>
  <c r="J810" i="14"/>
  <c r="B356" i="17" s="1"/>
  <c r="D356" i="17" s="1"/>
  <c r="G737" i="14"/>
  <c r="G721" i="14"/>
  <c r="G562" i="14"/>
  <c r="G558" i="14"/>
  <c r="H496" i="14"/>
  <c r="G487" i="14"/>
  <c r="G471" i="14"/>
  <c r="G459" i="14"/>
  <c r="H430" i="14"/>
  <c r="G271" i="14"/>
  <c r="G222" i="14"/>
  <c r="H188" i="14"/>
  <c r="G145" i="14"/>
  <c r="G127" i="14"/>
  <c r="H120" i="14"/>
  <c r="H80" i="14"/>
  <c r="G59" i="14"/>
  <c r="G20" i="14"/>
  <c r="G1253" i="14"/>
  <c r="K1303" i="14"/>
  <c r="K1291" i="14"/>
  <c r="K1283" i="14"/>
  <c r="K1263" i="14"/>
  <c r="K1243" i="14"/>
  <c r="K1203" i="14"/>
  <c r="J396" i="14"/>
  <c r="J744" i="14"/>
  <c r="J752" i="14"/>
  <c r="B298" i="17"/>
  <c r="J777" i="14"/>
  <c r="B323" i="17"/>
  <c r="J785" i="14"/>
  <c r="B331" i="17"/>
  <c r="J792" i="14"/>
  <c r="J92" i="14"/>
  <c r="J93" i="14"/>
  <c r="J118" i="14"/>
  <c r="J148" i="14"/>
  <c r="J162" i="14"/>
  <c r="J400" i="14"/>
  <c r="J427" i="14"/>
  <c r="J434" i="14"/>
  <c r="J437" i="14"/>
  <c r="J441" i="14"/>
  <c r="J445" i="14"/>
  <c r="J461" i="14"/>
  <c r="B7" i="17"/>
  <c r="J685" i="14"/>
  <c r="B231" i="17"/>
  <c r="J818" i="14"/>
  <c r="B364" i="17"/>
  <c r="J832" i="14"/>
  <c r="B378" i="17"/>
  <c r="J936" i="14"/>
  <c r="J1051" i="14"/>
  <c r="J310" i="14"/>
  <c r="J321" i="14"/>
  <c r="J392" i="14"/>
  <c r="J393" i="14"/>
  <c r="J426" i="14"/>
  <c r="J489" i="14"/>
  <c r="B35" i="17" s="1"/>
  <c r="D35" i="17" s="1"/>
  <c r="J505" i="14"/>
  <c r="J542" i="14"/>
  <c r="B88" i="17" s="1"/>
  <c r="D88" i="17" s="1"/>
  <c r="J544" i="14"/>
  <c r="B90" i="17" s="1"/>
  <c r="D90" i="17" s="1"/>
  <c r="J572" i="14"/>
  <c r="B118" i="17" s="1"/>
  <c r="D118" i="17" s="1"/>
  <c r="J753" i="14"/>
  <c r="J811" i="14"/>
  <c r="B357" i="17" s="1"/>
  <c r="D357" i="17" s="1"/>
  <c r="J858" i="14"/>
  <c r="B404" i="17" s="1"/>
  <c r="D404" i="17" s="1"/>
  <c r="J863" i="14"/>
  <c r="B409" i="17" s="1"/>
  <c r="D409" i="17" s="1"/>
  <c r="J992" i="14"/>
  <c r="J1042" i="14"/>
  <c r="J1049" i="14"/>
  <c r="E1049" i="14"/>
  <c r="J1066" i="14"/>
  <c r="E1066" i="14"/>
  <c r="J880" i="14"/>
  <c r="B426" i="17" s="1"/>
  <c r="D426" i="17" s="1"/>
  <c r="J929" i="14"/>
  <c r="J941" i="14"/>
  <c r="J947" i="14"/>
  <c r="J975" i="14"/>
  <c r="J989" i="14"/>
  <c r="J1050" i="14"/>
  <c r="J1058" i="14"/>
  <c r="J1068" i="14"/>
  <c r="J1110" i="14"/>
  <c r="J1164" i="14"/>
  <c r="J1442" i="14"/>
  <c r="J1455" i="14"/>
  <c r="E1455" i="14"/>
  <c r="G1455" i="14"/>
  <c r="J866" i="14"/>
  <c r="B412" i="17" s="1"/>
  <c r="D412" i="17" s="1"/>
  <c r="J876" i="14"/>
  <c r="B422" i="17" s="1"/>
  <c r="D422" i="17" s="1"/>
  <c r="J887" i="14"/>
  <c r="B433" i="17" s="1"/>
  <c r="D433" i="17" s="1"/>
  <c r="J940" i="14"/>
  <c r="J945" i="14"/>
  <c r="J1001" i="14"/>
  <c r="J1057" i="14"/>
  <c r="J1078" i="14"/>
  <c r="J1190" i="14"/>
  <c r="J1193" i="14"/>
  <c r="J1284" i="14"/>
  <c r="J1297" i="14"/>
  <c r="J1327" i="14"/>
  <c r="J1352" i="14"/>
  <c r="J1440" i="14"/>
  <c r="J1448" i="14"/>
  <c r="J1130" i="14"/>
  <c r="J1136" i="14"/>
  <c r="J1144" i="14"/>
  <c r="J1148" i="14"/>
  <c r="J1162" i="14"/>
  <c r="J1202" i="14"/>
  <c r="J1203" i="14"/>
  <c r="J1257" i="14"/>
  <c r="J1269" i="14"/>
  <c r="J1309" i="14"/>
  <c r="J1344" i="14"/>
  <c r="J1347" i="14"/>
  <c r="J1387" i="14"/>
  <c r="J1398" i="14"/>
  <c r="J1450" i="14"/>
  <c r="G1432" i="14"/>
  <c r="G438" i="14"/>
  <c r="F24" i="14"/>
  <c r="I24" i="14"/>
  <c r="G24" i="14"/>
  <c r="F25" i="14"/>
  <c r="I25" i="14"/>
  <c r="G25" i="14"/>
  <c r="F32" i="14"/>
  <c r="I32" i="14"/>
  <c r="G32" i="14"/>
  <c r="G34" i="14"/>
  <c r="F34" i="14"/>
  <c r="I34" i="14"/>
  <c r="F40" i="14"/>
  <c r="I40" i="14"/>
  <c r="G40" i="14"/>
  <c r="G50" i="14"/>
  <c r="F50" i="14"/>
  <c r="I50" i="14"/>
  <c r="F73" i="14"/>
  <c r="I73" i="14"/>
  <c r="G73" i="14"/>
  <c r="F84" i="14"/>
  <c r="I84" i="14"/>
  <c r="G84" i="14"/>
  <c r="G94" i="14"/>
  <c r="F94" i="14"/>
  <c r="I94" i="14"/>
  <c r="G103" i="14"/>
  <c r="F103" i="14"/>
  <c r="I103" i="14"/>
  <c r="F109" i="14"/>
  <c r="I109" i="14"/>
  <c r="G109" i="14"/>
  <c r="G119" i="14"/>
  <c r="F119" i="14"/>
  <c r="I119" i="14"/>
  <c r="F126" i="14"/>
  <c r="I126" i="14"/>
  <c r="G126" i="14"/>
  <c r="F133" i="14"/>
  <c r="I133" i="14"/>
  <c r="G133" i="14"/>
  <c r="F154" i="14"/>
  <c r="I154" i="14"/>
  <c r="G154" i="14"/>
  <c r="F156" i="14"/>
  <c r="I156" i="14"/>
  <c r="G156" i="14"/>
  <c r="F158" i="14"/>
  <c r="I158" i="14"/>
  <c r="G158" i="14"/>
  <c r="F200" i="14"/>
  <c r="I200" i="14"/>
  <c r="G200" i="14"/>
  <c r="F206" i="14"/>
  <c r="I206" i="14"/>
  <c r="G206" i="14"/>
  <c r="F238" i="14"/>
  <c r="I238" i="14"/>
  <c r="G238" i="14"/>
  <c r="F267" i="14"/>
  <c r="I267" i="14"/>
  <c r="G267" i="14"/>
  <c r="F296" i="14"/>
  <c r="I296" i="14"/>
  <c r="G296" i="14"/>
  <c r="F370" i="14"/>
  <c r="I370" i="14"/>
  <c r="G370" i="14"/>
  <c r="F1309" i="14"/>
  <c r="I1309" i="14"/>
  <c r="G1366" i="14"/>
  <c r="F28" i="14"/>
  <c r="I28" i="14"/>
  <c r="G28" i="14"/>
  <c r="G30" i="14"/>
  <c r="F30" i="14"/>
  <c r="I30" i="14"/>
  <c r="G54" i="14"/>
  <c r="F54" i="14"/>
  <c r="I54" i="14"/>
  <c r="F64" i="14"/>
  <c r="I64" i="14"/>
  <c r="G64" i="14"/>
  <c r="G71" i="14"/>
  <c r="F71" i="14"/>
  <c r="I71" i="14"/>
  <c r="F77" i="14"/>
  <c r="I77" i="14"/>
  <c r="G77" i="14"/>
  <c r="G82" i="14"/>
  <c r="F82" i="14"/>
  <c r="I82" i="14"/>
  <c r="F89" i="14"/>
  <c r="I89" i="14"/>
  <c r="G89" i="14"/>
  <c r="G90" i="14"/>
  <c r="F90" i="14"/>
  <c r="I90" i="14"/>
  <c r="F96" i="14"/>
  <c r="I96" i="14"/>
  <c r="G96" i="14"/>
  <c r="F105" i="14"/>
  <c r="I105" i="14"/>
  <c r="G105" i="14"/>
  <c r="G114" i="14"/>
  <c r="F114" i="14"/>
  <c r="I114" i="14"/>
  <c r="G123" i="14"/>
  <c r="F123" i="14"/>
  <c r="I123" i="14"/>
  <c r="G130" i="14"/>
  <c r="F130" i="14"/>
  <c r="I130" i="14"/>
  <c r="F141" i="14"/>
  <c r="I141" i="14"/>
  <c r="G141" i="14"/>
  <c r="F151" i="14"/>
  <c r="I151" i="14"/>
  <c r="G151" i="14"/>
  <c r="F224" i="14"/>
  <c r="I224" i="14"/>
  <c r="G224" i="14"/>
  <c r="F242" i="14"/>
  <c r="I242" i="14"/>
  <c r="G242" i="14"/>
  <c r="F324" i="14"/>
  <c r="I324" i="14"/>
  <c r="G324" i="14"/>
  <c r="G19" i="14"/>
  <c r="F19" i="14"/>
  <c r="I19" i="14"/>
  <c r="G23" i="14"/>
  <c r="F23" i="14"/>
  <c r="I23" i="14"/>
  <c r="F41" i="14"/>
  <c r="I41" i="14"/>
  <c r="G41" i="14"/>
  <c r="G47" i="14"/>
  <c r="F47" i="14"/>
  <c r="I47" i="14"/>
  <c r="F60" i="14"/>
  <c r="I60" i="14"/>
  <c r="G60" i="14"/>
  <c r="G62" i="14"/>
  <c r="F62" i="14"/>
  <c r="I62" i="14"/>
  <c r="G83" i="14"/>
  <c r="F83" i="14"/>
  <c r="I83" i="14"/>
  <c r="G95" i="14"/>
  <c r="F95" i="14"/>
  <c r="I95" i="14"/>
  <c r="F101" i="14"/>
  <c r="I101" i="14"/>
  <c r="G101" i="14"/>
  <c r="F108" i="14"/>
  <c r="I108" i="14"/>
  <c r="G108" i="14"/>
  <c r="F116" i="14"/>
  <c r="I116" i="14"/>
  <c r="G116" i="14"/>
  <c r="F125" i="14"/>
  <c r="I125" i="14"/>
  <c r="G125" i="14"/>
  <c r="G143" i="14"/>
  <c r="F143" i="14"/>
  <c r="I143" i="14"/>
  <c r="F153" i="14"/>
  <c r="I153" i="14"/>
  <c r="G153" i="14"/>
  <c r="G155" i="14"/>
  <c r="F155" i="14"/>
  <c r="I155" i="14"/>
  <c r="F157" i="14"/>
  <c r="I157" i="14"/>
  <c r="G157" i="14"/>
  <c r="G159" i="14"/>
  <c r="F159" i="14"/>
  <c r="I159" i="14"/>
  <c r="F174" i="14"/>
  <c r="I174" i="14"/>
  <c r="G174" i="14"/>
  <c r="F191" i="14"/>
  <c r="I191" i="14"/>
  <c r="G191" i="14"/>
  <c r="F232" i="14"/>
  <c r="I232" i="14"/>
  <c r="G232" i="14"/>
  <c r="F297" i="14"/>
  <c r="I297" i="14"/>
  <c r="G297" i="14"/>
  <c r="F302" i="14"/>
  <c r="I302" i="14"/>
  <c r="G302" i="14"/>
  <c r="F36" i="14"/>
  <c r="I36" i="14"/>
  <c r="G36" i="14"/>
  <c r="G37" i="14"/>
  <c r="F37" i="14"/>
  <c r="I37" i="14"/>
  <c r="G46" i="14"/>
  <c r="F46" i="14"/>
  <c r="I46" i="14"/>
  <c r="G51" i="14"/>
  <c r="F51" i="14"/>
  <c r="I51" i="14"/>
  <c r="G55" i="14"/>
  <c r="F55" i="14"/>
  <c r="I55" i="14"/>
  <c r="F65" i="14"/>
  <c r="I65" i="14"/>
  <c r="G65" i="14"/>
  <c r="G75" i="14"/>
  <c r="F75" i="14"/>
  <c r="I75" i="14"/>
  <c r="F81" i="14"/>
  <c r="I81" i="14"/>
  <c r="G81" i="14"/>
  <c r="G91" i="14"/>
  <c r="F91" i="14"/>
  <c r="I91" i="14"/>
  <c r="F97" i="14"/>
  <c r="I97" i="14"/>
  <c r="G97" i="14"/>
  <c r="F100" i="14"/>
  <c r="I100" i="14"/>
  <c r="G100" i="14"/>
  <c r="F104" i="14"/>
  <c r="I104" i="14"/>
  <c r="G104" i="14"/>
  <c r="G107" i="14"/>
  <c r="F107" i="14"/>
  <c r="I107" i="14"/>
  <c r="G111" i="14"/>
  <c r="F111" i="14"/>
  <c r="I111" i="14"/>
  <c r="G115" i="14"/>
  <c r="F115" i="14"/>
  <c r="I115" i="14"/>
  <c r="F124" i="14"/>
  <c r="I124" i="14"/>
  <c r="G124" i="14"/>
  <c r="F137" i="14"/>
  <c r="I137" i="14"/>
  <c r="G137" i="14"/>
  <c r="F142" i="14"/>
  <c r="I142" i="14"/>
  <c r="G142" i="14"/>
  <c r="F152" i="14"/>
  <c r="I152" i="14"/>
  <c r="G152" i="14"/>
  <c r="F218" i="14"/>
  <c r="I218" i="14"/>
  <c r="G218" i="14"/>
  <c r="F228" i="14"/>
  <c r="I228" i="14"/>
  <c r="G228" i="14"/>
  <c r="F332" i="14"/>
  <c r="I332" i="14"/>
  <c r="G332" i="14"/>
  <c r="F359" i="14"/>
  <c r="I359" i="14"/>
  <c r="G359" i="14"/>
  <c r="J24" i="14"/>
  <c r="J36" i="14"/>
  <c r="J75" i="14"/>
  <c r="J97" i="14"/>
  <c r="J101" i="14"/>
  <c r="J105" i="14"/>
  <c r="J109" i="14"/>
  <c r="J126" i="14"/>
  <c r="J140" i="14"/>
  <c r="J150" i="14"/>
  <c r="J174" i="14"/>
  <c r="E246" i="14"/>
  <c r="J264" i="14"/>
  <c r="J298" i="14"/>
  <c r="J146" i="14"/>
  <c r="J176" i="14"/>
  <c r="J386" i="14"/>
  <c r="J411" i="14"/>
  <c r="E411" i="14"/>
  <c r="E445" i="14"/>
  <c r="J467" i="14"/>
  <c r="B13" i="17" s="1"/>
  <c r="D13" i="17" s="1"/>
  <c r="J492" i="14"/>
  <c r="B38" i="17" s="1"/>
  <c r="D38" i="17" s="1"/>
  <c r="E772" i="14"/>
  <c r="J772" i="14"/>
  <c r="B318" i="17" s="1"/>
  <c r="D318" i="17" s="1"/>
  <c r="J466" i="14"/>
  <c r="B12" i="17" s="1"/>
  <c r="D12" i="17" s="1"/>
  <c r="J480" i="14"/>
  <c r="B26" i="17" s="1"/>
  <c r="D26" i="17" s="1"/>
  <c r="J633" i="14"/>
  <c r="B179" i="17" s="1"/>
  <c r="E1099" i="14"/>
  <c r="J1099" i="14"/>
  <c r="J693" i="14"/>
  <c r="B239" i="17" s="1"/>
  <c r="D239" i="17" s="1"/>
  <c r="J738" i="14"/>
  <c r="B284" i="17" s="1"/>
  <c r="D284" i="17" s="1"/>
  <c r="J766" i="14"/>
  <c r="B312" i="17" s="1"/>
  <c r="D312" i="17" s="1"/>
  <c r="J791" i="14"/>
  <c r="B337" i="17" s="1"/>
  <c r="D337" i="17" s="1"/>
  <c r="E791" i="14"/>
  <c r="J814" i="14"/>
  <c r="B360" i="17" s="1"/>
  <c r="J749" i="14"/>
  <c r="B295" i="17" s="1"/>
  <c r="D295" i="17" s="1"/>
  <c r="J757" i="14"/>
  <c r="B303" i="17" s="1"/>
  <c r="J768" i="14"/>
  <c r="B314" i="17" s="1"/>
  <c r="D314" i="17" s="1"/>
  <c r="E768" i="14"/>
  <c r="J770" i="14"/>
  <c r="B316" i="17" s="1"/>
  <c r="D316" i="17" s="1"/>
  <c r="J786" i="14"/>
  <c r="B332" i="17" s="1"/>
  <c r="D332" i="17" s="1"/>
  <c r="E823" i="14"/>
  <c r="J823" i="14"/>
  <c r="B369" i="17" s="1"/>
  <c r="D369" i="17" s="1"/>
  <c r="J829" i="14"/>
  <c r="B375" i="17" s="1"/>
  <c r="D375" i="17" s="1"/>
  <c r="E832" i="14"/>
  <c r="J847" i="14"/>
  <c r="B393" i="17" s="1"/>
  <c r="D393" i="17" s="1"/>
  <c r="J888" i="14"/>
  <c r="B434" i="17" s="1"/>
  <c r="D434" i="17" s="1"/>
  <c r="E929" i="14"/>
  <c r="J944" i="14"/>
  <c r="E944" i="14"/>
  <c r="G944" i="14"/>
  <c r="E997" i="14"/>
  <c r="F997" i="14"/>
  <c r="I997" i="14"/>
  <c r="J997" i="14"/>
  <c r="E1035" i="14"/>
  <c r="J1035" i="14"/>
  <c r="J739" i="14"/>
  <c r="B285" i="17" s="1"/>
  <c r="D285" i="17" s="1"/>
  <c r="E739" i="14"/>
  <c r="J937" i="14"/>
  <c r="J968" i="14"/>
  <c r="E989" i="14"/>
  <c r="J1000" i="14"/>
  <c r="E1028" i="14"/>
  <c r="E1150" i="14"/>
  <c r="F1150" i="14"/>
  <c r="I1150" i="14"/>
  <c r="J1150" i="14"/>
  <c r="J1036" i="14"/>
  <c r="E1065" i="14"/>
  <c r="J1065" i="14"/>
  <c r="J1069" i="14"/>
  <c r="J840" i="14"/>
  <c r="B386" i="17" s="1"/>
  <c r="D386" i="17" s="1"/>
  <c r="J857" i="14"/>
  <c r="B403" i="17" s="1"/>
  <c r="D403" i="17" s="1"/>
  <c r="J895" i="14"/>
  <c r="B441" i="17" s="1"/>
  <c r="D441" i="17" s="1"/>
  <c r="J991" i="14"/>
  <c r="J999" i="14"/>
  <c r="J1007" i="14"/>
  <c r="J1052" i="14"/>
  <c r="J1108" i="14"/>
  <c r="J1142" i="14"/>
  <c r="J1061" i="14"/>
  <c r="J1071" i="14"/>
  <c r="J1080" i="14"/>
  <c r="J1100" i="14"/>
  <c r="J1075" i="14"/>
  <c r="J1115" i="14"/>
  <c r="J1178" i="14"/>
  <c r="J1187" i="14"/>
  <c r="J1227" i="14"/>
  <c r="J1248" i="14"/>
  <c r="J1470" i="14"/>
  <c r="H1470" i="14"/>
  <c r="J1214" i="14"/>
  <c r="J1226" i="14"/>
  <c r="J1241" i="14"/>
  <c r="J1277" i="14"/>
  <c r="J1290" i="14"/>
  <c r="E1417" i="14"/>
  <c r="G1417" i="14"/>
  <c r="J1417" i="14"/>
  <c r="J1280" i="14"/>
  <c r="J1331" i="14"/>
  <c r="J1336" i="14"/>
  <c r="J1371" i="14"/>
  <c r="J1388" i="14"/>
  <c r="J1409" i="14"/>
  <c r="K1471" i="14"/>
  <c r="H1471" i="14"/>
  <c r="J1404" i="14"/>
  <c r="J1466" i="14"/>
  <c r="J1467" i="14"/>
  <c r="B59" i="17"/>
  <c r="B10" i="17"/>
  <c r="B286" i="17"/>
  <c r="B326" i="17"/>
  <c r="B147" i="17"/>
  <c r="B63" i="17"/>
  <c r="B347" i="17"/>
  <c r="B85" i="17"/>
  <c r="B291" i="17"/>
  <c r="B42" i="17"/>
  <c r="B51" i="17"/>
  <c r="B290" i="17"/>
  <c r="F748" i="14"/>
  <c r="I748" i="14"/>
  <c r="G748" i="14"/>
  <c r="F511" i="14"/>
  <c r="I511" i="14"/>
  <c r="G511" i="14"/>
  <c r="B299" i="17"/>
  <c r="B338" i="17"/>
  <c r="F449" i="14"/>
  <c r="I449" i="14"/>
  <c r="G449" i="14"/>
  <c r="F566" i="14"/>
  <c r="I566" i="14"/>
  <c r="G566" i="14"/>
  <c r="F1066" i="14"/>
  <c r="I1066" i="14"/>
  <c r="G1066" i="14"/>
  <c r="F739" i="14"/>
  <c r="I739" i="14"/>
  <c r="G739" i="14"/>
  <c r="F445" i="14"/>
  <c r="I445" i="14"/>
  <c r="G445" i="14"/>
  <c r="G1150" i="14"/>
  <c r="G997" i="14"/>
  <c r="F768" i="14"/>
  <c r="I768" i="14"/>
  <c r="G768" i="14"/>
  <c r="F772" i="14"/>
  <c r="I772" i="14"/>
  <c r="G772" i="14"/>
  <c r="F411" i="14"/>
  <c r="I411" i="14"/>
  <c r="G411" i="14"/>
  <c r="F989" i="14"/>
  <c r="I989" i="14"/>
  <c r="G989" i="14"/>
  <c r="F1099" i="14"/>
  <c r="I1099" i="14"/>
  <c r="G1099" i="14"/>
  <c r="G246" i="14"/>
  <c r="F246" i="14"/>
  <c r="I246" i="14"/>
  <c r="F944" i="14"/>
  <c r="I944" i="14"/>
  <c r="F823" i="14"/>
  <c r="I823" i="14"/>
  <c r="G823" i="14"/>
  <c r="F791" i="14"/>
  <c r="I791" i="14"/>
  <c r="G791" i="14"/>
  <c r="F929" i="14"/>
  <c r="I929" i="14"/>
  <c r="G929" i="14"/>
  <c r="F1035" i="14"/>
  <c r="I1035" i="14"/>
  <c r="G1035" i="14"/>
  <c r="F832" i="14"/>
  <c r="I832" i="14"/>
  <c r="G832" i="14"/>
  <c r="B110" i="11"/>
  <c r="T20" i="3"/>
  <c r="T116" i="3"/>
  <c r="T105" i="3"/>
  <c r="T38" i="3"/>
  <c r="T55" i="3"/>
  <c r="T34" i="3"/>
  <c r="O172" i="3"/>
  <c r="O105" i="3"/>
  <c r="O75" i="3"/>
  <c r="O56" i="3"/>
  <c r="O49" i="3"/>
  <c r="O36" i="3"/>
  <c r="O22" i="3"/>
  <c r="O150" i="3"/>
  <c r="O121" i="3"/>
  <c r="O110" i="3"/>
  <c r="O100" i="3"/>
  <c r="O155" i="3"/>
  <c r="O31" i="3"/>
  <c r="O63" i="3"/>
  <c r="T78" i="3"/>
  <c r="T89" i="3"/>
  <c r="O123" i="3"/>
  <c r="O134" i="3"/>
  <c r="T153" i="3"/>
  <c r="T166" i="3"/>
  <c r="O51" i="3"/>
  <c r="O62" i="3"/>
  <c r="O76" i="3"/>
  <c r="O93" i="3"/>
  <c r="T113" i="3"/>
  <c r="T129" i="3"/>
  <c r="T143" i="3"/>
  <c r="O162" i="3"/>
  <c r="O41" i="3"/>
  <c r="O61" i="3"/>
  <c r="T76" i="3"/>
  <c r="T138" i="3"/>
  <c r="O148" i="3"/>
  <c r="O28" i="3"/>
  <c r="T57" i="3"/>
  <c r="O72" i="3"/>
  <c r="T87" i="3"/>
  <c r="O94" i="3"/>
  <c r="T133" i="3"/>
  <c r="O161" i="3"/>
  <c r="T85" i="3"/>
  <c r="T167" i="3"/>
  <c r="T135" i="3"/>
  <c r="T115" i="3"/>
  <c r="T119" i="3"/>
  <c r="T121" i="3"/>
  <c r="T103" i="3"/>
  <c r="T101" i="3"/>
  <c r="T95" i="3"/>
  <c r="T79" i="3"/>
  <c r="T71" i="3"/>
  <c r="T75" i="3"/>
  <c r="T44" i="3"/>
  <c r="T21" i="3"/>
  <c r="T33" i="3"/>
  <c r="T52" i="3"/>
  <c r="T29" i="3"/>
  <c r="T136" i="3"/>
  <c r="T88" i="3"/>
  <c r="T31" i="3"/>
  <c r="T37" i="3"/>
  <c r="O140" i="3"/>
  <c r="O104" i="3"/>
  <c r="O117" i="3"/>
  <c r="O84" i="3"/>
  <c r="O74" i="3"/>
  <c r="O69" i="3"/>
  <c r="O55" i="3"/>
  <c r="O46" i="3"/>
  <c r="O39" i="3"/>
  <c r="O35" i="3"/>
  <c r="O30" i="3"/>
  <c r="O25" i="3"/>
  <c r="O21" i="3"/>
  <c r="O97" i="3"/>
  <c r="O163" i="3"/>
  <c r="O119" i="3"/>
  <c r="O109" i="3"/>
  <c r="O99" i="3"/>
  <c r="O126" i="3"/>
  <c r="O128" i="3"/>
  <c r="T42" i="3"/>
  <c r="O53" i="3"/>
  <c r="O68" i="3"/>
  <c r="O80" i="3"/>
  <c r="T92" i="3"/>
  <c r="O111" i="3"/>
  <c r="O125" i="3"/>
  <c r="O136" i="3"/>
  <c r="O147" i="3"/>
  <c r="O156" i="3"/>
  <c r="O169" i="3"/>
  <c r="T53" i="3"/>
  <c r="T63" i="3"/>
  <c r="T77" i="3"/>
  <c r="O102" i="3"/>
  <c r="T120" i="3"/>
  <c r="T134" i="3"/>
  <c r="O144" i="3"/>
  <c r="O154" i="3"/>
  <c r="O165" i="3"/>
  <c r="T51" i="3"/>
  <c r="T62" i="3"/>
  <c r="O87" i="3"/>
  <c r="O124" i="3"/>
  <c r="T141" i="3"/>
  <c r="T152" i="3"/>
  <c r="T165" i="3"/>
  <c r="O42" i="3"/>
  <c r="O60" i="3"/>
  <c r="O78" i="3"/>
  <c r="O89" i="3"/>
  <c r="O96" i="3"/>
  <c r="O137" i="3"/>
  <c r="O151" i="3"/>
  <c r="O166" i="3"/>
  <c r="T164" i="3"/>
  <c r="T160" i="3"/>
  <c r="T140" i="3"/>
  <c r="T128" i="3"/>
  <c r="T109" i="3"/>
  <c r="T118" i="3"/>
  <c r="T114" i="3"/>
  <c r="T98" i="3"/>
  <c r="T100" i="3"/>
  <c r="T91" i="3"/>
  <c r="T107" i="3"/>
  <c r="T69" i="3"/>
  <c r="T70" i="3"/>
  <c r="T36" i="3"/>
  <c r="T67" i="3"/>
  <c r="T27" i="3"/>
  <c r="T46" i="3"/>
  <c r="T24" i="3"/>
  <c r="T127" i="3"/>
  <c r="T41" i="3"/>
  <c r="T173" i="3"/>
  <c r="O173" i="3"/>
  <c r="S173" i="3"/>
  <c r="O139" i="3"/>
  <c r="S139" i="3"/>
  <c r="O132" i="3"/>
  <c r="O107" i="3"/>
  <c r="O82" i="3"/>
  <c r="O73" i="3"/>
  <c r="O67" i="3"/>
  <c r="O54" i="3"/>
  <c r="O45" i="3"/>
  <c r="O38" i="3"/>
  <c r="O34" i="3"/>
  <c r="O29" i="3"/>
  <c r="O24" i="3"/>
  <c r="O20" i="3"/>
  <c r="O95" i="3"/>
  <c r="O135" i="3"/>
  <c r="O116" i="3"/>
  <c r="O106" i="3"/>
  <c r="O98" i="3"/>
  <c r="O115" i="3"/>
  <c r="O85" i="3"/>
  <c r="T47" i="3"/>
  <c r="O59" i="3"/>
  <c r="T72" i="3"/>
  <c r="T81" i="3"/>
  <c r="T94" i="3"/>
  <c r="O113" i="3"/>
  <c r="O127" i="3"/>
  <c r="T137" i="3"/>
  <c r="O149" i="3"/>
  <c r="T158" i="3"/>
  <c r="O40" i="3"/>
  <c r="O58" i="3"/>
  <c r="O66" i="3"/>
  <c r="T80" i="3"/>
  <c r="T108" i="3"/>
  <c r="T123" i="3"/>
  <c r="O138" i="3"/>
  <c r="T147" i="3"/>
  <c r="T156" i="3"/>
  <c r="T169" i="3"/>
  <c r="O57" i="3"/>
  <c r="O64" i="3"/>
  <c r="O90" i="3"/>
  <c r="O130" i="3"/>
  <c r="T144" i="3"/>
  <c r="T154" i="3"/>
  <c r="O168" i="3"/>
  <c r="O47" i="3"/>
  <c r="T61" i="3"/>
  <c r="O81" i="3"/>
  <c r="T90" i="3"/>
  <c r="T124" i="3"/>
  <c r="O142" i="3"/>
  <c r="O153" i="3"/>
  <c r="T168" i="3"/>
  <c r="T163" i="3"/>
  <c r="T146" i="3"/>
  <c r="T139" i="3"/>
  <c r="Z139" i="3"/>
  <c r="T131" i="3"/>
  <c r="T122" i="3"/>
  <c r="T110" i="3"/>
  <c r="T106" i="3"/>
  <c r="T112" i="3"/>
  <c r="T99" i="3"/>
  <c r="T84" i="3"/>
  <c r="T86" i="3"/>
  <c r="T65" i="3"/>
  <c r="T54" i="3"/>
  <c r="Z54" i="3"/>
  <c r="T32" i="3"/>
  <c r="T45" i="3"/>
  <c r="T56" i="3"/>
  <c r="T39" i="3"/>
  <c r="T23" i="3"/>
  <c r="T35" i="3"/>
  <c r="T172" i="3"/>
  <c r="T171" i="3"/>
  <c r="O146" i="3"/>
  <c r="O114" i="3"/>
  <c r="O122" i="3"/>
  <c r="O101" i="3"/>
  <c r="O79" i="3"/>
  <c r="O71" i="3"/>
  <c r="O65" i="3"/>
  <c r="O52" i="3"/>
  <c r="O44" i="3"/>
  <c r="O37" i="3"/>
  <c r="O33" i="3"/>
  <c r="O27" i="3"/>
  <c r="O23" i="3"/>
  <c r="O157" i="3"/>
  <c r="O86" i="3"/>
  <c r="O131" i="3"/>
  <c r="O112" i="3"/>
  <c r="O103" i="3"/>
  <c r="O171" i="3"/>
  <c r="S171" i="3"/>
  <c r="O164" i="3"/>
  <c r="T28" i="3"/>
  <c r="T48" i="3"/>
  <c r="T60" i="3"/>
  <c r="O77" i="3"/>
  <c r="T83" i="3"/>
  <c r="T96" i="3"/>
  <c r="O120" i="3"/>
  <c r="O129" i="3"/>
  <c r="T142" i="3"/>
  <c r="T151" i="3"/>
  <c r="T161" i="3"/>
  <c r="T50" i="3"/>
  <c r="T59" i="3"/>
  <c r="T68" i="3"/>
  <c r="O88" i="3"/>
  <c r="T111" i="3"/>
  <c r="T125" i="3"/>
  <c r="O141" i="3"/>
  <c r="T149" i="3"/>
  <c r="O159" i="3"/>
  <c r="T40" i="3"/>
  <c r="T58" i="3"/>
  <c r="T66" i="3"/>
  <c r="T93" i="3"/>
  <c r="O133" i="3"/>
  <c r="O145" i="3"/>
  <c r="T159" i="3"/>
  <c r="O170" i="3"/>
  <c r="O48" i="3"/>
  <c r="T64" i="3"/>
  <c r="O83" i="3"/>
  <c r="O92" i="3"/>
  <c r="T130" i="3"/>
  <c r="T145" i="3"/>
  <c r="O158" i="3"/>
  <c r="T170" i="3"/>
  <c r="T43" i="3"/>
  <c r="T26" i="3"/>
  <c r="T82" i="3"/>
  <c r="T126" i="3"/>
  <c r="T150" i="3"/>
  <c r="T157" i="3"/>
  <c r="T104" i="3"/>
  <c r="T117" i="3"/>
  <c r="AH139" i="3"/>
  <c r="I122" i="14"/>
  <c r="I149" i="14"/>
  <c r="I165" i="14"/>
  <c r="I169" i="14"/>
  <c r="I185" i="14"/>
  <c r="I252" i="14"/>
  <c r="I335" i="14"/>
  <c r="I88" i="14"/>
  <c r="I172" i="14"/>
  <c r="I175" i="14"/>
  <c r="I362" i="14"/>
  <c r="I368" i="14"/>
  <c r="I613" i="14"/>
  <c r="I1299" i="14"/>
  <c r="I127" i="14"/>
  <c r="I150" i="14"/>
  <c r="I176" i="14"/>
  <c r="I217" i="14"/>
  <c r="I294" i="14"/>
  <c r="I304" i="14"/>
  <c r="I383" i="14"/>
  <c r="I421" i="14"/>
  <c r="I1015" i="14"/>
  <c r="I1077" i="14"/>
  <c r="I59" i="14"/>
  <c r="I148" i="14"/>
  <c r="I180" i="14"/>
  <c r="I226" i="14"/>
  <c r="I328" i="14"/>
  <c r="I543" i="14"/>
  <c r="I873" i="14"/>
  <c r="I912" i="14"/>
  <c r="P54" i="3"/>
  <c r="S54" i="3"/>
  <c r="W157" i="3"/>
  <c r="Y157" i="3"/>
  <c r="W141" i="3"/>
  <c r="W138" i="3"/>
  <c r="Y138" i="3"/>
  <c r="Y132" i="3"/>
  <c r="W132" i="3"/>
  <c r="W119" i="3"/>
  <c r="Y119" i="3"/>
  <c r="X117" i="3"/>
  <c r="W117" i="3"/>
  <c r="W110" i="3"/>
  <c r="Y110" i="3"/>
  <c r="W88" i="3"/>
  <c r="Y88" i="3"/>
  <c r="Y87" i="3"/>
  <c r="W77" i="3"/>
  <c r="Y77" i="3"/>
  <c r="X172" i="3"/>
  <c r="P172" i="3"/>
  <c r="S172" i="3"/>
  <c r="U172" i="3"/>
  <c r="P168" i="3"/>
  <c r="Y117" i="3"/>
  <c r="Y159" i="3"/>
  <c r="W159" i="3"/>
  <c r="W142" i="3"/>
  <c r="Y134" i="3"/>
  <c r="W134" i="3"/>
  <c r="W49" i="3"/>
  <c r="W26" i="3"/>
  <c r="W20" i="3"/>
  <c r="W70" i="3"/>
  <c r="Y162" i="3"/>
  <c r="W162" i="3"/>
  <c r="W156" i="3"/>
  <c r="W149" i="3"/>
  <c r="W126" i="3"/>
  <c r="W125" i="3"/>
  <c r="W46" i="3"/>
  <c r="Y141" i="3"/>
  <c r="W87" i="3"/>
  <c r="AH54" i="3"/>
  <c r="Z172" i="3"/>
  <c r="J882" i="14"/>
  <c r="B428" i="17"/>
  <c r="J872" i="14"/>
  <c r="B418" i="17"/>
  <c r="J407" i="14"/>
  <c r="J22" i="16"/>
  <c r="B15" i="4" s="1"/>
  <c r="J899" i="14" s="1"/>
  <c r="J830" i="14"/>
  <c r="B376" i="17"/>
  <c r="J447" i="14"/>
  <c r="J395" i="14"/>
  <c r="J86" i="19"/>
  <c r="J53" i="19"/>
  <c r="J54" i="19"/>
  <c r="J55" i="19"/>
  <c r="J64" i="19"/>
  <c r="J35" i="19"/>
  <c r="J98" i="19"/>
  <c r="J43" i="19"/>
  <c r="J41" i="19"/>
  <c r="J61" i="19"/>
  <c r="J83" i="19"/>
  <c r="J31" i="19"/>
  <c r="J87" i="19"/>
  <c r="J67" i="19"/>
  <c r="J82" i="19"/>
  <c r="J26" i="19"/>
  <c r="J78" i="19"/>
  <c r="J45" i="19"/>
  <c r="J113" i="19"/>
  <c r="J72" i="19"/>
  <c r="J29" i="19"/>
  <c r="J42" i="19"/>
  <c r="J34" i="19"/>
  <c r="J88" i="19"/>
  <c r="J36" i="19"/>
  <c r="J79" i="19"/>
  <c r="J33" i="19"/>
  <c r="J20" i="19"/>
  <c r="J37" i="19"/>
  <c r="J91" i="19"/>
  <c r="J22" i="19"/>
  <c r="J92" i="19"/>
  <c r="J68" i="19"/>
  <c r="J84" i="19"/>
  <c r="J23" i="19"/>
  <c r="J70" i="19"/>
  <c r="J21" i="19"/>
  <c r="J97" i="19"/>
  <c r="J58" i="19"/>
  <c r="J66" i="19"/>
  <c r="J24" i="19"/>
  <c r="J71" i="19"/>
  <c r="J63" i="19"/>
  <c r="J74" i="19"/>
  <c r="J110" i="19"/>
  <c r="J30" i="19"/>
  <c r="J106" i="19"/>
  <c r="J62" i="19"/>
  <c r="J94" i="19"/>
  <c r="J32" i="19"/>
  <c r="J112" i="19"/>
  <c r="J57" i="19"/>
  <c r="J99" i="19"/>
  <c r="J85" i="19"/>
  <c r="J101" i="19"/>
  <c r="J102" i="19"/>
  <c r="J93" i="19"/>
  <c r="J108" i="19"/>
  <c r="J65" i="19"/>
  <c r="J104" i="19"/>
  <c r="J89" i="19"/>
  <c r="J105" i="19"/>
  <c r="J115" i="19"/>
  <c r="J59" i="19"/>
  <c r="J76" i="19"/>
  <c r="J90" i="19"/>
  <c r="J81" i="19"/>
  <c r="J49" i="19"/>
  <c r="J73" i="19"/>
  <c r="J51" i="19"/>
  <c r="J107" i="19"/>
  <c r="J109" i="19"/>
  <c r="J95" i="19"/>
  <c r="J25" i="19"/>
  <c r="J103" i="19"/>
  <c r="J40" i="19"/>
  <c r="J50" i="19"/>
  <c r="J111" i="19"/>
  <c r="J44" i="19"/>
  <c r="J114" i="19"/>
  <c r="J46" i="19"/>
  <c r="J100" i="19"/>
  <c r="J80" i="19"/>
  <c r="J27" i="19"/>
  <c r="J47" i="19"/>
  <c r="J77" i="19"/>
  <c r="J48" i="19"/>
  <c r="I19" i="19"/>
  <c r="J19" i="19" s="1"/>
  <c r="J52" i="19"/>
  <c r="J28" i="19"/>
  <c r="J39" i="19"/>
  <c r="J69" i="19"/>
  <c r="J38" i="19"/>
  <c r="J75" i="19"/>
  <c r="J60" i="19"/>
  <c r="J56" i="19"/>
  <c r="J20" i="18"/>
  <c r="J60" i="18"/>
  <c r="J45" i="18"/>
  <c r="J26" i="18"/>
  <c r="J58" i="18"/>
  <c r="J32" i="18"/>
  <c r="J59" i="18"/>
  <c r="J100" i="18"/>
  <c r="J82" i="18"/>
  <c r="J86" i="18"/>
  <c r="J79" i="18"/>
  <c r="J115" i="18"/>
  <c r="J21" i="18"/>
  <c r="J64" i="18"/>
  <c r="J49" i="18"/>
  <c r="J30" i="18"/>
  <c r="J62" i="18"/>
  <c r="J33" i="18"/>
  <c r="J63" i="18"/>
  <c r="J104" i="18"/>
  <c r="J85" i="18"/>
  <c r="J90" i="18"/>
  <c r="J81" i="18"/>
  <c r="J111" i="18"/>
  <c r="J37" i="18"/>
  <c r="J68" i="18"/>
  <c r="J53" i="18"/>
  <c r="J35" i="18"/>
  <c r="J66" i="18"/>
  <c r="J34" i="18"/>
  <c r="J67" i="18"/>
  <c r="J108" i="18"/>
  <c r="J89" i="18"/>
  <c r="J94" i="18"/>
  <c r="J83" i="18"/>
  <c r="J114" i="18"/>
  <c r="J41" i="18"/>
  <c r="J23" i="18"/>
  <c r="J57" i="18"/>
  <c r="J39" i="18"/>
  <c r="J70" i="18"/>
  <c r="J38" i="18"/>
  <c r="J75" i="18"/>
  <c r="J112" i="18"/>
  <c r="J93" i="18"/>
  <c r="J98" i="18"/>
  <c r="J87" i="18"/>
  <c r="J73" i="18"/>
  <c r="J44" i="18"/>
  <c r="J27" i="18"/>
  <c r="J61" i="18"/>
  <c r="J43" i="18"/>
  <c r="J22" i="18"/>
  <c r="J42" i="18"/>
  <c r="J84" i="18"/>
  <c r="J74" i="18"/>
  <c r="J97" i="18"/>
  <c r="J102" i="18"/>
  <c r="J91" i="18"/>
  <c r="J72" i="18"/>
  <c r="J48" i="18"/>
  <c r="J29" i="18"/>
  <c r="J65" i="18"/>
  <c r="J46" i="18"/>
  <c r="J25" i="18"/>
  <c r="J47" i="18"/>
  <c r="J88" i="18"/>
  <c r="J76" i="18"/>
  <c r="J101" i="18"/>
  <c r="J106" i="18"/>
  <c r="J95" i="18"/>
  <c r="J71" i="18"/>
  <c r="J52" i="18"/>
  <c r="J36" i="18"/>
  <c r="J69" i="18"/>
  <c r="J50" i="18"/>
  <c r="J28" i="18"/>
  <c r="J51" i="18"/>
  <c r="J92" i="18"/>
  <c r="J78" i="18"/>
  <c r="J105" i="18"/>
  <c r="J110" i="18"/>
  <c r="J99" i="18"/>
  <c r="J19" i="18"/>
  <c r="J56" i="18"/>
  <c r="J40" i="18"/>
  <c r="J24" i="18"/>
  <c r="J54" i="18"/>
  <c r="J31" i="18"/>
  <c r="J55" i="18"/>
  <c r="J96" i="18"/>
  <c r="J80" i="18"/>
  <c r="J109" i="18"/>
  <c r="J77" i="18"/>
  <c r="J103" i="18"/>
  <c r="J113" i="18"/>
  <c r="J107" i="18"/>
  <c r="H16" i="18"/>
  <c r="T155" i="3"/>
  <c r="T148" i="3"/>
  <c r="T162" i="3"/>
  <c r="T102" i="3"/>
  <c r="O152" i="3"/>
  <c r="O143" i="3"/>
  <c r="O108" i="3"/>
  <c r="O50" i="3"/>
  <c r="O160" i="3"/>
  <c r="O26" i="3"/>
  <c r="O43" i="3"/>
  <c r="O70" i="3"/>
  <c r="O91" i="3"/>
  <c r="T22" i="3"/>
  <c r="T49" i="3"/>
  <c r="T132" i="3"/>
  <c r="V126" i="3"/>
  <c r="V114" i="3"/>
  <c r="V116" i="3"/>
  <c r="V97" i="3"/>
  <c r="V104" i="3"/>
  <c r="V65" i="3"/>
  <c r="V56" i="3"/>
  <c r="V35" i="3"/>
  <c r="V36" i="3"/>
  <c r="V38" i="3"/>
  <c r="V34" i="3"/>
  <c r="V31" i="3"/>
  <c r="V41" i="3"/>
  <c r="R140" i="3"/>
  <c r="R117" i="3"/>
  <c r="S117" i="3"/>
  <c r="R112" i="3"/>
  <c r="R106" i="3"/>
  <c r="R56" i="3"/>
  <c r="R49" i="3"/>
  <c r="R43" i="3"/>
  <c r="R36" i="3"/>
  <c r="R97" i="3"/>
  <c r="R98" i="3"/>
  <c r="R23" i="3"/>
  <c r="V140" i="3"/>
  <c r="V117" i="3"/>
  <c r="Z117" i="3"/>
  <c r="V105" i="3"/>
  <c r="V101" i="3"/>
  <c r="V98" i="3"/>
  <c r="V99" i="3"/>
  <c r="V46" i="3"/>
  <c r="V43" i="3"/>
  <c r="V44" i="3"/>
  <c r="V45" i="3"/>
  <c r="V23" i="3"/>
  <c r="V24" i="3"/>
  <c r="V21" i="3"/>
  <c r="R146" i="3"/>
  <c r="R118" i="3"/>
  <c r="R114" i="3"/>
  <c r="R107" i="3"/>
  <c r="R65" i="3"/>
  <c r="O167" i="3"/>
  <c r="O32" i="3"/>
  <c r="O118" i="3"/>
  <c r="T30" i="3"/>
  <c r="T25" i="3"/>
  <c r="T74" i="3"/>
  <c r="T73" i="3"/>
  <c r="T97" i="3"/>
  <c r="F1118" i="14"/>
  <c r="I1118" i="14"/>
  <c r="G1118" i="14"/>
  <c r="F1146" i="14"/>
  <c r="I1146" i="14"/>
  <c r="G1146" i="14"/>
  <c r="G648" i="14"/>
  <c r="V48" i="1"/>
  <c r="W66" i="3"/>
  <c r="W135" i="3"/>
  <c r="W171" i="3"/>
  <c r="Z171" i="3"/>
  <c r="W76" i="3"/>
  <c r="W173" i="3"/>
  <c r="Z173" i="3"/>
  <c r="W24" i="3"/>
  <c r="W44" i="3"/>
  <c r="W115" i="3"/>
  <c r="R74" i="12"/>
  <c r="R90" i="12"/>
  <c r="B92" i="12"/>
  <c r="F162" i="14"/>
  <c r="I162" i="14"/>
  <c r="G162" i="14"/>
  <c r="F199" i="14"/>
  <c r="I199" i="14"/>
  <c r="G199" i="14"/>
  <c r="F205" i="14"/>
  <c r="I205" i="14"/>
  <c r="G205" i="14"/>
  <c r="F255" i="14"/>
  <c r="I255" i="14"/>
  <c r="G255" i="14"/>
  <c r="F300" i="14"/>
  <c r="I300" i="14"/>
  <c r="G300" i="14"/>
  <c r="F355" i="14"/>
  <c r="I355" i="14"/>
  <c r="G355" i="14"/>
  <c r="F357" i="14"/>
  <c r="I357" i="14"/>
  <c r="G357" i="14"/>
  <c r="I1271" i="14"/>
  <c r="W47" i="1"/>
  <c r="M11" i="1"/>
  <c r="Q47" i="1"/>
  <c r="J48" i="1"/>
  <c r="J11" i="1"/>
  <c r="R11" i="1"/>
  <c r="K12" i="1"/>
  <c r="S12" i="1"/>
  <c r="N13" i="1"/>
  <c r="V13" i="1"/>
  <c r="O14" i="1"/>
  <c r="W14" i="1"/>
  <c r="J15" i="1"/>
  <c r="R15" i="1"/>
  <c r="K16" i="1"/>
  <c r="S16" i="1"/>
  <c r="N17" i="1"/>
  <c r="V17" i="1"/>
  <c r="O18" i="1"/>
  <c r="W18" i="1"/>
  <c r="J19" i="1"/>
  <c r="R19" i="1"/>
  <c r="K20" i="1"/>
  <c r="S20" i="1"/>
  <c r="N21" i="1"/>
  <c r="V21" i="1"/>
  <c r="J22" i="1"/>
  <c r="R22" i="1"/>
  <c r="K23" i="1"/>
  <c r="S23" i="1"/>
  <c r="N24" i="1"/>
  <c r="V24" i="1"/>
  <c r="Q25" i="1"/>
  <c r="L26" i="1"/>
  <c r="T26" i="1"/>
  <c r="O27" i="1"/>
  <c r="W27" i="1"/>
  <c r="J28" i="1"/>
  <c r="R28" i="1"/>
  <c r="K29" i="1"/>
  <c r="S29" i="1"/>
  <c r="N30" i="1"/>
  <c r="V30" i="1"/>
  <c r="O31" i="1"/>
  <c r="W31" i="1"/>
  <c r="Q32" i="1"/>
  <c r="L33" i="1"/>
  <c r="T33" i="1"/>
  <c r="M34" i="1"/>
  <c r="U34" i="1"/>
  <c r="P35" i="1"/>
  <c r="X35" i="1"/>
  <c r="Q36" i="1"/>
  <c r="L37" i="1"/>
  <c r="T37" i="1"/>
  <c r="I43" i="1"/>
  <c r="L46" i="1"/>
  <c r="S47" i="1"/>
  <c r="N48" i="1"/>
  <c r="L11" i="1"/>
  <c r="T11" i="1"/>
  <c r="M12" i="1"/>
  <c r="U12" i="1"/>
  <c r="P13" i="1"/>
  <c r="X13" i="1"/>
  <c r="R48" i="1"/>
  <c r="N11" i="1"/>
  <c r="V11" i="1"/>
  <c r="O12" i="1"/>
  <c r="W12" i="1"/>
  <c r="J13" i="1"/>
  <c r="R13" i="1"/>
  <c r="K14" i="1"/>
  <c r="S14" i="1"/>
  <c r="N15" i="1"/>
  <c r="V15" i="1"/>
  <c r="O16" i="1"/>
  <c r="W16" i="1"/>
  <c r="J17" i="1"/>
  <c r="R17" i="1"/>
  <c r="K18" i="1"/>
  <c r="S18" i="1"/>
  <c r="N19" i="1"/>
  <c r="V19" i="1"/>
  <c r="O20" i="1"/>
  <c r="W20" i="1"/>
  <c r="J21" i="1"/>
  <c r="R21" i="1"/>
  <c r="N22" i="1"/>
  <c r="V22" i="1"/>
  <c r="O23" i="1"/>
  <c r="W23" i="1"/>
  <c r="J24" i="1"/>
  <c r="R24" i="1"/>
  <c r="M25" i="1"/>
  <c r="U25" i="1"/>
  <c r="P26" i="1"/>
  <c r="X26" i="1"/>
  <c r="K27" i="1"/>
  <c r="S27" i="1"/>
  <c r="N28" i="1"/>
  <c r="V28" i="1"/>
  <c r="O29" i="1"/>
  <c r="W29" i="1"/>
  <c r="J30" i="1"/>
  <c r="R30" i="1"/>
  <c r="K31" i="1"/>
  <c r="S31" i="1"/>
  <c r="M32" i="1"/>
  <c r="U32" i="1"/>
  <c r="P33" i="1"/>
  <c r="X33" i="1"/>
  <c r="Q34" i="1"/>
  <c r="L35" i="1"/>
  <c r="T35" i="1"/>
  <c r="M36" i="1"/>
  <c r="U36" i="1"/>
  <c r="P37" i="1"/>
  <c r="X37" i="1"/>
  <c r="Q38" i="1"/>
  <c r="L39" i="1"/>
  <c r="T39" i="1"/>
  <c r="M40" i="1"/>
  <c r="U40" i="1"/>
  <c r="P41" i="1"/>
  <c r="X41" i="1"/>
  <c r="Y166" i="3"/>
  <c r="Y70" i="3"/>
  <c r="G118" i="14"/>
  <c r="F118" i="14"/>
  <c r="I118" i="14"/>
  <c r="F164" i="14"/>
  <c r="I164" i="14"/>
  <c r="G164" i="14"/>
  <c r="F190" i="14"/>
  <c r="I190" i="14"/>
  <c r="G190" i="14"/>
  <c r="F209" i="14"/>
  <c r="I209" i="14"/>
  <c r="G209" i="14"/>
  <c r="F365" i="14"/>
  <c r="I365" i="14"/>
  <c r="G365" i="14"/>
  <c r="G22" i="14"/>
  <c r="F22" i="14"/>
  <c r="I22" i="14"/>
  <c r="F63" i="14"/>
  <c r="I63" i="14"/>
  <c r="G63" i="14"/>
  <c r="F161" i="14"/>
  <c r="I161" i="14"/>
  <c r="G161" i="14"/>
  <c r="F187" i="14"/>
  <c r="I187" i="14"/>
  <c r="G187" i="14"/>
  <c r="F213" i="14"/>
  <c r="I213" i="14"/>
  <c r="G213" i="14"/>
  <c r="F342" i="14"/>
  <c r="I342" i="14"/>
  <c r="G342" i="14"/>
  <c r="F381" i="14"/>
  <c r="I381" i="14"/>
  <c r="G381" i="14"/>
  <c r="F392" i="14"/>
  <c r="I392" i="14"/>
  <c r="G392" i="14"/>
  <c r="U47" i="1"/>
  <c r="F144" i="14"/>
  <c r="I144" i="14"/>
  <c r="G144" i="14"/>
  <c r="F197" i="14"/>
  <c r="I197" i="14"/>
  <c r="G197" i="14"/>
  <c r="F161" i="3"/>
  <c r="F162" i="3"/>
  <c r="P90" i="12"/>
  <c r="E258" i="14"/>
  <c r="H161" i="3"/>
  <c r="Q161" i="3"/>
  <c r="H162" i="3"/>
  <c r="Q162" i="3"/>
  <c r="G161" i="3"/>
  <c r="G162" i="3"/>
  <c r="J33" i="14"/>
  <c r="E229" i="14"/>
  <c r="J661" i="14"/>
  <c r="J735" i="14"/>
  <c r="B281" i="17" s="1"/>
  <c r="D281" i="17" s="1"/>
  <c r="I952" i="14"/>
  <c r="I1128" i="14"/>
  <c r="I1187" i="14"/>
  <c r="I1332" i="14"/>
  <c r="I918" i="14"/>
  <c r="I1184" i="14"/>
  <c r="J423" i="14"/>
  <c r="I935" i="14"/>
  <c r="J951" i="14"/>
  <c r="I1188" i="14"/>
  <c r="I1333" i="14"/>
  <c r="I1183" i="14"/>
  <c r="I1185" i="14"/>
  <c r="H34" i="3"/>
  <c r="Q34" i="3"/>
  <c r="H38" i="3"/>
  <c r="Q38" i="3"/>
  <c r="H41" i="3"/>
  <c r="Q41" i="3"/>
  <c r="H45" i="3"/>
  <c r="Q45" i="3"/>
  <c r="H32" i="3"/>
  <c r="Q32" i="3"/>
  <c r="H35" i="3"/>
  <c r="Q35" i="3"/>
  <c r="H39" i="3"/>
  <c r="Q39" i="3"/>
  <c r="H42" i="3"/>
  <c r="Q42" i="3"/>
  <c r="H46" i="3"/>
  <c r="Q46" i="3"/>
  <c r="H49" i="3"/>
  <c r="Q49" i="3"/>
  <c r="H36" i="3"/>
  <c r="Q36" i="3"/>
  <c r="H40" i="3"/>
  <c r="Q40" i="3"/>
  <c r="H43" i="3"/>
  <c r="Q43" i="3"/>
  <c r="H47" i="3"/>
  <c r="Q47" i="3"/>
  <c r="H50" i="3"/>
  <c r="Q50" i="3"/>
  <c r="H33" i="3"/>
  <c r="Q33" i="3"/>
  <c r="H37" i="3"/>
  <c r="Q37" i="3"/>
  <c r="H44" i="3"/>
  <c r="Q44" i="3"/>
  <c r="H48" i="3"/>
  <c r="Q48" i="3"/>
  <c r="H51" i="3"/>
  <c r="Q51" i="3"/>
  <c r="F52" i="3"/>
  <c r="F53" i="3"/>
  <c r="F58" i="3"/>
  <c r="F62" i="3"/>
  <c r="F66" i="3"/>
  <c r="F56" i="3"/>
  <c r="F60" i="3"/>
  <c r="F64" i="3"/>
  <c r="H69" i="3"/>
  <c r="Q69" i="3"/>
  <c r="H67" i="3"/>
  <c r="Q67" i="3"/>
  <c r="F70" i="3"/>
  <c r="F68" i="3"/>
  <c r="H72" i="3"/>
  <c r="Q72" i="3"/>
  <c r="H78" i="3"/>
  <c r="Q78" i="3"/>
  <c r="H81" i="3"/>
  <c r="Q81" i="3"/>
  <c r="H76" i="3"/>
  <c r="Q76" i="3"/>
  <c r="H74" i="3"/>
  <c r="Q74" i="3"/>
  <c r="G73" i="3"/>
  <c r="G77" i="3"/>
  <c r="G71" i="3"/>
  <c r="G75" i="3"/>
  <c r="G79" i="3"/>
  <c r="G80" i="3"/>
  <c r="H55" i="3"/>
  <c r="Q55" i="3"/>
  <c r="H61" i="3"/>
  <c r="Q61" i="3"/>
  <c r="H59" i="3"/>
  <c r="Q59" i="3"/>
  <c r="H65" i="3"/>
  <c r="Q65" i="3"/>
  <c r="H63" i="3"/>
  <c r="Q63" i="3"/>
  <c r="H57" i="3"/>
  <c r="Q57" i="3"/>
  <c r="G53" i="3"/>
  <c r="G52" i="3"/>
  <c r="G58" i="3"/>
  <c r="G62" i="3"/>
  <c r="G66" i="3"/>
  <c r="G56" i="3"/>
  <c r="G60" i="3"/>
  <c r="G64" i="3"/>
  <c r="G70" i="3"/>
  <c r="G68" i="3"/>
  <c r="F73" i="3"/>
  <c r="F77" i="3"/>
  <c r="F71" i="3"/>
  <c r="F75" i="3"/>
  <c r="F79" i="3"/>
  <c r="F80" i="3"/>
  <c r="I1186" i="14"/>
  <c r="I1223" i="14"/>
  <c r="F34" i="3"/>
  <c r="F38" i="3"/>
  <c r="F42" i="3"/>
  <c r="F46" i="3"/>
  <c r="F50" i="3"/>
  <c r="F35" i="3"/>
  <c r="F39" i="3"/>
  <c r="F43" i="3"/>
  <c r="F47" i="3"/>
  <c r="F51" i="3"/>
  <c r="F32" i="3"/>
  <c r="F36" i="3"/>
  <c r="F40" i="3"/>
  <c r="F44" i="3"/>
  <c r="F48" i="3"/>
  <c r="F33" i="3"/>
  <c r="F37" i="3"/>
  <c r="F41" i="3"/>
  <c r="F45" i="3"/>
  <c r="F49" i="3"/>
  <c r="H52" i="3"/>
  <c r="Q52" i="3"/>
  <c r="H53" i="3"/>
  <c r="Q53" i="3"/>
  <c r="H58" i="3"/>
  <c r="Q58" i="3"/>
  <c r="H56" i="3"/>
  <c r="Q56" i="3"/>
  <c r="H62" i="3"/>
  <c r="Q62" i="3"/>
  <c r="H60" i="3"/>
  <c r="Q60" i="3"/>
  <c r="H66" i="3"/>
  <c r="Q66" i="3"/>
  <c r="H64" i="3"/>
  <c r="Q64" i="3"/>
  <c r="F55" i="3"/>
  <c r="F59" i="3"/>
  <c r="F63" i="3"/>
  <c r="F57" i="3"/>
  <c r="F61" i="3"/>
  <c r="F65" i="3"/>
  <c r="G69" i="3"/>
  <c r="G67" i="3"/>
  <c r="H68" i="3"/>
  <c r="Q68" i="3"/>
  <c r="H70" i="3"/>
  <c r="Q70" i="3"/>
  <c r="F74" i="3"/>
  <c r="F78" i="3"/>
  <c r="F81" i="3"/>
  <c r="F72" i="3"/>
  <c r="F76" i="3"/>
  <c r="H75" i="3"/>
  <c r="Q75" i="3"/>
  <c r="H79" i="3"/>
  <c r="Q79" i="3"/>
  <c r="H73" i="3"/>
  <c r="Q73" i="3"/>
  <c r="H80" i="3"/>
  <c r="Q80" i="3"/>
  <c r="H71" i="3"/>
  <c r="Q71" i="3"/>
  <c r="H77" i="3"/>
  <c r="Q77" i="3"/>
  <c r="F116" i="3"/>
  <c r="F114" i="3"/>
  <c r="F115" i="3"/>
  <c r="F120" i="3"/>
  <c r="F121" i="3"/>
  <c r="F118" i="3"/>
  <c r="F122" i="3"/>
  <c r="F119" i="3"/>
  <c r="F132" i="3"/>
  <c r="F125" i="3"/>
  <c r="F133" i="3"/>
  <c r="F134" i="3"/>
  <c r="G97" i="3"/>
  <c r="G101" i="3"/>
  <c r="G105" i="3"/>
  <c r="G109" i="3"/>
  <c r="G113" i="3"/>
  <c r="G98" i="3"/>
  <c r="G102" i="3"/>
  <c r="G106" i="3"/>
  <c r="G110" i="3"/>
  <c r="G99" i="3"/>
  <c r="G103" i="3"/>
  <c r="G107" i="3"/>
  <c r="G111" i="3"/>
  <c r="G112" i="3"/>
  <c r="G100" i="3"/>
  <c r="G104" i="3"/>
  <c r="G108" i="3"/>
  <c r="G95" i="3"/>
  <c r="G135" i="3"/>
  <c r="G96" i="3"/>
  <c r="G138" i="3"/>
  <c r="G136" i="3"/>
  <c r="G137" i="3"/>
  <c r="H158" i="3"/>
  <c r="Q158" i="3"/>
  <c r="H159" i="3"/>
  <c r="Q159" i="3"/>
  <c r="H157" i="3"/>
  <c r="I1459" i="14"/>
  <c r="G33" i="3"/>
  <c r="G37" i="3"/>
  <c r="G41" i="3"/>
  <c r="G45" i="3"/>
  <c r="G49" i="3"/>
  <c r="G34" i="3"/>
  <c r="G38" i="3"/>
  <c r="G42" i="3"/>
  <c r="G46" i="3"/>
  <c r="G50" i="3"/>
  <c r="G35" i="3"/>
  <c r="G39" i="3"/>
  <c r="G43" i="3"/>
  <c r="G47" i="3"/>
  <c r="G51" i="3"/>
  <c r="G32" i="3"/>
  <c r="G36" i="3"/>
  <c r="G40" i="3"/>
  <c r="G44" i="3"/>
  <c r="G48" i="3"/>
  <c r="G57" i="3"/>
  <c r="G61" i="3"/>
  <c r="G65" i="3"/>
  <c r="G55" i="3"/>
  <c r="G59" i="3"/>
  <c r="G63" i="3"/>
  <c r="F67" i="3"/>
  <c r="F69" i="3"/>
  <c r="G81" i="3"/>
  <c r="G74" i="3"/>
  <c r="G78" i="3"/>
  <c r="G72" i="3"/>
  <c r="G76" i="3"/>
  <c r="H97" i="3"/>
  <c r="Q97" i="3"/>
  <c r="H101" i="3"/>
  <c r="Q101" i="3"/>
  <c r="H108" i="3"/>
  <c r="Q108" i="3"/>
  <c r="H112" i="3"/>
  <c r="Q112" i="3"/>
  <c r="H98" i="3"/>
  <c r="Q98" i="3"/>
  <c r="H102" i="3"/>
  <c r="Q102" i="3"/>
  <c r="H105" i="3"/>
  <c r="Q105" i="3"/>
  <c r="H109" i="3"/>
  <c r="Q109" i="3"/>
  <c r="H99" i="3"/>
  <c r="Q99" i="3"/>
  <c r="H103" i="3"/>
  <c r="Q103" i="3"/>
  <c r="H106" i="3"/>
  <c r="Q106" i="3"/>
  <c r="H110" i="3"/>
  <c r="Q110" i="3"/>
  <c r="H113" i="3"/>
  <c r="Q113" i="3"/>
  <c r="H100" i="3"/>
  <c r="Q100" i="3"/>
  <c r="H104" i="3"/>
  <c r="Q104" i="3"/>
  <c r="H107" i="3"/>
  <c r="Q107" i="3"/>
  <c r="H111" i="3"/>
  <c r="Q111" i="3"/>
  <c r="G114" i="3"/>
  <c r="G115" i="3"/>
  <c r="G116" i="3"/>
  <c r="G118" i="3"/>
  <c r="G119" i="3"/>
  <c r="G122" i="3"/>
  <c r="G120" i="3"/>
  <c r="G121" i="3"/>
  <c r="G123" i="3"/>
  <c r="G127" i="3"/>
  <c r="G131" i="3"/>
  <c r="G128" i="3"/>
  <c r="G124" i="3"/>
  <c r="P124" i="3"/>
  <c r="G129" i="3"/>
  <c r="G130" i="3"/>
  <c r="G126" i="3"/>
  <c r="G133" i="3"/>
  <c r="G134" i="3"/>
  <c r="G125" i="3"/>
  <c r="G132" i="3"/>
  <c r="F100" i="3"/>
  <c r="F104" i="3"/>
  <c r="F108" i="3"/>
  <c r="F112" i="3"/>
  <c r="F97" i="3"/>
  <c r="F101" i="3"/>
  <c r="F105" i="3"/>
  <c r="F109" i="3"/>
  <c r="F113" i="3"/>
  <c r="F98" i="3"/>
  <c r="F102" i="3"/>
  <c r="F106" i="3"/>
  <c r="F110" i="3"/>
  <c r="F99" i="3"/>
  <c r="F103" i="3"/>
  <c r="F107" i="3"/>
  <c r="F111" i="3"/>
  <c r="H115" i="3"/>
  <c r="Q115" i="3"/>
  <c r="H116" i="3"/>
  <c r="Q116" i="3"/>
  <c r="H114" i="3"/>
  <c r="Q114" i="3"/>
  <c r="I1380" i="14"/>
  <c r="H118" i="3"/>
  <c r="Q118" i="3"/>
  <c r="H121" i="3"/>
  <c r="Q121" i="3"/>
  <c r="H119" i="3"/>
  <c r="Q119" i="3"/>
  <c r="H122" i="3"/>
  <c r="Q122" i="3"/>
  <c r="H120" i="3"/>
  <c r="Q120" i="3"/>
  <c r="H128" i="3"/>
  <c r="Q128" i="3"/>
  <c r="H131" i="3"/>
  <c r="Q131" i="3"/>
  <c r="H123" i="3"/>
  <c r="Q123" i="3"/>
  <c r="H126" i="3"/>
  <c r="Q126" i="3"/>
  <c r="H129" i="3"/>
  <c r="Q129" i="3"/>
  <c r="H124" i="3"/>
  <c r="H127" i="3"/>
  <c r="Q127" i="3"/>
  <c r="H130" i="3"/>
  <c r="Q130" i="3"/>
  <c r="F96" i="3"/>
  <c r="F136" i="3"/>
  <c r="F137" i="3"/>
  <c r="F138" i="3"/>
  <c r="F95" i="3"/>
  <c r="F135" i="3"/>
  <c r="F148" i="3"/>
  <c r="F152" i="3"/>
  <c r="F156" i="3"/>
  <c r="F149" i="3"/>
  <c r="F153" i="3"/>
  <c r="F146" i="3"/>
  <c r="F150" i="3"/>
  <c r="F154" i="3"/>
  <c r="F147" i="3"/>
  <c r="F151" i="3"/>
  <c r="F155" i="3"/>
  <c r="H160" i="3"/>
  <c r="H163" i="3"/>
  <c r="Q163" i="3"/>
  <c r="I1467" i="14"/>
  <c r="H88" i="3"/>
  <c r="Q88" i="3"/>
  <c r="H165" i="3"/>
  <c r="Q165" i="3"/>
  <c r="H82" i="3"/>
  <c r="Q82" i="3"/>
  <c r="H166" i="3"/>
  <c r="Q166" i="3"/>
  <c r="H86" i="3"/>
  <c r="Q86" i="3"/>
  <c r="H89" i="3"/>
  <c r="Q89" i="3"/>
  <c r="H84" i="3"/>
  <c r="H164" i="3"/>
  <c r="Q164" i="3"/>
  <c r="F163" i="3"/>
  <c r="F159" i="3"/>
  <c r="F143" i="3"/>
  <c r="F131" i="3"/>
  <c r="F127" i="3"/>
  <c r="F123" i="3"/>
  <c r="F91" i="3"/>
  <c r="F29" i="3"/>
  <c r="F25" i="3"/>
  <c r="G169" i="3"/>
  <c r="P169" i="3"/>
  <c r="G164" i="3"/>
  <c r="G158" i="3"/>
  <c r="G153" i="3"/>
  <c r="G148" i="3"/>
  <c r="G142" i="3"/>
  <c r="F20" i="3"/>
  <c r="F170" i="3"/>
  <c r="F166" i="3"/>
  <c r="F158" i="3"/>
  <c r="F142" i="3"/>
  <c r="F130" i="3"/>
  <c r="F126" i="3"/>
  <c r="F94" i="3"/>
  <c r="F86" i="3"/>
  <c r="F82" i="3"/>
  <c r="F28" i="3"/>
  <c r="F24" i="3"/>
  <c r="G157" i="3"/>
  <c r="P157" i="3"/>
  <c r="G152" i="3"/>
  <c r="G141" i="3"/>
  <c r="H141" i="3"/>
  <c r="Q141" i="3"/>
  <c r="H145" i="3"/>
  <c r="Q145" i="3"/>
  <c r="H142" i="3"/>
  <c r="Q142" i="3"/>
  <c r="H140" i="3"/>
  <c r="H143" i="3"/>
  <c r="Q143" i="3"/>
  <c r="H144" i="3"/>
  <c r="Q144" i="3"/>
  <c r="G147" i="3"/>
  <c r="G151" i="3"/>
  <c r="G155" i="3"/>
  <c r="G93" i="3"/>
  <c r="G94" i="3"/>
  <c r="G91" i="3"/>
  <c r="G167" i="3"/>
  <c r="P167" i="3"/>
  <c r="G92" i="3"/>
  <c r="P92" i="3"/>
  <c r="G85" i="3"/>
  <c r="P85" i="3"/>
  <c r="G90" i="3"/>
  <c r="P90" i="3"/>
  <c r="G83" i="3"/>
  <c r="P83" i="3"/>
  <c r="G87" i="3"/>
  <c r="P87" i="3"/>
  <c r="G21" i="3"/>
  <c r="P21" i="3"/>
  <c r="G25" i="3"/>
  <c r="G29" i="3"/>
  <c r="G22" i="3"/>
  <c r="G26" i="3"/>
  <c r="G30" i="3"/>
  <c r="G23" i="3"/>
  <c r="G27" i="3"/>
  <c r="G31" i="3"/>
  <c r="G24" i="3"/>
  <c r="G28" i="3"/>
  <c r="F165" i="3"/>
  <c r="F145" i="3"/>
  <c r="F141" i="3"/>
  <c r="F129" i="3"/>
  <c r="F93" i="3"/>
  <c r="F89" i="3"/>
  <c r="F31" i="3"/>
  <c r="F27" i="3"/>
  <c r="F23" i="3"/>
  <c r="G156" i="3"/>
  <c r="G150" i="3"/>
  <c r="G145" i="3"/>
  <c r="G140" i="3"/>
  <c r="P140" i="3"/>
  <c r="H134" i="3"/>
  <c r="Q134" i="3"/>
  <c r="H125" i="3"/>
  <c r="Q125" i="3"/>
  <c r="H132" i="3"/>
  <c r="Q132" i="3"/>
  <c r="H133" i="3"/>
  <c r="Q133" i="3"/>
  <c r="H138" i="3"/>
  <c r="Q138" i="3"/>
  <c r="H95" i="3"/>
  <c r="Q95" i="3"/>
  <c r="H135" i="3"/>
  <c r="Q135" i="3"/>
  <c r="H96" i="3"/>
  <c r="Q96" i="3"/>
  <c r="H136" i="3"/>
  <c r="Q136" i="3"/>
  <c r="H137" i="3"/>
  <c r="Q137" i="3"/>
  <c r="H152" i="3"/>
  <c r="Q152" i="3"/>
  <c r="H155" i="3"/>
  <c r="Q155" i="3"/>
  <c r="H146" i="3"/>
  <c r="Q146" i="3"/>
  <c r="H149" i="3"/>
  <c r="Q149" i="3"/>
  <c r="H156" i="3"/>
  <c r="Q156" i="3"/>
  <c r="H147" i="3"/>
  <c r="Q147" i="3"/>
  <c r="H150" i="3"/>
  <c r="Q150" i="3"/>
  <c r="H153" i="3"/>
  <c r="Q153" i="3"/>
  <c r="H148" i="3"/>
  <c r="Q148" i="3"/>
  <c r="H151" i="3"/>
  <c r="Q151" i="3"/>
  <c r="H154" i="3"/>
  <c r="Q154" i="3"/>
  <c r="G89" i="3"/>
  <c r="G82" i="3"/>
  <c r="G86" i="3"/>
  <c r="G84" i="3"/>
  <c r="P84" i="3"/>
  <c r="G88" i="3"/>
  <c r="H91" i="3"/>
  <c r="Q91" i="3"/>
  <c r="H94" i="3"/>
  <c r="Q94" i="3"/>
  <c r="H92" i="3"/>
  <c r="H169" i="3"/>
  <c r="H167" i="3"/>
  <c r="H170" i="3"/>
  <c r="Q170" i="3"/>
  <c r="H93" i="3"/>
  <c r="Q93" i="3"/>
  <c r="H168" i="3"/>
  <c r="H85" i="3"/>
  <c r="H83" i="3"/>
  <c r="H87" i="3"/>
  <c r="H90" i="3"/>
  <c r="H24" i="3"/>
  <c r="Q24" i="3"/>
  <c r="H28" i="3"/>
  <c r="Q28" i="3"/>
  <c r="H31" i="3"/>
  <c r="Q31" i="3"/>
  <c r="H21" i="3"/>
  <c r="H25" i="3"/>
  <c r="Q25" i="3"/>
  <c r="H22" i="3"/>
  <c r="Q22" i="3"/>
  <c r="H26" i="3"/>
  <c r="Q26" i="3"/>
  <c r="H29" i="3"/>
  <c r="Q29" i="3"/>
  <c r="H23" i="3"/>
  <c r="Q23" i="3"/>
  <c r="H27" i="3"/>
  <c r="Q27" i="3"/>
  <c r="H30" i="3"/>
  <c r="Q30" i="3"/>
  <c r="H20" i="3"/>
  <c r="Q20" i="3"/>
  <c r="F164" i="3"/>
  <c r="F144" i="3"/>
  <c r="F128" i="3"/>
  <c r="F88" i="3"/>
  <c r="F30" i="3"/>
  <c r="F26" i="3"/>
  <c r="F22" i="3"/>
  <c r="G170" i="3"/>
  <c r="G165" i="3"/>
  <c r="G160" i="3"/>
  <c r="P160" i="3"/>
  <c r="G154" i="3"/>
  <c r="G149" i="3"/>
  <c r="G144" i="3"/>
  <c r="D24" i="16"/>
  <c r="B20" i="16"/>
  <c r="G1049" i="14"/>
  <c r="F1049" i="14"/>
  <c r="I1049" i="14"/>
  <c r="B18" i="17"/>
  <c r="F1147" i="14"/>
  <c r="I1147" i="14"/>
  <c r="G1147" i="14"/>
  <c r="O5" i="15"/>
  <c r="O6" i="15"/>
  <c r="F906" i="14"/>
  <c r="I906" i="14"/>
  <c r="G906" i="14"/>
  <c r="F928" i="14"/>
  <c r="I928" i="14"/>
  <c r="G928" i="14"/>
  <c r="F931" i="14"/>
  <c r="I931" i="14"/>
  <c r="G931" i="14"/>
  <c r="F947" i="14"/>
  <c r="I947" i="14"/>
  <c r="G947" i="14"/>
  <c r="F962" i="14"/>
  <c r="I962" i="14"/>
  <c r="G962" i="14"/>
  <c r="F999" i="14"/>
  <c r="I999" i="14"/>
  <c r="G999" i="14"/>
  <c r="F1005" i="14"/>
  <c r="I1005" i="14"/>
  <c r="G1005" i="14"/>
  <c r="F1039" i="14"/>
  <c r="I1039" i="14"/>
  <c r="G1039" i="14"/>
  <c r="F1166" i="14"/>
  <c r="I1166" i="14"/>
  <c r="G1166" i="14"/>
  <c r="G1168" i="14"/>
  <c r="F1168" i="14"/>
  <c r="I1168" i="14"/>
  <c r="F1182" i="14"/>
  <c r="I1182" i="14"/>
  <c r="G1182" i="14"/>
  <c r="F1202" i="14"/>
  <c r="I1202" i="14"/>
  <c r="G1202" i="14"/>
  <c r="F1208" i="14"/>
  <c r="I1208" i="14"/>
  <c r="G1208" i="14"/>
  <c r="F1212" i="14"/>
  <c r="I1212" i="14"/>
  <c r="G1212" i="14"/>
  <c r="F1227" i="14"/>
  <c r="I1227" i="14"/>
  <c r="G1227" i="14"/>
  <c r="F1243" i="14"/>
  <c r="I1243" i="14"/>
  <c r="G1243" i="14"/>
  <c r="F1247" i="14"/>
  <c r="I1247" i="14"/>
  <c r="G1247" i="14"/>
  <c r="F1302" i="14"/>
  <c r="I1302" i="14"/>
  <c r="G1302" i="14"/>
  <c r="F1317" i="14"/>
  <c r="I1317" i="14"/>
  <c r="G1317" i="14"/>
  <c r="F1324" i="14"/>
  <c r="I1324" i="14"/>
  <c r="G1324" i="14"/>
  <c r="F1334" i="14"/>
  <c r="I1334" i="14"/>
  <c r="G1334" i="14"/>
  <c r="F1353" i="14"/>
  <c r="I1353" i="14"/>
  <c r="G1353" i="14"/>
  <c r="F1411" i="14"/>
  <c r="I1411" i="14"/>
  <c r="G1411" i="14"/>
  <c r="F1455" i="14"/>
  <c r="I1455" i="14"/>
  <c r="B440" i="17"/>
  <c r="G1235" i="14"/>
  <c r="F1235" i="14"/>
  <c r="I1235" i="14"/>
  <c r="F1230" i="14"/>
  <c r="I1230" i="14"/>
  <c r="G1230" i="14"/>
  <c r="B429" i="17"/>
  <c r="G1127" i="14"/>
  <c r="G1115" i="14"/>
  <c r="G1065" i="14"/>
  <c r="F1065" i="14"/>
  <c r="I1065" i="14"/>
  <c r="F1028" i="14"/>
  <c r="I1028" i="14"/>
  <c r="G1028" i="14"/>
  <c r="G1258" i="14"/>
  <c r="F1258" i="14"/>
  <c r="I1258" i="14"/>
  <c r="G1120" i="14"/>
  <c r="F1120" i="14"/>
  <c r="I1120" i="14"/>
  <c r="G1155" i="14"/>
  <c r="F1155" i="14"/>
  <c r="I1155" i="14"/>
  <c r="G1117" i="14"/>
  <c r="F1117" i="14"/>
  <c r="I1117" i="14"/>
  <c r="B103" i="17"/>
  <c r="F1167" i="14"/>
  <c r="I1167" i="14"/>
  <c r="G1167" i="14"/>
  <c r="G1023" i="14"/>
  <c r="F1023" i="14"/>
  <c r="I1023" i="14"/>
  <c r="B371" i="17"/>
  <c r="B21" i="17"/>
  <c r="F1430" i="14"/>
  <c r="I1430" i="14"/>
  <c r="G1430" i="14"/>
  <c r="G1131" i="14"/>
  <c r="F1131" i="14"/>
  <c r="I1131" i="14"/>
  <c r="F1417" i="14"/>
  <c r="I1417" i="14"/>
  <c r="G1338" i="14"/>
  <c r="F1325" i="14"/>
  <c r="I1325" i="14"/>
  <c r="U26" i="3"/>
  <c r="X26" i="3"/>
  <c r="P26" i="3"/>
  <c r="X144" i="3"/>
  <c r="P144" i="3"/>
  <c r="S144" i="3"/>
  <c r="U144" i="3"/>
  <c r="Z144" i="3"/>
  <c r="U83" i="3"/>
  <c r="Z83" i="3"/>
  <c r="Q83" i="3"/>
  <c r="X83" i="3"/>
  <c r="P23" i="3"/>
  <c r="S23" i="3"/>
  <c r="X23" i="3"/>
  <c r="U23" i="3"/>
  <c r="Z23" i="3"/>
  <c r="P93" i="3"/>
  <c r="S93" i="3"/>
  <c r="U93" i="3"/>
  <c r="Z93" i="3"/>
  <c r="X93" i="3"/>
  <c r="P165" i="3"/>
  <c r="S165" i="3"/>
  <c r="U165" i="3"/>
  <c r="X165" i="3"/>
  <c r="X86" i="3"/>
  <c r="U86" i="3"/>
  <c r="Z86" i="3"/>
  <c r="P86" i="3"/>
  <c r="S86" i="3"/>
  <c r="P142" i="3"/>
  <c r="S142" i="3"/>
  <c r="X142" i="3"/>
  <c r="U142" i="3"/>
  <c r="Z142" i="3"/>
  <c r="U20" i="3"/>
  <c r="P20" i="3"/>
  <c r="S20" i="3"/>
  <c r="X20" i="3"/>
  <c r="P29" i="3"/>
  <c r="S29" i="3"/>
  <c r="X29" i="3"/>
  <c r="U29" i="3"/>
  <c r="Z29" i="3"/>
  <c r="U131" i="3"/>
  <c r="Z131" i="3"/>
  <c r="P131" i="3"/>
  <c r="S131" i="3"/>
  <c r="X131" i="3"/>
  <c r="P151" i="3"/>
  <c r="S151" i="3"/>
  <c r="U151" i="3"/>
  <c r="Z151" i="3"/>
  <c r="X151" i="3"/>
  <c r="X146" i="3"/>
  <c r="U146" i="3"/>
  <c r="P146" i="3"/>
  <c r="S146" i="3"/>
  <c r="P152" i="3"/>
  <c r="U152" i="3"/>
  <c r="Z152" i="3"/>
  <c r="X152" i="3"/>
  <c r="X138" i="3"/>
  <c r="U138" i="3"/>
  <c r="P138" i="3"/>
  <c r="S138" i="3"/>
  <c r="U99" i="3"/>
  <c r="Z99" i="3"/>
  <c r="P99" i="3"/>
  <c r="S99" i="3"/>
  <c r="X99" i="3"/>
  <c r="X98" i="3"/>
  <c r="U98" i="3"/>
  <c r="P98" i="3"/>
  <c r="S98" i="3"/>
  <c r="U101" i="3"/>
  <c r="P101" i="3"/>
  <c r="S101" i="3"/>
  <c r="X101" i="3"/>
  <c r="U104" i="3"/>
  <c r="Z104" i="3"/>
  <c r="X104" i="3"/>
  <c r="P104" i="3"/>
  <c r="S104" i="3"/>
  <c r="U134" i="3"/>
  <c r="Z134" i="3"/>
  <c r="P134" i="3"/>
  <c r="S134" i="3"/>
  <c r="X134" i="3"/>
  <c r="P119" i="3"/>
  <c r="S119" i="3"/>
  <c r="U119" i="3"/>
  <c r="X119" i="3"/>
  <c r="X120" i="3"/>
  <c r="U120" i="3"/>
  <c r="Z120" i="3"/>
  <c r="P120" i="3"/>
  <c r="S120" i="3"/>
  <c r="U81" i="3"/>
  <c r="P81" i="3"/>
  <c r="S81" i="3"/>
  <c r="X81" i="3"/>
  <c r="U61" i="3"/>
  <c r="Z61" i="3"/>
  <c r="P61" i="3"/>
  <c r="S61" i="3"/>
  <c r="X61" i="3"/>
  <c r="U55" i="3"/>
  <c r="Z55" i="3"/>
  <c r="X55" i="3"/>
  <c r="P55" i="3"/>
  <c r="S55" i="3"/>
  <c r="U37" i="3"/>
  <c r="P37" i="3"/>
  <c r="S37" i="3"/>
  <c r="X37" i="3"/>
  <c r="X40" i="3"/>
  <c r="U40" i="3"/>
  <c r="P40" i="3"/>
  <c r="S40" i="3"/>
  <c r="U47" i="3"/>
  <c r="Z47" i="3"/>
  <c r="P47" i="3"/>
  <c r="S47" i="3"/>
  <c r="X47" i="3"/>
  <c r="X50" i="3"/>
  <c r="U50" i="3"/>
  <c r="P50" i="3"/>
  <c r="X34" i="3"/>
  <c r="U34" i="3"/>
  <c r="Z34" i="3"/>
  <c r="P34" i="3"/>
  <c r="S34" i="3"/>
  <c r="P79" i="3"/>
  <c r="S79" i="3"/>
  <c r="U79" i="3"/>
  <c r="X79" i="3"/>
  <c r="U73" i="3"/>
  <c r="P73" i="3"/>
  <c r="S73" i="3"/>
  <c r="X73" i="3"/>
  <c r="U68" i="3"/>
  <c r="Z68" i="3"/>
  <c r="P68" i="3"/>
  <c r="S68" i="3"/>
  <c r="X68" i="3"/>
  <c r="U64" i="3"/>
  <c r="X64" i="3"/>
  <c r="P64" i="3"/>
  <c r="S64" i="3"/>
  <c r="X62" i="3"/>
  <c r="P62" i="3"/>
  <c r="S62" i="3"/>
  <c r="U62" i="3"/>
  <c r="Z62" i="3"/>
  <c r="F229" i="14"/>
  <c r="I229" i="14"/>
  <c r="G229" i="14"/>
  <c r="X162" i="3"/>
  <c r="U162" i="3"/>
  <c r="P162" i="3"/>
  <c r="S162" i="3"/>
  <c r="S152" i="3"/>
  <c r="P30" i="3"/>
  <c r="S30" i="3"/>
  <c r="X30" i="3"/>
  <c r="U30" i="3"/>
  <c r="Z30" i="3"/>
  <c r="U164" i="3"/>
  <c r="Z164" i="3"/>
  <c r="P164" i="3"/>
  <c r="S164" i="3"/>
  <c r="X164" i="3"/>
  <c r="U85" i="3"/>
  <c r="Z85" i="3"/>
  <c r="Q85" i="3"/>
  <c r="X85" i="3"/>
  <c r="U167" i="3"/>
  <c r="Q167" i="3"/>
  <c r="X167" i="3"/>
  <c r="P27" i="3"/>
  <c r="S27" i="3"/>
  <c r="U27" i="3"/>
  <c r="X27" i="3"/>
  <c r="X129" i="3"/>
  <c r="P129" i="3"/>
  <c r="S129" i="3"/>
  <c r="U129" i="3"/>
  <c r="S83" i="3"/>
  <c r="U24" i="3"/>
  <c r="Z24" i="3"/>
  <c r="P24" i="3"/>
  <c r="S24" i="3"/>
  <c r="X24" i="3"/>
  <c r="U94" i="3"/>
  <c r="Z94" i="3"/>
  <c r="X94" i="3"/>
  <c r="P94" i="3"/>
  <c r="S94" i="3"/>
  <c r="P158" i="3"/>
  <c r="S158" i="3"/>
  <c r="X158" i="3"/>
  <c r="U158" i="3"/>
  <c r="P91" i="3"/>
  <c r="S91" i="3"/>
  <c r="U91" i="3"/>
  <c r="X91" i="3"/>
  <c r="P143" i="3"/>
  <c r="U143" i="3"/>
  <c r="Z143" i="3"/>
  <c r="X143" i="3"/>
  <c r="Q84" i="3"/>
  <c r="U84" i="3"/>
  <c r="Z84" i="3"/>
  <c r="X84" i="3"/>
  <c r="P147" i="3"/>
  <c r="S147" i="3"/>
  <c r="U147" i="3"/>
  <c r="Z147" i="3"/>
  <c r="X147" i="3"/>
  <c r="U153" i="3"/>
  <c r="P153" i="3"/>
  <c r="S153" i="3"/>
  <c r="X153" i="3"/>
  <c r="P148" i="3"/>
  <c r="S148" i="3"/>
  <c r="U148" i="3"/>
  <c r="X148" i="3"/>
  <c r="U137" i="3"/>
  <c r="Z137" i="3"/>
  <c r="P137" i="3"/>
  <c r="S137" i="3"/>
  <c r="X137" i="3"/>
  <c r="X111" i="3"/>
  <c r="P111" i="3"/>
  <c r="S111" i="3"/>
  <c r="U111" i="3"/>
  <c r="P110" i="3"/>
  <c r="S110" i="3"/>
  <c r="X110" i="3"/>
  <c r="U110" i="3"/>
  <c r="X113" i="3"/>
  <c r="P113" i="3"/>
  <c r="S113" i="3"/>
  <c r="U113" i="3"/>
  <c r="Z113" i="3"/>
  <c r="U97" i="3"/>
  <c r="Z97" i="3"/>
  <c r="P97" i="3"/>
  <c r="S97" i="3"/>
  <c r="X97" i="3"/>
  <c r="X100" i="3"/>
  <c r="P100" i="3"/>
  <c r="S100" i="3"/>
  <c r="U100" i="3"/>
  <c r="X69" i="3"/>
  <c r="U69" i="3"/>
  <c r="Z69" i="3"/>
  <c r="P69" i="3"/>
  <c r="S69" i="3"/>
  <c r="U133" i="3"/>
  <c r="P133" i="3"/>
  <c r="S133" i="3"/>
  <c r="X133" i="3"/>
  <c r="X122" i="3"/>
  <c r="U122" i="3"/>
  <c r="P122" i="3"/>
  <c r="S122" i="3"/>
  <c r="U115" i="3"/>
  <c r="Z115" i="3"/>
  <c r="P115" i="3"/>
  <c r="S115" i="3"/>
  <c r="X115" i="3"/>
  <c r="U78" i="3"/>
  <c r="Z78" i="3"/>
  <c r="X78" i="3"/>
  <c r="P78" i="3"/>
  <c r="S78" i="3"/>
  <c r="U57" i="3"/>
  <c r="P57" i="3"/>
  <c r="S57" i="3"/>
  <c r="X57" i="3"/>
  <c r="U49" i="3"/>
  <c r="P49" i="3"/>
  <c r="S49" i="3"/>
  <c r="X49" i="3"/>
  <c r="P33" i="3"/>
  <c r="S33" i="3"/>
  <c r="U33" i="3"/>
  <c r="Z33" i="3"/>
  <c r="X33" i="3"/>
  <c r="U36" i="3"/>
  <c r="Z36" i="3"/>
  <c r="P36" i="3"/>
  <c r="S36" i="3"/>
  <c r="X36" i="3"/>
  <c r="P43" i="3"/>
  <c r="U43" i="3"/>
  <c r="Z43" i="3"/>
  <c r="X43" i="3"/>
  <c r="U46" i="3"/>
  <c r="P46" i="3"/>
  <c r="S46" i="3"/>
  <c r="X46" i="3"/>
  <c r="P75" i="3"/>
  <c r="S75" i="3"/>
  <c r="X75" i="3"/>
  <c r="U75" i="3"/>
  <c r="Z75" i="3"/>
  <c r="X70" i="3"/>
  <c r="U70" i="3"/>
  <c r="P70" i="3"/>
  <c r="P60" i="3"/>
  <c r="S60" i="3"/>
  <c r="U60" i="3"/>
  <c r="Z60" i="3"/>
  <c r="X60" i="3"/>
  <c r="U58" i="3"/>
  <c r="X58" i="3"/>
  <c r="P58" i="3"/>
  <c r="S58" i="3"/>
  <c r="U161" i="3"/>
  <c r="Z161" i="3"/>
  <c r="P161" i="3"/>
  <c r="S161" i="3"/>
  <c r="X161" i="3"/>
  <c r="Z73" i="3"/>
  <c r="S118" i="3"/>
  <c r="S70" i="3"/>
  <c r="S50" i="3"/>
  <c r="U88" i="3"/>
  <c r="X88" i="3"/>
  <c r="P88" i="3"/>
  <c r="S88" i="3"/>
  <c r="U21" i="3"/>
  <c r="Q21" i="3"/>
  <c r="S21" i="3"/>
  <c r="X21" i="3"/>
  <c r="Q90" i="3"/>
  <c r="X90" i="3"/>
  <c r="U90" i="3"/>
  <c r="Z90" i="3"/>
  <c r="Q168" i="3"/>
  <c r="S168" i="3"/>
  <c r="X168" i="3"/>
  <c r="U168" i="3"/>
  <c r="X169" i="3"/>
  <c r="U169" i="3"/>
  <c r="Z169" i="3"/>
  <c r="Q169" i="3"/>
  <c r="U31" i="3"/>
  <c r="P31" i="3"/>
  <c r="S31" i="3"/>
  <c r="X31" i="3"/>
  <c r="P141" i="3"/>
  <c r="S141" i="3"/>
  <c r="U141" i="3"/>
  <c r="X141" i="3"/>
  <c r="S90" i="3"/>
  <c r="Q140" i="3"/>
  <c r="S140" i="3"/>
  <c r="U140" i="3"/>
  <c r="X140" i="3"/>
  <c r="P28" i="3"/>
  <c r="S28" i="3"/>
  <c r="X28" i="3"/>
  <c r="U28" i="3"/>
  <c r="U126" i="3"/>
  <c r="Z126" i="3"/>
  <c r="P126" i="3"/>
  <c r="S126" i="3"/>
  <c r="X126" i="3"/>
  <c r="X166" i="3"/>
  <c r="U166" i="3"/>
  <c r="Z166" i="3"/>
  <c r="P166" i="3"/>
  <c r="S166" i="3"/>
  <c r="S169" i="3"/>
  <c r="P123" i="3"/>
  <c r="S123" i="3"/>
  <c r="U123" i="3"/>
  <c r="X123" i="3"/>
  <c r="P159" i="3"/>
  <c r="S159" i="3"/>
  <c r="U159" i="3"/>
  <c r="X159" i="3"/>
  <c r="Q160" i="3"/>
  <c r="S160" i="3"/>
  <c r="X160" i="3"/>
  <c r="U160" i="3"/>
  <c r="X154" i="3"/>
  <c r="U154" i="3"/>
  <c r="Z154" i="3"/>
  <c r="P154" i="3"/>
  <c r="S154" i="3"/>
  <c r="P149" i="3"/>
  <c r="S149" i="3"/>
  <c r="U149" i="3"/>
  <c r="X149" i="3"/>
  <c r="P135" i="3"/>
  <c r="S135" i="3"/>
  <c r="X135" i="3"/>
  <c r="U135" i="3"/>
  <c r="Z135" i="3"/>
  <c r="U136" i="3"/>
  <c r="Z136" i="3"/>
  <c r="P136" i="3"/>
  <c r="S136" i="3"/>
  <c r="X136" i="3"/>
  <c r="Q124" i="3"/>
  <c r="U124" i="3"/>
  <c r="Z124" i="3"/>
  <c r="X124" i="3"/>
  <c r="U107" i="3"/>
  <c r="P107" i="3"/>
  <c r="S107" i="3"/>
  <c r="X107" i="3"/>
  <c r="X106" i="3"/>
  <c r="P106" i="3"/>
  <c r="S106" i="3"/>
  <c r="U106" i="3"/>
  <c r="Z106" i="3"/>
  <c r="P109" i="3"/>
  <c r="S109" i="3"/>
  <c r="U109" i="3"/>
  <c r="Z109" i="3"/>
  <c r="X109" i="3"/>
  <c r="U112" i="3"/>
  <c r="X112" i="3"/>
  <c r="P112" i="3"/>
  <c r="S112" i="3"/>
  <c r="U157" i="3"/>
  <c r="S124" i="3"/>
  <c r="P67" i="3"/>
  <c r="S67" i="3"/>
  <c r="U67" i="3"/>
  <c r="Z67" i="3"/>
  <c r="X67" i="3"/>
  <c r="Q157" i="3"/>
  <c r="S157" i="3"/>
  <c r="X157" i="3"/>
  <c r="P125" i="3"/>
  <c r="S125" i="3"/>
  <c r="U125" i="3"/>
  <c r="X125" i="3"/>
  <c r="X118" i="3"/>
  <c r="U118" i="3"/>
  <c r="P118" i="3"/>
  <c r="X114" i="3"/>
  <c r="U114" i="3"/>
  <c r="Z114" i="3"/>
  <c r="P114" i="3"/>
  <c r="S114" i="3"/>
  <c r="U76" i="3"/>
  <c r="X76" i="3"/>
  <c r="P76" i="3"/>
  <c r="S76" i="3"/>
  <c r="X74" i="3"/>
  <c r="U74" i="3"/>
  <c r="P74" i="3"/>
  <c r="S74" i="3"/>
  <c r="P63" i="3"/>
  <c r="S63" i="3"/>
  <c r="U63" i="3"/>
  <c r="Z63" i="3"/>
  <c r="X63" i="3"/>
  <c r="P45" i="3"/>
  <c r="S45" i="3"/>
  <c r="U45" i="3"/>
  <c r="Z45" i="3"/>
  <c r="X45" i="3"/>
  <c r="U48" i="3"/>
  <c r="X48" i="3"/>
  <c r="P48" i="3"/>
  <c r="S48" i="3"/>
  <c r="X32" i="3"/>
  <c r="P32" i="3"/>
  <c r="U32" i="3"/>
  <c r="Z32" i="3"/>
  <c r="P39" i="3"/>
  <c r="S39" i="3"/>
  <c r="U39" i="3"/>
  <c r="Z39" i="3"/>
  <c r="X39" i="3"/>
  <c r="U42" i="3"/>
  <c r="X42" i="3"/>
  <c r="P42" i="3"/>
  <c r="S42" i="3"/>
  <c r="P71" i="3"/>
  <c r="S71" i="3"/>
  <c r="X71" i="3"/>
  <c r="U71" i="3"/>
  <c r="U56" i="3"/>
  <c r="P56" i="3"/>
  <c r="S56" i="3"/>
  <c r="X56" i="3"/>
  <c r="U53" i="3"/>
  <c r="Z53" i="3"/>
  <c r="X53" i="3"/>
  <c r="P53" i="3"/>
  <c r="S53" i="3"/>
  <c r="G258" i="14"/>
  <c r="F258" i="14"/>
  <c r="I258" i="14"/>
  <c r="B93" i="12"/>
  <c r="B94" i="12"/>
  <c r="Z74" i="3"/>
  <c r="S32" i="3"/>
  <c r="Z49" i="3"/>
  <c r="S43" i="3"/>
  <c r="Z162" i="3"/>
  <c r="X22" i="3"/>
  <c r="U22" i="3"/>
  <c r="P22" i="3"/>
  <c r="S22" i="3"/>
  <c r="P128" i="3"/>
  <c r="S128" i="3"/>
  <c r="X128" i="3"/>
  <c r="U128" i="3"/>
  <c r="U87" i="3"/>
  <c r="Z87" i="3"/>
  <c r="Q87" i="3"/>
  <c r="S87" i="3"/>
  <c r="X87" i="3"/>
  <c r="Q92" i="3"/>
  <c r="S92" i="3"/>
  <c r="U92" i="3"/>
  <c r="X92" i="3"/>
  <c r="S84" i="3"/>
  <c r="U89" i="3"/>
  <c r="P89" i="3"/>
  <c r="S89" i="3"/>
  <c r="X89" i="3"/>
  <c r="P145" i="3"/>
  <c r="S145" i="3"/>
  <c r="U145" i="3"/>
  <c r="X145" i="3"/>
  <c r="S85" i="3"/>
  <c r="U82" i="3"/>
  <c r="Z82" i="3"/>
  <c r="X82" i="3"/>
  <c r="P82" i="3"/>
  <c r="S82" i="3"/>
  <c r="X130" i="3"/>
  <c r="U130" i="3"/>
  <c r="P130" i="3"/>
  <c r="S130" i="3"/>
  <c r="P170" i="3"/>
  <c r="S170" i="3"/>
  <c r="X170" i="3"/>
  <c r="U170" i="3"/>
  <c r="U25" i="3"/>
  <c r="P25" i="3"/>
  <c r="S25" i="3"/>
  <c r="X25" i="3"/>
  <c r="U127" i="3"/>
  <c r="P127" i="3"/>
  <c r="S127" i="3"/>
  <c r="X127" i="3"/>
  <c r="U163" i="3"/>
  <c r="Z163" i="3"/>
  <c r="P163" i="3"/>
  <c r="S163" i="3"/>
  <c r="X163" i="3"/>
  <c r="P155" i="3"/>
  <c r="S155" i="3"/>
  <c r="X155" i="3"/>
  <c r="U155" i="3"/>
  <c r="Z155" i="3"/>
  <c r="X150" i="3"/>
  <c r="P150" i="3"/>
  <c r="S150" i="3"/>
  <c r="U150" i="3"/>
  <c r="Z150" i="3"/>
  <c r="P156" i="3"/>
  <c r="S156" i="3"/>
  <c r="U156" i="3"/>
  <c r="X156" i="3"/>
  <c r="U95" i="3"/>
  <c r="Z95" i="3"/>
  <c r="P95" i="3"/>
  <c r="S95" i="3"/>
  <c r="X95" i="3"/>
  <c r="P96" i="3"/>
  <c r="S96" i="3"/>
  <c r="X96" i="3"/>
  <c r="U96" i="3"/>
  <c r="U103" i="3"/>
  <c r="P103" i="3"/>
  <c r="S103" i="3"/>
  <c r="X103" i="3"/>
  <c r="X102" i="3"/>
  <c r="P102" i="3"/>
  <c r="S102" i="3"/>
  <c r="U102" i="3"/>
  <c r="Z102" i="3"/>
  <c r="P105" i="3"/>
  <c r="S105" i="3"/>
  <c r="X105" i="3"/>
  <c r="U105" i="3"/>
  <c r="U108" i="3"/>
  <c r="Z108" i="3"/>
  <c r="P108" i="3"/>
  <c r="S108" i="3"/>
  <c r="X108" i="3"/>
  <c r="X132" i="3"/>
  <c r="U132" i="3"/>
  <c r="Z132" i="3"/>
  <c r="P132" i="3"/>
  <c r="S132" i="3"/>
  <c r="X121" i="3"/>
  <c r="U121" i="3"/>
  <c r="P121" i="3"/>
  <c r="S121" i="3"/>
  <c r="P116" i="3"/>
  <c r="S116" i="3"/>
  <c r="X116" i="3"/>
  <c r="U116" i="3"/>
  <c r="U72" i="3"/>
  <c r="P72" i="3"/>
  <c r="S72" i="3"/>
  <c r="X72" i="3"/>
  <c r="P65" i="3"/>
  <c r="S65" i="3"/>
  <c r="U65" i="3"/>
  <c r="X65" i="3"/>
  <c r="U59" i="3"/>
  <c r="Z59" i="3"/>
  <c r="X59" i="3"/>
  <c r="P59" i="3"/>
  <c r="S59" i="3"/>
  <c r="P41" i="3"/>
  <c r="S41" i="3"/>
  <c r="U41" i="3"/>
  <c r="Z41" i="3"/>
  <c r="X41" i="3"/>
  <c r="X44" i="3"/>
  <c r="U44" i="3"/>
  <c r="Z44" i="3"/>
  <c r="P44" i="3"/>
  <c r="S44" i="3"/>
  <c r="P51" i="3"/>
  <c r="S51" i="3"/>
  <c r="X51" i="3"/>
  <c r="U51" i="3"/>
  <c r="Z51" i="3"/>
  <c r="P35" i="3"/>
  <c r="S35" i="3"/>
  <c r="U35" i="3"/>
  <c r="X35" i="3"/>
  <c r="X38" i="3"/>
  <c r="U38" i="3"/>
  <c r="P38" i="3"/>
  <c r="S38" i="3"/>
  <c r="P80" i="3"/>
  <c r="S80" i="3"/>
  <c r="U80" i="3"/>
  <c r="Z80" i="3"/>
  <c r="X80" i="3"/>
  <c r="U77" i="3"/>
  <c r="P77" i="3"/>
  <c r="S77" i="3"/>
  <c r="X77" i="3"/>
  <c r="X66" i="3"/>
  <c r="U66" i="3"/>
  <c r="P66" i="3"/>
  <c r="S66" i="3"/>
  <c r="U52" i="3"/>
  <c r="Z52" i="3"/>
  <c r="X52" i="3"/>
  <c r="P52" i="3"/>
  <c r="S52" i="3"/>
  <c r="B207" i="17"/>
  <c r="Z25" i="3"/>
  <c r="S167" i="3"/>
  <c r="AH117" i="3"/>
  <c r="Z22" i="3"/>
  <c r="S26" i="3"/>
  <c r="S143" i="3"/>
  <c r="Z148" i="3"/>
  <c r="O7" i="15"/>
  <c r="C5" i="15"/>
  <c r="C8" i="15"/>
  <c r="D4" i="15"/>
  <c r="AH92" i="3"/>
  <c r="AH140" i="3"/>
  <c r="AH160" i="3"/>
  <c r="AH108" i="3"/>
  <c r="AH87" i="3"/>
  <c r="AH157" i="3"/>
  <c r="AH21" i="3"/>
  <c r="AH91" i="3"/>
  <c r="AH77" i="3"/>
  <c r="AH59" i="3"/>
  <c r="AH103" i="3"/>
  <c r="AH52" i="3"/>
  <c r="Z66" i="3"/>
  <c r="Z77" i="3"/>
  <c r="AH38" i="3"/>
  <c r="Z35" i="3"/>
  <c r="AH51" i="3"/>
  <c r="AH65" i="3"/>
  <c r="Z116" i="3"/>
  <c r="Z121" i="3"/>
  <c r="Z105" i="3"/>
  <c r="AH102" i="3"/>
  <c r="Z103" i="3"/>
  <c r="Z156" i="3"/>
  <c r="AH127" i="3"/>
  <c r="AH130" i="3"/>
  <c r="Z145" i="3"/>
  <c r="Z89" i="3"/>
  <c r="Z128" i="3"/>
  <c r="AH32" i="3"/>
  <c r="Z56" i="3"/>
  <c r="Z48" i="3"/>
  <c r="Z76" i="3"/>
  <c r="Z125" i="3"/>
  <c r="Z157" i="3"/>
  <c r="AH106" i="3"/>
  <c r="Z107" i="3"/>
  <c r="AH149" i="3"/>
  <c r="Z160" i="3"/>
  <c r="Z159" i="3"/>
  <c r="AH123" i="3"/>
  <c r="Z28" i="3"/>
  <c r="Z140" i="3"/>
  <c r="Z141" i="3"/>
  <c r="Z31" i="3"/>
  <c r="Z168" i="3"/>
  <c r="Z21" i="3"/>
  <c r="Z58" i="3"/>
  <c r="AH46" i="3"/>
  <c r="AH49" i="3"/>
  <c r="Z57" i="3"/>
  <c r="Z122" i="3"/>
  <c r="Z133" i="3"/>
  <c r="AH113" i="3"/>
  <c r="AH110" i="3"/>
  <c r="AH153" i="3"/>
  <c r="AH147" i="3"/>
  <c r="Z91" i="3"/>
  <c r="AH158" i="3"/>
  <c r="Z129" i="3"/>
  <c r="Z27" i="3"/>
  <c r="Z167" i="3"/>
  <c r="AH62" i="3"/>
  <c r="Z64" i="3"/>
  <c r="Z79" i="3"/>
  <c r="Z40" i="3"/>
  <c r="Z37" i="3"/>
  <c r="AH81" i="3"/>
  <c r="Z101" i="3"/>
  <c r="Z138" i="3"/>
  <c r="Z20" i="3"/>
  <c r="AH86" i="3"/>
  <c r="AH26" i="3"/>
  <c r="AH167" i="3"/>
  <c r="Z38" i="3"/>
  <c r="AH35" i="3"/>
  <c r="AH44" i="3"/>
  <c r="Z96" i="3"/>
  <c r="AH95" i="3"/>
  <c r="AH156" i="3"/>
  <c r="AH163" i="3"/>
  <c r="Z127" i="3"/>
  <c r="Z170" i="3"/>
  <c r="Z130" i="3"/>
  <c r="AH84" i="3"/>
  <c r="Z71" i="3"/>
  <c r="AH114" i="3"/>
  <c r="Z118" i="3"/>
  <c r="AH125" i="3"/>
  <c r="AH136" i="3"/>
  <c r="AH135" i="3"/>
  <c r="AH154" i="3"/>
  <c r="AH159" i="3"/>
  <c r="AH169" i="3"/>
  <c r="AH141" i="3"/>
  <c r="AH118" i="3"/>
  <c r="AH161" i="3"/>
  <c r="Z70" i="3"/>
  <c r="AH75" i="3"/>
  <c r="Z46" i="3"/>
  <c r="AH78" i="3"/>
  <c r="AH115" i="3"/>
  <c r="Z100" i="3"/>
  <c r="AH97" i="3"/>
  <c r="Z111" i="3"/>
  <c r="Z153" i="3"/>
  <c r="AH94" i="3"/>
  <c r="AH24" i="3"/>
  <c r="AH129" i="3"/>
  <c r="AH27" i="3"/>
  <c r="AH164" i="3"/>
  <c r="AH30" i="3"/>
  <c r="AB30" i="3"/>
  <c r="AH152" i="3"/>
  <c r="AH73" i="3"/>
  <c r="AH79" i="3"/>
  <c r="AH55" i="3"/>
  <c r="AH61" i="3"/>
  <c r="Z81" i="3"/>
  <c r="AH134" i="3"/>
  <c r="AH98" i="3"/>
  <c r="AH99" i="3"/>
  <c r="AH146" i="3"/>
  <c r="AH131" i="3"/>
  <c r="AH29" i="3"/>
  <c r="AH23" i="3"/>
  <c r="AH72" i="3"/>
  <c r="AH116" i="3"/>
  <c r="AB116" i="3"/>
  <c r="AH132" i="3"/>
  <c r="AB105" i="3"/>
  <c r="AH105" i="3"/>
  <c r="AH85" i="3"/>
  <c r="AH128" i="3"/>
  <c r="AB128" i="3"/>
  <c r="AH43" i="3"/>
  <c r="AH39" i="3"/>
  <c r="AB39" i="3"/>
  <c r="AH63" i="3"/>
  <c r="AH76" i="3"/>
  <c r="AB76" i="3"/>
  <c r="AH67" i="3"/>
  <c r="AH109" i="3"/>
  <c r="AC154" i="3"/>
  <c r="AG154" i="3"/>
  <c r="H150" i="1"/>
  <c r="AH166" i="3"/>
  <c r="AH126" i="3"/>
  <c r="AB126" i="3"/>
  <c r="AH28" i="3"/>
  <c r="AH90" i="3"/>
  <c r="AH168" i="3"/>
  <c r="AB50" i="3"/>
  <c r="AH50" i="3"/>
  <c r="AC161" i="3"/>
  <c r="AG161" i="3"/>
  <c r="H156" i="1"/>
  <c r="AH58" i="3"/>
  <c r="AH36" i="3"/>
  <c r="AH33" i="3"/>
  <c r="AH69" i="3"/>
  <c r="AH100" i="3"/>
  <c r="Z110" i="3"/>
  <c r="AH111" i="3"/>
  <c r="AH137" i="3"/>
  <c r="AH148" i="3"/>
  <c r="Z158" i="3"/>
  <c r="AC158" i="3"/>
  <c r="AG158" i="3"/>
  <c r="AH64" i="3"/>
  <c r="AB64" i="3"/>
  <c r="AH68" i="3"/>
  <c r="AH34" i="3"/>
  <c r="Z50" i="3"/>
  <c r="AH120" i="3"/>
  <c r="Z119" i="3"/>
  <c r="Z98" i="3"/>
  <c r="Z146" i="3"/>
  <c r="AH151" i="3"/>
  <c r="Z165" i="3"/>
  <c r="AC165" i="3"/>
  <c r="AG165" i="3"/>
  <c r="H159" i="1"/>
  <c r="AH93" i="3"/>
  <c r="AH66" i="3"/>
  <c r="AH80" i="3"/>
  <c r="Z65" i="3"/>
  <c r="AH121" i="3"/>
  <c r="AH96" i="3"/>
  <c r="AH150" i="3"/>
  <c r="AB155" i="3"/>
  <c r="AH155" i="3"/>
  <c r="AH25" i="3"/>
  <c r="AH170" i="3"/>
  <c r="AB170" i="3"/>
  <c r="AH82" i="3"/>
  <c r="AH89" i="3"/>
  <c r="Z92" i="3"/>
  <c r="AH22" i="3"/>
  <c r="AA164" i="3"/>
  <c r="AB164" i="3"/>
  <c r="AA157" i="3"/>
  <c r="AB157" i="3"/>
  <c r="AA146" i="3"/>
  <c r="AB146" i="3"/>
  <c r="AA128" i="3"/>
  <c r="AA119" i="3"/>
  <c r="AB119" i="3"/>
  <c r="AA115" i="3"/>
  <c r="AC115" i="3"/>
  <c r="AG115" i="3"/>
  <c r="H108" i="1"/>
  <c r="AA106" i="3"/>
  <c r="AB106" i="3"/>
  <c r="AA101" i="3"/>
  <c r="AA110" i="3"/>
  <c r="AB110" i="3"/>
  <c r="AA99" i="3"/>
  <c r="AB99" i="3"/>
  <c r="AA82" i="3"/>
  <c r="AB82" i="3"/>
  <c r="AA79" i="3"/>
  <c r="AB79" i="3"/>
  <c r="AA56" i="3"/>
  <c r="AA34" i="3"/>
  <c r="AB34" i="3"/>
  <c r="AA65" i="3"/>
  <c r="AB65" i="3"/>
  <c r="AA30" i="3"/>
  <c r="AC30" i="3"/>
  <c r="AG30" i="3"/>
  <c r="H21" i="1"/>
  <c r="AA32" i="3"/>
  <c r="AB32" i="3"/>
  <c r="AA33" i="3"/>
  <c r="AC33" i="3"/>
  <c r="AG33" i="3"/>
  <c r="H24" i="1"/>
  <c r="AA38" i="3"/>
  <c r="AB38" i="3"/>
  <c r="AA173" i="3"/>
  <c r="AA172" i="3"/>
  <c r="AA53" i="3"/>
  <c r="AC53" i="3"/>
  <c r="AG53" i="3"/>
  <c r="AA77" i="3"/>
  <c r="AB77" i="3"/>
  <c r="AA113" i="3"/>
  <c r="AB113" i="3"/>
  <c r="AA129" i="3"/>
  <c r="AB129" i="3"/>
  <c r="AA149" i="3"/>
  <c r="AB149" i="3"/>
  <c r="AA51" i="3"/>
  <c r="AB51" i="3"/>
  <c r="AA76" i="3"/>
  <c r="AA141" i="3"/>
  <c r="AB141" i="3"/>
  <c r="AA159" i="3"/>
  <c r="AB159" i="3"/>
  <c r="AA61" i="3"/>
  <c r="AB61" i="3"/>
  <c r="AA130" i="3"/>
  <c r="AB130" i="3"/>
  <c r="AA168" i="3"/>
  <c r="AB168" i="3"/>
  <c r="AA47" i="3"/>
  <c r="AC47" i="3"/>
  <c r="AG47" i="3"/>
  <c r="H38" i="1"/>
  <c r="AA81" i="3"/>
  <c r="AB81" i="3"/>
  <c r="AF81" i="3"/>
  <c r="AA94" i="3"/>
  <c r="AB94" i="3"/>
  <c r="AA151" i="3"/>
  <c r="AC151" i="3"/>
  <c r="AG151" i="3"/>
  <c r="H147" i="1"/>
  <c r="AA166" i="3"/>
  <c r="AB166" i="3"/>
  <c r="AA85" i="3"/>
  <c r="AB85" i="3"/>
  <c r="AA155" i="3"/>
  <c r="AC155" i="3"/>
  <c r="AG155" i="3"/>
  <c r="H151" i="1"/>
  <c r="AA131" i="3"/>
  <c r="AB131" i="3"/>
  <c r="AA135" i="3"/>
  <c r="AB135" i="3"/>
  <c r="AA121" i="3"/>
  <c r="AB121" i="3"/>
  <c r="AA116" i="3"/>
  <c r="AA109" i="3"/>
  <c r="AC109" i="3"/>
  <c r="AG109" i="3"/>
  <c r="H102" i="1"/>
  <c r="AA84" i="3"/>
  <c r="AC84" i="3"/>
  <c r="AG84" i="3"/>
  <c r="AA95" i="3"/>
  <c r="AB95" i="3"/>
  <c r="AA103" i="3"/>
  <c r="AB103" i="3"/>
  <c r="AA91" i="3"/>
  <c r="AB91" i="3"/>
  <c r="AA55" i="3"/>
  <c r="AB55" i="3"/>
  <c r="AA69" i="3"/>
  <c r="AB69" i="3"/>
  <c r="AA39" i="3"/>
  <c r="AC39" i="3"/>
  <c r="AG39" i="3"/>
  <c r="H30" i="1"/>
  <c r="AA71" i="3"/>
  <c r="AA35" i="3"/>
  <c r="AB35" i="3"/>
  <c r="AA36" i="3"/>
  <c r="AB36" i="3"/>
  <c r="AA127" i="3"/>
  <c r="AB127" i="3"/>
  <c r="AA25" i="3"/>
  <c r="AC25" i="3"/>
  <c r="AG25" i="3"/>
  <c r="H16" i="1"/>
  <c r="AA136" i="3"/>
  <c r="AB136" i="3"/>
  <c r="AA171" i="3"/>
  <c r="AA50" i="3"/>
  <c r="AA68" i="3"/>
  <c r="AB68" i="3"/>
  <c r="AA111" i="3"/>
  <c r="AB111" i="3"/>
  <c r="AA125" i="3"/>
  <c r="AB125" i="3"/>
  <c r="AA147" i="3"/>
  <c r="AB147" i="3"/>
  <c r="AA40" i="3"/>
  <c r="AA66" i="3"/>
  <c r="AB66" i="3"/>
  <c r="AA138" i="3"/>
  <c r="AA154" i="3"/>
  <c r="AB154" i="3"/>
  <c r="AA57" i="3"/>
  <c r="AA124" i="3"/>
  <c r="AC124" i="3"/>
  <c r="AG124" i="3"/>
  <c r="H117" i="1"/>
  <c r="AA148" i="3"/>
  <c r="AC148" i="3"/>
  <c r="AG148" i="3"/>
  <c r="H144" i="1"/>
  <c r="AA42" i="3"/>
  <c r="AB42" i="3"/>
  <c r="AA78" i="3"/>
  <c r="AB78" i="3"/>
  <c r="AA92" i="3"/>
  <c r="AB92" i="3"/>
  <c r="AA142" i="3"/>
  <c r="AC142" i="3"/>
  <c r="AG142" i="3"/>
  <c r="H138" i="1"/>
  <c r="AA161" i="3"/>
  <c r="AB161" i="3"/>
  <c r="AA160" i="3"/>
  <c r="AB160" i="3"/>
  <c r="AA140" i="3"/>
  <c r="AB140" i="3"/>
  <c r="AA122" i="3"/>
  <c r="AA126" i="3"/>
  <c r="AA97" i="3"/>
  <c r="AC97" i="3"/>
  <c r="AG97" i="3"/>
  <c r="H89" i="1"/>
  <c r="AA75" i="3"/>
  <c r="AB75" i="3"/>
  <c r="AA54" i="3"/>
  <c r="AA24" i="3"/>
  <c r="AB24" i="3"/>
  <c r="AA44" i="3"/>
  <c r="AC44" i="3"/>
  <c r="AG44" i="3"/>
  <c r="H35" i="1"/>
  <c r="AA27" i="3"/>
  <c r="AB27" i="3"/>
  <c r="AA41" i="3"/>
  <c r="AC41" i="3"/>
  <c r="AG41" i="3"/>
  <c r="H32" i="1"/>
  <c r="L962" i="14"/>
  <c r="AA63" i="3"/>
  <c r="AC63" i="3"/>
  <c r="AG63" i="3"/>
  <c r="AA123" i="3"/>
  <c r="AB123" i="3"/>
  <c r="AA169" i="3"/>
  <c r="AB169" i="3"/>
  <c r="AA102" i="3"/>
  <c r="AC102" i="3"/>
  <c r="AG102" i="3"/>
  <c r="H94" i="1"/>
  <c r="AA165" i="3"/>
  <c r="AA90" i="3"/>
  <c r="AB90" i="3"/>
  <c r="AA28" i="3"/>
  <c r="AB28" i="3"/>
  <c r="AA89" i="3"/>
  <c r="AB89" i="3"/>
  <c r="AA158" i="3"/>
  <c r="AB158" i="3"/>
  <c r="AA163" i="3"/>
  <c r="AB163" i="3"/>
  <c r="AA139" i="3"/>
  <c r="AA118" i="3"/>
  <c r="AB118" i="3"/>
  <c r="AA105" i="3"/>
  <c r="AA107" i="3"/>
  <c r="AA70" i="3"/>
  <c r="AA52" i="3"/>
  <c r="AB52" i="3"/>
  <c r="AA49" i="3"/>
  <c r="AB49" i="3"/>
  <c r="AA26" i="3"/>
  <c r="AB26" i="3"/>
  <c r="AA45" i="3"/>
  <c r="AC45" i="3"/>
  <c r="AG45" i="3"/>
  <c r="H36" i="1"/>
  <c r="AA22" i="3"/>
  <c r="AB22" i="3"/>
  <c r="AA80" i="3"/>
  <c r="AC80" i="3"/>
  <c r="AG80" i="3"/>
  <c r="AA134" i="3"/>
  <c r="AC134" i="3"/>
  <c r="AG134" i="3"/>
  <c r="H130" i="1"/>
  <c r="AA58" i="3"/>
  <c r="AB58" i="3"/>
  <c r="AA144" i="3"/>
  <c r="AC144" i="3"/>
  <c r="AG144" i="3"/>
  <c r="H140" i="1"/>
  <c r="AA64" i="3"/>
  <c r="AA133" i="3"/>
  <c r="AB133" i="3"/>
  <c r="AA48" i="3"/>
  <c r="AB48" i="3"/>
  <c r="AA96" i="3"/>
  <c r="AB96" i="3"/>
  <c r="AA20" i="3"/>
  <c r="AA132" i="3"/>
  <c r="AC132" i="3"/>
  <c r="AG132" i="3"/>
  <c r="AA117" i="3"/>
  <c r="AA100" i="3"/>
  <c r="AB100" i="3"/>
  <c r="AA104" i="3"/>
  <c r="AC104" i="3"/>
  <c r="AG104" i="3"/>
  <c r="H96" i="1"/>
  <c r="AA74" i="3"/>
  <c r="AC74" i="3"/>
  <c r="AG74" i="3"/>
  <c r="AA46" i="3"/>
  <c r="AB46" i="3"/>
  <c r="AA43" i="3"/>
  <c r="AB43" i="3"/>
  <c r="AA21" i="3"/>
  <c r="AB21" i="3"/>
  <c r="AA23" i="3"/>
  <c r="AB23" i="3"/>
  <c r="AA37" i="3"/>
  <c r="AB37" i="3"/>
  <c r="AA108" i="3"/>
  <c r="AC108" i="3"/>
  <c r="AG108" i="3"/>
  <c r="H101" i="1"/>
  <c r="AA143" i="3"/>
  <c r="AB143" i="3"/>
  <c r="AA62" i="3"/>
  <c r="AB62" i="3"/>
  <c r="AA152" i="3"/>
  <c r="AB152" i="3"/>
  <c r="AA72" i="3"/>
  <c r="AC72" i="3"/>
  <c r="AG72" i="3"/>
  <c r="AA145" i="3"/>
  <c r="AB145" i="3"/>
  <c r="AA60" i="3"/>
  <c r="AC60" i="3"/>
  <c r="AG60" i="3"/>
  <c r="AA137" i="3"/>
  <c r="AB137" i="3"/>
  <c r="AA167" i="3"/>
  <c r="AB167" i="3"/>
  <c r="AA150" i="3"/>
  <c r="AC150" i="3"/>
  <c r="AG150" i="3"/>
  <c r="H146" i="1"/>
  <c r="AA112" i="3"/>
  <c r="AB112" i="3"/>
  <c r="AA114" i="3"/>
  <c r="AB114" i="3"/>
  <c r="AA98" i="3"/>
  <c r="AB98" i="3"/>
  <c r="AA86" i="3"/>
  <c r="AB86" i="3"/>
  <c r="AA73" i="3"/>
  <c r="AC73" i="3"/>
  <c r="AG73" i="3"/>
  <c r="AA29" i="3"/>
  <c r="AB29" i="3"/>
  <c r="AA67" i="3"/>
  <c r="AC67" i="3"/>
  <c r="AG67" i="3"/>
  <c r="H57" i="1"/>
  <c r="AA88" i="3"/>
  <c r="AB88" i="3"/>
  <c r="AA31" i="3"/>
  <c r="AB31" i="3"/>
  <c r="AA59" i="3"/>
  <c r="AB59" i="3"/>
  <c r="AA120" i="3"/>
  <c r="AB120" i="3"/>
  <c r="AA156" i="3"/>
  <c r="AB156" i="3"/>
  <c r="AA93" i="3"/>
  <c r="AB93" i="3"/>
  <c r="AA162" i="3"/>
  <c r="AC162" i="3"/>
  <c r="AG162" i="3"/>
  <c r="H157" i="1"/>
  <c r="AA87" i="3"/>
  <c r="AC87" i="3"/>
  <c r="AG87" i="3"/>
  <c r="H80" i="1"/>
  <c r="AA170" i="3"/>
  <c r="AA83" i="3"/>
  <c r="AC83" i="3"/>
  <c r="AG83" i="3"/>
  <c r="AI83" i="3"/>
  <c r="AA153" i="3"/>
  <c r="AB153" i="3"/>
  <c r="AB53" i="3"/>
  <c r="AH53" i="3"/>
  <c r="AB56" i="3"/>
  <c r="AH56" i="3"/>
  <c r="AB71" i="3"/>
  <c r="AH71" i="3"/>
  <c r="Z42" i="3"/>
  <c r="AC42" i="3"/>
  <c r="AG42" i="3"/>
  <c r="H33" i="1"/>
  <c r="AB45" i="3"/>
  <c r="AH45" i="3"/>
  <c r="AH74" i="3"/>
  <c r="AB124" i="3"/>
  <c r="AH124" i="3"/>
  <c r="Z112" i="3"/>
  <c r="AC112" i="3"/>
  <c r="AG112" i="3"/>
  <c r="H105" i="1"/>
  <c r="AH107" i="3"/>
  <c r="AB107" i="3"/>
  <c r="AC135" i="3"/>
  <c r="AG135" i="3"/>
  <c r="H131" i="1"/>
  <c r="Z149" i="3"/>
  <c r="Z123" i="3"/>
  <c r="AC123" i="3"/>
  <c r="AG123" i="3"/>
  <c r="H116" i="1"/>
  <c r="AC166" i="3"/>
  <c r="AG166" i="3"/>
  <c r="H160" i="1"/>
  <c r="AC126" i="3"/>
  <c r="AG126" i="3"/>
  <c r="H119" i="1"/>
  <c r="AC90" i="3"/>
  <c r="AG90" i="3"/>
  <c r="Z88" i="3"/>
  <c r="AC88" i="3"/>
  <c r="AG88" i="3"/>
  <c r="H81" i="1"/>
  <c r="AB70" i="3"/>
  <c r="AH70" i="3"/>
  <c r="AH60" i="3"/>
  <c r="AB60" i="3"/>
  <c r="AC75" i="3"/>
  <c r="AG75" i="3"/>
  <c r="H66" i="1"/>
  <c r="AC36" i="3"/>
  <c r="AG36" i="3"/>
  <c r="H27" i="1"/>
  <c r="AH57" i="3"/>
  <c r="AB57" i="3"/>
  <c r="AB122" i="3"/>
  <c r="AH122" i="3"/>
  <c r="AH133" i="3"/>
  <c r="AC69" i="3"/>
  <c r="AG69" i="3"/>
  <c r="AC113" i="3"/>
  <c r="AG113" i="3"/>
  <c r="H106" i="1"/>
  <c r="AC137" i="3"/>
  <c r="AG137" i="3"/>
  <c r="H133" i="1"/>
  <c r="AC147" i="3"/>
  <c r="AG147" i="3"/>
  <c r="H143" i="1"/>
  <c r="AC94" i="3"/>
  <c r="AG94" i="3"/>
  <c r="AH83" i="3"/>
  <c r="AB83" i="3"/>
  <c r="AF83" i="3"/>
  <c r="AH162" i="3"/>
  <c r="AB162" i="3"/>
  <c r="AC68" i="3"/>
  <c r="AG68" i="3"/>
  <c r="AC34" i="3"/>
  <c r="AG34" i="3"/>
  <c r="H25" i="1"/>
  <c r="AB40" i="3"/>
  <c r="AH37" i="3"/>
  <c r="AC55" i="3"/>
  <c r="AG55" i="3"/>
  <c r="AC120" i="3"/>
  <c r="AG120" i="3"/>
  <c r="H113" i="1"/>
  <c r="AH119" i="3"/>
  <c r="AH104" i="3"/>
  <c r="AB104" i="3"/>
  <c r="AB101" i="3"/>
  <c r="AH101" i="3"/>
  <c r="AB138" i="3"/>
  <c r="AH138" i="3"/>
  <c r="AC29" i="3"/>
  <c r="AG29" i="3"/>
  <c r="H20" i="1"/>
  <c r="AH20" i="3"/>
  <c r="AB20" i="3"/>
  <c r="AB165" i="3"/>
  <c r="AH165" i="3"/>
  <c r="AC23" i="3"/>
  <c r="AG23" i="3"/>
  <c r="H14" i="1"/>
  <c r="Z26" i="3"/>
  <c r="AC26" i="3"/>
  <c r="AG26" i="3"/>
  <c r="H17" i="1"/>
  <c r="P5" i="15"/>
  <c r="P7" i="15"/>
  <c r="D5" i="15"/>
  <c r="D8" i="15"/>
  <c r="E4" i="15"/>
  <c r="Q5" i="15"/>
  <c r="Q7" i="15"/>
  <c r="E5" i="15"/>
  <c r="E8" i="15"/>
  <c r="F4" i="15"/>
  <c r="R5" i="15"/>
  <c r="R7" i="15"/>
  <c r="F5" i="15"/>
  <c r="F8" i="15"/>
  <c r="G4" i="15"/>
  <c r="S5" i="15"/>
  <c r="S7" i="15"/>
  <c r="G5" i="15"/>
  <c r="G8" i="15"/>
  <c r="H4" i="15"/>
  <c r="AE31" i="3"/>
  <c r="AF31" i="3"/>
  <c r="G22" i="1"/>
  <c r="AF112" i="3"/>
  <c r="G105" i="1"/>
  <c r="AE112" i="3"/>
  <c r="H65" i="1"/>
  <c r="H64" i="1"/>
  <c r="L975" i="14"/>
  <c r="L977" i="14"/>
  <c r="L976" i="14"/>
  <c r="L557" i="14"/>
  <c r="L556" i="14"/>
  <c r="L1204" i="14"/>
  <c r="M1204" i="14"/>
  <c r="AF98" i="3"/>
  <c r="AE98" i="3"/>
  <c r="AE167" i="3"/>
  <c r="AF167" i="3"/>
  <c r="AF22" i="3"/>
  <c r="AE22" i="3"/>
  <c r="AF52" i="3"/>
  <c r="AE52" i="3"/>
  <c r="AE118" i="3"/>
  <c r="AF118" i="3"/>
  <c r="AF89" i="3"/>
  <c r="AE89" i="3"/>
  <c r="V962" i="14"/>
  <c r="S962" i="14"/>
  <c r="M962" i="14"/>
  <c r="N962" i="14"/>
  <c r="Y962" i="14"/>
  <c r="AC962" i="14"/>
  <c r="AB962" i="14"/>
  <c r="AF153" i="3"/>
  <c r="AE153" i="3"/>
  <c r="AE59" i="3"/>
  <c r="AF59" i="3"/>
  <c r="AE29" i="3"/>
  <c r="AF29" i="3"/>
  <c r="AF114" i="3"/>
  <c r="AE114" i="3"/>
  <c r="AE137" i="3"/>
  <c r="AF137" i="3"/>
  <c r="AE152" i="3"/>
  <c r="AF152" i="3"/>
  <c r="AF37" i="3"/>
  <c r="AE37" i="3"/>
  <c r="AE46" i="3"/>
  <c r="AF46" i="3"/>
  <c r="AF48" i="3"/>
  <c r="G39" i="1"/>
  <c r="AE48" i="3"/>
  <c r="AF58" i="3"/>
  <c r="AE58" i="3"/>
  <c r="L512" i="14"/>
  <c r="L1165" i="14"/>
  <c r="AF28" i="3"/>
  <c r="AE28" i="3"/>
  <c r="AF169" i="3"/>
  <c r="AE169" i="3"/>
  <c r="AF27" i="3"/>
  <c r="AE27" i="3"/>
  <c r="AF75" i="3"/>
  <c r="AE75" i="3"/>
  <c r="AF140" i="3"/>
  <c r="AE140" i="3"/>
  <c r="AF92" i="3"/>
  <c r="G84" i="1"/>
  <c r="AE92" i="3"/>
  <c r="AE66" i="3"/>
  <c r="AF66" i="3"/>
  <c r="AE111" i="3"/>
  <c r="AF111" i="3"/>
  <c r="AF136" i="3"/>
  <c r="AE136" i="3"/>
  <c r="AE35" i="3"/>
  <c r="AF35" i="3"/>
  <c r="AF55" i="3"/>
  <c r="AE55" i="3"/>
  <c r="H76" i="1"/>
  <c r="H75" i="1"/>
  <c r="H74" i="1"/>
  <c r="AF135" i="3"/>
  <c r="AE135" i="3"/>
  <c r="AF166" i="3"/>
  <c r="AE166" i="3"/>
  <c r="AF159" i="3"/>
  <c r="AE159" i="3"/>
  <c r="AE149" i="3"/>
  <c r="AF149" i="3"/>
  <c r="L489" i="14"/>
  <c r="L953" i="14"/>
  <c r="L490" i="14"/>
  <c r="L488" i="14"/>
  <c r="L1145" i="14"/>
  <c r="M1145" i="14"/>
  <c r="L1144" i="14"/>
  <c r="L957" i="14"/>
  <c r="L954" i="14"/>
  <c r="L955" i="14"/>
  <c r="L951" i="14"/>
  <c r="L1143" i="14"/>
  <c r="M1143" i="14"/>
  <c r="L956" i="14"/>
  <c r="L952" i="14"/>
  <c r="M952" i="14"/>
  <c r="AE34" i="3"/>
  <c r="AF34" i="3"/>
  <c r="AE99" i="3"/>
  <c r="AF99" i="3"/>
  <c r="L919" i="14"/>
  <c r="L724" i="14"/>
  <c r="L1365" i="14"/>
  <c r="M1365" i="14"/>
  <c r="L725" i="14"/>
  <c r="L1366" i="14"/>
  <c r="M1366" i="14"/>
  <c r="AE157" i="3"/>
  <c r="AF157" i="3"/>
  <c r="H63" i="1"/>
  <c r="H62" i="1"/>
  <c r="AE23" i="3"/>
  <c r="AF23" i="3"/>
  <c r="AE26" i="3"/>
  <c r="AF26" i="3"/>
  <c r="AF163" i="3"/>
  <c r="AE163" i="3"/>
  <c r="AF90" i="3"/>
  <c r="AX90" i="3"/>
  <c r="AE90" i="3"/>
  <c r="AF123" i="3"/>
  <c r="AE123" i="3"/>
  <c r="L1163" i="14"/>
  <c r="M1163" i="14"/>
  <c r="L1164" i="14"/>
  <c r="L510" i="14"/>
  <c r="L511" i="14"/>
  <c r="L1323" i="14"/>
  <c r="L681" i="14"/>
  <c r="L1034" i="14"/>
  <c r="L680" i="14"/>
  <c r="AE160" i="3"/>
  <c r="AF160" i="3"/>
  <c r="AF78" i="3"/>
  <c r="AE78" i="3"/>
  <c r="AE68" i="3"/>
  <c r="AF68" i="3"/>
  <c r="AX68" i="3"/>
  <c r="L1124" i="14"/>
  <c r="L466" i="14"/>
  <c r="L1123" i="14"/>
  <c r="L1125" i="14"/>
  <c r="M1125" i="14"/>
  <c r="L467" i="14"/>
  <c r="L934" i="14"/>
  <c r="M934" i="14"/>
  <c r="L936" i="14"/>
  <c r="L939" i="14"/>
  <c r="L465" i="14"/>
  <c r="L468" i="14"/>
  <c r="L938" i="14"/>
  <c r="L1122" i="14"/>
  <c r="M1122" i="14"/>
  <c r="L937" i="14"/>
  <c r="L940" i="14"/>
  <c r="L941" i="14"/>
  <c r="L935" i="14"/>
  <c r="M935" i="14"/>
  <c r="AE91" i="3"/>
  <c r="AF91" i="3"/>
  <c r="L1355" i="14"/>
  <c r="M1355" i="14"/>
  <c r="L714" i="14"/>
  <c r="AE131" i="3"/>
  <c r="AF131" i="3"/>
  <c r="AF168" i="3"/>
  <c r="AE168" i="3"/>
  <c r="AE141" i="3"/>
  <c r="AF141" i="3"/>
  <c r="AE129" i="3"/>
  <c r="AF129" i="3"/>
  <c r="AE32" i="3"/>
  <c r="AF32" i="3"/>
  <c r="AF110" i="3"/>
  <c r="AE110" i="3"/>
  <c r="AE119" i="3"/>
  <c r="AF119" i="3"/>
  <c r="AE164" i="3"/>
  <c r="AF164" i="3"/>
  <c r="AE93" i="3"/>
  <c r="AF93" i="3"/>
  <c r="G85" i="1"/>
  <c r="H50" i="1"/>
  <c r="AE62" i="3"/>
  <c r="AF62" i="3"/>
  <c r="H127" i="1"/>
  <c r="H128" i="1"/>
  <c r="AE133" i="3"/>
  <c r="AF133" i="3"/>
  <c r="AF156" i="3"/>
  <c r="AE156" i="3"/>
  <c r="AF88" i="3"/>
  <c r="AE88" i="3"/>
  <c r="AE86" i="3"/>
  <c r="AF86" i="3"/>
  <c r="L792" i="14"/>
  <c r="L1433" i="14"/>
  <c r="L1434" i="14"/>
  <c r="L794" i="14"/>
  <c r="L1435" i="14"/>
  <c r="L793" i="14"/>
  <c r="AF145" i="3"/>
  <c r="AE145" i="3"/>
  <c r="AE143" i="3"/>
  <c r="AF143" i="3"/>
  <c r="AF21" i="3"/>
  <c r="AE21" i="3"/>
  <c r="L1340" i="14"/>
  <c r="L700" i="14"/>
  <c r="L701" i="14"/>
  <c r="L1341" i="14"/>
  <c r="L1041" i="14"/>
  <c r="L1342" i="14"/>
  <c r="M1342" i="14"/>
  <c r="L1339" i="14"/>
  <c r="M1339" i="14"/>
  <c r="L699" i="14"/>
  <c r="L698" i="14"/>
  <c r="L1040" i="14"/>
  <c r="H71" i="1"/>
  <c r="AE49" i="3"/>
  <c r="AF49" i="3"/>
  <c r="AF158" i="3"/>
  <c r="AE158" i="3"/>
  <c r="H53" i="1"/>
  <c r="AF24" i="3"/>
  <c r="AE24" i="3"/>
  <c r="AE161" i="3"/>
  <c r="AF161" i="3"/>
  <c r="AF42" i="3"/>
  <c r="G33" i="1"/>
  <c r="AE42" i="3"/>
  <c r="AF154" i="3"/>
  <c r="AE154" i="3"/>
  <c r="AE147" i="3"/>
  <c r="AF147" i="3"/>
  <c r="AE127" i="3"/>
  <c r="AF127" i="3"/>
  <c r="L1156" i="14"/>
  <c r="L503" i="14"/>
  <c r="AF103" i="3"/>
  <c r="AE103" i="3"/>
  <c r="L795" i="14"/>
  <c r="L1436" i="14"/>
  <c r="M1436" i="14"/>
  <c r="L1106" i="14"/>
  <c r="AF94" i="3"/>
  <c r="AE94" i="3"/>
  <c r="AE130" i="3"/>
  <c r="AF130" i="3"/>
  <c r="AE113" i="3"/>
  <c r="AF113" i="3"/>
  <c r="L476" i="14"/>
  <c r="L1134" i="14"/>
  <c r="AE79" i="3"/>
  <c r="AF79" i="3"/>
  <c r="AE120" i="3"/>
  <c r="AF120" i="3"/>
  <c r="AF43" i="3"/>
  <c r="AE43" i="3"/>
  <c r="AE100" i="3"/>
  <c r="AF100" i="3"/>
  <c r="AF96" i="3"/>
  <c r="G88" i="1"/>
  <c r="AE96" i="3"/>
  <c r="AE125" i="3"/>
  <c r="AF125" i="3"/>
  <c r="AE36" i="3"/>
  <c r="AF36" i="3"/>
  <c r="AE69" i="3"/>
  <c r="AF69" i="3"/>
  <c r="AF95" i="3"/>
  <c r="AE95" i="3"/>
  <c r="AF121" i="3"/>
  <c r="AE121" i="3"/>
  <c r="AE85" i="3"/>
  <c r="AF85" i="3"/>
  <c r="AF61" i="3"/>
  <c r="AE61" i="3"/>
  <c r="AF51" i="3"/>
  <c r="G42" i="1"/>
  <c r="AE51" i="3"/>
  <c r="AF77" i="3"/>
  <c r="AE77" i="3"/>
  <c r="AE38" i="3"/>
  <c r="AF38" i="3"/>
  <c r="AE65" i="3"/>
  <c r="AF65" i="3"/>
  <c r="AE82" i="3"/>
  <c r="AF82" i="3"/>
  <c r="AF106" i="3"/>
  <c r="AE106" i="3"/>
  <c r="AF146" i="3"/>
  <c r="AE146" i="3"/>
  <c r="AE57" i="3"/>
  <c r="AF57" i="3"/>
  <c r="AE138" i="3"/>
  <c r="AF138" i="3"/>
  <c r="H45" i="1"/>
  <c r="AI55" i="3"/>
  <c r="L1032" i="14"/>
  <c r="L1031" i="14"/>
  <c r="M1031" i="14"/>
  <c r="AE165" i="3"/>
  <c r="AF165" i="3"/>
  <c r="AF45" i="3"/>
  <c r="AE45" i="3"/>
  <c r="AF71" i="3"/>
  <c r="AE71" i="3"/>
  <c r="AC172" i="3"/>
  <c r="AG172" i="3"/>
  <c r="H167" i="1"/>
  <c r="AB172" i="3"/>
  <c r="AB144" i="3"/>
  <c r="AB142" i="3"/>
  <c r="AC152" i="3"/>
  <c r="AG152" i="3"/>
  <c r="H148" i="1"/>
  <c r="AF101" i="3"/>
  <c r="AE101" i="3"/>
  <c r="AC62" i="3"/>
  <c r="AG62" i="3"/>
  <c r="AC85" i="3"/>
  <c r="AG85" i="3"/>
  <c r="AC78" i="3"/>
  <c r="AG78" i="3"/>
  <c r="AC43" i="3"/>
  <c r="AG43" i="3"/>
  <c r="H34" i="1"/>
  <c r="AC149" i="3"/>
  <c r="AG149" i="3"/>
  <c r="H145" i="1"/>
  <c r="AC106" i="3"/>
  <c r="AG106" i="3"/>
  <c r="H98" i="1"/>
  <c r="AB74" i="3"/>
  <c r="AC32" i="3"/>
  <c r="AG32" i="3"/>
  <c r="H23" i="1"/>
  <c r="AB173" i="3"/>
  <c r="AC173" i="3"/>
  <c r="AG173" i="3"/>
  <c r="H168" i="1"/>
  <c r="AC49" i="3"/>
  <c r="AG49" i="3"/>
  <c r="H40" i="1"/>
  <c r="AC92" i="3"/>
  <c r="AG92" i="3"/>
  <c r="AB150" i="3"/>
  <c r="AB80" i="3"/>
  <c r="AC131" i="3"/>
  <c r="AG131" i="3"/>
  <c r="AC99" i="3"/>
  <c r="AG99" i="3"/>
  <c r="H91" i="1"/>
  <c r="AC50" i="3"/>
  <c r="AG50" i="3"/>
  <c r="H41" i="1"/>
  <c r="AC24" i="3"/>
  <c r="AG24" i="3"/>
  <c r="H15" i="1"/>
  <c r="AB148" i="3"/>
  <c r="AC169" i="3"/>
  <c r="AG169" i="3"/>
  <c r="H164" i="1"/>
  <c r="AB109" i="3"/>
  <c r="AC114" i="3"/>
  <c r="AG114" i="3"/>
  <c r="H107" i="1"/>
  <c r="AB63" i="3"/>
  <c r="AB72" i="3"/>
  <c r="AF72" i="3"/>
  <c r="AX72" i="3"/>
  <c r="AC51" i="3"/>
  <c r="AG51" i="3"/>
  <c r="H42" i="1"/>
  <c r="AC22" i="3"/>
  <c r="AG22" i="3"/>
  <c r="H13" i="1"/>
  <c r="L460" i="14"/>
  <c r="AC93" i="3"/>
  <c r="AG93" i="3"/>
  <c r="AB134" i="3"/>
  <c r="AB115" i="3"/>
  <c r="AC46" i="3"/>
  <c r="AG46" i="3"/>
  <c r="H37" i="1"/>
  <c r="AC71" i="3"/>
  <c r="AG71" i="3"/>
  <c r="AB84" i="3"/>
  <c r="AC170" i="3"/>
  <c r="AG170" i="3"/>
  <c r="H165" i="1"/>
  <c r="AC96" i="3"/>
  <c r="AG96" i="3"/>
  <c r="H88" i="1"/>
  <c r="AB44" i="3"/>
  <c r="AC101" i="3"/>
  <c r="AG101" i="3"/>
  <c r="H93" i="1"/>
  <c r="AC40" i="3"/>
  <c r="AG40" i="3"/>
  <c r="H31" i="1"/>
  <c r="AC122" i="3"/>
  <c r="AG122" i="3"/>
  <c r="H115" i="1"/>
  <c r="AC168" i="3"/>
  <c r="AG168" i="3"/>
  <c r="H163" i="1"/>
  <c r="AC28" i="3"/>
  <c r="AG28" i="3"/>
  <c r="H19" i="1"/>
  <c r="AC160" i="3"/>
  <c r="AG160" i="3"/>
  <c r="AC76" i="3"/>
  <c r="AG76" i="3"/>
  <c r="AC145" i="3"/>
  <c r="AG145" i="3"/>
  <c r="H141" i="1"/>
  <c r="AB102" i="3"/>
  <c r="AC35" i="3"/>
  <c r="AG35" i="3"/>
  <c r="H26" i="1"/>
  <c r="AC66" i="3"/>
  <c r="AG66" i="3"/>
  <c r="H56" i="1"/>
  <c r="AB108" i="3"/>
  <c r="L461" i="14"/>
  <c r="L1117" i="14"/>
  <c r="AF20" i="3"/>
  <c r="AE20" i="3"/>
  <c r="AE104" i="3"/>
  <c r="AF104" i="3"/>
  <c r="AE40" i="3"/>
  <c r="AF40" i="3"/>
  <c r="G31" i="1"/>
  <c r="L746" i="14"/>
  <c r="L1062" i="14"/>
  <c r="L745" i="14"/>
  <c r="L1386" i="14"/>
  <c r="L1387" i="14"/>
  <c r="L718" i="14"/>
  <c r="L1359" i="14"/>
  <c r="M1359" i="14"/>
  <c r="L1360" i="14"/>
  <c r="L1361" i="14"/>
  <c r="L1044" i="14"/>
  <c r="L720" i="14"/>
  <c r="L1043" i="14"/>
  <c r="M1043" i="14"/>
  <c r="L719" i="14"/>
  <c r="AF56" i="3"/>
  <c r="AE56" i="3"/>
  <c r="AI72" i="3"/>
  <c r="AB54" i="3"/>
  <c r="AC54" i="3"/>
  <c r="AG54" i="3"/>
  <c r="H44" i="1"/>
  <c r="AB171" i="3"/>
  <c r="AC171" i="3"/>
  <c r="AG171" i="3"/>
  <c r="H166" i="1"/>
  <c r="AE170" i="3"/>
  <c r="AF170" i="3"/>
  <c r="AC98" i="3"/>
  <c r="AG98" i="3"/>
  <c r="H90" i="1"/>
  <c r="AE64" i="3"/>
  <c r="AF64" i="3"/>
  <c r="G54" i="1"/>
  <c r="AC110" i="3"/>
  <c r="AG110" i="3"/>
  <c r="H103" i="1"/>
  <c r="AF50" i="3"/>
  <c r="G41" i="1"/>
  <c r="AE50" i="3"/>
  <c r="AF126" i="3"/>
  <c r="AE126" i="3"/>
  <c r="AF76" i="3"/>
  <c r="AE76" i="3"/>
  <c r="AC95" i="3"/>
  <c r="AG95" i="3"/>
  <c r="H87" i="1"/>
  <c r="AB132" i="3"/>
  <c r="AC86" i="3"/>
  <c r="AG86" i="3"/>
  <c r="AC81" i="3"/>
  <c r="AG81" i="3"/>
  <c r="AI81" i="3"/>
  <c r="AB73" i="3"/>
  <c r="AE30" i="3"/>
  <c r="AF30" i="3"/>
  <c r="AC143" i="3"/>
  <c r="AG143" i="3"/>
  <c r="H139" i="1"/>
  <c r="AB97" i="3"/>
  <c r="AC127" i="3"/>
  <c r="AG127" i="3"/>
  <c r="H120" i="1"/>
  <c r="L1063" i="14"/>
  <c r="M1063" i="14"/>
  <c r="AC59" i="3"/>
  <c r="AG59" i="3"/>
  <c r="AC79" i="3"/>
  <c r="AG79" i="3"/>
  <c r="AC167" i="3"/>
  <c r="AG167" i="3"/>
  <c r="H162" i="1"/>
  <c r="AC57" i="3"/>
  <c r="AG57" i="3"/>
  <c r="AC31" i="3"/>
  <c r="AG31" i="3"/>
  <c r="H22" i="1"/>
  <c r="L947" i="14"/>
  <c r="AC48" i="3"/>
  <c r="AG48" i="3"/>
  <c r="H39" i="1"/>
  <c r="AC156" i="3"/>
  <c r="AG156" i="3"/>
  <c r="H152" i="1"/>
  <c r="AC105" i="3"/>
  <c r="AG105" i="3"/>
  <c r="H97" i="1"/>
  <c r="L1408" i="14"/>
  <c r="M1408" i="14"/>
  <c r="L770" i="14"/>
  <c r="L1409" i="14"/>
  <c r="L769" i="14"/>
  <c r="L492" i="14"/>
  <c r="L493" i="14"/>
  <c r="L958" i="14"/>
  <c r="L1148" i="14"/>
  <c r="L491" i="14"/>
  <c r="L959" i="14"/>
  <c r="L1146" i="14"/>
  <c r="M1146" i="14"/>
  <c r="L1147" i="14"/>
  <c r="AF162" i="3"/>
  <c r="AE162" i="3"/>
  <c r="AF107" i="3"/>
  <c r="AE107" i="3"/>
  <c r="AC117" i="3"/>
  <c r="AG117" i="3"/>
  <c r="H110" i="1"/>
  <c r="AB117" i="3"/>
  <c r="AB139" i="3"/>
  <c r="AC139" i="3"/>
  <c r="AG139" i="3"/>
  <c r="H135" i="1"/>
  <c r="AF155" i="3"/>
  <c r="AE155" i="3"/>
  <c r="AC65" i="3"/>
  <c r="AG65" i="3"/>
  <c r="H55" i="1"/>
  <c r="AB151" i="3"/>
  <c r="AC61" i="3"/>
  <c r="AG61" i="3"/>
  <c r="AC136" i="3"/>
  <c r="AG136" i="3"/>
  <c r="H132" i="1"/>
  <c r="L1089" i="14"/>
  <c r="AF116" i="3"/>
  <c r="AE116" i="3"/>
  <c r="AB41" i="3"/>
  <c r="AC52" i="3"/>
  <c r="AG52" i="3"/>
  <c r="AB47" i="3"/>
  <c r="AC153" i="3"/>
  <c r="AG153" i="3"/>
  <c r="H149" i="1"/>
  <c r="AC100" i="3"/>
  <c r="AG100" i="3"/>
  <c r="H92" i="1"/>
  <c r="AC118" i="3"/>
  <c r="AG118" i="3"/>
  <c r="H111" i="1"/>
  <c r="AC82" i="3"/>
  <c r="AG82" i="3"/>
  <c r="AC20" i="3"/>
  <c r="AG20" i="3"/>
  <c r="H11" i="1"/>
  <c r="AC64" i="3"/>
  <c r="AG64" i="3"/>
  <c r="AC27" i="3"/>
  <c r="AG27" i="3"/>
  <c r="H18" i="1"/>
  <c r="AC91" i="3"/>
  <c r="AG91" i="3"/>
  <c r="AC58" i="3"/>
  <c r="AG58" i="3"/>
  <c r="AC141" i="3"/>
  <c r="AG141" i="3"/>
  <c r="H137" i="1"/>
  <c r="AC157" i="3"/>
  <c r="AG157" i="3"/>
  <c r="H153" i="1"/>
  <c r="AC56" i="3"/>
  <c r="AG56" i="3"/>
  <c r="H46" i="1"/>
  <c r="AC128" i="3"/>
  <c r="AG128" i="3"/>
  <c r="H121" i="1"/>
  <c r="AC103" i="3"/>
  <c r="AG103" i="3"/>
  <c r="H95" i="1"/>
  <c r="AC121" i="3"/>
  <c r="AG121" i="3"/>
  <c r="H114" i="1"/>
  <c r="AB87" i="3"/>
  <c r="AX83" i="3"/>
  <c r="L1007" i="14"/>
  <c r="L627" i="14"/>
  <c r="L1270" i="14"/>
  <c r="L628" i="14"/>
  <c r="L1271" i="14"/>
  <c r="AF70" i="3"/>
  <c r="AE70" i="3"/>
  <c r="AF60" i="3"/>
  <c r="AI60" i="3"/>
  <c r="AE60" i="3"/>
  <c r="L1126" i="14"/>
  <c r="M1126" i="14"/>
  <c r="L942" i="14"/>
  <c r="L469" i="14"/>
  <c r="L1127" i="14"/>
  <c r="L907" i="14"/>
  <c r="L917" i="14"/>
  <c r="L943" i="14"/>
  <c r="L470" i="14"/>
  <c r="L1128" i="14"/>
  <c r="M1128" i="14"/>
  <c r="L946" i="14"/>
  <c r="L474" i="14"/>
  <c r="L1133" i="14"/>
  <c r="L475" i="14"/>
  <c r="L945" i="14"/>
  <c r="L1132" i="14"/>
  <c r="M1132" i="14"/>
  <c r="H86" i="1"/>
  <c r="AI94" i="3"/>
  <c r="H58" i="1"/>
  <c r="AI69" i="3"/>
  <c r="AF122" i="3"/>
  <c r="AE122" i="3"/>
  <c r="L1153" i="14"/>
  <c r="L499" i="14"/>
  <c r="AI90" i="3"/>
  <c r="AE124" i="3"/>
  <c r="AF124" i="3"/>
  <c r="AE53" i="3"/>
  <c r="AF53" i="3"/>
  <c r="AX53" i="3"/>
  <c r="AB25" i="3"/>
  <c r="AC146" i="3"/>
  <c r="AG146" i="3"/>
  <c r="H142" i="1"/>
  <c r="AC119" i="3"/>
  <c r="AG119" i="3"/>
  <c r="H112" i="1"/>
  <c r="AC164" i="3"/>
  <c r="AG164" i="3"/>
  <c r="H161" i="1"/>
  <c r="AB33" i="3"/>
  <c r="AB67" i="3"/>
  <c r="AF39" i="3"/>
  <c r="AE39" i="3"/>
  <c r="AF128" i="3"/>
  <c r="AE128" i="3"/>
  <c r="AC163" i="3"/>
  <c r="AG163" i="3"/>
  <c r="H158" i="1"/>
  <c r="AF105" i="3"/>
  <c r="AE105" i="3"/>
  <c r="AC111" i="3"/>
  <c r="AG111" i="3"/>
  <c r="H104" i="1"/>
  <c r="AC70" i="3"/>
  <c r="AG70" i="3"/>
  <c r="H59" i="1"/>
  <c r="AC130" i="3"/>
  <c r="AG130" i="3"/>
  <c r="H123" i="1"/>
  <c r="AC38" i="3"/>
  <c r="AG38" i="3"/>
  <c r="H29" i="1"/>
  <c r="AC138" i="3"/>
  <c r="AG138" i="3"/>
  <c r="H134" i="1"/>
  <c r="AC37" i="3"/>
  <c r="AG37" i="3"/>
  <c r="H28" i="1"/>
  <c r="L500" i="14"/>
  <c r="AC129" i="3"/>
  <c r="AG129" i="3"/>
  <c r="H122" i="1"/>
  <c r="AC133" i="3"/>
  <c r="AG133" i="3"/>
  <c r="H129" i="1"/>
  <c r="AC21" i="3"/>
  <c r="AG21" i="3"/>
  <c r="H12" i="1"/>
  <c r="AC140" i="3"/>
  <c r="AG140" i="3"/>
  <c r="H136" i="1"/>
  <c r="AC159" i="3"/>
  <c r="AG159" i="3"/>
  <c r="AC107" i="3"/>
  <c r="AG107" i="3"/>
  <c r="AC125" i="3"/>
  <c r="AG125" i="3"/>
  <c r="H118" i="1"/>
  <c r="AC89" i="3"/>
  <c r="AG89" i="3"/>
  <c r="AC116" i="3"/>
  <c r="AG116" i="3"/>
  <c r="H109" i="1"/>
  <c r="AC77" i="3"/>
  <c r="AG77" i="3"/>
  <c r="T5" i="15"/>
  <c r="T7" i="15"/>
  <c r="H5" i="15"/>
  <c r="H8" i="15"/>
  <c r="I4" i="15"/>
  <c r="L1046" i="14"/>
  <c r="L1369" i="14"/>
  <c r="M1369" i="14"/>
  <c r="L1367" i="14"/>
  <c r="M1367" i="14"/>
  <c r="L728" i="14"/>
  <c r="L1047" i="14"/>
  <c r="L726" i="14"/>
  <c r="L1368" i="14"/>
  <c r="L1045" i="14"/>
  <c r="M1045" i="14"/>
  <c r="L1048" i="14"/>
  <c r="M1048" i="14"/>
  <c r="L727" i="14"/>
  <c r="L1049" i="14"/>
  <c r="H54" i="1"/>
  <c r="AI64" i="3"/>
  <c r="H82" i="1"/>
  <c r="AI89" i="3"/>
  <c r="M500" i="14"/>
  <c r="C46" i="17"/>
  <c r="L819" i="14"/>
  <c r="L1464" i="14"/>
  <c r="M1464" i="14"/>
  <c r="G30" i="1"/>
  <c r="L64" i="14"/>
  <c r="AX39" i="3"/>
  <c r="C45" i="17"/>
  <c r="D45" i="17"/>
  <c r="M499" i="14"/>
  <c r="S499" i="14"/>
  <c r="N499" i="14"/>
  <c r="Y499" i="14"/>
  <c r="V499" i="14"/>
  <c r="AB499" i="14"/>
  <c r="AC499" i="14"/>
  <c r="L1064" i="14"/>
  <c r="L1388" i="14"/>
  <c r="L747" i="14"/>
  <c r="L748" i="14"/>
  <c r="L1389" i="14"/>
  <c r="L1066" i="14"/>
  <c r="L1065" i="14"/>
  <c r="L1116" i="14"/>
  <c r="M1116" i="14"/>
  <c r="L459" i="14"/>
  <c r="AF67" i="3"/>
  <c r="AE67" i="3"/>
  <c r="L1432" i="14"/>
  <c r="L905" i="14"/>
  <c r="L788" i="14"/>
  <c r="L1102" i="14"/>
  <c r="M1102" i="14"/>
  <c r="L1427" i="14"/>
  <c r="M1427" i="14"/>
  <c r="L1103" i="14"/>
  <c r="M1103" i="14"/>
  <c r="L1101" i="14"/>
  <c r="L1104" i="14"/>
  <c r="M1104" i="14"/>
  <c r="L790" i="14"/>
  <c r="L787" i="14"/>
  <c r="L789" i="14"/>
  <c r="L1428" i="14"/>
  <c r="M1428" i="14"/>
  <c r="L1105" i="14"/>
  <c r="L1429" i="14"/>
  <c r="L791" i="14"/>
  <c r="L1431" i="14"/>
  <c r="M1431" i="14"/>
  <c r="L1430" i="14"/>
  <c r="G117" i="1"/>
  <c r="AX124" i="3"/>
  <c r="Y1153" i="14"/>
  <c r="N1153" i="14"/>
  <c r="AB1153" i="14"/>
  <c r="AC1153" i="14"/>
  <c r="V1153" i="14"/>
  <c r="M1153" i="14"/>
  <c r="S1153" i="14"/>
  <c r="L1216" i="14"/>
  <c r="L1215" i="14"/>
  <c r="M1215" i="14"/>
  <c r="L978" i="14"/>
  <c r="M978" i="14"/>
  <c r="L568" i="14"/>
  <c r="L566" i="14"/>
  <c r="L562" i="14"/>
  <c r="L900" i="14"/>
  <c r="L897" i="14"/>
  <c r="L1207" i="14"/>
  <c r="L1206" i="14"/>
  <c r="M1206" i="14"/>
  <c r="L980" i="14"/>
  <c r="M980" i="14"/>
  <c r="L1205" i="14"/>
  <c r="M1205" i="14"/>
  <c r="L1214" i="14"/>
  <c r="L560" i="14"/>
  <c r="L1210" i="14"/>
  <c r="M1210" i="14"/>
  <c r="L981" i="14"/>
  <c r="L564" i="14"/>
  <c r="L570" i="14"/>
  <c r="L572" i="14"/>
  <c r="L569" i="14"/>
  <c r="L561" i="14"/>
  <c r="L567" i="14"/>
  <c r="L1218" i="14"/>
  <c r="M1218" i="14"/>
  <c r="L565" i="14"/>
  <c r="L1217" i="14"/>
  <c r="L558" i="14"/>
  <c r="L920" i="14"/>
  <c r="L571" i="14"/>
  <c r="L563" i="14"/>
  <c r="L559" i="14"/>
  <c r="L1209" i="14"/>
  <c r="L979" i="14"/>
  <c r="M979" i="14"/>
  <c r="L1211" i="14"/>
  <c r="L1213" i="14"/>
  <c r="L1219" i="14"/>
  <c r="L1220" i="14"/>
  <c r="L1208" i="14"/>
  <c r="M1208" i="14"/>
  <c r="L1212" i="14"/>
  <c r="M1212" i="14"/>
  <c r="AC945" i="14"/>
  <c r="M945" i="14"/>
  <c r="AB945" i="14"/>
  <c r="S945" i="14"/>
  <c r="V945" i="14"/>
  <c r="N945" i="14"/>
  <c r="Y945" i="14"/>
  <c r="N946" i="14"/>
  <c r="V946" i="14"/>
  <c r="M946" i="14"/>
  <c r="AC946" i="14"/>
  <c r="Y946" i="14"/>
  <c r="S946" i="14"/>
  <c r="AB946" i="14"/>
  <c r="M917" i="14"/>
  <c r="C463" i="17"/>
  <c r="N942" i="14"/>
  <c r="M942" i="14"/>
  <c r="Y942" i="14"/>
  <c r="V942" i="14"/>
  <c r="AC942" i="14"/>
  <c r="AB942" i="14"/>
  <c r="S942" i="14"/>
  <c r="AB1270" i="14"/>
  <c r="Y1270" i="14"/>
  <c r="N1270" i="14"/>
  <c r="V1270" i="14"/>
  <c r="S1270" i="14"/>
  <c r="M1270" i="14"/>
  <c r="AC1270" i="14"/>
  <c r="AE87" i="3"/>
  <c r="AF87" i="3"/>
  <c r="L549" i="14"/>
  <c r="L548" i="14"/>
  <c r="L1199" i="14"/>
  <c r="M1199" i="14"/>
  <c r="L546" i="14"/>
  <c r="L1196" i="14"/>
  <c r="M1196" i="14"/>
  <c r="L545" i="14"/>
  <c r="L1198" i="14"/>
  <c r="L1200" i="14"/>
  <c r="L550" i="14"/>
  <c r="L1197" i="14"/>
  <c r="L547" i="14"/>
  <c r="H83" i="1"/>
  <c r="AI91" i="3"/>
  <c r="H73" i="1"/>
  <c r="H72" i="1"/>
  <c r="AI82" i="3"/>
  <c r="AF47" i="3"/>
  <c r="G38" i="1"/>
  <c r="AE47" i="3"/>
  <c r="G109" i="1"/>
  <c r="AX116" i="3"/>
  <c r="L554" i="14"/>
  <c r="L555" i="14"/>
  <c r="L972" i="14"/>
  <c r="L553" i="14"/>
  <c r="L973" i="14"/>
  <c r="M973" i="14"/>
  <c r="L1201" i="14"/>
  <c r="M1201" i="14"/>
  <c r="L1203" i="14"/>
  <c r="L974" i="14"/>
  <c r="L551" i="14"/>
  <c r="L552" i="14"/>
  <c r="L1202" i="14"/>
  <c r="AE139" i="3"/>
  <c r="AF139" i="3"/>
  <c r="G99" i="1"/>
  <c r="AX107" i="3"/>
  <c r="G100" i="1"/>
  <c r="AB958" i="14"/>
  <c r="S958" i="14"/>
  <c r="N958" i="14"/>
  <c r="Y958" i="14"/>
  <c r="AC958" i="14"/>
  <c r="V958" i="14"/>
  <c r="M958" i="14"/>
  <c r="S1409" i="14"/>
  <c r="AB1409" i="14"/>
  <c r="M1409" i="14"/>
  <c r="Y1409" i="14"/>
  <c r="AC1409" i="14"/>
  <c r="V1409" i="14"/>
  <c r="N1409" i="14"/>
  <c r="L1114" i="14"/>
  <c r="L1469" i="14"/>
  <c r="L825" i="14"/>
  <c r="AF97" i="3"/>
  <c r="AE97" i="3"/>
  <c r="AF73" i="3"/>
  <c r="AE73" i="3"/>
  <c r="L1321" i="14"/>
  <c r="M1321" i="14"/>
  <c r="L679" i="14"/>
  <c r="L1322" i="14"/>
  <c r="M1322" i="14"/>
  <c r="L924" i="14"/>
  <c r="L1320" i="14"/>
  <c r="M1320" i="14"/>
  <c r="L677" i="14"/>
  <c r="L1318" i="14"/>
  <c r="M1318" i="14"/>
  <c r="L1319" i="14"/>
  <c r="L675" i="14"/>
  <c r="L676" i="14"/>
  <c r="L678" i="14"/>
  <c r="AX126" i="3"/>
  <c r="G119" i="1"/>
  <c r="AF54" i="3"/>
  <c r="AE54" i="3"/>
  <c r="Y719" i="14"/>
  <c r="S719" i="14"/>
  <c r="C265" i="17"/>
  <c r="D265" i="17"/>
  <c r="M719" i="14"/>
  <c r="AC719" i="14"/>
  <c r="V719" i="14"/>
  <c r="N719" i="14"/>
  <c r="AB719" i="14"/>
  <c r="AC1361" i="14"/>
  <c r="AB1361" i="14"/>
  <c r="M1361" i="14"/>
  <c r="S1361" i="14"/>
  <c r="V1361" i="14"/>
  <c r="N1361" i="14"/>
  <c r="Y1361" i="14"/>
  <c r="V1387" i="14"/>
  <c r="N1387" i="14"/>
  <c r="AB1387" i="14"/>
  <c r="M1387" i="14"/>
  <c r="Y1387" i="14"/>
  <c r="AC1387" i="14"/>
  <c r="S1387" i="14"/>
  <c r="AB746" i="14"/>
  <c r="M746" i="14"/>
  <c r="Y746" i="14"/>
  <c r="V746" i="14"/>
  <c r="S746" i="14"/>
  <c r="C292" i="17"/>
  <c r="D292" i="17"/>
  <c r="AC746" i="14"/>
  <c r="N746" i="14"/>
  <c r="Y461" i="14"/>
  <c r="AC461" i="14"/>
  <c r="N461" i="14"/>
  <c r="S461" i="14"/>
  <c r="M461" i="14"/>
  <c r="V461" i="14"/>
  <c r="AB461" i="14"/>
  <c r="C7" i="17"/>
  <c r="D7" i="17"/>
  <c r="AF102" i="3"/>
  <c r="AE102" i="3"/>
  <c r="L693" i="14"/>
  <c r="L695" i="14"/>
  <c r="L696" i="14"/>
  <c r="L1336" i="14"/>
  <c r="L1337" i="14"/>
  <c r="M1337" i="14"/>
  <c r="L1038" i="14"/>
  <c r="L1335" i="14"/>
  <c r="L694" i="14"/>
  <c r="L692" i="14"/>
  <c r="L1039" i="14"/>
  <c r="L1334" i="14"/>
  <c r="M1334" i="14"/>
  <c r="AE84" i="3"/>
  <c r="AF84" i="3"/>
  <c r="AF134" i="3"/>
  <c r="AE134" i="3"/>
  <c r="L1329" i="14"/>
  <c r="L1036" i="14"/>
  <c r="L1037" i="14"/>
  <c r="L1035" i="14"/>
  <c r="L686" i="14"/>
  <c r="L687" i="14"/>
  <c r="L1328" i="14"/>
  <c r="M1328" i="14"/>
  <c r="H84" i="1"/>
  <c r="AI92" i="3"/>
  <c r="L487" i="14"/>
  <c r="L899" i="14"/>
  <c r="L484" i="14"/>
  <c r="L948" i="14"/>
  <c r="M948" i="14"/>
  <c r="L482" i="14"/>
  <c r="L1139" i="14"/>
  <c r="L1141" i="14"/>
  <c r="M1141" i="14"/>
  <c r="L1136" i="14"/>
  <c r="L485" i="14"/>
  <c r="L1140" i="14"/>
  <c r="L481" i="14"/>
  <c r="L479" i="14"/>
  <c r="L1138" i="14"/>
  <c r="L950" i="14"/>
  <c r="M950" i="14"/>
  <c r="L1142" i="14"/>
  <c r="L483" i="14"/>
  <c r="L1137" i="14"/>
  <c r="M1137" i="14"/>
  <c r="L477" i="14"/>
  <c r="L478" i="14"/>
  <c r="L486" i="14"/>
  <c r="L1135" i="14"/>
  <c r="M1135" i="14"/>
  <c r="L480" i="14"/>
  <c r="L949" i="14"/>
  <c r="L508" i="14"/>
  <c r="L1158" i="14"/>
  <c r="L509" i="14"/>
  <c r="L963" i="14"/>
  <c r="L507" i="14"/>
  <c r="L1161" i="14"/>
  <c r="L506" i="14"/>
  <c r="L1160" i="14"/>
  <c r="L504" i="14"/>
  <c r="L1157" i="14"/>
  <c r="M1157" i="14"/>
  <c r="L505" i="14"/>
  <c r="L1159" i="14"/>
  <c r="M1159" i="14"/>
  <c r="L1162" i="14"/>
  <c r="AF144" i="3"/>
  <c r="AE144" i="3"/>
  <c r="G60" i="1"/>
  <c r="G61" i="1"/>
  <c r="AX71" i="3"/>
  <c r="L896" i="14"/>
  <c r="L1191" i="14"/>
  <c r="L543" i="14"/>
  <c r="L537" i="14"/>
  <c r="L540" i="14"/>
  <c r="L544" i="14"/>
  <c r="L538" i="14"/>
  <c r="L1194" i="14"/>
  <c r="M1194" i="14"/>
  <c r="L532" i="14"/>
  <c r="L531" i="14"/>
  <c r="L534" i="14"/>
  <c r="L539" i="14"/>
  <c r="L971" i="14"/>
  <c r="M971" i="14"/>
  <c r="L536" i="14"/>
  <c r="L542" i="14"/>
  <c r="L541" i="14"/>
  <c r="L1190" i="14"/>
  <c r="L1193" i="14"/>
  <c r="L535" i="14"/>
  <c r="L1181" i="14"/>
  <c r="M1181" i="14"/>
  <c r="L533" i="14"/>
  <c r="L1192" i="14"/>
  <c r="M1192" i="14"/>
  <c r="L530" i="14"/>
  <c r="L1195" i="14"/>
  <c r="L1189" i="14"/>
  <c r="L1185" i="14"/>
  <c r="L1184" i="14"/>
  <c r="M1184" i="14"/>
  <c r="L1183" i="14"/>
  <c r="L1182" i="14"/>
  <c r="L1186" i="14"/>
  <c r="M1186" i="14"/>
  <c r="L1187" i="14"/>
  <c r="L1188" i="14"/>
  <c r="M1188" i="14"/>
  <c r="AX106" i="3"/>
  <c r="G98" i="1"/>
  <c r="G68" i="1"/>
  <c r="AX77" i="3"/>
  <c r="G51" i="1"/>
  <c r="AX61" i="3"/>
  <c r="G58" i="1"/>
  <c r="AX69" i="3"/>
  <c r="G118" i="1"/>
  <c r="AX125" i="3"/>
  <c r="G92" i="1"/>
  <c r="AX100" i="3"/>
  <c r="G113" i="1"/>
  <c r="AX120" i="3"/>
  <c r="M1134" i="14"/>
  <c r="AC1134" i="14"/>
  <c r="S1134" i="14"/>
  <c r="AB1134" i="14"/>
  <c r="N1134" i="14"/>
  <c r="Y1134" i="14"/>
  <c r="V1134" i="14"/>
  <c r="AX130" i="3"/>
  <c r="G123" i="1"/>
  <c r="AC1106" i="14"/>
  <c r="AB1106" i="14"/>
  <c r="V1106" i="14"/>
  <c r="Y1106" i="14"/>
  <c r="N1106" i="14"/>
  <c r="M1106" i="14"/>
  <c r="S1106" i="14"/>
  <c r="G95" i="1"/>
  <c r="L258" i="14"/>
  <c r="AX103" i="3"/>
  <c r="AX154" i="3"/>
  <c r="G150" i="1"/>
  <c r="C244" i="17"/>
  <c r="M698" i="14"/>
  <c r="M1041" i="14"/>
  <c r="Y1041" i="14"/>
  <c r="V1041" i="14"/>
  <c r="AB1041" i="14"/>
  <c r="S1041" i="14"/>
  <c r="AC1041" i="14"/>
  <c r="N1041" i="14"/>
  <c r="N1340" i="14"/>
  <c r="S1340" i="14"/>
  <c r="Y1340" i="14"/>
  <c r="AC1340" i="14"/>
  <c r="AB1340" i="14"/>
  <c r="M1340" i="14"/>
  <c r="V1340" i="14"/>
  <c r="Y1435" i="14"/>
  <c r="N1435" i="14"/>
  <c r="V1435" i="14"/>
  <c r="M1435" i="14"/>
  <c r="AB1435" i="14"/>
  <c r="AC1435" i="14"/>
  <c r="S1435" i="14"/>
  <c r="C338" i="17"/>
  <c r="D338" i="17"/>
  <c r="Y792" i="14"/>
  <c r="S792" i="14"/>
  <c r="V792" i="14"/>
  <c r="N792" i="14"/>
  <c r="AC792" i="14"/>
  <c r="M792" i="14"/>
  <c r="AB792" i="14"/>
  <c r="G81" i="1"/>
  <c r="AX88" i="3"/>
  <c r="M937" i="14"/>
  <c r="N937" i="14"/>
  <c r="AB937" i="14"/>
  <c r="AC937" i="14"/>
  <c r="Y937" i="14"/>
  <c r="V937" i="14"/>
  <c r="S937" i="14"/>
  <c r="C11" i="17"/>
  <c r="M465" i="14"/>
  <c r="M467" i="14"/>
  <c r="S467" i="14"/>
  <c r="AC467" i="14"/>
  <c r="C13" i="17"/>
  <c r="V1124" i="14"/>
  <c r="Y1124" i="14"/>
  <c r="AC1124" i="14"/>
  <c r="N1124" i="14"/>
  <c r="M1124" i="14"/>
  <c r="AB1124" i="14"/>
  <c r="S1124" i="14"/>
  <c r="G69" i="1"/>
  <c r="AX78" i="3"/>
  <c r="AC1034" i="14"/>
  <c r="AB1034" i="14"/>
  <c r="M1034" i="14"/>
  <c r="V1034" i="14"/>
  <c r="Y1034" i="14"/>
  <c r="N1034" i="14"/>
  <c r="S1034" i="14"/>
  <c r="C56" i="17"/>
  <c r="M510" i="14"/>
  <c r="AX123" i="3"/>
  <c r="G116" i="1"/>
  <c r="AL163" i="3"/>
  <c r="AO163" i="3"/>
  <c r="G158" i="1"/>
  <c r="L380" i="14"/>
  <c r="M380" i="14"/>
  <c r="AX163" i="3"/>
  <c r="G153" i="1"/>
  <c r="AL157" i="3"/>
  <c r="AO157" i="3"/>
  <c r="AX157" i="3"/>
  <c r="S956" i="14"/>
  <c r="Y956" i="14"/>
  <c r="M956" i="14"/>
  <c r="AB956" i="14"/>
  <c r="AC956" i="14"/>
  <c r="N956" i="14"/>
  <c r="V956" i="14"/>
  <c r="AB954" i="14"/>
  <c r="M954" i="14"/>
  <c r="AC954" i="14"/>
  <c r="S954" i="14"/>
  <c r="V954" i="14"/>
  <c r="N954" i="14"/>
  <c r="Y954" i="14"/>
  <c r="M488" i="14"/>
  <c r="C34" i="17"/>
  <c r="G145" i="1"/>
  <c r="AX149" i="3"/>
  <c r="AX66" i="3"/>
  <c r="G56" i="1"/>
  <c r="G37" i="1"/>
  <c r="L74" i="14"/>
  <c r="AX46" i="3"/>
  <c r="G148" i="1"/>
  <c r="AX152" i="3"/>
  <c r="G49" i="1"/>
  <c r="AX59" i="3"/>
  <c r="AX89" i="3"/>
  <c r="G82" i="1"/>
  <c r="G43" i="1"/>
  <c r="AX52" i="3"/>
  <c r="C102" i="17"/>
  <c r="M556" i="14"/>
  <c r="M975" i="14"/>
  <c r="S975" i="14"/>
  <c r="N975" i="14"/>
  <c r="AB975" i="14"/>
  <c r="Y975" i="14"/>
  <c r="AC975" i="14"/>
  <c r="V975" i="14"/>
  <c r="AX105" i="3"/>
  <c r="G97" i="1"/>
  <c r="AX122" i="3"/>
  <c r="G115" i="1"/>
  <c r="L305" i="14"/>
  <c r="N470" i="14"/>
  <c r="M470" i="14"/>
  <c r="AC470" i="14"/>
  <c r="V470" i="14"/>
  <c r="AB470" i="14"/>
  <c r="Y470" i="14"/>
  <c r="C16" i="17"/>
  <c r="S470" i="14"/>
  <c r="AC1271" i="14"/>
  <c r="S1271" i="14"/>
  <c r="M1271" i="14"/>
  <c r="N1271" i="14"/>
  <c r="AB1271" i="14"/>
  <c r="Y1271" i="14"/>
  <c r="V1271" i="14"/>
  <c r="H68" i="1"/>
  <c r="AI77" i="3"/>
  <c r="H100" i="1"/>
  <c r="H99" i="1"/>
  <c r="L501" i="14"/>
  <c r="L502" i="14"/>
  <c r="L1154" i="14"/>
  <c r="M1154" i="14"/>
  <c r="L1155" i="14"/>
  <c r="G121" i="1"/>
  <c r="AX128" i="3"/>
  <c r="AE33" i="3"/>
  <c r="AF33" i="3"/>
  <c r="AF25" i="3"/>
  <c r="AE25" i="3"/>
  <c r="M475" i="14"/>
  <c r="V475" i="14"/>
  <c r="C21" i="17"/>
  <c r="D21" i="17"/>
  <c r="AC475" i="14"/>
  <c r="N475" i="14"/>
  <c r="S475" i="14"/>
  <c r="AB475" i="14"/>
  <c r="Y475" i="14"/>
  <c r="M907" i="14"/>
  <c r="C453" i="17"/>
  <c r="AX70" i="3"/>
  <c r="G59" i="1"/>
  <c r="S627" i="14"/>
  <c r="AC627" i="14"/>
  <c r="Y627" i="14"/>
  <c r="M627" i="14"/>
  <c r="AB627" i="14"/>
  <c r="N627" i="14"/>
  <c r="V627" i="14"/>
  <c r="C173" i="17"/>
  <c r="D173" i="17"/>
  <c r="L1060" i="14"/>
  <c r="M1060" i="14"/>
  <c r="L743" i="14"/>
  <c r="L1061" i="14"/>
  <c r="L742" i="14"/>
  <c r="L741" i="14"/>
  <c r="L1384" i="14"/>
  <c r="M1384" i="14"/>
  <c r="L1382" i="14"/>
  <c r="M1382" i="14"/>
  <c r="L1383" i="14"/>
  <c r="M1383" i="14"/>
  <c r="L1442" i="14"/>
  <c r="L803" i="14"/>
  <c r="L1439" i="14"/>
  <c r="M1439" i="14"/>
  <c r="L1109" i="14"/>
  <c r="M1109" i="14"/>
  <c r="L1438" i="14"/>
  <c r="L1437" i="14"/>
  <c r="M1437" i="14"/>
  <c r="L1440" i="14"/>
  <c r="L797" i="14"/>
  <c r="L1443" i="14"/>
  <c r="M1443" i="14"/>
  <c r="L804" i="14"/>
  <c r="L1110" i="14"/>
  <c r="L1108" i="14"/>
  <c r="L798" i="14"/>
  <c r="L802" i="14"/>
  <c r="L796" i="14"/>
  <c r="L1107" i="14"/>
  <c r="L801" i="14"/>
  <c r="L800" i="14"/>
  <c r="L1444" i="14"/>
  <c r="L1445" i="14"/>
  <c r="M1445" i="14"/>
  <c r="L1446" i="14"/>
  <c r="M1446" i="14"/>
  <c r="L799" i="14"/>
  <c r="L1441" i="14"/>
  <c r="M1441" i="14"/>
  <c r="L1111" i="14"/>
  <c r="L912" i="14"/>
  <c r="L472" i="14"/>
  <c r="L471" i="14"/>
  <c r="L1130" i="14"/>
  <c r="L473" i="14"/>
  <c r="L944" i="14"/>
  <c r="L1129" i="14"/>
  <c r="M1129" i="14"/>
  <c r="L1131" i="14"/>
  <c r="M1131" i="14"/>
  <c r="L1376" i="14"/>
  <c r="L1052" i="14"/>
  <c r="L737" i="14"/>
  <c r="L1375" i="14"/>
  <c r="M1375" i="14"/>
  <c r="L734" i="14"/>
  <c r="L1377" i="14"/>
  <c r="M1377" i="14"/>
  <c r="L1378" i="14"/>
  <c r="M1378" i="14"/>
  <c r="L735" i="14"/>
  <c r="L915" i="14"/>
  <c r="L736" i="14"/>
  <c r="H43" i="1"/>
  <c r="AI52" i="3"/>
  <c r="V1089" i="14"/>
  <c r="S1089" i="14"/>
  <c r="AC1089" i="14"/>
  <c r="M1089" i="14"/>
  <c r="AB1089" i="14"/>
  <c r="Y1089" i="14"/>
  <c r="N1089" i="14"/>
  <c r="AF117" i="3"/>
  <c r="AE117" i="3"/>
  <c r="M959" i="14"/>
  <c r="V959" i="14"/>
  <c r="Y959" i="14"/>
  <c r="N959" i="14"/>
  <c r="S959" i="14"/>
  <c r="AB959" i="14"/>
  <c r="AC959" i="14"/>
  <c r="Y493" i="14"/>
  <c r="AC493" i="14"/>
  <c r="M493" i="14"/>
  <c r="C39" i="17"/>
  <c r="N493" i="14"/>
  <c r="AB493" i="14"/>
  <c r="S493" i="14"/>
  <c r="V493" i="14"/>
  <c r="M770" i="14"/>
  <c r="N770" i="14"/>
  <c r="V770" i="14"/>
  <c r="C316" i="17"/>
  <c r="AB770" i="14"/>
  <c r="H70" i="1"/>
  <c r="AI79" i="3"/>
  <c r="L845" i="14"/>
  <c r="L836" i="14"/>
  <c r="L835" i="14"/>
  <c r="L964" i="14"/>
  <c r="M964" i="14"/>
  <c r="L842" i="14"/>
  <c r="L828" i="14"/>
  <c r="L846" i="14"/>
  <c r="L837" i="14"/>
  <c r="L839" i="14"/>
  <c r="L840" i="14"/>
  <c r="L848" i="14"/>
  <c r="L829" i="14"/>
  <c r="L833" i="14"/>
  <c r="L826" i="14"/>
  <c r="L849" i="14"/>
  <c r="L847" i="14"/>
  <c r="L844" i="14"/>
  <c r="L831" i="14"/>
  <c r="L838" i="14"/>
  <c r="L834" i="14"/>
  <c r="L827" i="14"/>
  <c r="L841" i="14"/>
  <c r="L830" i="14"/>
  <c r="L965" i="14"/>
  <c r="M965" i="14"/>
  <c r="L832" i="14"/>
  <c r="L843" i="14"/>
  <c r="AB1360" i="14"/>
  <c r="M1360" i="14"/>
  <c r="S1360" i="14"/>
  <c r="V1360" i="14"/>
  <c r="AC1360" i="14"/>
  <c r="Y1360" i="14"/>
  <c r="N1360" i="14"/>
  <c r="M1386" i="14"/>
  <c r="Y1386" i="14"/>
  <c r="V1386" i="14"/>
  <c r="AC1386" i="14"/>
  <c r="N1386" i="14"/>
  <c r="S1386" i="14"/>
  <c r="AB1386" i="14"/>
  <c r="AF108" i="3"/>
  <c r="AE108" i="3"/>
  <c r="AE44" i="3"/>
  <c r="AF44" i="3"/>
  <c r="H61" i="1"/>
  <c r="H60" i="1"/>
  <c r="AI71" i="3"/>
  <c r="H85" i="1"/>
  <c r="AI93" i="3"/>
  <c r="AE63" i="3"/>
  <c r="AF63" i="3"/>
  <c r="AE148" i="3"/>
  <c r="AF148" i="3"/>
  <c r="H125" i="1"/>
  <c r="H124" i="1"/>
  <c r="H126" i="1"/>
  <c r="L514" i="14"/>
  <c r="L1167" i="14"/>
  <c r="AF74" i="3"/>
  <c r="AE74" i="3"/>
  <c r="H69" i="1"/>
  <c r="AI78" i="3"/>
  <c r="AX101" i="3"/>
  <c r="G93" i="1"/>
  <c r="AF172" i="3"/>
  <c r="AE172" i="3"/>
  <c r="AX138" i="3"/>
  <c r="G134" i="1"/>
  <c r="AX82" i="3"/>
  <c r="G72" i="1"/>
  <c r="G73" i="1"/>
  <c r="AX38" i="3"/>
  <c r="G29" i="1"/>
  <c r="AX81" i="3"/>
  <c r="G114" i="1"/>
  <c r="AX121" i="3"/>
  <c r="C22" i="17"/>
  <c r="D22" i="17"/>
  <c r="Y476" i="14"/>
  <c r="V476" i="14"/>
  <c r="M476" i="14"/>
  <c r="AB476" i="14"/>
  <c r="N476" i="14"/>
  <c r="AC476" i="14"/>
  <c r="S476" i="14"/>
  <c r="V503" i="14"/>
  <c r="Y503" i="14"/>
  <c r="M503" i="14"/>
  <c r="AC503" i="14"/>
  <c r="N503" i="14"/>
  <c r="S503" i="14"/>
  <c r="C49" i="17"/>
  <c r="D49" i="17"/>
  <c r="AB503" i="14"/>
  <c r="G143" i="1"/>
  <c r="AX147" i="3"/>
  <c r="AB699" i="14"/>
  <c r="M699" i="14"/>
  <c r="Y699" i="14"/>
  <c r="C245" i="17"/>
  <c r="D245" i="17"/>
  <c r="V699" i="14"/>
  <c r="AC699" i="14"/>
  <c r="S699" i="14"/>
  <c r="N699" i="14"/>
  <c r="AC1341" i="14"/>
  <c r="S1341" i="14"/>
  <c r="AB1341" i="14"/>
  <c r="N1341" i="14"/>
  <c r="Y1341" i="14"/>
  <c r="M1341" i="14"/>
  <c r="V1341" i="14"/>
  <c r="V794" i="14"/>
  <c r="AC794" i="14"/>
  <c r="AB794" i="14"/>
  <c r="C340" i="17"/>
  <c r="D340" i="17"/>
  <c r="M794" i="14"/>
  <c r="N794" i="14"/>
  <c r="Y794" i="14"/>
  <c r="S794" i="14"/>
  <c r="G79" i="1"/>
  <c r="AX86" i="3"/>
  <c r="AL164" i="3"/>
  <c r="G161" i="1"/>
  <c r="AO164" i="3"/>
  <c r="AX164" i="3"/>
  <c r="G122" i="1"/>
  <c r="AX129" i="3"/>
  <c r="C260" i="17"/>
  <c r="M714" i="14"/>
  <c r="M939" i="14"/>
  <c r="Y939" i="14"/>
  <c r="N939" i="14"/>
  <c r="V939" i="14"/>
  <c r="S939" i="14"/>
  <c r="AB939" i="14"/>
  <c r="AC939" i="14"/>
  <c r="G154" i="1"/>
  <c r="AO160" i="3"/>
  <c r="AL160" i="3"/>
  <c r="G155" i="1"/>
  <c r="AX160" i="3"/>
  <c r="C227" i="17"/>
  <c r="M681" i="14"/>
  <c r="AC1164" i="14"/>
  <c r="M1164" i="14"/>
  <c r="AB1164" i="14"/>
  <c r="S1164" i="14"/>
  <c r="N1164" i="14"/>
  <c r="Y1164" i="14"/>
  <c r="V1164" i="14"/>
  <c r="AX26" i="3"/>
  <c r="G17" i="1"/>
  <c r="C270" i="17"/>
  <c r="M724" i="14"/>
  <c r="G25" i="1"/>
  <c r="AX34" i="3"/>
  <c r="S957" i="14"/>
  <c r="V957" i="14"/>
  <c r="AB957" i="14"/>
  <c r="N957" i="14"/>
  <c r="M957" i="14"/>
  <c r="Y957" i="14"/>
  <c r="AC957" i="14"/>
  <c r="M490" i="14"/>
  <c r="C36" i="17"/>
  <c r="AL166" i="3"/>
  <c r="G160" i="1"/>
  <c r="AO166" i="3"/>
  <c r="AX166" i="3"/>
  <c r="L656" i="14"/>
  <c r="L659" i="14"/>
  <c r="L1020" i="14"/>
  <c r="M1020" i="14"/>
  <c r="L1310" i="14"/>
  <c r="M1310" i="14"/>
  <c r="L1018" i="14"/>
  <c r="M1018" i="14"/>
  <c r="L1292" i="14"/>
  <c r="L663" i="14"/>
  <c r="L1309" i="14"/>
  <c r="L650" i="14"/>
  <c r="L661" i="14"/>
  <c r="L660" i="14"/>
  <c r="L653" i="14"/>
  <c r="L651" i="14"/>
  <c r="L652" i="14"/>
  <c r="L649" i="14"/>
  <c r="L666" i="14"/>
  <c r="L1017" i="14"/>
  <c r="M1017" i="14"/>
  <c r="L1024" i="14"/>
  <c r="L1294" i="14"/>
  <c r="L668" i="14"/>
  <c r="L662" i="14"/>
  <c r="L658" i="14"/>
  <c r="L1313" i="14"/>
  <c r="M1313" i="14"/>
  <c r="L654" i="14"/>
  <c r="L1021" i="14"/>
  <c r="L646" i="14"/>
  <c r="L1297" i="14"/>
  <c r="L648" i="14"/>
  <c r="L1306" i="14"/>
  <c r="M1306" i="14"/>
  <c r="L1312" i="14"/>
  <c r="L1288" i="14"/>
  <c r="L1305" i="14"/>
  <c r="L644" i="14"/>
  <c r="L1293" i="14"/>
  <c r="M1293" i="14"/>
  <c r="L669" i="14"/>
  <c r="L1022" i="14"/>
  <c r="M1022" i="14"/>
  <c r="L1016" i="14"/>
  <c r="M1016" i="14"/>
  <c r="L657" i="14"/>
  <c r="L1300" i="14"/>
  <c r="M1300" i="14"/>
  <c r="L665" i="14"/>
  <c r="L655" i="14"/>
  <c r="L1290" i="14"/>
  <c r="L1311" i="14"/>
  <c r="M1311" i="14"/>
  <c r="L1303" i="14"/>
  <c r="L1289" i="14"/>
  <c r="M1289" i="14"/>
  <c r="L664" i="14"/>
  <c r="L1301" i="14"/>
  <c r="L645" i="14"/>
  <c r="L1287" i="14"/>
  <c r="M1287" i="14"/>
  <c r="L1298" i="14"/>
  <c r="L1019" i="14"/>
  <c r="M1019" i="14"/>
  <c r="L908" i="14"/>
  <c r="L1308" i="14"/>
  <c r="M1308" i="14"/>
  <c r="L1296" i="14"/>
  <c r="L643" i="14"/>
  <c r="L1295" i="14"/>
  <c r="M1295" i="14"/>
  <c r="L1304" i="14"/>
  <c r="L1291" i="14"/>
  <c r="M1291" i="14"/>
  <c r="L647" i="14"/>
  <c r="L1307" i="14"/>
  <c r="L667" i="14"/>
  <c r="L1299" i="14"/>
  <c r="L1302" i="14"/>
  <c r="M1302" i="14"/>
  <c r="L1023" i="14"/>
  <c r="G45" i="1"/>
  <c r="AX55" i="3"/>
  <c r="AX136" i="3"/>
  <c r="G132" i="1"/>
  <c r="AX140" i="3"/>
  <c r="G136" i="1"/>
  <c r="AL140" i="3"/>
  <c r="AO140" i="3"/>
  <c r="AX27" i="3"/>
  <c r="G18" i="1"/>
  <c r="G19" i="1"/>
  <c r="AX28" i="3"/>
  <c r="G48" i="1"/>
  <c r="AX58" i="3"/>
  <c r="G107" i="1"/>
  <c r="AX114" i="3"/>
  <c r="G111" i="1"/>
  <c r="AX118" i="3"/>
  <c r="C103" i="17"/>
  <c r="D103" i="17"/>
  <c r="Y557" i="14"/>
  <c r="M557" i="14"/>
  <c r="AB557" i="14"/>
  <c r="AC557" i="14"/>
  <c r="V557" i="14"/>
  <c r="S557" i="14"/>
  <c r="N557" i="14"/>
  <c r="L281" i="14"/>
  <c r="L280" i="14"/>
  <c r="L279" i="14"/>
  <c r="M279" i="14"/>
  <c r="L1338" i="14"/>
  <c r="L697" i="14"/>
  <c r="L1331" i="14"/>
  <c r="L1330" i="14"/>
  <c r="M1330" i="14"/>
  <c r="L691" i="14"/>
  <c r="L688" i="14"/>
  <c r="L690" i="14"/>
  <c r="L689" i="14"/>
  <c r="L1333" i="14"/>
  <c r="M1333" i="14"/>
  <c r="L1332" i="14"/>
  <c r="M1332" i="14"/>
  <c r="AF41" i="3"/>
  <c r="G32" i="1"/>
  <c r="AE41" i="3"/>
  <c r="H51" i="1"/>
  <c r="AI61" i="3"/>
  <c r="AX155" i="3"/>
  <c r="G151" i="1"/>
  <c r="L356" i="14"/>
  <c r="M356" i="14"/>
  <c r="L1372" i="14"/>
  <c r="M1372" i="14"/>
  <c r="L730" i="14"/>
  <c r="L1374" i="14"/>
  <c r="M1374" i="14"/>
  <c r="L1051" i="14"/>
  <c r="L1373" i="14"/>
  <c r="M1373" i="14"/>
  <c r="L732" i="14"/>
  <c r="L1370" i="14"/>
  <c r="M1370" i="14"/>
  <c r="L729" i="14"/>
  <c r="L731" i="14"/>
  <c r="L1371" i="14"/>
  <c r="L733" i="14"/>
  <c r="L1050" i="14"/>
  <c r="AO162" i="3"/>
  <c r="AX162" i="3"/>
  <c r="AL162" i="3"/>
  <c r="G157" i="1"/>
  <c r="C37" i="17"/>
  <c r="M491" i="14"/>
  <c r="AC492" i="14"/>
  <c r="AB492" i="14"/>
  <c r="V492" i="14"/>
  <c r="C38" i="17"/>
  <c r="Y492" i="14"/>
  <c r="M492" i="14"/>
  <c r="N492" i="14"/>
  <c r="S492" i="14"/>
  <c r="S947" i="14"/>
  <c r="AB947" i="14"/>
  <c r="Y947" i="14"/>
  <c r="V947" i="14"/>
  <c r="M947" i="14"/>
  <c r="AC947" i="14"/>
  <c r="N947" i="14"/>
  <c r="AI59" i="3"/>
  <c r="H49" i="1"/>
  <c r="G21" i="1"/>
  <c r="L37" i="14"/>
  <c r="AX30" i="3"/>
  <c r="H79" i="1"/>
  <c r="AI86" i="3"/>
  <c r="G67" i="1"/>
  <c r="AX76" i="3"/>
  <c r="L683" i="14"/>
  <c r="L1327" i="14"/>
  <c r="L685" i="14"/>
  <c r="L684" i="14"/>
  <c r="L1326" i="14"/>
  <c r="M1326" i="14"/>
  <c r="L682" i="14"/>
  <c r="L1325" i="14"/>
  <c r="L1324" i="14"/>
  <c r="M1324" i="14"/>
  <c r="AE171" i="3"/>
  <c r="AF171" i="3"/>
  <c r="Y720" i="14"/>
  <c r="AB720" i="14"/>
  <c r="M720" i="14"/>
  <c r="N720" i="14"/>
  <c r="C266" i="17"/>
  <c r="D266" i="17"/>
  <c r="S720" i="14"/>
  <c r="AC720" i="14"/>
  <c r="V720" i="14"/>
  <c r="Y745" i="14"/>
  <c r="M745" i="14"/>
  <c r="N745" i="14"/>
  <c r="C291" i="17"/>
  <c r="D291" i="17"/>
  <c r="S745" i="14"/>
  <c r="AB745" i="14"/>
  <c r="AC745" i="14"/>
  <c r="V745" i="14"/>
  <c r="G11" i="1"/>
  <c r="AX20" i="3"/>
  <c r="H67" i="1"/>
  <c r="AI76" i="3"/>
  <c r="L744" i="14"/>
  <c r="L1385" i="14"/>
  <c r="L513" i="14"/>
  <c r="L1166" i="14"/>
  <c r="C6" i="17"/>
  <c r="V460" i="14"/>
  <c r="M460" i="14"/>
  <c r="AC460" i="14"/>
  <c r="Y460" i="14"/>
  <c r="AB460" i="14"/>
  <c r="N460" i="14"/>
  <c r="S460" i="14"/>
  <c r="L909" i="14"/>
  <c r="L1363" i="14"/>
  <c r="M1363" i="14"/>
  <c r="L1362" i="14"/>
  <c r="M1362" i="14"/>
  <c r="L722" i="14"/>
  <c r="L721" i="14"/>
  <c r="L1364" i="14"/>
  <c r="M1364" i="14"/>
  <c r="L723" i="14"/>
  <c r="L918" i="14"/>
  <c r="L464" i="14"/>
  <c r="L916" i="14"/>
  <c r="L1119" i="14"/>
  <c r="L462" i="14"/>
  <c r="L1121" i="14"/>
  <c r="M1121" i="14"/>
  <c r="L933" i="14"/>
  <c r="L932" i="14"/>
  <c r="L463" i="14"/>
  <c r="L930" i="14"/>
  <c r="L929" i="14"/>
  <c r="L906" i="14"/>
  <c r="L928" i="14"/>
  <c r="M928" i="14"/>
  <c r="L931" i="14"/>
  <c r="M931" i="14"/>
  <c r="L1120" i="14"/>
  <c r="L1118" i="14"/>
  <c r="M1118" i="14"/>
  <c r="AE80" i="3"/>
  <c r="AF80" i="3"/>
  <c r="L883" i="14"/>
  <c r="L889" i="14"/>
  <c r="L879" i="14"/>
  <c r="L892" i="14"/>
  <c r="L893" i="14"/>
  <c r="L875" i="14"/>
  <c r="L886" i="14"/>
  <c r="L884" i="14"/>
  <c r="L888" i="14"/>
  <c r="L885" i="14"/>
  <c r="L890" i="14"/>
  <c r="L894" i="14"/>
  <c r="L880" i="14"/>
  <c r="L887" i="14"/>
  <c r="L877" i="14"/>
  <c r="L876" i="14"/>
  <c r="L878" i="14"/>
  <c r="L891" i="14"/>
  <c r="L895" i="14"/>
  <c r="L881" i="14"/>
  <c r="L874" i="14"/>
  <c r="L882" i="14"/>
  <c r="L1347" i="14"/>
  <c r="L706" i="14"/>
  <c r="L1350" i="14"/>
  <c r="M1350" i="14"/>
  <c r="L705" i="14"/>
  <c r="L708" i="14"/>
  <c r="L709" i="14"/>
  <c r="L1349" i="14"/>
  <c r="M1349" i="14"/>
  <c r="L1348" i="14"/>
  <c r="M1348" i="14"/>
  <c r="L707" i="14"/>
  <c r="L1346" i="14"/>
  <c r="M1346" i="14"/>
  <c r="L1042" i="14"/>
  <c r="H78" i="1"/>
  <c r="H77" i="1"/>
  <c r="L870" i="14"/>
  <c r="L862" i="14"/>
  <c r="L861" i="14"/>
  <c r="L860" i="14"/>
  <c r="L850" i="14"/>
  <c r="L868" i="14"/>
  <c r="L873" i="14"/>
  <c r="L853" i="14"/>
  <c r="L867" i="14"/>
  <c r="L857" i="14"/>
  <c r="L865" i="14"/>
  <c r="L858" i="14"/>
  <c r="L866" i="14"/>
  <c r="L863" i="14"/>
  <c r="L872" i="14"/>
  <c r="L871" i="14"/>
  <c r="L856" i="14"/>
  <c r="L851" i="14"/>
  <c r="L852" i="14"/>
  <c r="L869" i="14"/>
  <c r="L864" i="14"/>
  <c r="L855" i="14"/>
  <c r="L859" i="14"/>
  <c r="L854" i="14"/>
  <c r="AX45" i="3"/>
  <c r="G36" i="1"/>
  <c r="L73" i="14"/>
  <c r="S1032" i="14"/>
  <c r="AC1032" i="14"/>
  <c r="Y1032" i="14"/>
  <c r="N1032" i="14"/>
  <c r="AB1032" i="14"/>
  <c r="V1032" i="14"/>
  <c r="M1032" i="14"/>
  <c r="AX146" i="3"/>
  <c r="G142" i="1"/>
  <c r="AX85" i="3"/>
  <c r="G77" i="1"/>
  <c r="L231" i="14"/>
  <c r="M231" i="14"/>
  <c r="G78" i="1"/>
  <c r="G27" i="1"/>
  <c r="L60" i="14"/>
  <c r="AX36" i="3"/>
  <c r="G70" i="1"/>
  <c r="AX79" i="3"/>
  <c r="G106" i="1"/>
  <c r="AX113" i="3"/>
  <c r="M795" i="14"/>
  <c r="C341" i="17"/>
  <c r="N1156" i="14"/>
  <c r="V1156" i="14"/>
  <c r="Y1156" i="14"/>
  <c r="AC1156" i="14"/>
  <c r="M1156" i="14"/>
  <c r="AB1156" i="14"/>
  <c r="S1156" i="14"/>
  <c r="AX24" i="3"/>
  <c r="G15" i="1"/>
  <c r="AL158" i="3"/>
  <c r="AO158" i="3"/>
  <c r="AX158" i="3"/>
  <c r="M701" i="14"/>
  <c r="C247" i="17"/>
  <c r="G12" i="1"/>
  <c r="L20" i="14"/>
  <c r="M20" i="14"/>
  <c r="AX21" i="3"/>
  <c r="AX145" i="3"/>
  <c r="G141" i="1"/>
  <c r="N1434" i="14"/>
  <c r="M1434" i="14"/>
  <c r="V1434" i="14"/>
  <c r="AC1434" i="14"/>
  <c r="S1434" i="14"/>
  <c r="Y1434" i="14"/>
  <c r="AB1434" i="14"/>
  <c r="G152" i="1"/>
  <c r="AX156" i="3"/>
  <c r="L764" i="14"/>
  <c r="L1404" i="14"/>
  <c r="L921" i="14"/>
  <c r="L1076" i="14"/>
  <c r="M1076" i="14"/>
  <c r="L1074" i="14"/>
  <c r="M1074" i="14"/>
  <c r="L1075" i="14"/>
  <c r="L768" i="14"/>
  <c r="L1077" i="14"/>
  <c r="M1077" i="14"/>
  <c r="L1403" i="14"/>
  <c r="M1403" i="14"/>
  <c r="L1400" i="14"/>
  <c r="L1402" i="14"/>
  <c r="M1402" i="14"/>
  <c r="L1087" i="14"/>
  <c r="M1087" i="14"/>
  <c r="L1088" i="14"/>
  <c r="L1084" i="14"/>
  <c r="M1084" i="14"/>
  <c r="L1405" i="14"/>
  <c r="L1080" i="14"/>
  <c r="L1078" i="14"/>
  <c r="L1085" i="14"/>
  <c r="L763" i="14"/>
  <c r="L1406" i="14"/>
  <c r="M1406" i="14"/>
  <c r="L765" i="14"/>
  <c r="L766" i="14"/>
  <c r="L1407" i="14"/>
  <c r="L1079" i="14"/>
  <c r="L1081" i="14"/>
  <c r="L1399" i="14"/>
  <c r="M1399" i="14"/>
  <c r="L1083" i="14"/>
  <c r="L1086" i="14"/>
  <c r="M1086" i="14"/>
  <c r="L767" i="14"/>
  <c r="L1082" i="14"/>
  <c r="M1082" i="14"/>
  <c r="L762" i="14"/>
  <c r="L1401" i="14"/>
  <c r="M1401" i="14"/>
  <c r="L761" i="14"/>
  <c r="G103" i="1"/>
  <c r="AX110" i="3"/>
  <c r="AX168" i="3"/>
  <c r="AO168" i="3"/>
  <c r="AL168" i="3"/>
  <c r="G163" i="1"/>
  <c r="M941" i="14"/>
  <c r="AB941" i="14"/>
  <c r="Y941" i="14"/>
  <c r="AC941" i="14"/>
  <c r="N941" i="14"/>
  <c r="S941" i="14"/>
  <c r="V941" i="14"/>
  <c r="S938" i="14"/>
  <c r="Y938" i="14"/>
  <c r="V938" i="14"/>
  <c r="AC938" i="14"/>
  <c r="N938" i="14"/>
  <c r="M938" i="14"/>
  <c r="AB938" i="14"/>
  <c r="N936" i="14"/>
  <c r="M936" i="14"/>
  <c r="S936" i="14"/>
  <c r="V936" i="14"/>
  <c r="AC936" i="14"/>
  <c r="Y936" i="14"/>
  <c r="AB936" i="14"/>
  <c r="Y1123" i="14"/>
  <c r="AB1123" i="14"/>
  <c r="N1123" i="14"/>
  <c r="M1123" i="14"/>
  <c r="S1123" i="14"/>
  <c r="AC1123" i="14"/>
  <c r="V1123" i="14"/>
  <c r="S1323" i="14"/>
  <c r="M1323" i="14"/>
  <c r="Y1323" i="14"/>
  <c r="AC1323" i="14"/>
  <c r="N1323" i="14"/>
  <c r="V1323" i="14"/>
  <c r="AB1323" i="14"/>
  <c r="L607" i="14"/>
  <c r="L611" i="14"/>
  <c r="L601" i="14"/>
  <c r="L1256" i="14"/>
  <c r="M1256" i="14"/>
  <c r="L592" i="14"/>
  <c r="L584" i="14"/>
  <c r="L589" i="14"/>
  <c r="L923" i="14"/>
  <c r="L1001" i="14"/>
  <c r="L608" i="14"/>
  <c r="L1000" i="14"/>
  <c r="L599" i="14"/>
  <c r="L1253" i="14"/>
  <c r="L614" i="14"/>
  <c r="L1240" i="14"/>
  <c r="M1240" i="14"/>
  <c r="L597" i="14"/>
  <c r="L594" i="14"/>
  <c r="L604" i="14"/>
  <c r="L596" i="14"/>
  <c r="L1249" i="14"/>
  <c r="M1249" i="14"/>
  <c r="L595" i="14"/>
  <c r="L1244" i="14"/>
  <c r="M1244" i="14"/>
  <c r="L603" i="14"/>
  <c r="L605" i="14"/>
  <c r="L593" i="14"/>
  <c r="L1250" i="14"/>
  <c r="L1242" i="14"/>
  <c r="M1242" i="14"/>
  <c r="L587" i="14"/>
  <c r="L1239" i="14"/>
  <c r="L1252" i="14"/>
  <c r="M1252" i="14"/>
  <c r="L598" i="14"/>
  <c r="L585" i="14"/>
  <c r="L591" i="14"/>
  <c r="L588" i="14"/>
  <c r="L1251" i="14"/>
  <c r="L1257" i="14"/>
  <c r="L1246" i="14"/>
  <c r="L1255" i="14"/>
  <c r="L1245" i="14"/>
  <c r="L1002" i="14"/>
  <c r="M1002" i="14"/>
  <c r="L1231" i="14"/>
  <c r="L612" i="14"/>
  <c r="L610" i="14"/>
  <c r="L1234" i="14"/>
  <c r="M1234" i="14"/>
  <c r="L998" i="14"/>
  <c r="M998" i="14"/>
  <c r="L1232" i="14"/>
  <c r="M1232" i="14"/>
  <c r="L615" i="14"/>
  <c r="L1229" i="14"/>
  <c r="M1229" i="14"/>
  <c r="L590" i="14"/>
  <c r="L1248" i="14"/>
  <c r="L602" i="14"/>
  <c r="L609" i="14"/>
  <c r="L1254" i="14"/>
  <c r="M1254" i="14"/>
  <c r="L613" i="14"/>
  <c r="L600" i="14"/>
  <c r="L1237" i="14"/>
  <c r="L1233" i="14"/>
  <c r="L1241" i="14"/>
  <c r="L586" i="14"/>
  <c r="L1238" i="14"/>
  <c r="M1238" i="14"/>
  <c r="L997" i="14"/>
  <c r="L1236" i="14"/>
  <c r="M1236" i="14"/>
  <c r="L616" i="14"/>
  <c r="L606" i="14"/>
  <c r="L1243" i="14"/>
  <c r="L1247" i="14"/>
  <c r="M1247" i="14"/>
  <c r="L1258" i="14"/>
  <c r="L1230" i="14"/>
  <c r="M1230" i="14"/>
  <c r="L1235" i="14"/>
  <c r="L999" i="14"/>
  <c r="C465" i="17"/>
  <c r="M919" i="14"/>
  <c r="M951" i="14"/>
  <c r="S951" i="14"/>
  <c r="AC951" i="14"/>
  <c r="Y951" i="14"/>
  <c r="AB951" i="14"/>
  <c r="N951" i="14"/>
  <c r="V951" i="14"/>
  <c r="AB1144" i="14"/>
  <c r="M1144" i="14"/>
  <c r="N1144" i="14"/>
  <c r="Y1144" i="14"/>
  <c r="AC1144" i="14"/>
  <c r="S1144" i="14"/>
  <c r="V1144" i="14"/>
  <c r="S953" i="14"/>
  <c r="V953" i="14"/>
  <c r="AC953" i="14"/>
  <c r="M953" i="14"/>
  <c r="Y953" i="14"/>
  <c r="AB953" i="14"/>
  <c r="N953" i="14"/>
  <c r="AX35" i="3"/>
  <c r="G26" i="1"/>
  <c r="AX111" i="3"/>
  <c r="G104" i="1"/>
  <c r="Y1165" i="14"/>
  <c r="AB1165" i="14"/>
  <c r="V1165" i="14"/>
  <c r="N1165" i="14"/>
  <c r="M1165" i="14"/>
  <c r="S1165" i="14"/>
  <c r="AC1165" i="14"/>
  <c r="AX137" i="3"/>
  <c r="G133" i="1"/>
  <c r="AX29" i="3"/>
  <c r="G20" i="1"/>
  <c r="G13" i="1"/>
  <c r="L21" i="14"/>
  <c r="AX22" i="3"/>
  <c r="G90" i="1"/>
  <c r="AX98" i="3"/>
  <c r="M976" i="14"/>
  <c r="Y976" i="14"/>
  <c r="V976" i="14"/>
  <c r="AB976" i="14"/>
  <c r="AC976" i="14"/>
  <c r="S976" i="14"/>
  <c r="N976" i="14"/>
  <c r="L1004" i="14"/>
  <c r="L1267" i="14"/>
  <c r="L620" i="14"/>
  <c r="L1268" i="14"/>
  <c r="M1268" i="14"/>
  <c r="L626" i="14"/>
  <c r="L1266" i="14"/>
  <c r="M1266" i="14"/>
  <c r="L1265" i="14"/>
  <c r="M1265" i="14"/>
  <c r="L1003" i="14"/>
  <c r="L622" i="14"/>
  <c r="L1006" i="14"/>
  <c r="M1006" i="14"/>
  <c r="L1269" i="14"/>
  <c r="L1263" i="14"/>
  <c r="L1262" i="14"/>
  <c r="M1262" i="14"/>
  <c r="L625" i="14"/>
  <c r="L1259" i="14"/>
  <c r="M1259" i="14"/>
  <c r="L621" i="14"/>
  <c r="L1260" i="14"/>
  <c r="L1264" i="14"/>
  <c r="M1264" i="14"/>
  <c r="L1261" i="14"/>
  <c r="M1261" i="14"/>
  <c r="L623" i="14"/>
  <c r="L624" i="14"/>
  <c r="L617" i="14"/>
  <c r="L618" i="14"/>
  <c r="L901" i="14"/>
  <c r="L619" i="14"/>
  <c r="L1005" i="14"/>
  <c r="M1005" i="14"/>
  <c r="L824" i="14"/>
  <c r="L823" i="14"/>
  <c r="L1465" i="14"/>
  <c r="M1465" i="14"/>
  <c r="L820" i="14"/>
  <c r="L822" i="14"/>
  <c r="L1468" i="14"/>
  <c r="L821" i="14"/>
  <c r="L1466" i="14"/>
  <c r="L1467" i="14"/>
  <c r="AC1133" i="14"/>
  <c r="AB1133" i="14"/>
  <c r="Y1133" i="14"/>
  <c r="N1133" i="14"/>
  <c r="V1133" i="14"/>
  <c r="M1133" i="14"/>
  <c r="S1133" i="14"/>
  <c r="M1127" i="14"/>
  <c r="Y1127" i="14"/>
  <c r="AB1127" i="14"/>
  <c r="S1127" i="14"/>
  <c r="N1127" i="14"/>
  <c r="V1127" i="14"/>
  <c r="AC1127" i="14"/>
  <c r="M1007" i="14"/>
  <c r="N1007" i="14"/>
  <c r="AB1007" i="14"/>
  <c r="V1007" i="14"/>
  <c r="S1007" i="14"/>
  <c r="AC1007" i="14"/>
  <c r="Y1007" i="14"/>
  <c r="L785" i="14"/>
  <c r="L786" i="14"/>
  <c r="L1423" i="14"/>
  <c r="M1423" i="14"/>
  <c r="L777" i="14"/>
  <c r="L910" i="14"/>
  <c r="L1421" i="14"/>
  <c r="L779" i="14"/>
  <c r="L1097" i="14"/>
  <c r="M1097" i="14"/>
  <c r="L784" i="14"/>
  <c r="L1095" i="14"/>
  <c r="L1425" i="14"/>
  <c r="L1096" i="14"/>
  <c r="L1098" i="14"/>
  <c r="M1098" i="14"/>
  <c r="L1099" i="14"/>
  <c r="L778" i="14"/>
  <c r="L1422" i="14"/>
  <c r="M1422" i="14"/>
  <c r="L1424" i="14"/>
  <c r="L1420" i="14"/>
  <c r="M1420" i="14"/>
  <c r="L1426" i="14"/>
  <c r="L780" i="14"/>
  <c r="L783" i="14"/>
  <c r="L1416" i="14"/>
  <c r="M1416" i="14"/>
  <c r="L781" i="14"/>
  <c r="L782" i="14"/>
  <c r="L904" i="14"/>
  <c r="L925" i="14"/>
  <c r="L1100" i="14"/>
  <c r="L1419" i="14"/>
  <c r="L1418" i="14"/>
  <c r="M1418" i="14"/>
  <c r="L1415" i="14"/>
  <c r="M1415" i="14"/>
  <c r="L776" i="14"/>
  <c r="L1417" i="14"/>
  <c r="L1224" i="14"/>
  <c r="M1224" i="14"/>
  <c r="L1221" i="14"/>
  <c r="M1221" i="14"/>
  <c r="L984" i="14"/>
  <c r="M984" i="14"/>
  <c r="L575" i="14"/>
  <c r="L982" i="14"/>
  <c r="L576" i="14"/>
  <c r="L983" i="14"/>
  <c r="L986" i="14"/>
  <c r="M986" i="14"/>
  <c r="L1222" i="14"/>
  <c r="L574" i="14"/>
  <c r="L985" i="14"/>
  <c r="M985" i="14"/>
  <c r="L573" i="14"/>
  <c r="L1223" i="14"/>
  <c r="M1223" i="14"/>
  <c r="L1053" i="14"/>
  <c r="M1053" i="14"/>
  <c r="L1057" i="14"/>
  <c r="L739" i="14"/>
  <c r="L1055" i="14"/>
  <c r="M1055" i="14"/>
  <c r="L1379" i="14"/>
  <c r="L1058" i="14"/>
  <c r="L1059" i="14"/>
  <c r="L1381" i="14"/>
  <c r="L1054" i="14"/>
  <c r="M1054" i="14"/>
  <c r="L738" i="14"/>
  <c r="L1056" i="14"/>
  <c r="L740" i="14"/>
  <c r="L1380" i="14"/>
  <c r="M474" i="14"/>
  <c r="C20" i="17"/>
  <c r="V943" i="14"/>
  <c r="N943" i="14"/>
  <c r="Y943" i="14"/>
  <c r="AC943" i="14"/>
  <c r="M943" i="14"/>
  <c r="S943" i="14"/>
  <c r="AB943" i="14"/>
  <c r="M469" i="14"/>
  <c r="C15" i="17"/>
  <c r="G50" i="1"/>
  <c r="AX60" i="3"/>
  <c r="N628" i="14"/>
  <c r="Y628" i="14"/>
  <c r="M628" i="14"/>
  <c r="C174" i="17"/>
  <c r="D174" i="17"/>
  <c r="AC628" i="14"/>
  <c r="AB628" i="14"/>
  <c r="V628" i="14"/>
  <c r="S628" i="14"/>
  <c r="H48" i="1"/>
  <c r="AI58" i="3"/>
  <c r="L1470" i="14"/>
  <c r="L457" i="14"/>
  <c r="L926" i="14"/>
  <c r="M926" i="14"/>
  <c r="L1472" i="14"/>
  <c r="L1115" i="14"/>
  <c r="L927" i="14"/>
  <c r="L458" i="14"/>
  <c r="AF151" i="3"/>
  <c r="AE151" i="3"/>
  <c r="L1092" i="14"/>
  <c r="M1092" i="14"/>
  <c r="L773" i="14"/>
  <c r="L1093" i="14"/>
  <c r="L1414" i="14"/>
  <c r="L774" i="14"/>
  <c r="L1094" i="14"/>
  <c r="L775" i="14"/>
  <c r="L772" i="14"/>
  <c r="L1413" i="14"/>
  <c r="M1413" i="14"/>
  <c r="L771" i="14"/>
  <c r="L1090" i="14"/>
  <c r="M1090" i="14"/>
  <c r="L1410" i="14"/>
  <c r="M1410" i="14"/>
  <c r="L1091" i="14"/>
  <c r="L1412" i="14"/>
  <c r="L1411" i="14"/>
  <c r="S1147" i="14"/>
  <c r="AB1147" i="14"/>
  <c r="N1147" i="14"/>
  <c r="M1147" i="14"/>
  <c r="Y1147" i="14"/>
  <c r="V1147" i="14"/>
  <c r="AC1147" i="14"/>
  <c r="N1148" i="14"/>
  <c r="AC1148" i="14"/>
  <c r="S1148" i="14"/>
  <c r="AB1148" i="14"/>
  <c r="V1148" i="14"/>
  <c r="M1148" i="14"/>
  <c r="Y1148" i="14"/>
  <c r="M769" i="14"/>
  <c r="C315" i="17"/>
  <c r="L703" i="14"/>
  <c r="L704" i="14"/>
  <c r="L1344" i="14"/>
  <c r="L702" i="14"/>
  <c r="L1343" i="14"/>
  <c r="M1343" i="14"/>
  <c r="L1345" i="14"/>
  <c r="M1345" i="14"/>
  <c r="H47" i="1"/>
  <c r="AI57" i="3"/>
  <c r="AF132" i="3"/>
  <c r="AE132" i="3"/>
  <c r="L1356" i="14"/>
  <c r="L1358" i="14"/>
  <c r="L716" i="14"/>
  <c r="L717" i="14"/>
  <c r="L715" i="14"/>
  <c r="L1357" i="14"/>
  <c r="G165" i="1"/>
  <c r="AX170" i="3"/>
  <c r="AL170" i="3"/>
  <c r="AO170" i="3"/>
  <c r="L1177" i="14"/>
  <c r="M1177" i="14"/>
  <c r="L1175" i="14"/>
  <c r="M1175" i="14"/>
  <c r="L1180" i="14"/>
  <c r="M1180" i="14"/>
  <c r="L970" i="14"/>
  <c r="M970" i="14"/>
  <c r="L529" i="14"/>
  <c r="L1179" i="14"/>
  <c r="M1179" i="14"/>
  <c r="L525" i="14"/>
  <c r="L526" i="14"/>
  <c r="L1176" i="14"/>
  <c r="L523" i="14"/>
  <c r="L527" i="14"/>
  <c r="L528" i="14"/>
  <c r="L524" i="14"/>
  <c r="L1178" i="14"/>
  <c r="L969" i="14"/>
  <c r="AX56" i="3"/>
  <c r="G46" i="1"/>
  <c r="Y1044" i="14"/>
  <c r="S1044" i="14"/>
  <c r="N1044" i="14"/>
  <c r="M1044" i="14"/>
  <c r="V1044" i="14"/>
  <c r="AB1044" i="14"/>
  <c r="AC1044" i="14"/>
  <c r="M718" i="14"/>
  <c r="C264" i="17"/>
  <c r="N1062" i="14"/>
  <c r="Y1062" i="14"/>
  <c r="AB1062" i="14"/>
  <c r="AC1062" i="14"/>
  <c r="M1062" i="14"/>
  <c r="S1062" i="14"/>
  <c r="V1062" i="14"/>
  <c r="AX104" i="3"/>
  <c r="G96" i="1"/>
  <c r="AC1117" i="14"/>
  <c r="Y1117" i="14"/>
  <c r="S1117" i="14"/>
  <c r="V1117" i="14"/>
  <c r="AB1117" i="14"/>
  <c r="N1117" i="14"/>
  <c r="M1117" i="14"/>
  <c r="L498" i="14"/>
  <c r="L1152" i="14"/>
  <c r="L1151" i="14"/>
  <c r="M1151" i="14"/>
  <c r="L496" i="14"/>
  <c r="L961" i="14"/>
  <c r="L497" i="14"/>
  <c r="L1150" i="14"/>
  <c r="L494" i="14"/>
  <c r="L495" i="14"/>
  <c r="L1149" i="14"/>
  <c r="M1149" i="14"/>
  <c r="L960" i="14"/>
  <c r="H154" i="1"/>
  <c r="H155" i="1"/>
  <c r="AF115" i="3"/>
  <c r="AE115" i="3"/>
  <c r="AF109" i="3"/>
  <c r="AE109" i="3"/>
  <c r="AF150" i="3"/>
  <c r="AE150" i="3"/>
  <c r="AE173" i="3"/>
  <c r="AF173" i="3"/>
  <c r="H52" i="1"/>
  <c r="AI62" i="3"/>
  <c r="AE142" i="3"/>
  <c r="AF142" i="3"/>
  <c r="AO165" i="3"/>
  <c r="AL165" i="3"/>
  <c r="G159" i="1"/>
  <c r="AX165" i="3"/>
  <c r="AX57" i="3"/>
  <c r="G47" i="1"/>
  <c r="AX65" i="3"/>
  <c r="G55" i="1"/>
  <c r="AX95" i="3"/>
  <c r="G87" i="1"/>
  <c r="G34" i="1"/>
  <c r="AX43" i="3"/>
  <c r="G86" i="1"/>
  <c r="AX94" i="3"/>
  <c r="G120" i="1"/>
  <c r="AX127" i="3"/>
  <c r="AO161" i="3"/>
  <c r="G156" i="1"/>
  <c r="AX161" i="3"/>
  <c r="AL161" i="3"/>
  <c r="G40" i="1"/>
  <c r="L75" i="14"/>
  <c r="AX49" i="3"/>
  <c r="S1040" i="14"/>
  <c r="M1040" i="14"/>
  <c r="Y1040" i="14"/>
  <c r="N1040" i="14"/>
  <c r="V1040" i="14"/>
  <c r="AB1040" i="14"/>
  <c r="AC1040" i="14"/>
  <c r="V700" i="14"/>
  <c r="C246" i="17"/>
  <c r="D246" i="17"/>
  <c r="S700" i="14"/>
  <c r="N700" i="14"/>
  <c r="AC700" i="14"/>
  <c r="AB700" i="14"/>
  <c r="Y700" i="14"/>
  <c r="M700" i="14"/>
  <c r="G139" i="1"/>
  <c r="AX143" i="3"/>
  <c r="S793" i="14"/>
  <c r="C339" i="17"/>
  <c r="AB793" i="14"/>
  <c r="V793" i="14"/>
  <c r="M793" i="14"/>
  <c r="N793" i="14"/>
  <c r="Y793" i="14"/>
  <c r="AC793" i="14"/>
  <c r="V1433" i="14"/>
  <c r="AC1433" i="14"/>
  <c r="N1433" i="14"/>
  <c r="Y1433" i="14"/>
  <c r="M1433" i="14"/>
  <c r="AB1433" i="14"/>
  <c r="S1433" i="14"/>
  <c r="G129" i="1"/>
  <c r="AX133" i="3"/>
  <c r="G52" i="1"/>
  <c r="AX62" i="3"/>
  <c r="G112" i="1"/>
  <c r="AX119" i="3"/>
  <c r="AX32" i="3"/>
  <c r="G23" i="1"/>
  <c r="AX141" i="3"/>
  <c r="G137" i="1"/>
  <c r="G124" i="1"/>
  <c r="G125" i="1"/>
  <c r="G126" i="1"/>
  <c r="AX131" i="3"/>
  <c r="G83" i="1"/>
  <c r="L235" i="14"/>
  <c r="M235" i="14"/>
  <c r="AX91" i="3"/>
  <c r="V940" i="14"/>
  <c r="AC940" i="14"/>
  <c r="S940" i="14"/>
  <c r="Y940" i="14"/>
  <c r="AB940" i="14"/>
  <c r="M940" i="14"/>
  <c r="N940" i="14"/>
  <c r="C14" i="17"/>
  <c r="M468" i="14"/>
  <c r="M466" i="14"/>
  <c r="AC466" i="14"/>
  <c r="C12" i="17"/>
  <c r="Y466" i="14"/>
  <c r="N466" i="14"/>
  <c r="V466" i="14"/>
  <c r="AB466" i="14"/>
  <c r="S466" i="14"/>
  <c r="C226" i="17"/>
  <c r="V680" i="14"/>
  <c r="AB680" i="14"/>
  <c r="M680" i="14"/>
  <c r="S680" i="14"/>
  <c r="AC680" i="14"/>
  <c r="N680" i="14"/>
  <c r="Y680" i="14"/>
  <c r="AB511" i="14"/>
  <c r="AC511" i="14"/>
  <c r="S511" i="14"/>
  <c r="V511" i="14"/>
  <c r="N511" i="14"/>
  <c r="Y511" i="14"/>
  <c r="C57" i="17"/>
  <c r="M511" i="14"/>
  <c r="G14" i="1"/>
  <c r="L22" i="14"/>
  <c r="AX23" i="3"/>
  <c r="C271" i="17"/>
  <c r="D271" i="17"/>
  <c r="N725" i="14"/>
  <c r="Y725" i="14"/>
  <c r="AC725" i="14"/>
  <c r="S725" i="14"/>
  <c r="V725" i="14"/>
  <c r="M725" i="14"/>
  <c r="AB725" i="14"/>
  <c r="G91" i="1"/>
  <c r="AX99" i="3"/>
  <c r="Y955" i="14"/>
  <c r="V955" i="14"/>
  <c r="AC955" i="14"/>
  <c r="N955" i="14"/>
  <c r="S955" i="14"/>
  <c r="AB955" i="14"/>
  <c r="M955" i="14"/>
  <c r="AB489" i="14"/>
  <c r="AC489" i="14"/>
  <c r="V489" i="14"/>
  <c r="M489" i="14"/>
  <c r="S489" i="14"/>
  <c r="Y489" i="14"/>
  <c r="C35" i="17"/>
  <c r="N489" i="14"/>
  <c r="AX159" i="3"/>
  <c r="AL159" i="3"/>
  <c r="AO159" i="3"/>
  <c r="G131" i="1"/>
  <c r="AX135" i="3"/>
  <c r="AX75" i="3"/>
  <c r="G66" i="1"/>
  <c r="AX169" i="3"/>
  <c r="G164" i="1"/>
  <c r="AL169" i="3"/>
  <c r="AO169" i="3"/>
  <c r="S512" i="14"/>
  <c r="C58" i="17"/>
  <c r="AC512" i="14"/>
  <c r="AB512" i="14"/>
  <c r="M512" i="14"/>
  <c r="V512" i="14"/>
  <c r="N512" i="14"/>
  <c r="Y512" i="14"/>
  <c r="AX37" i="3"/>
  <c r="G28" i="1"/>
  <c r="L61" i="14"/>
  <c r="M61" i="14"/>
  <c r="G149" i="1"/>
  <c r="AX153" i="3"/>
  <c r="AL167" i="3"/>
  <c r="AX167" i="3"/>
  <c r="G162" i="1"/>
  <c r="L386" i="14"/>
  <c r="AO167" i="3"/>
  <c r="N977" i="14"/>
  <c r="AB977" i="14"/>
  <c r="M977" i="14"/>
  <c r="V977" i="14"/>
  <c r="Y977" i="14"/>
  <c r="S977" i="14"/>
  <c r="AC977" i="14"/>
  <c r="U5" i="15"/>
  <c r="U7" i="15"/>
  <c r="I5" i="15"/>
  <c r="I8" i="15"/>
  <c r="J4" i="15"/>
  <c r="V386" i="14"/>
  <c r="AB386" i="14"/>
  <c r="N386" i="14"/>
  <c r="S386" i="14"/>
  <c r="M386" i="14"/>
  <c r="AC386" i="14"/>
  <c r="Y386" i="14"/>
  <c r="AC22" i="14"/>
  <c r="S22" i="14"/>
  <c r="Y22" i="14"/>
  <c r="N22" i="14"/>
  <c r="V22" i="14"/>
  <c r="AB22" i="14"/>
  <c r="M22" i="14"/>
  <c r="L113" i="14"/>
  <c r="L114" i="14"/>
  <c r="M114" i="14"/>
  <c r="L115" i="14"/>
  <c r="M115" i="14"/>
  <c r="L112" i="14"/>
  <c r="M112" i="14"/>
  <c r="L116" i="14"/>
  <c r="AX142" i="3"/>
  <c r="G138" i="1"/>
  <c r="AX173" i="3"/>
  <c r="G168" i="1"/>
  <c r="AB495" i="14"/>
  <c r="S495" i="14"/>
  <c r="C41" i="17"/>
  <c r="N495" i="14"/>
  <c r="AC495" i="14"/>
  <c r="V495" i="14"/>
  <c r="Y495" i="14"/>
  <c r="M495" i="14"/>
  <c r="V961" i="14"/>
  <c r="AC961" i="14"/>
  <c r="Y961" i="14"/>
  <c r="N961" i="14"/>
  <c r="M961" i="14"/>
  <c r="S961" i="14"/>
  <c r="AB961" i="14"/>
  <c r="V498" i="14"/>
  <c r="AC498" i="14"/>
  <c r="S498" i="14"/>
  <c r="AB498" i="14"/>
  <c r="N498" i="14"/>
  <c r="Y498" i="14"/>
  <c r="C44" i="17"/>
  <c r="M498" i="14"/>
  <c r="L261" i="14"/>
  <c r="L262" i="14"/>
  <c r="M262" i="14"/>
  <c r="L260" i="14"/>
  <c r="L259" i="14"/>
  <c r="M259" i="14"/>
  <c r="Y969" i="14"/>
  <c r="N969" i="14"/>
  <c r="S969" i="14"/>
  <c r="AC969" i="14"/>
  <c r="V969" i="14"/>
  <c r="M969" i="14"/>
  <c r="AB969" i="14"/>
  <c r="N527" i="14"/>
  <c r="V527" i="14"/>
  <c r="AC527" i="14"/>
  <c r="AB527" i="14"/>
  <c r="M527" i="14"/>
  <c r="S527" i="14"/>
  <c r="C73" i="17"/>
  <c r="D73" i="17"/>
  <c r="Y527" i="14"/>
  <c r="M525" i="14"/>
  <c r="C71" i="17"/>
  <c r="S715" i="14"/>
  <c r="N715" i="14"/>
  <c r="M715" i="14"/>
  <c r="V715" i="14"/>
  <c r="AB715" i="14"/>
  <c r="AC715" i="14"/>
  <c r="Y715" i="14"/>
  <c r="C261" i="17"/>
  <c r="D261" i="17"/>
  <c r="V1356" i="14"/>
  <c r="Y1356" i="14"/>
  <c r="S1356" i="14"/>
  <c r="AC1356" i="14"/>
  <c r="AB1356" i="14"/>
  <c r="N1356" i="14"/>
  <c r="M1356" i="14"/>
  <c r="AC1344" i="14"/>
  <c r="AB1344" i="14"/>
  <c r="S1344" i="14"/>
  <c r="Y1344" i="14"/>
  <c r="M1344" i="14"/>
  <c r="N1344" i="14"/>
  <c r="V1344" i="14"/>
  <c r="V1412" i="14"/>
  <c r="S1412" i="14"/>
  <c r="AB1412" i="14"/>
  <c r="AC1412" i="14"/>
  <c r="M1412" i="14"/>
  <c r="N1412" i="14"/>
  <c r="Y1412" i="14"/>
  <c r="M771" i="14"/>
  <c r="C317" i="17"/>
  <c r="N1094" i="14"/>
  <c r="AB1094" i="14"/>
  <c r="Y1094" i="14"/>
  <c r="M1094" i="14"/>
  <c r="V1094" i="14"/>
  <c r="AC1094" i="14"/>
  <c r="S1094" i="14"/>
  <c r="C319" i="17"/>
  <c r="AC773" i="14"/>
  <c r="Y773" i="14"/>
  <c r="V773" i="14"/>
  <c r="S773" i="14"/>
  <c r="N773" i="14"/>
  <c r="AB773" i="14"/>
  <c r="M773" i="14"/>
  <c r="C4" i="17"/>
  <c r="M458" i="14"/>
  <c r="AB1056" i="14"/>
  <c r="AC1056" i="14"/>
  <c r="M1056" i="14"/>
  <c r="Y1056" i="14"/>
  <c r="S1056" i="14"/>
  <c r="V1056" i="14"/>
  <c r="N1056" i="14"/>
  <c r="M1059" i="14"/>
  <c r="Y1059" i="14"/>
  <c r="AB1059" i="14"/>
  <c r="AC1059" i="14"/>
  <c r="N1059" i="14"/>
  <c r="S1059" i="14"/>
  <c r="V1059" i="14"/>
  <c r="AC739" i="14"/>
  <c r="V739" i="14"/>
  <c r="S739" i="14"/>
  <c r="M739" i="14"/>
  <c r="N739" i="14"/>
  <c r="AB739" i="14"/>
  <c r="C285" i="17"/>
  <c r="Y739" i="14"/>
  <c r="C119" i="17"/>
  <c r="M573" i="14"/>
  <c r="M575" i="14"/>
  <c r="C121" i="17"/>
  <c r="AC1417" i="14"/>
  <c r="N1417" i="14"/>
  <c r="S1417" i="14"/>
  <c r="V1417" i="14"/>
  <c r="AB1417" i="14"/>
  <c r="M1417" i="14"/>
  <c r="Y1417" i="14"/>
  <c r="S1419" i="14"/>
  <c r="AC1419" i="14"/>
  <c r="AB1419" i="14"/>
  <c r="N1419" i="14"/>
  <c r="Y1419" i="14"/>
  <c r="V1419" i="14"/>
  <c r="M1419" i="14"/>
  <c r="M782" i="14"/>
  <c r="C328" i="17"/>
  <c r="AC782" i="14"/>
  <c r="AB782" i="14"/>
  <c r="S782" i="14"/>
  <c r="Y782" i="14"/>
  <c r="V782" i="14"/>
  <c r="N782" i="14"/>
  <c r="AC780" i="14"/>
  <c r="M780" i="14"/>
  <c r="N780" i="14"/>
  <c r="C326" i="17"/>
  <c r="D326" i="17"/>
  <c r="S780" i="14"/>
  <c r="Y780" i="14"/>
  <c r="AB780" i="14"/>
  <c r="V780" i="14"/>
  <c r="AB1096" i="14"/>
  <c r="N1096" i="14"/>
  <c r="AC1096" i="14"/>
  <c r="M1096" i="14"/>
  <c r="V1096" i="14"/>
  <c r="S1096" i="14"/>
  <c r="Y1096" i="14"/>
  <c r="Y777" i="14"/>
  <c r="M777" i="14"/>
  <c r="V777" i="14"/>
  <c r="C323" i="17"/>
  <c r="D323" i="17"/>
  <c r="S777" i="14"/>
  <c r="N777" i="14"/>
  <c r="AB777" i="14"/>
  <c r="AC777" i="14"/>
  <c r="AC1468" i="14"/>
  <c r="M1468" i="14"/>
  <c r="Y1468" i="14"/>
  <c r="S1468" i="14"/>
  <c r="AB1468" i="14"/>
  <c r="V1468" i="14"/>
  <c r="N1468" i="14"/>
  <c r="AB823" i="14"/>
  <c r="V823" i="14"/>
  <c r="S823" i="14"/>
  <c r="C369" i="17"/>
  <c r="AC823" i="14"/>
  <c r="N823" i="14"/>
  <c r="Y823" i="14"/>
  <c r="M823" i="14"/>
  <c r="C447" i="17"/>
  <c r="M901" i="14"/>
  <c r="C169" i="17"/>
  <c r="M623" i="14"/>
  <c r="AB621" i="14"/>
  <c r="Y621" i="14"/>
  <c r="N621" i="14"/>
  <c r="C167" i="17"/>
  <c r="M621" i="14"/>
  <c r="S621" i="14"/>
  <c r="AC621" i="14"/>
  <c r="V621" i="14"/>
  <c r="AB1263" i="14"/>
  <c r="Y1263" i="14"/>
  <c r="AC1263" i="14"/>
  <c r="S1263" i="14"/>
  <c r="V1263" i="14"/>
  <c r="N1263" i="14"/>
  <c r="M1263" i="14"/>
  <c r="AB1003" i="14"/>
  <c r="Y1003" i="14"/>
  <c r="S1003" i="14"/>
  <c r="AC1003" i="14"/>
  <c r="N1003" i="14"/>
  <c r="V1003" i="14"/>
  <c r="M1003" i="14"/>
  <c r="L244" i="14"/>
  <c r="L245" i="14"/>
  <c r="M245" i="14"/>
  <c r="L243" i="14"/>
  <c r="M243" i="14"/>
  <c r="L246" i="14"/>
  <c r="L55" i="14"/>
  <c r="M55" i="14"/>
  <c r="L57" i="14"/>
  <c r="L56" i="14"/>
  <c r="L58" i="14"/>
  <c r="M58" i="14"/>
  <c r="L59" i="14"/>
  <c r="N1258" i="14"/>
  <c r="Y1258" i="14"/>
  <c r="AC1258" i="14"/>
  <c r="M1258" i="14"/>
  <c r="AB1258" i="14"/>
  <c r="S1258" i="14"/>
  <c r="V1258" i="14"/>
  <c r="AC616" i="14"/>
  <c r="AB616" i="14"/>
  <c r="V616" i="14"/>
  <c r="Y616" i="14"/>
  <c r="M616" i="14"/>
  <c r="S616" i="14"/>
  <c r="C162" i="17"/>
  <c r="N616" i="14"/>
  <c r="C132" i="17"/>
  <c r="M586" i="14"/>
  <c r="C146" i="17"/>
  <c r="S600" i="14"/>
  <c r="Y600" i="14"/>
  <c r="N600" i="14"/>
  <c r="V600" i="14"/>
  <c r="AB600" i="14"/>
  <c r="AC600" i="14"/>
  <c r="M600" i="14"/>
  <c r="M602" i="14"/>
  <c r="C148" i="17"/>
  <c r="Y615" i="14"/>
  <c r="AC615" i="14"/>
  <c r="N615" i="14"/>
  <c r="V615" i="14"/>
  <c r="S615" i="14"/>
  <c r="AB615" i="14"/>
  <c r="M615" i="14"/>
  <c r="C161" i="17"/>
  <c r="M610" i="14"/>
  <c r="C156" i="17"/>
  <c r="Y1245" i="14"/>
  <c r="AC1245" i="14"/>
  <c r="V1245" i="14"/>
  <c r="M1245" i="14"/>
  <c r="S1245" i="14"/>
  <c r="N1245" i="14"/>
  <c r="AB1245" i="14"/>
  <c r="AC1251" i="14"/>
  <c r="S1251" i="14"/>
  <c r="N1251" i="14"/>
  <c r="Y1251" i="14"/>
  <c r="AB1251" i="14"/>
  <c r="M1251" i="14"/>
  <c r="V1251" i="14"/>
  <c r="AB598" i="14"/>
  <c r="M598" i="14"/>
  <c r="C144" i="17"/>
  <c r="S598" i="14"/>
  <c r="V598" i="14"/>
  <c r="AC598" i="14"/>
  <c r="N598" i="14"/>
  <c r="Y598" i="14"/>
  <c r="Y603" i="14"/>
  <c r="AC603" i="14"/>
  <c r="N603" i="14"/>
  <c r="AB603" i="14"/>
  <c r="V603" i="14"/>
  <c r="S603" i="14"/>
  <c r="M603" i="14"/>
  <c r="C149" i="17"/>
  <c r="D149" i="17"/>
  <c r="S596" i="14"/>
  <c r="AC596" i="14"/>
  <c r="V596" i="14"/>
  <c r="AB596" i="14"/>
  <c r="N596" i="14"/>
  <c r="C142" i="17"/>
  <c r="D142" i="17"/>
  <c r="M596" i="14"/>
  <c r="Y596" i="14"/>
  <c r="Y1000" i="14"/>
  <c r="AC1000" i="14"/>
  <c r="S1000" i="14"/>
  <c r="M1000" i="14"/>
  <c r="V1000" i="14"/>
  <c r="N1000" i="14"/>
  <c r="AB1000" i="14"/>
  <c r="AC589" i="14"/>
  <c r="Y589" i="14"/>
  <c r="AB589" i="14"/>
  <c r="C135" i="17"/>
  <c r="M589" i="14"/>
  <c r="V589" i="14"/>
  <c r="S589" i="14"/>
  <c r="N589" i="14"/>
  <c r="C147" i="17"/>
  <c r="D147" i="17"/>
  <c r="N601" i="14"/>
  <c r="V601" i="14"/>
  <c r="AC601" i="14"/>
  <c r="S601" i="14"/>
  <c r="AB601" i="14"/>
  <c r="M601" i="14"/>
  <c r="Y601" i="14"/>
  <c r="C307" i="17"/>
  <c r="M761" i="14"/>
  <c r="M767" i="14"/>
  <c r="C313" i="17"/>
  <c r="Y1081" i="14"/>
  <c r="M1081" i="14"/>
  <c r="V1081" i="14"/>
  <c r="AB1081" i="14"/>
  <c r="N1081" i="14"/>
  <c r="AC1081" i="14"/>
  <c r="S1081" i="14"/>
  <c r="N765" i="14"/>
  <c r="S765" i="14"/>
  <c r="V765" i="14"/>
  <c r="Y765" i="14"/>
  <c r="AB765" i="14"/>
  <c r="AC765" i="14"/>
  <c r="C311" i="17"/>
  <c r="D311" i="17"/>
  <c r="M765" i="14"/>
  <c r="V1078" i="14"/>
  <c r="AC1078" i="14"/>
  <c r="Y1078" i="14"/>
  <c r="S1078" i="14"/>
  <c r="N1078" i="14"/>
  <c r="M1078" i="14"/>
  <c r="AB1078" i="14"/>
  <c r="N1088" i="14"/>
  <c r="S1088" i="14"/>
  <c r="AC1088" i="14"/>
  <c r="M1088" i="14"/>
  <c r="Y1088" i="14"/>
  <c r="AB1088" i="14"/>
  <c r="V1088" i="14"/>
  <c r="C310" i="17"/>
  <c r="M764" i="14"/>
  <c r="Y73" i="14"/>
  <c r="V73" i="14"/>
  <c r="AB73" i="14"/>
  <c r="N73" i="14"/>
  <c r="S73" i="14"/>
  <c r="AC73" i="14"/>
  <c r="M73" i="14"/>
  <c r="C401" i="17"/>
  <c r="D401" i="17"/>
  <c r="AC855" i="14"/>
  <c r="Y855" i="14"/>
  <c r="AB855" i="14"/>
  <c r="M855" i="14"/>
  <c r="V855" i="14"/>
  <c r="N855" i="14"/>
  <c r="S855" i="14"/>
  <c r="AB851" i="14"/>
  <c r="AC851" i="14"/>
  <c r="S851" i="14"/>
  <c r="N851" i="14"/>
  <c r="V851" i="14"/>
  <c r="Y851" i="14"/>
  <c r="C397" i="17"/>
  <c r="D397" i="17"/>
  <c r="M851" i="14"/>
  <c r="N863" i="14"/>
  <c r="AB863" i="14"/>
  <c r="V863" i="14"/>
  <c r="C409" i="17"/>
  <c r="M863" i="14"/>
  <c r="AC863" i="14"/>
  <c r="Y863" i="14"/>
  <c r="S863" i="14"/>
  <c r="S857" i="14"/>
  <c r="N857" i="14"/>
  <c r="V857" i="14"/>
  <c r="M857" i="14"/>
  <c r="AC857" i="14"/>
  <c r="Y857" i="14"/>
  <c r="AB857" i="14"/>
  <c r="C403" i="17"/>
  <c r="S868" i="14"/>
  <c r="V868" i="14"/>
  <c r="AC868" i="14"/>
  <c r="Y868" i="14"/>
  <c r="N868" i="14"/>
  <c r="AB868" i="14"/>
  <c r="C414" i="17"/>
  <c r="M868" i="14"/>
  <c r="Y862" i="14"/>
  <c r="V862" i="14"/>
  <c r="M862" i="14"/>
  <c r="AB862" i="14"/>
  <c r="N862" i="14"/>
  <c r="S862" i="14"/>
  <c r="C408" i="17"/>
  <c r="D408" i="17"/>
  <c r="AC862" i="14"/>
  <c r="S1042" i="14"/>
  <c r="V1042" i="14"/>
  <c r="N1042" i="14"/>
  <c r="AC1042" i="14"/>
  <c r="Y1042" i="14"/>
  <c r="M1042" i="14"/>
  <c r="AB1042" i="14"/>
  <c r="AC874" i="14"/>
  <c r="M874" i="14"/>
  <c r="S874" i="14"/>
  <c r="C420" i="17"/>
  <c r="V874" i="14"/>
  <c r="N874" i="14"/>
  <c r="AB874" i="14"/>
  <c r="Y874" i="14"/>
  <c r="AC878" i="14"/>
  <c r="C424" i="17"/>
  <c r="D424" i="17"/>
  <c r="Y878" i="14"/>
  <c r="N878" i="14"/>
  <c r="S878" i="14"/>
  <c r="M878" i="14"/>
  <c r="V878" i="14"/>
  <c r="AB878" i="14"/>
  <c r="AC880" i="14"/>
  <c r="Y880" i="14"/>
  <c r="C426" i="17"/>
  <c r="N880" i="14"/>
  <c r="S880" i="14"/>
  <c r="M880" i="14"/>
  <c r="AB880" i="14"/>
  <c r="V880" i="14"/>
  <c r="AB888" i="14"/>
  <c r="C434" i="17"/>
  <c r="N888" i="14"/>
  <c r="M888" i="14"/>
  <c r="V888" i="14"/>
  <c r="S888" i="14"/>
  <c r="AC888" i="14"/>
  <c r="Y888" i="14"/>
  <c r="AC893" i="14"/>
  <c r="AB893" i="14"/>
  <c r="Y893" i="14"/>
  <c r="C439" i="17"/>
  <c r="D439" i="17"/>
  <c r="V893" i="14"/>
  <c r="N893" i="14"/>
  <c r="S893" i="14"/>
  <c r="M893" i="14"/>
  <c r="M883" i="14"/>
  <c r="S883" i="14"/>
  <c r="C429" i="17"/>
  <c r="D429" i="17"/>
  <c r="AC883" i="14"/>
  <c r="Y883" i="14"/>
  <c r="AB883" i="14"/>
  <c r="V883" i="14"/>
  <c r="N883" i="14"/>
  <c r="M1120" i="14"/>
  <c r="AB1120" i="14"/>
  <c r="V1120" i="14"/>
  <c r="Y1120" i="14"/>
  <c r="AC1120" i="14"/>
  <c r="N1120" i="14"/>
  <c r="S1120" i="14"/>
  <c r="Y929" i="14"/>
  <c r="M929" i="14"/>
  <c r="N929" i="14"/>
  <c r="AB929" i="14"/>
  <c r="S929" i="14"/>
  <c r="V929" i="14"/>
  <c r="AC929" i="14"/>
  <c r="AC933" i="14"/>
  <c r="V933" i="14"/>
  <c r="S933" i="14"/>
  <c r="Y933" i="14"/>
  <c r="N933" i="14"/>
  <c r="AB933" i="14"/>
  <c r="M933" i="14"/>
  <c r="M916" i="14"/>
  <c r="C462" i="17"/>
  <c r="M1385" i="14"/>
  <c r="AC1385" i="14"/>
  <c r="N1385" i="14"/>
  <c r="Y1385" i="14"/>
  <c r="V1385" i="14"/>
  <c r="AB1385" i="14"/>
  <c r="S1385" i="14"/>
  <c r="C230" i="17"/>
  <c r="M684" i="14"/>
  <c r="M731" i="14"/>
  <c r="C277" i="17"/>
  <c r="C237" i="17"/>
  <c r="M691" i="14"/>
  <c r="M1338" i="14"/>
  <c r="S1338" i="14"/>
  <c r="V1338" i="14"/>
  <c r="AC1338" i="14"/>
  <c r="N1338" i="14"/>
  <c r="Y1338" i="14"/>
  <c r="AB1338" i="14"/>
  <c r="L33" i="14"/>
  <c r="L34" i="14"/>
  <c r="M34" i="14"/>
  <c r="L32" i="14"/>
  <c r="M32" i="14"/>
  <c r="L344" i="14"/>
  <c r="M344" i="14"/>
  <c r="L347" i="14"/>
  <c r="L337" i="14"/>
  <c r="M337" i="14"/>
  <c r="L346" i="14"/>
  <c r="L339" i="14"/>
  <c r="L340" i="14"/>
  <c r="M340" i="14"/>
  <c r="L343" i="14"/>
  <c r="L345" i="14"/>
  <c r="L341" i="14"/>
  <c r="L338" i="14"/>
  <c r="L342" i="14"/>
  <c r="M342" i="14"/>
  <c r="Y1299" i="14"/>
  <c r="M1299" i="14"/>
  <c r="N1299" i="14"/>
  <c r="AB1299" i="14"/>
  <c r="V1299" i="14"/>
  <c r="AC1299" i="14"/>
  <c r="S1299" i="14"/>
  <c r="N1296" i="14"/>
  <c r="Y1296" i="14"/>
  <c r="S1296" i="14"/>
  <c r="AC1296" i="14"/>
  <c r="M1296" i="14"/>
  <c r="V1296" i="14"/>
  <c r="AB1296" i="14"/>
  <c r="V1298" i="14"/>
  <c r="Y1298" i="14"/>
  <c r="N1298" i="14"/>
  <c r="M1298" i="14"/>
  <c r="AB1298" i="14"/>
  <c r="S1298" i="14"/>
  <c r="AC1298" i="14"/>
  <c r="M664" i="14"/>
  <c r="C210" i="17"/>
  <c r="S1290" i="14"/>
  <c r="Y1290" i="14"/>
  <c r="AC1290" i="14"/>
  <c r="M1290" i="14"/>
  <c r="V1290" i="14"/>
  <c r="N1290" i="14"/>
  <c r="AB1290" i="14"/>
  <c r="M657" i="14"/>
  <c r="C203" i="17"/>
  <c r="S1312" i="14"/>
  <c r="Y1312" i="14"/>
  <c r="AC1312" i="14"/>
  <c r="N1312" i="14"/>
  <c r="M1312" i="14"/>
  <c r="V1312" i="14"/>
  <c r="AB1312" i="14"/>
  <c r="Y646" i="14"/>
  <c r="AC646" i="14"/>
  <c r="S646" i="14"/>
  <c r="AB646" i="14"/>
  <c r="N646" i="14"/>
  <c r="M646" i="14"/>
  <c r="C192" i="17"/>
  <c r="V646" i="14"/>
  <c r="M658" i="14"/>
  <c r="AB658" i="14"/>
  <c r="V658" i="14"/>
  <c r="AC658" i="14"/>
  <c r="C204" i="17"/>
  <c r="S658" i="14"/>
  <c r="Y658" i="14"/>
  <c r="N658" i="14"/>
  <c r="AC1024" i="14"/>
  <c r="V1024" i="14"/>
  <c r="S1024" i="14"/>
  <c r="M1024" i="14"/>
  <c r="Y1024" i="14"/>
  <c r="AB1024" i="14"/>
  <c r="N1024" i="14"/>
  <c r="M652" i="14"/>
  <c r="C198" i="17"/>
  <c r="C207" i="17"/>
  <c r="D207" i="17"/>
  <c r="M661" i="14"/>
  <c r="V661" i="14"/>
  <c r="AB661" i="14"/>
  <c r="N661" i="14"/>
  <c r="AC661" i="14"/>
  <c r="S661" i="14"/>
  <c r="Y661" i="14"/>
  <c r="N1292" i="14"/>
  <c r="AB1292" i="14"/>
  <c r="AC1292" i="14"/>
  <c r="S1292" i="14"/>
  <c r="V1292" i="14"/>
  <c r="Y1292" i="14"/>
  <c r="M1292" i="14"/>
  <c r="V659" i="14"/>
  <c r="S659" i="14"/>
  <c r="AC659" i="14"/>
  <c r="M659" i="14"/>
  <c r="AB659" i="14"/>
  <c r="C205" i="17"/>
  <c r="D205" i="17"/>
  <c r="N659" i="14"/>
  <c r="Y659" i="14"/>
  <c r="L54" i="14"/>
  <c r="L53" i="14"/>
  <c r="L52" i="14"/>
  <c r="M52" i="14"/>
  <c r="L385" i="14"/>
  <c r="L382" i="14"/>
  <c r="L384" i="14"/>
  <c r="L383" i="14"/>
  <c r="L381" i="14"/>
  <c r="M381" i="14"/>
  <c r="L62" i="14"/>
  <c r="M62" i="14"/>
  <c r="L63" i="14"/>
  <c r="AX172" i="3"/>
  <c r="G167" i="1"/>
  <c r="S514" i="14"/>
  <c r="M514" i="14"/>
  <c r="N514" i="14"/>
  <c r="AB514" i="14"/>
  <c r="Y514" i="14"/>
  <c r="AC514" i="14"/>
  <c r="C60" i="17"/>
  <c r="V514" i="14"/>
  <c r="G144" i="1"/>
  <c r="AX148" i="3"/>
  <c r="G101" i="1"/>
  <c r="AX108" i="3"/>
  <c r="V832" i="14"/>
  <c r="Y832" i="14"/>
  <c r="S832" i="14"/>
  <c r="M832" i="14"/>
  <c r="AC832" i="14"/>
  <c r="N832" i="14"/>
  <c r="AB832" i="14"/>
  <c r="C378" i="17"/>
  <c r="D378" i="17"/>
  <c r="M827" i="14"/>
  <c r="AC827" i="14"/>
  <c r="S827" i="14"/>
  <c r="C373" i="17"/>
  <c r="D373" i="17"/>
  <c r="N827" i="14"/>
  <c r="V827" i="14"/>
  <c r="Y827" i="14"/>
  <c r="AB827" i="14"/>
  <c r="M844" i="14"/>
  <c r="C390" i="17"/>
  <c r="Y833" i="14"/>
  <c r="AB833" i="14"/>
  <c r="AC833" i="14"/>
  <c r="V833" i="14"/>
  <c r="S833" i="14"/>
  <c r="N833" i="14"/>
  <c r="M833" i="14"/>
  <c r="C379" i="17"/>
  <c r="D379" i="17"/>
  <c r="Y839" i="14"/>
  <c r="AB839" i="14"/>
  <c r="AC839" i="14"/>
  <c r="C385" i="17"/>
  <c r="D385" i="17"/>
  <c r="V839" i="14"/>
  <c r="N839" i="14"/>
  <c r="S839" i="14"/>
  <c r="M839" i="14"/>
  <c r="M842" i="14"/>
  <c r="C388" i="17"/>
  <c r="AB845" i="14"/>
  <c r="C391" i="17"/>
  <c r="D391" i="17"/>
  <c r="V845" i="14"/>
  <c r="S845" i="14"/>
  <c r="Y845" i="14"/>
  <c r="AC845" i="14"/>
  <c r="N845" i="14"/>
  <c r="M845" i="14"/>
  <c r="L1173" i="14"/>
  <c r="L520" i="14"/>
  <c r="L519" i="14"/>
  <c r="L1174" i="14"/>
  <c r="M1174" i="14"/>
  <c r="L1172" i="14"/>
  <c r="M1172" i="14"/>
  <c r="L968" i="14"/>
  <c r="L515" i="14"/>
  <c r="L516" i="14"/>
  <c r="L1171" i="14"/>
  <c r="L518" i="14"/>
  <c r="L1170" i="14"/>
  <c r="L522" i="14"/>
  <c r="L517" i="14"/>
  <c r="L521" i="14"/>
  <c r="L1169" i="14"/>
  <c r="L967" i="14"/>
  <c r="L966" i="14"/>
  <c r="L1168" i="14"/>
  <c r="M1168" i="14"/>
  <c r="S737" i="14"/>
  <c r="V737" i="14"/>
  <c r="AC737" i="14"/>
  <c r="C283" i="17"/>
  <c r="D283" i="17"/>
  <c r="AB737" i="14"/>
  <c r="Y737" i="14"/>
  <c r="N737" i="14"/>
  <c r="M737" i="14"/>
  <c r="C17" i="17"/>
  <c r="M471" i="14"/>
  <c r="S1444" i="14"/>
  <c r="AC1444" i="14"/>
  <c r="N1444" i="14"/>
  <c r="M1444" i="14"/>
  <c r="V1444" i="14"/>
  <c r="Y1444" i="14"/>
  <c r="AB1444" i="14"/>
  <c r="C342" i="17"/>
  <c r="M796" i="14"/>
  <c r="V1110" i="14"/>
  <c r="N1110" i="14"/>
  <c r="AB1110" i="14"/>
  <c r="S1110" i="14"/>
  <c r="Y1110" i="14"/>
  <c r="M1110" i="14"/>
  <c r="AC1110" i="14"/>
  <c r="S1440" i="14"/>
  <c r="Y1440" i="14"/>
  <c r="N1440" i="14"/>
  <c r="AC1440" i="14"/>
  <c r="M1440" i="14"/>
  <c r="V1440" i="14"/>
  <c r="AB1440" i="14"/>
  <c r="Y1061" i="14"/>
  <c r="V1061" i="14"/>
  <c r="AC1061" i="14"/>
  <c r="M1061" i="14"/>
  <c r="N1061" i="14"/>
  <c r="S1061" i="14"/>
  <c r="AB1061" i="14"/>
  <c r="G16" i="1"/>
  <c r="AX25" i="3"/>
  <c r="L309" i="14"/>
  <c r="L308" i="14"/>
  <c r="C47" i="17"/>
  <c r="M501" i="14"/>
  <c r="AC305" i="14"/>
  <c r="N305" i="14"/>
  <c r="S305" i="14"/>
  <c r="Y305" i="14"/>
  <c r="AB305" i="14"/>
  <c r="M305" i="14"/>
  <c r="V305" i="14"/>
  <c r="M258" i="14"/>
  <c r="AB258" i="14"/>
  <c r="AC258" i="14"/>
  <c r="S258" i="14"/>
  <c r="Y258" i="14"/>
  <c r="N258" i="14"/>
  <c r="V258" i="14"/>
  <c r="L252" i="14"/>
  <c r="M252" i="14"/>
  <c r="L250" i="14"/>
  <c r="L251" i="14"/>
  <c r="M251" i="14"/>
  <c r="L249" i="14"/>
  <c r="M249" i="14"/>
  <c r="L132" i="14"/>
  <c r="L119" i="14"/>
  <c r="M119" i="14"/>
  <c r="L120" i="14"/>
  <c r="L130" i="14"/>
  <c r="L123" i="14"/>
  <c r="M123" i="14"/>
  <c r="L129" i="14"/>
  <c r="L121" i="14"/>
  <c r="M121" i="14"/>
  <c r="L128" i="14"/>
  <c r="M128" i="14"/>
  <c r="L122" i="14"/>
  <c r="L125" i="14"/>
  <c r="M125" i="14"/>
  <c r="L126" i="14"/>
  <c r="L124" i="14"/>
  <c r="L131" i="14"/>
  <c r="M131" i="14"/>
  <c r="L133" i="14"/>
  <c r="L127" i="14"/>
  <c r="N1187" i="14"/>
  <c r="V1187" i="14"/>
  <c r="Y1187" i="14"/>
  <c r="AC1187" i="14"/>
  <c r="M1187" i="14"/>
  <c r="AB1187" i="14"/>
  <c r="S1187" i="14"/>
  <c r="C76" i="17"/>
  <c r="M530" i="14"/>
  <c r="C81" i="17"/>
  <c r="M535" i="14"/>
  <c r="N542" i="14"/>
  <c r="V542" i="14"/>
  <c r="AB542" i="14"/>
  <c r="AC542" i="14"/>
  <c r="M542" i="14"/>
  <c r="S542" i="14"/>
  <c r="C88" i="17"/>
  <c r="Y542" i="14"/>
  <c r="V534" i="14"/>
  <c r="M534" i="14"/>
  <c r="AB534" i="14"/>
  <c r="S534" i="14"/>
  <c r="AC534" i="14"/>
  <c r="Y534" i="14"/>
  <c r="N534" i="14"/>
  <c r="C80" i="17"/>
  <c r="C84" i="17"/>
  <c r="D84" i="17"/>
  <c r="N538" i="14"/>
  <c r="Y538" i="14"/>
  <c r="AC538" i="14"/>
  <c r="AB538" i="14"/>
  <c r="S538" i="14"/>
  <c r="V538" i="14"/>
  <c r="M538" i="14"/>
  <c r="C89" i="17"/>
  <c r="M543" i="14"/>
  <c r="M1162" i="14"/>
  <c r="V1162" i="14"/>
  <c r="AC1162" i="14"/>
  <c r="N1162" i="14"/>
  <c r="AB1162" i="14"/>
  <c r="Y1162" i="14"/>
  <c r="S1162" i="14"/>
  <c r="M504" i="14"/>
  <c r="C50" i="17"/>
  <c r="V507" i="14"/>
  <c r="Y507" i="14"/>
  <c r="C53" i="17"/>
  <c r="N507" i="14"/>
  <c r="AB507" i="14"/>
  <c r="AC507" i="14"/>
  <c r="M507" i="14"/>
  <c r="S507" i="14"/>
  <c r="AC508" i="14"/>
  <c r="C54" i="17"/>
  <c r="Y508" i="14"/>
  <c r="M508" i="14"/>
  <c r="V508" i="14"/>
  <c r="S508" i="14"/>
  <c r="N508" i="14"/>
  <c r="AB508" i="14"/>
  <c r="M486" i="14"/>
  <c r="C32" i="17"/>
  <c r="M483" i="14"/>
  <c r="C29" i="17"/>
  <c r="C25" i="17"/>
  <c r="M479" i="14"/>
  <c r="M1136" i="14"/>
  <c r="AC1136" i="14"/>
  <c r="V1136" i="14"/>
  <c r="N1136" i="14"/>
  <c r="S1136" i="14"/>
  <c r="AB1136" i="14"/>
  <c r="Y1136" i="14"/>
  <c r="M686" i="14"/>
  <c r="C232" i="17"/>
  <c r="AB1329" i="14"/>
  <c r="Y1329" i="14"/>
  <c r="AC1329" i="14"/>
  <c r="M1329" i="14"/>
  <c r="N1329" i="14"/>
  <c r="V1329" i="14"/>
  <c r="S1329" i="14"/>
  <c r="AC694" i="14"/>
  <c r="N694" i="14"/>
  <c r="S694" i="14"/>
  <c r="V694" i="14"/>
  <c r="C240" i="17"/>
  <c r="D240" i="17"/>
  <c r="AB694" i="14"/>
  <c r="M694" i="14"/>
  <c r="Y694" i="14"/>
  <c r="AC1336" i="14"/>
  <c r="AB1336" i="14"/>
  <c r="Y1336" i="14"/>
  <c r="M1336" i="14"/>
  <c r="N1336" i="14"/>
  <c r="S1336" i="14"/>
  <c r="V1336" i="14"/>
  <c r="M678" i="14"/>
  <c r="C224" i="17"/>
  <c r="G62" i="1"/>
  <c r="G63" i="1"/>
  <c r="AX73" i="3"/>
  <c r="AI73" i="3"/>
  <c r="AC1469" i="14"/>
  <c r="AB1469" i="14"/>
  <c r="M1469" i="14"/>
  <c r="N1469" i="14"/>
  <c r="S1469" i="14"/>
  <c r="V1469" i="14"/>
  <c r="Y1469" i="14"/>
  <c r="AB974" i="14"/>
  <c r="S974" i="14"/>
  <c r="Y974" i="14"/>
  <c r="V974" i="14"/>
  <c r="M974" i="14"/>
  <c r="N974" i="14"/>
  <c r="AC974" i="14"/>
  <c r="C99" i="17"/>
  <c r="M553" i="14"/>
  <c r="L1033" i="14"/>
  <c r="M1033" i="14"/>
  <c r="L674" i="14"/>
  <c r="L1317" i="14"/>
  <c r="M1317" i="14"/>
  <c r="M1200" i="14"/>
  <c r="S1200" i="14"/>
  <c r="AC1200" i="14"/>
  <c r="V1200" i="14"/>
  <c r="AB1200" i="14"/>
  <c r="Y1200" i="14"/>
  <c r="N1200" i="14"/>
  <c r="N546" i="14"/>
  <c r="S546" i="14"/>
  <c r="Y546" i="14"/>
  <c r="V546" i="14"/>
  <c r="AB546" i="14"/>
  <c r="C92" i="17"/>
  <c r="D92" i="17"/>
  <c r="M546" i="14"/>
  <c r="AC546" i="14"/>
  <c r="G80" i="1"/>
  <c r="AX87" i="3"/>
  <c r="Y1213" i="14"/>
  <c r="AB1213" i="14"/>
  <c r="M1213" i="14"/>
  <c r="AC1213" i="14"/>
  <c r="V1213" i="14"/>
  <c r="N1213" i="14"/>
  <c r="S1213" i="14"/>
  <c r="V559" i="14"/>
  <c r="AC559" i="14"/>
  <c r="Y559" i="14"/>
  <c r="S559" i="14"/>
  <c r="M559" i="14"/>
  <c r="AB559" i="14"/>
  <c r="N559" i="14"/>
  <c r="C105" i="17"/>
  <c r="M558" i="14"/>
  <c r="C104" i="17"/>
  <c r="C113" i="17"/>
  <c r="M567" i="14"/>
  <c r="M570" i="14"/>
  <c r="C116" i="17"/>
  <c r="C106" i="17"/>
  <c r="M560" i="14"/>
  <c r="C108" i="17"/>
  <c r="M562" i="14"/>
  <c r="Y1065" i="14"/>
  <c r="AC1065" i="14"/>
  <c r="M1065" i="14"/>
  <c r="N1065" i="14"/>
  <c r="S1065" i="14"/>
  <c r="AB1065" i="14"/>
  <c r="V1065" i="14"/>
  <c r="C293" i="17"/>
  <c r="M747" i="14"/>
  <c r="AC747" i="14"/>
  <c r="N747" i="14"/>
  <c r="V747" i="14"/>
  <c r="AB747" i="14"/>
  <c r="Y747" i="14"/>
  <c r="S747" i="14"/>
  <c r="N64" i="14"/>
  <c r="Y64" i="14"/>
  <c r="S64" i="14"/>
  <c r="AB64" i="14"/>
  <c r="M64" i="14"/>
  <c r="AC64" i="14"/>
  <c r="V64" i="14"/>
  <c r="C274" i="17"/>
  <c r="M728" i="14"/>
  <c r="L301" i="14"/>
  <c r="L299" i="14"/>
  <c r="L300" i="14"/>
  <c r="L66" i="14"/>
  <c r="L65" i="14"/>
  <c r="M65" i="14"/>
  <c r="L67" i="14"/>
  <c r="M67" i="14"/>
  <c r="L68" i="14"/>
  <c r="L69" i="14"/>
  <c r="L70" i="14"/>
  <c r="AX109" i="3"/>
  <c r="G102" i="1"/>
  <c r="L275" i="14"/>
  <c r="M275" i="14"/>
  <c r="L902" i="14"/>
  <c r="L809" i="14"/>
  <c r="L816" i="14"/>
  <c r="L812" i="14"/>
  <c r="L811" i="14"/>
  <c r="L1447" i="14"/>
  <c r="M1447" i="14"/>
  <c r="L1456" i="14"/>
  <c r="M1456" i="14"/>
  <c r="L1457" i="14"/>
  <c r="L1450" i="14"/>
  <c r="L807" i="14"/>
  <c r="L813" i="14"/>
  <c r="L1463" i="14"/>
  <c r="L1452" i="14"/>
  <c r="L1113" i="14"/>
  <c r="L806" i="14"/>
  <c r="L1458" i="14"/>
  <c r="L903" i="14"/>
  <c r="L808" i="14"/>
  <c r="L1462" i="14"/>
  <c r="M1462" i="14"/>
  <c r="L817" i="14"/>
  <c r="L815" i="14"/>
  <c r="L814" i="14"/>
  <c r="L1112" i="14"/>
  <c r="M1112" i="14"/>
  <c r="L1448" i="14"/>
  <c r="L1461" i="14"/>
  <c r="M1461" i="14"/>
  <c r="L1460" i="14"/>
  <c r="L805" i="14"/>
  <c r="L1454" i="14"/>
  <c r="L922" i="14"/>
  <c r="L1449" i="14"/>
  <c r="M1449" i="14"/>
  <c r="L1453" i="14"/>
  <c r="M1453" i="14"/>
  <c r="L810" i="14"/>
  <c r="L818" i="14"/>
  <c r="L1451" i="14"/>
  <c r="M1451" i="14"/>
  <c r="L1459" i="14"/>
  <c r="M1459" i="14"/>
  <c r="L1455" i="14"/>
  <c r="M494" i="14"/>
  <c r="C40" i="17"/>
  <c r="N496" i="14"/>
  <c r="C42" i="17"/>
  <c r="D42" i="17"/>
  <c r="V496" i="14"/>
  <c r="S496" i="14"/>
  <c r="AB496" i="14"/>
  <c r="AC496" i="14"/>
  <c r="M496" i="14"/>
  <c r="Y496" i="14"/>
  <c r="AB1178" i="14"/>
  <c r="M1178" i="14"/>
  <c r="S1178" i="14"/>
  <c r="AC1178" i="14"/>
  <c r="Y1178" i="14"/>
  <c r="N1178" i="14"/>
  <c r="V1178" i="14"/>
  <c r="M523" i="14"/>
  <c r="C69" i="17"/>
  <c r="C263" i="17"/>
  <c r="D263" i="17"/>
  <c r="S717" i="14"/>
  <c r="N717" i="14"/>
  <c r="M717" i="14"/>
  <c r="Y717" i="14"/>
  <c r="AB717" i="14"/>
  <c r="AC717" i="14"/>
  <c r="V717" i="14"/>
  <c r="C250" i="17"/>
  <c r="M704" i="14"/>
  <c r="V1091" i="14"/>
  <c r="N1091" i="14"/>
  <c r="Y1091" i="14"/>
  <c r="AB1091" i="14"/>
  <c r="AC1091" i="14"/>
  <c r="M1091" i="14"/>
  <c r="S1091" i="14"/>
  <c r="M774" i="14"/>
  <c r="C320" i="17"/>
  <c r="Y927" i="14"/>
  <c r="AC927" i="14"/>
  <c r="V927" i="14"/>
  <c r="AB927" i="14"/>
  <c r="S927" i="14"/>
  <c r="N927" i="14"/>
  <c r="M927" i="14"/>
  <c r="V457" i="14"/>
  <c r="Y457" i="14"/>
  <c r="AB457" i="14"/>
  <c r="AC457" i="14"/>
  <c r="C3" i="17"/>
  <c r="D3" i="17"/>
  <c r="M457" i="14"/>
  <c r="N457" i="14"/>
  <c r="S457" i="14"/>
  <c r="AB738" i="14"/>
  <c r="Y738" i="14"/>
  <c r="V738" i="14"/>
  <c r="N738" i="14"/>
  <c r="S738" i="14"/>
  <c r="C284" i="17"/>
  <c r="AC738" i="14"/>
  <c r="M738" i="14"/>
  <c r="Y1058" i="14"/>
  <c r="AB1058" i="14"/>
  <c r="N1058" i="14"/>
  <c r="S1058" i="14"/>
  <c r="M1058" i="14"/>
  <c r="V1058" i="14"/>
  <c r="AC1058" i="14"/>
  <c r="V1057" i="14"/>
  <c r="N1057" i="14"/>
  <c r="M1057" i="14"/>
  <c r="Y1057" i="14"/>
  <c r="S1057" i="14"/>
  <c r="AC1057" i="14"/>
  <c r="AB1057" i="14"/>
  <c r="M983" i="14"/>
  <c r="AB983" i="14"/>
  <c r="Y983" i="14"/>
  <c r="AC983" i="14"/>
  <c r="S983" i="14"/>
  <c r="V983" i="14"/>
  <c r="N983" i="14"/>
  <c r="C322" i="17"/>
  <c r="M776" i="14"/>
  <c r="M1100" i="14"/>
  <c r="AB1100" i="14"/>
  <c r="V1100" i="14"/>
  <c r="N1100" i="14"/>
  <c r="AC1100" i="14"/>
  <c r="Y1100" i="14"/>
  <c r="S1100" i="14"/>
  <c r="M781" i="14"/>
  <c r="C327" i="17"/>
  <c r="V1426" i="14"/>
  <c r="AB1426" i="14"/>
  <c r="N1426" i="14"/>
  <c r="S1426" i="14"/>
  <c r="AC1426" i="14"/>
  <c r="M1426" i="14"/>
  <c r="Y1426" i="14"/>
  <c r="N778" i="14"/>
  <c r="V778" i="14"/>
  <c r="C324" i="17"/>
  <c r="D324" i="17"/>
  <c r="Y778" i="14"/>
  <c r="AC778" i="14"/>
  <c r="AB778" i="14"/>
  <c r="M778" i="14"/>
  <c r="S778" i="14"/>
  <c r="N1425" i="14"/>
  <c r="AB1425" i="14"/>
  <c r="Y1425" i="14"/>
  <c r="V1425" i="14"/>
  <c r="AC1425" i="14"/>
  <c r="M1425" i="14"/>
  <c r="S1425" i="14"/>
  <c r="M779" i="14"/>
  <c r="C325" i="17"/>
  <c r="Y1467" i="14"/>
  <c r="AB1467" i="14"/>
  <c r="M1467" i="14"/>
  <c r="N1467" i="14"/>
  <c r="AC1467" i="14"/>
  <c r="V1467" i="14"/>
  <c r="S1467" i="14"/>
  <c r="Y822" i="14"/>
  <c r="M822" i="14"/>
  <c r="AC822" i="14"/>
  <c r="C368" i="17"/>
  <c r="D368" i="17"/>
  <c r="V822" i="14"/>
  <c r="S822" i="14"/>
  <c r="AB822" i="14"/>
  <c r="N822" i="14"/>
  <c r="AC824" i="14"/>
  <c r="N824" i="14"/>
  <c r="AB824" i="14"/>
  <c r="S824" i="14"/>
  <c r="M824" i="14"/>
  <c r="V824" i="14"/>
  <c r="Y824" i="14"/>
  <c r="C370" i="17"/>
  <c r="Y618" i="14"/>
  <c r="N618" i="14"/>
  <c r="M618" i="14"/>
  <c r="V618" i="14"/>
  <c r="AB618" i="14"/>
  <c r="C164" i="17"/>
  <c r="S618" i="14"/>
  <c r="AC618" i="14"/>
  <c r="AB1269" i="14"/>
  <c r="N1269" i="14"/>
  <c r="M1269" i="14"/>
  <c r="AC1269" i="14"/>
  <c r="V1269" i="14"/>
  <c r="Y1269" i="14"/>
  <c r="S1269" i="14"/>
  <c r="C166" i="17"/>
  <c r="M620" i="14"/>
  <c r="AB999" i="14"/>
  <c r="M999" i="14"/>
  <c r="Y999" i="14"/>
  <c r="AC999" i="14"/>
  <c r="S999" i="14"/>
  <c r="N999" i="14"/>
  <c r="V999" i="14"/>
  <c r="M1241" i="14"/>
  <c r="AB1241" i="14"/>
  <c r="N1241" i="14"/>
  <c r="V1241" i="14"/>
  <c r="Y1241" i="14"/>
  <c r="AC1241" i="14"/>
  <c r="S1241" i="14"/>
  <c r="S613" i="14"/>
  <c r="M613" i="14"/>
  <c r="AC613" i="14"/>
  <c r="V613" i="14"/>
  <c r="N613" i="14"/>
  <c r="C159" i="17"/>
  <c r="Y613" i="14"/>
  <c r="AB613" i="14"/>
  <c r="AB1248" i="14"/>
  <c r="N1248" i="14"/>
  <c r="V1248" i="14"/>
  <c r="AC1248" i="14"/>
  <c r="Y1248" i="14"/>
  <c r="M1248" i="14"/>
  <c r="S1248" i="14"/>
  <c r="C158" i="17"/>
  <c r="M612" i="14"/>
  <c r="AC1255" i="14"/>
  <c r="M1255" i="14"/>
  <c r="Y1255" i="14"/>
  <c r="N1255" i="14"/>
  <c r="S1255" i="14"/>
  <c r="AB1255" i="14"/>
  <c r="V1255" i="14"/>
  <c r="M588" i="14"/>
  <c r="C134" i="17"/>
  <c r="M1250" i="14"/>
  <c r="S1250" i="14"/>
  <c r="AB1250" i="14"/>
  <c r="V1250" i="14"/>
  <c r="N1250" i="14"/>
  <c r="AC1250" i="14"/>
  <c r="Y1250" i="14"/>
  <c r="N604" i="14"/>
  <c r="C150" i="17"/>
  <c r="S604" i="14"/>
  <c r="V604" i="14"/>
  <c r="AC604" i="14"/>
  <c r="Y604" i="14"/>
  <c r="M604" i="14"/>
  <c r="AB604" i="14"/>
  <c r="AC614" i="14"/>
  <c r="C160" i="17"/>
  <c r="AB614" i="14"/>
  <c r="V614" i="14"/>
  <c r="M614" i="14"/>
  <c r="S614" i="14"/>
  <c r="Y614" i="14"/>
  <c r="N614" i="14"/>
  <c r="C154" i="17"/>
  <c r="M608" i="14"/>
  <c r="C130" i="17"/>
  <c r="M584" i="14"/>
  <c r="S611" i="14"/>
  <c r="M611" i="14"/>
  <c r="Y611" i="14"/>
  <c r="AC611" i="14"/>
  <c r="N611" i="14"/>
  <c r="AB611" i="14"/>
  <c r="V611" i="14"/>
  <c r="C157" i="17"/>
  <c r="D157" i="17"/>
  <c r="M1079" i="14"/>
  <c r="N1079" i="14"/>
  <c r="AB1079" i="14"/>
  <c r="AC1079" i="14"/>
  <c r="V1079" i="14"/>
  <c r="Y1079" i="14"/>
  <c r="S1079" i="14"/>
  <c r="AB1080" i="14"/>
  <c r="S1080" i="14"/>
  <c r="Y1080" i="14"/>
  <c r="V1080" i="14"/>
  <c r="N1080" i="14"/>
  <c r="M1080" i="14"/>
  <c r="AC1080" i="14"/>
  <c r="L193" i="14"/>
  <c r="L195" i="14"/>
  <c r="M195" i="14"/>
  <c r="L191" i="14"/>
  <c r="L194" i="14"/>
  <c r="L192" i="14"/>
  <c r="L190" i="14"/>
  <c r="M190" i="14"/>
  <c r="N864" i="14"/>
  <c r="M864" i="14"/>
  <c r="S864" i="14"/>
  <c r="C410" i="17"/>
  <c r="V864" i="14"/>
  <c r="AC864" i="14"/>
  <c r="Y864" i="14"/>
  <c r="AB864" i="14"/>
  <c r="M856" i="14"/>
  <c r="V856" i="14"/>
  <c r="Y856" i="14"/>
  <c r="N856" i="14"/>
  <c r="AB856" i="14"/>
  <c r="AC856" i="14"/>
  <c r="C402" i="17"/>
  <c r="D402" i="17"/>
  <c r="S856" i="14"/>
  <c r="C412" i="17"/>
  <c r="N866" i="14"/>
  <c r="AB866" i="14"/>
  <c r="Y866" i="14"/>
  <c r="V866" i="14"/>
  <c r="S866" i="14"/>
  <c r="M866" i="14"/>
  <c r="AC866" i="14"/>
  <c r="Y867" i="14"/>
  <c r="C413" i="17"/>
  <c r="D413" i="17"/>
  <c r="S867" i="14"/>
  <c r="N867" i="14"/>
  <c r="AB867" i="14"/>
  <c r="AC867" i="14"/>
  <c r="V867" i="14"/>
  <c r="M867" i="14"/>
  <c r="S850" i="14"/>
  <c r="C396" i="17"/>
  <c r="AC850" i="14"/>
  <c r="AB850" i="14"/>
  <c r="N850" i="14"/>
  <c r="Y850" i="14"/>
  <c r="M850" i="14"/>
  <c r="V850" i="14"/>
  <c r="AB870" i="14"/>
  <c r="AC870" i="14"/>
  <c r="V870" i="14"/>
  <c r="C416" i="17"/>
  <c r="D416" i="17"/>
  <c r="Y870" i="14"/>
  <c r="M870" i="14"/>
  <c r="S870" i="14"/>
  <c r="N870" i="14"/>
  <c r="C255" i="17"/>
  <c r="M709" i="14"/>
  <c r="AC706" i="14"/>
  <c r="AB706" i="14"/>
  <c r="S706" i="14"/>
  <c r="C252" i="17"/>
  <c r="D252" i="17"/>
  <c r="V706" i="14"/>
  <c r="N706" i="14"/>
  <c r="Y706" i="14"/>
  <c r="M706" i="14"/>
  <c r="V881" i="14"/>
  <c r="M881" i="14"/>
  <c r="AC881" i="14"/>
  <c r="C427" i="17"/>
  <c r="N881" i="14"/>
  <c r="S881" i="14"/>
  <c r="AB881" i="14"/>
  <c r="Y881" i="14"/>
  <c r="AB876" i="14"/>
  <c r="V876" i="14"/>
  <c r="M876" i="14"/>
  <c r="C422" i="17"/>
  <c r="Y876" i="14"/>
  <c r="N876" i="14"/>
  <c r="AC876" i="14"/>
  <c r="S876" i="14"/>
  <c r="M894" i="14"/>
  <c r="C440" i="17"/>
  <c r="D440" i="17"/>
  <c r="V894" i="14"/>
  <c r="Y894" i="14"/>
  <c r="AB894" i="14"/>
  <c r="AC894" i="14"/>
  <c r="N894" i="14"/>
  <c r="S894" i="14"/>
  <c r="V884" i="14"/>
  <c r="AB884" i="14"/>
  <c r="AC884" i="14"/>
  <c r="S884" i="14"/>
  <c r="M884" i="14"/>
  <c r="C430" i="17"/>
  <c r="D430" i="17"/>
  <c r="N884" i="14"/>
  <c r="Y884" i="14"/>
  <c r="Y892" i="14"/>
  <c r="C438" i="17"/>
  <c r="D438" i="17"/>
  <c r="N892" i="14"/>
  <c r="AB892" i="14"/>
  <c r="M892" i="14"/>
  <c r="V892" i="14"/>
  <c r="AC892" i="14"/>
  <c r="S892" i="14"/>
  <c r="G71" i="1"/>
  <c r="AX80" i="3"/>
  <c r="AI80" i="3"/>
  <c r="S930" i="14"/>
  <c r="N930" i="14"/>
  <c r="V930" i="14"/>
  <c r="AB930" i="14"/>
  <c r="AC930" i="14"/>
  <c r="Y930" i="14"/>
  <c r="M930" i="14"/>
  <c r="S464" i="14"/>
  <c r="C10" i="17"/>
  <c r="D10" i="17"/>
  <c r="V464" i="14"/>
  <c r="AB464" i="14"/>
  <c r="Y464" i="14"/>
  <c r="AC464" i="14"/>
  <c r="M464" i="14"/>
  <c r="N464" i="14"/>
  <c r="C267" i="17"/>
  <c r="M721" i="14"/>
  <c r="M909" i="14"/>
  <c r="C455" i="17"/>
  <c r="S744" i="14"/>
  <c r="M744" i="14"/>
  <c r="AC744" i="14"/>
  <c r="C290" i="17"/>
  <c r="D290" i="17"/>
  <c r="AB744" i="14"/>
  <c r="V744" i="14"/>
  <c r="Y744" i="14"/>
  <c r="N744" i="14"/>
  <c r="L18" i="14"/>
  <c r="L19" i="14"/>
  <c r="M19" i="14"/>
  <c r="AB1325" i="14"/>
  <c r="M1325" i="14"/>
  <c r="S1325" i="14"/>
  <c r="AC1325" i="14"/>
  <c r="V1325" i="14"/>
  <c r="Y1325" i="14"/>
  <c r="N1325" i="14"/>
  <c r="AC685" i="14"/>
  <c r="AB685" i="14"/>
  <c r="C231" i="17"/>
  <c r="D231" i="17"/>
  <c r="N685" i="14"/>
  <c r="S685" i="14"/>
  <c r="M685" i="14"/>
  <c r="V685" i="14"/>
  <c r="Y685" i="14"/>
  <c r="S37" i="14"/>
  <c r="M37" i="14"/>
  <c r="N37" i="14"/>
  <c r="V37" i="14"/>
  <c r="AB37" i="14"/>
  <c r="Y37" i="14"/>
  <c r="AC37" i="14"/>
  <c r="AC1050" i="14"/>
  <c r="V1050" i="14"/>
  <c r="N1050" i="14"/>
  <c r="AB1050" i="14"/>
  <c r="M1050" i="14"/>
  <c r="S1050" i="14"/>
  <c r="Y1050" i="14"/>
  <c r="M729" i="14"/>
  <c r="C275" i="17"/>
  <c r="Y1051" i="14"/>
  <c r="N1051" i="14"/>
  <c r="S1051" i="14"/>
  <c r="AB1051" i="14"/>
  <c r="M1051" i="14"/>
  <c r="AC1051" i="14"/>
  <c r="V1051" i="14"/>
  <c r="N689" i="14"/>
  <c r="M689" i="14"/>
  <c r="Y689" i="14"/>
  <c r="AC689" i="14"/>
  <c r="V689" i="14"/>
  <c r="S689" i="14"/>
  <c r="C235" i="17"/>
  <c r="D235" i="17"/>
  <c r="AB689" i="14"/>
  <c r="L297" i="14"/>
  <c r="M297" i="14"/>
  <c r="L295" i="14"/>
  <c r="M295" i="14"/>
  <c r="L298" i="14"/>
  <c r="L296" i="14"/>
  <c r="L96" i="14"/>
  <c r="M96" i="14"/>
  <c r="L93" i="14"/>
  <c r="L104" i="14"/>
  <c r="M104" i="14"/>
  <c r="L94" i="14"/>
  <c r="M94" i="14"/>
  <c r="L102" i="14"/>
  <c r="M102" i="14"/>
  <c r="L101" i="14"/>
  <c r="L98" i="14"/>
  <c r="M98" i="14"/>
  <c r="L103" i="14"/>
  <c r="L92" i="14"/>
  <c r="L105" i="14"/>
  <c r="L99" i="14"/>
  <c r="L97" i="14"/>
  <c r="L95" i="14"/>
  <c r="L100" i="14"/>
  <c r="L91" i="14"/>
  <c r="M91" i="14"/>
  <c r="M667" i="14"/>
  <c r="C213" i="17"/>
  <c r="N1304" i="14"/>
  <c r="M1304" i="14"/>
  <c r="AB1304" i="14"/>
  <c r="AC1304" i="14"/>
  <c r="Y1304" i="14"/>
  <c r="V1304" i="14"/>
  <c r="S1304" i="14"/>
  <c r="C201" i="17"/>
  <c r="V655" i="14"/>
  <c r="S655" i="14"/>
  <c r="Y655" i="14"/>
  <c r="AB655" i="14"/>
  <c r="N655" i="14"/>
  <c r="M655" i="14"/>
  <c r="AC655" i="14"/>
  <c r="V644" i="14"/>
  <c r="S644" i="14"/>
  <c r="AC644" i="14"/>
  <c r="Y644" i="14"/>
  <c r="N644" i="14"/>
  <c r="AB644" i="14"/>
  <c r="C190" i="17"/>
  <c r="D190" i="17"/>
  <c r="M644" i="14"/>
  <c r="AB1021" i="14"/>
  <c r="M1021" i="14"/>
  <c r="S1021" i="14"/>
  <c r="Y1021" i="14"/>
  <c r="N1021" i="14"/>
  <c r="AC1021" i="14"/>
  <c r="V1021" i="14"/>
  <c r="M662" i="14"/>
  <c r="C208" i="17"/>
  <c r="N651" i="14"/>
  <c r="AC651" i="14"/>
  <c r="V651" i="14"/>
  <c r="AB651" i="14"/>
  <c r="Y651" i="14"/>
  <c r="S651" i="14"/>
  <c r="C197" i="17"/>
  <c r="D197" i="17"/>
  <c r="M651" i="14"/>
  <c r="M650" i="14"/>
  <c r="C196" i="17"/>
  <c r="N656" i="14"/>
  <c r="M656" i="14"/>
  <c r="C202" i="17"/>
  <c r="D202" i="17"/>
  <c r="V656" i="14"/>
  <c r="AC656" i="14"/>
  <c r="S656" i="14"/>
  <c r="AB656" i="14"/>
  <c r="Y656" i="14"/>
  <c r="L257" i="14"/>
  <c r="M257" i="14"/>
  <c r="L254" i="14"/>
  <c r="L253" i="14"/>
  <c r="M253" i="14"/>
  <c r="L256" i="14"/>
  <c r="M256" i="14"/>
  <c r="L255" i="14"/>
  <c r="G35" i="1"/>
  <c r="AX44" i="3"/>
  <c r="M834" i="14"/>
  <c r="V834" i="14"/>
  <c r="Y834" i="14"/>
  <c r="N834" i="14"/>
  <c r="S834" i="14"/>
  <c r="AC834" i="14"/>
  <c r="C380" i="17"/>
  <c r="AB834" i="14"/>
  <c r="AC847" i="14"/>
  <c r="V847" i="14"/>
  <c r="Y847" i="14"/>
  <c r="M847" i="14"/>
  <c r="C393" i="17"/>
  <c r="N847" i="14"/>
  <c r="AB847" i="14"/>
  <c r="S847" i="14"/>
  <c r="V829" i="14"/>
  <c r="C375" i="17"/>
  <c r="Y829" i="14"/>
  <c r="S829" i="14"/>
  <c r="AC829" i="14"/>
  <c r="N829" i="14"/>
  <c r="M829" i="14"/>
  <c r="AB829" i="14"/>
  <c r="AC837" i="14"/>
  <c r="V837" i="14"/>
  <c r="AB837" i="14"/>
  <c r="S837" i="14"/>
  <c r="N837" i="14"/>
  <c r="M837" i="14"/>
  <c r="Y837" i="14"/>
  <c r="C383" i="17"/>
  <c r="D383" i="17"/>
  <c r="C282" i="17"/>
  <c r="M736" i="14"/>
  <c r="V1052" i="14"/>
  <c r="M1052" i="14"/>
  <c r="S1052" i="14"/>
  <c r="Y1052" i="14"/>
  <c r="AC1052" i="14"/>
  <c r="N1052" i="14"/>
  <c r="AB1052" i="14"/>
  <c r="N944" i="14"/>
  <c r="M944" i="14"/>
  <c r="AB944" i="14"/>
  <c r="Y944" i="14"/>
  <c r="V944" i="14"/>
  <c r="AC944" i="14"/>
  <c r="S944" i="14"/>
  <c r="N472" i="14"/>
  <c r="C18" i="17"/>
  <c r="D18" i="17"/>
  <c r="M472" i="14"/>
  <c r="AB472" i="14"/>
  <c r="S472" i="14"/>
  <c r="Y472" i="14"/>
  <c r="V472" i="14"/>
  <c r="AC472" i="14"/>
  <c r="V799" i="14"/>
  <c r="Y799" i="14"/>
  <c r="AC799" i="14"/>
  <c r="C345" i="17"/>
  <c r="S799" i="14"/>
  <c r="M799" i="14"/>
  <c r="N799" i="14"/>
  <c r="AB799" i="14"/>
  <c r="C346" i="17"/>
  <c r="M800" i="14"/>
  <c r="M802" i="14"/>
  <c r="C348" i="17"/>
  <c r="M804" i="14"/>
  <c r="C350" i="17"/>
  <c r="C349" i="17"/>
  <c r="AB803" i="14"/>
  <c r="Y803" i="14"/>
  <c r="V803" i="14"/>
  <c r="S803" i="14"/>
  <c r="M803" i="14"/>
  <c r="N803" i="14"/>
  <c r="AC803" i="14"/>
  <c r="C289" i="17"/>
  <c r="M743" i="14"/>
  <c r="G24" i="1"/>
  <c r="AX33" i="3"/>
  <c r="AC1155" i="14"/>
  <c r="Y1155" i="14"/>
  <c r="N1155" i="14"/>
  <c r="S1155" i="14"/>
  <c r="M1155" i="14"/>
  <c r="V1155" i="14"/>
  <c r="AB1155" i="14"/>
  <c r="L1354" i="14"/>
  <c r="M1354" i="14"/>
  <c r="L911" i="14"/>
  <c r="L710" i="14"/>
  <c r="L713" i="14"/>
  <c r="L711" i="14"/>
  <c r="L1352" i="14"/>
  <c r="L712" i="14"/>
  <c r="L1351" i="14"/>
  <c r="M1351" i="14"/>
  <c r="L1353" i="14"/>
  <c r="M1353" i="14"/>
  <c r="L267" i="14"/>
  <c r="L269" i="14"/>
  <c r="M269" i="14"/>
  <c r="L270" i="14"/>
  <c r="M270" i="14"/>
  <c r="L266" i="14"/>
  <c r="M266" i="14"/>
  <c r="L268" i="14"/>
  <c r="M268" i="14"/>
  <c r="N1185" i="14"/>
  <c r="V1185" i="14"/>
  <c r="Y1185" i="14"/>
  <c r="AC1185" i="14"/>
  <c r="M1185" i="14"/>
  <c r="AB1185" i="14"/>
  <c r="S1185" i="14"/>
  <c r="N1193" i="14"/>
  <c r="Y1193" i="14"/>
  <c r="AC1193" i="14"/>
  <c r="M1193" i="14"/>
  <c r="V1193" i="14"/>
  <c r="S1193" i="14"/>
  <c r="AB1193" i="14"/>
  <c r="Y536" i="14"/>
  <c r="C82" i="17"/>
  <c r="D82" i="17"/>
  <c r="S536" i="14"/>
  <c r="AC536" i="14"/>
  <c r="M536" i="14"/>
  <c r="AB536" i="14"/>
  <c r="V536" i="14"/>
  <c r="N536" i="14"/>
  <c r="M531" i="14"/>
  <c r="AC531" i="14"/>
  <c r="AB531" i="14"/>
  <c r="Y531" i="14"/>
  <c r="C77" i="17"/>
  <c r="S531" i="14"/>
  <c r="V531" i="14"/>
  <c r="N531" i="14"/>
  <c r="M544" i="14"/>
  <c r="C90" i="17"/>
  <c r="V544" i="14"/>
  <c r="N544" i="14"/>
  <c r="AB544" i="14"/>
  <c r="AC544" i="14"/>
  <c r="Y544" i="14"/>
  <c r="S544" i="14"/>
  <c r="N1191" i="14"/>
  <c r="M1191" i="14"/>
  <c r="S1191" i="14"/>
  <c r="Y1191" i="14"/>
  <c r="V1191" i="14"/>
  <c r="AC1191" i="14"/>
  <c r="AB1191" i="14"/>
  <c r="L141" i="14"/>
  <c r="M141" i="14"/>
  <c r="L140" i="14"/>
  <c r="L142" i="14"/>
  <c r="L138" i="14"/>
  <c r="M138" i="14"/>
  <c r="L139" i="14"/>
  <c r="L143" i="14"/>
  <c r="L144" i="14"/>
  <c r="M144" i="14"/>
  <c r="S1160" i="14"/>
  <c r="N1160" i="14"/>
  <c r="AB1160" i="14"/>
  <c r="Y1160" i="14"/>
  <c r="AC1160" i="14"/>
  <c r="V1160" i="14"/>
  <c r="M1160" i="14"/>
  <c r="V963" i="14"/>
  <c r="N963" i="14"/>
  <c r="S963" i="14"/>
  <c r="AC963" i="14"/>
  <c r="AB963" i="14"/>
  <c r="M963" i="14"/>
  <c r="Y963" i="14"/>
  <c r="Y949" i="14"/>
  <c r="AB949" i="14"/>
  <c r="N949" i="14"/>
  <c r="V949" i="14"/>
  <c r="M949" i="14"/>
  <c r="AC949" i="14"/>
  <c r="S949" i="14"/>
  <c r="AB478" i="14"/>
  <c r="S478" i="14"/>
  <c r="C24" i="17"/>
  <c r="D24" i="17"/>
  <c r="N478" i="14"/>
  <c r="V478" i="14"/>
  <c r="M478" i="14"/>
  <c r="Y478" i="14"/>
  <c r="AC478" i="14"/>
  <c r="AB1142" i="14"/>
  <c r="V1142" i="14"/>
  <c r="AC1142" i="14"/>
  <c r="Y1142" i="14"/>
  <c r="M1142" i="14"/>
  <c r="S1142" i="14"/>
  <c r="N1142" i="14"/>
  <c r="M481" i="14"/>
  <c r="C27" i="17"/>
  <c r="V484" i="14"/>
  <c r="AC484" i="14"/>
  <c r="AB484" i="14"/>
  <c r="S484" i="14"/>
  <c r="N484" i="14"/>
  <c r="Y484" i="14"/>
  <c r="M484" i="14"/>
  <c r="C30" i="17"/>
  <c r="AB1035" i="14"/>
  <c r="N1035" i="14"/>
  <c r="Y1035" i="14"/>
  <c r="S1035" i="14"/>
  <c r="AC1035" i="14"/>
  <c r="M1035" i="14"/>
  <c r="V1035" i="14"/>
  <c r="M1335" i="14"/>
  <c r="S1335" i="14"/>
  <c r="N1335" i="14"/>
  <c r="Y1335" i="14"/>
  <c r="AC1335" i="14"/>
  <c r="V1335" i="14"/>
  <c r="AB1335" i="14"/>
  <c r="C242" i="17"/>
  <c r="M696" i="14"/>
  <c r="G94" i="1"/>
  <c r="AX102" i="3"/>
  <c r="G44" i="1"/>
  <c r="AX54" i="3"/>
  <c r="S676" i="14"/>
  <c r="AB676" i="14"/>
  <c r="N676" i="14"/>
  <c r="M676" i="14"/>
  <c r="AC676" i="14"/>
  <c r="V676" i="14"/>
  <c r="Y676" i="14"/>
  <c r="C222" i="17"/>
  <c r="M677" i="14"/>
  <c r="C223" i="17"/>
  <c r="V679" i="14"/>
  <c r="AC679" i="14"/>
  <c r="C225" i="17"/>
  <c r="M679" i="14"/>
  <c r="AB679" i="14"/>
  <c r="S679" i="14"/>
  <c r="N679" i="14"/>
  <c r="Y679" i="14"/>
  <c r="S1114" i="14"/>
  <c r="Y1114" i="14"/>
  <c r="N1114" i="14"/>
  <c r="AC1114" i="14"/>
  <c r="V1114" i="14"/>
  <c r="M1114" i="14"/>
  <c r="AB1114" i="14"/>
  <c r="S1202" i="14"/>
  <c r="N1202" i="14"/>
  <c r="AC1202" i="14"/>
  <c r="Y1202" i="14"/>
  <c r="M1202" i="14"/>
  <c r="V1202" i="14"/>
  <c r="AB1202" i="14"/>
  <c r="AC1203" i="14"/>
  <c r="S1203" i="14"/>
  <c r="AB1203" i="14"/>
  <c r="V1203" i="14"/>
  <c r="Y1203" i="14"/>
  <c r="N1203" i="14"/>
  <c r="M1203" i="14"/>
  <c r="AC972" i="14"/>
  <c r="S972" i="14"/>
  <c r="N972" i="14"/>
  <c r="Y972" i="14"/>
  <c r="M972" i="14"/>
  <c r="V972" i="14"/>
  <c r="AB972" i="14"/>
  <c r="L289" i="14"/>
  <c r="M289" i="14"/>
  <c r="L287" i="14"/>
  <c r="M287" i="14"/>
  <c r="L288" i="14"/>
  <c r="L1286" i="14"/>
  <c r="M1286" i="14"/>
  <c r="L637" i="14"/>
  <c r="L641" i="14"/>
  <c r="L1280" i="14"/>
  <c r="L635" i="14"/>
  <c r="L1015" i="14"/>
  <c r="L1014" i="14"/>
  <c r="L642" i="14"/>
  <c r="L1011" i="14"/>
  <c r="M1011" i="14"/>
  <c r="L1013" i="14"/>
  <c r="M1013" i="14"/>
  <c r="L1282" i="14"/>
  <c r="L1283" i="14"/>
  <c r="M1283" i="14"/>
  <c r="L638" i="14"/>
  <c r="L640" i="14"/>
  <c r="L639" i="14"/>
  <c r="L636" i="14"/>
  <c r="L1279" i="14"/>
  <c r="M1279" i="14"/>
  <c r="L1012" i="14"/>
  <c r="L1285" i="14"/>
  <c r="M1285" i="14"/>
  <c r="L1284" i="14"/>
  <c r="L1281" i="14"/>
  <c r="M1281" i="14"/>
  <c r="L1010" i="14"/>
  <c r="M547" i="14"/>
  <c r="C93" i="17"/>
  <c r="N1198" i="14"/>
  <c r="M1198" i="14"/>
  <c r="Y1198" i="14"/>
  <c r="V1198" i="14"/>
  <c r="AC1198" i="14"/>
  <c r="AB1198" i="14"/>
  <c r="S1198" i="14"/>
  <c r="M1211" i="14"/>
  <c r="S1211" i="14"/>
  <c r="V1211" i="14"/>
  <c r="Y1211" i="14"/>
  <c r="AC1211" i="14"/>
  <c r="N1211" i="14"/>
  <c r="AB1211" i="14"/>
  <c r="AB563" i="14"/>
  <c r="M563" i="14"/>
  <c r="C109" i="17"/>
  <c r="N563" i="14"/>
  <c r="AC563" i="14"/>
  <c r="S563" i="14"/>
  <c r="V563" i="14"/>
  <c r="Y563" i="14"/>
  <c r="AC1217" i="14"/>
  <c r="S1217" i="14"/>
  <c r="M1217" i="14"/>
  <c r="N1217" i="14"/>
  <c r="Y1217" i="14"/>
  <c r="V1217" i="14"/>
  <c r="AB1217" i="14"/>
  <c r="N561" i="14"/>
  <c r="AB561" i="14"/>
  <c r="AC561" i="14"/>
  <c r="M561" i="14"/>
  <c r="Y561" i="14"/>
  <c r="S561" i="14"/>
  <c r="C107" i="17"/>
  <c r="V561" i="14"/>
  <c r="M564" i="14"/>
  <c r="C110" i="17"/>
  <c r="Y1214" i="14"/>
  <c r="AB1214" i="14"/>
  <c r="S1214" i="14"/>
  <c r="AC1214" i="14"/>
  <c r="N1214" i="14"/>
  <c r="V1214" i="14"/>
  <c r="M1214" i="14"/>
  <c r="AC1207" i="14"/>
  <c r="N1207" i="14"/>
  <c r="V1207" i="14"/>
  <c r="S1207" i="14"/>
  <c r="M1207" i="14"/>
  <c r="AB1207" i="14"/>
  <c r="Y1207" i="14"/>
  <c r="Y566" i="14"/>
  <c r="V566" i="14"/>
  <c r="M566" i="14"/>
  <c r="C112" i="17"/>
  <c r="S566" i="14"/>
  <c r="AC566" i="14"/>
  <c r="AB566" i="14"/>
  <c r="N566" i="14"/>
  <c r="N1216" i="14"/>
  <c r="S1216" i="14"/>
  <c r="Y1216" i="14"/>
  <c r="AC1216" i="14"/>
  <c r="V1216" i="14"/>
  <c r="AB1216" i="14"/>
  <c r="M1216" i="14"/>
  <c r="S791" i="14"/>
  <c r="AB791" i="14"/>
  <c r="N791" i="14"/>
  <c r="Y791" i="14"/>
  <c r="V791" i="14"/>
  <c r="M791" i="14"/>
  <c r="C337" i="17"/>
  <c r="AC791" i="14"/>
  <c r="Y789" i="14"/>
  <c r="AC789" i="14"/>
  <c r="M789" i="14"/>
  <c r="C335" i="17"/>
  <c r="D335" i="17"/>
  <c r="V789" i="14"/>
  <c r="S789" i="14"/>
  <c r="N789" i="14"/>
  <c r="AB789" i="14"/>
  <c r="Y1101" i="14"/>
  <c r="AC1101" i="14"/>
  <c r="N1101" i="14"/>
  <c r="V1101" i="14"/>
  <c r="S1101" i="14"/>
  <c r="M1101" i="14"/>
  <c r="AB1101" i="14"/>
  <c r="M788" i="14"/>
  <c r="AB788" i="14"/>
  <c r="AC788" i="14"/>
  <c r="Y788" i="14"/>
  <c r="C334" i="17"/>
  <c r="D334" i="17"/>
  <c r="V788" i="14"/>
  <c r="N788" i="14"/>
  <c r="S788" i="14"/>
  <c r="G57" i="1"/>
  <c r="AX67" i="3"/>
  <c r="S1066" i="14"/>
  <c r="Y1066" i="14"/>
  <c r="M1066" i="14"/>
  <c r="N1066" i="14"/>
  <c r="AC1066" i="14"/>
  <c r="V1066" i="14"/>
  <c r="AB1066" i="14"/>
  <c r="S1388" i="14"/>
  <c r="V1388" i="14"/>
  <c r="AC1388" i="14"/>
  <c r="N1388" i="14"/>
  <c r="AB1388" i="14"/>
  <c r="Y1388" i="14"/>
  <c r="M1388" i="14"/>
  <c r="AC1049" i="14"/>
  <c r="Y1049" i="14"/>
  <c r="N1049" i="14"/>
  <c r="AB1049" i="14"/>
  <c r="S1049" i="14"/>
  <c r="V1049" i="14"/>
  <c r="M1049" i="14"/>
  <c r="N1368" i="14"/>
  <c r="S1368" i="14"/>
  <c r="AC1368" i="14"/>
  <c r="Y1368" i="14"/>
  <c r="V1368" i="14"/>
  <c r="AB1368" i="14"/>
  <c r="M1368" i="14"/>
  <c r="L331" i="14"/>
  <c r="L330" i="14"/>
  <c r="M330" i="14"/>
  <c r="L48" i="14"/>
  <c r="L41" i="14"/>
  <c r="L46" i="14"/>
  <c r="L47" i="14"/>
  <c r="M47" i="14"/>
  <c r="L39" i="14"/>
  <c r="L44" i="14"/>
  <c r="M44" i="14"/>
  <c r="L43" i="14"/>
  <c r="L40" i="14"/>
  <c r="M40" i="14"/>
  <c r="L45" i="14"/>
  <c r="L38" i="14"/>
  <c r="M38" i="14"/>
  <c r="L42" i="14"/>
  <c r="M42" i="14"/>
  <c r="AB960" i="14"/>
  <c r="M960" i="14"/>
  <c r="S960" i="14"/>
  <c r="V960" i="14"/>
  <c r="AC960" i="14"/>
  <c r="N960" i="14"/>
  <c r="Y960" i="14"/>
  <c r="N1150" i="14"/>
  <c r="AC1150" i="14"/>
  <c r="S1150" i="14"/>
  <c r="V1150" i="14"/>
  <c r="Y1150" i="14"/>
  <c r="AB1150" i="14"/>
  <c r="M1150" i="14"/>
  <c r="L111" i="14"/>
  <c r="L108" i="14"/>
  <c r="M108" i="14"/>
  <c r="L106" i="14"/>
  <c r="M106" i="14"/>
  <c r="L109" i="14"/>
  <c r="L107" i="14"/>
  <c r="L110" i="14"/>
  <c r="M110" i="14"/>
  <c r="AC524" i="14"/>
  <c r="V524" i="14"/>
  <c r="M524" i="14"/>
  <c r="C70" i="17"/>
  <c r="D70" i="17"/>
  <c r="N524" i="14"/>
  <c r="Y524" i="14"/>
  <c r="AB524" i="14"/>
  <c r="S524" i="14"/>
  <c r="Y1176" i="14"/>
  <c r="N1176" i="14"/>
  <c r="AC1176" i="14"/>
  <c r="V1176" i="14"/>
  <c r="M1176" i="14"/>
  <c r="AB1176" i="14"/>
  <c r="S1176" i="14"/>
  <c r="C75" i="17"/>
  <c r="M529" i="14"/>
  <c r="M716" i="14"/>
  <c r="S716" i="14"/>
  <c r="Y716" i="14"/>
  <c r="V716" i="14"/>
  <c r="AC716" i="14"/>
  <c r="AB716" i="14"/>
  <c r="C262" i="17"/>
  <c r="D262" i="17"/>
  <c r="N716" i="14"/>
  <c r="G128" i="1"/>
  <c r="G127" i="1"/>
  <c r="AX132" i="3"/>
  <c r="Y703" i="14"/>
  <c r="M703" i="14"/>
  <c r="N703" i="14"/>
  <c r="C249" i="17"/>
  <c r="S703" i="14"/>
  <c r="AC703" i="14"/>
  <c r="AB703" i="14"/>
  <c r="V703" i="14"/>
  <c r="AC772" i="14"/>
  <c r="M772" i="14"/>
  <c r="C318" i="17"/>
  <c r="N772" i="14"/>
  <c r="Y772" i="14"/>
  <c r="S772" i="14"/>
  <c r="AB772" i="14"/>
  <c r="V772" i="14"/>
  <c r="S1414" i="14"/>
  <c r="N1414" i="14"/>
  <c r="M1414" i="14"/>
  <c r="V1414" i="14"/>
  <c r="AC1414" i="14"/>
  <c r="AB1414" i="14"/>
  <c r="Y1414" i="14"/>
  <c r="S1115" i="14"/>
  <c r="V1115" i="14"/>
  <c r="N1115" i="14"/>
  <c r="M1115" i="14"/>
  <c r="AB1115" i="14"/>
  <c r="AC1115" i="14"/>
  <c r="Y1115" i="14"/>
  <c r="Y1470" i="14"/>
  <c r="N1470" i="14"/>
  <c r="AB1470" i="14"/>
  <c r="V1470" i="14"/>
  <c r="AC1470" i="14"/>
  <c r="S1470" i="14"/>
  <c r="M1470" i="14"/>
  <c r="N1380" i="14"/>
  <c r="M1380" i="14"/>
  <c r="Y1380" i="14"/>
  <c r="AB1380" i="14"/>
  <c r="V1380" i="14"/>
  <c r="AC1380" i="14"/>
  <c r="S1380" i="14"/>
  <c r="M1379" i="14"/>
  <c r="N1379" i="14"/>
  <c r="Y1379" i="14"/>
  <c r="V1379" i="14"/>
  <c r="S1379" i="14"/>
  <c r="AB1379" i="14"/>
  <c r="AC1379" i="14"/>
  <c r="V574" i="14"/>
  <c r="AB574" i="14"/>
  <c r="AC574" i="14"/>
  <c r="N574" i="14"/>
  <c r="M574" i="14"/>
  <c r="Y574" i="14"/>
  <c r="C120" i="17"/>
  <c r="D120" i="17"/>
  <c r="S574" i="14"/>
  <c r="M576" i="14"/>
  <c r="C122" i="17"/>
  <c r="M925" i="14"/>
  <c r="C471" i="17"/>
  <c r="Y1099" i="14"/>
  <c r="S1099" i="14"/>
  <c r="AC1099" i="14"/>
  <c r="N1099" i="14"/>
  <c r="AB1099" i="14"/>
  <c r="M1099" i="14"/>
  <c r="V1099" i="14"/>
  <c r="Y1095" i="14"/>
  <c r="AC1095" i="14"/>
  <c r="V1095" i="14"/>
  <c r="S1095" i="14"/>
  <c r="M1095" i="14"/>
  <c r="N1095" i="14"/>
  <c r="AB1095" i="14"/>
  <c r="Y1421" i="14"/>
  <c r="M1421" i="14"/>
  <c r="N1421" i="14"/>
  <c r="AC1421" i="14"/>
  <c r="S1421" i="14"/>
  <c r="V1421" i="14"/>
  <c r="AB1421" i="14"/>
  <c r="Y786" i="14"/>
  <c r="S786" i="14"/>
  <c r="N786" i="14"/>
  <c r="C332" i="17"/>
  <c r="M786" i="14"/>
  <c r="AC786" i="14"/>
  <c r="AB786" i="14"/>
  <c r="V786" i="14"/>
  <c r="AB1466" i="14"/>
  <c r="M1466" i="14"/>
  <c r="S1466" i="14"/>
  <c r="Y1466" i="14"/>
  <c r="AC1466" i="14"/>
  <c r="V1466" i="14"/>
  <c r="N1466" i="14"/>
  <c r="M820" i="14"/>
  <c r="C366" i="17"/>
  <c r="M617" i="14"/>
  <c r="C163" i="17"/>
  <c r="M625" i="14"/>
  <c r="C171" i="17"/>
  <c r="AC1267" i="14"/>
  <c r="M1267" i="14"/>
  <c r="AB1267" i="14"/>
  <c r="N1267" i="14"/>
  <c r="Y1267" i="14"/>
  <c r="S1267" i="14"/>
  <c r="V1267" i="14"/>
  <c r="AB21" i="14"/>
  <c r="AC21" i="14"/>
  <c r="M21" i="14"/>
  <c r="S21" i="14"/>
  <c r="V21" i="14"/>
  <c r="N21" i="14"/>
  <c r="Y21" i="14"/>
  <c r="M1235" i="14"/>
  <c r="AC1235" i="14"/>
  <c r="V1235" i="14"/>
  <c r="AB1235" i="14"/>
  <c r="N1235" i="14"/>
  <c r="S1235" i="14"/>
  <c r="Y1235" i="14"/>
  <c r="AB1243" i="14"/>
  <c r="N1243" i="14"/>
  <c r="S1243" i="14"/>
  <c r="M1243" i="14"/>
  <c r="Y1243" i="14"/>
  <c r="V1243" i="14"/>
  <c r="AC1243" i="14"/>
  <c r="AC997" i="14"/>
  <c r="AB997" i="14"/>
  <c r="M997" i="14"/>
  <c r="N997" i="14"/>
  <c r="V997" i="14"/>
  <c r="S997" i="14"/>
  <c r="Y997" i="14"/>
  <c r="M1233" i="14"/>
  <c r="S1233" i="14"/>
  <c r="AC1233" i="14"/>
  <c r="AB1233" i="14"/>
  <c r="N1233" i="14"/>
  <c r="V1233" i="14"/>
  <c r="Y1233" i="14"/>
  <c r="M590" i="14"/>
  <c r="C136" i="17"/>
  <c r="AB1231" i="14"/>
  <c r="N1231" i="14"/>
  <c r="M1231" i="14"/>
  <c r="S1231" i="14"/>
  <c r="Y1231" i="14"/>
  <c r="AC1231" i="14"/>
  <c r="V1231" i="14"/>
  <c r="M1246" i="14"/>
  <c r="V1246" i="14"/>
  <c r="N1246" i="14"/>
  <c r="AB1246" i="14"/>
  <c r="S1246" i="14"/>
  <c r="AC1246" i="14"/>
  <c r="Y1246" i="14"/>
  <c r="M591" i="14"/>
  <c r="AB591" i="14"/>
  <c r="AC591" i="14"/>
  <c r="S591" i="14"/>
  <c r="V591" i="14"/>
  <c r="Y591" i="14"/>
  <c r="C137" i="17"/>
  <c r="N591" i="14"/>
  <c r="Y1239" i="14"/>
  <c r="V1239" i="14"/>
  <c r="N1239" i="14"/>
  <c r="AC1239" i="14"/>
  <c r="M1239" i="14"/>
  <c r="AB1239" i="14"/>
  <c r="S1239" i="14"/>
  <c r="C139" i="17"/>
  <c r="M593" i="14"/>
  <c r="C141" i="17"/>
  <c r="M595" i="14"/>
  <c r="V594" i="14"/>
  <c r="C140" i="17"/>
  <c r="N594" i="14"/>
  <c r="AC594" i="14"/>
  <c r="S594" i="14"/>
  <c r="Y594" i="14"/>
  <c r="M594" i="14"/>
  <c r="AB594" i="14"/>
  <c r="M1253" i="14"/>
  <c r="AC1253" i="14"/>
  <c r="AB1253" i="14"/>
  <c r="N1253" i="14"/>
  <c r="Y1253" i="14"/>
  <c r="V1253" i="14"/>
  <c r="S1253" i="14"/>
  <c r="M1001" i="14"/>
  <c r="S1001" i="14"/>
  <c r="N1001" i="14"/>
  <c r="AC1001" i="14"/>
  <c r="AB1001" i="14"/>
  <c r="V1001" i="14"/>
  <c r="Y1001" i="14"/>
  <c r="V592" i="14"/>
  <c r="N592" i="14"/>
  <c r="C138" i="17"/>
  <c r="AC592" i="14"/>
  <c r="AB592" i="14"/>
  <c r="Y592" i="14"/>
  <c r="S592" i="14"/>
  <c r="M592" i="14"/>
  <c r="V607" i="14"/>
  <c r="C153" i="17"/>
  <c r="S607" i="14"/>
  <c r="M607" i="14"/>
  <c r="Y607" i="14"/>
  <c r="AC607" i="14"/>
  <c r="N607" i="14"/>
  <c r="AB607" i="14"/>
  <c r="V762" i="14"/>
  <c r="C308" i="17"/>
  <c r="D308" i="17"/>
  <c r="AC762" i="14"/>
  <c r="S762" i="14"/>
  <c r="N762" i="14"/>
  <c r="M762" i="14"/>
  <c r="Y762" i="14"/>
  <c r="AB762" i="14"/>
  <c r="AC1083" i="14"/>
  <c r="Y1083" i="14"/>
  <c r="V1083" i="14"/>
  <c r="N1083" i="14"/>
  <c r="S1083" i="14"/>
  <c r="AB1083" i="14"/>
  <c r="M1083" i="14"/>
  <c r="M1407" i="14"/>
  <c r="Y1407" i="14"/>
  <c r="AB1407" i="14"/>
  <c r="AC1407" i="14"/>
  <c r="V1407" i="14"/>
  <c r="N1407" i="14"/>
  <c r="S1407" i="14"/>
  <c r="C309" i="17"/>
  <c r="M763" i="14"/>
  <c r="M1405" i="14"/>
  <c r="V1405" i="14"/>
  <c r="N1405" i="14"/>
  <c r="AC1405" i="14"/>
  <c r="S1405" i="14"/>
  <c r="AB1405" i="14"/>
  <c r="Y1405" i="14"/>
  <c r="AB768" i="14"/>
  <c r="Y768" i="14"/>
  <c r="N768" i="14"/>
  <c r="M768" i="14"/>
  <c r="AC768" i="14"/>
  <c r="S768" i="14"/>
  <c r="V768" i="14"/>
  <c r="C314" i="17"/>
  <c r="C467" i="17"/>
  <c r="M921" i="14"/>
  <c r="S854" i="14"/>
  <c r="N854" i="14"/>
  <c r="M854" i="14"/>
  <c r="V854" i="14"/>
  <c r="AC854" i="14"/>
  <c r="AB854" i="14"/>
  <c r="Y854" i="14"/>
  <c r="C400" i="17"/>
  <c r="AC869" i="14"/>
  <c r="Y869" i="14"/>
  <c r="V869" i="14"/>
  <c r="M869" i="14"/>
  <c r="C415" i="17"/>
  <c r="D415" i="17"/>
  <c r="AB869" i="14"/>
  <c r="S869" i="14"/>
  <c r="N869" i="14"/>
  <c r="AB871" i="14"/>
  <c r="V871" i="14"/>
  <c r="N871" i="14"/>
  <c r="M871" i="14"/>
  <c r="C417" i="17"/>
  <c r="AC871" i="14"/>
  <c r="S871" i="14"/>
  <c r="Y871" i="14"/>
  <c r="AB858" i="14"/>
  <c r="C404" i="17"/>
  <c r="V858" i="14"/>
  <c r="N858" i="14"/>
  <c r="S858" i="14"/>
  <c r="AC858" i="14"/>
  <c r="M858" i="14"/>
  <c r="Y858" i="14"/>
  <c r="M853" i="14"/>
  <c r="S853" i="14"/>
  <c r="C399" i="17"/>
  <c r="D399" i="17"/>
  <c r="Y853" i="14"/>
  <c r="AC853" i="14"/>
  <c r="N853" i="14"/>
  <c r="V853" i="14"/>
  <c r="AB853" i="14"/>
  <c r="N860" i="14"/>
  <c r="S860" i="14"/>
  <c r="M860" i="14"/>
  <c r="AC860" i="14"/>
  <c r="Y860" i="14"/>
  <c r="C406" i="17"/>
  <c r="V860" i="14"/>
  <c r="AB860" i="14"/>
  <c r="L1027" i="14"/>
  <c r="M1027" i="14"/>
  <c r="L1029" i="14"/>
  <c r="M1029" i="14"/>
  <c r="L1026" i="14"/>
  <c r="M1026" i="14"/>
  <c r="L670" i="14"/>
  <c r="L1025" i="14"/>
  <c r="M1025" i="14"/>
  <c r="L1314" i="14"/>
  <c r="M1314" i="14"/>
  <c r="L1471" i="14"/>
  <c r="M1471" i="14"/>
  <c r="L1028" i="14"/>
  <c r="M707" i="14"/>
  <c r="C253" i="17"/>
  <c r="M708" i="14"/>
  <c r="C254" i="17"/>
  <c r="N1347" i="14"/>
  <c r="AB1347" i="14"/>
  <c r="AC1347" i="14"/>
  <c r="Y1347" i="14"/>
  <c r="M1347" i="14"/>
  <c r="S1347" i="14"/>
  <c r="V1347" i="14"/>
  <c r="AB895" i="14"/>
  <c r="M895" i="14"/>
  <c r="N895" i="14"/>
  <c r="AC895" i="14"/>
  <c r="S895" i="14"/>
  <c r="Y895" i="14"/>
  <c r="V895" i="14"/>
  <c r="C441" i="17"/>
  <c r="V877" i="14"/>
  <c r="N877" i="14"/>
  <c r="Y877" i="14"/>
  <c r="S877" i="14"/>
  <c r="M877" i="14"/>
  <c r="C423" i="17"/>
  <c r="AC877" i="14"/>
  <c r="AB877" i="14"/>
  <c r="N890" i="14"/>
  <c r="AB890" i="14"/>
  <c r="M890" i="14"/>
  <c r="C436" i="17"/>
  <c r="V890" i="14"/>
  <c r="AC890" i="14"/>
  <c r="S890" i="14"/>
  <c r="Y890" i="14"/>
  <c r="C432" i="17"/>
  <c r="D432" i="17"/>
  <c r="N886" i="14"/>
  <c r="AC886" i="14"/>
  <c r="Y886" i="14"/>
  <c r="S886" i="14"/>
  <c r="V886" i="14"/>
  <c r="M886" i="14"/>
  <c r="AB886" i="14"/>
  <c r="Y879" i="14"/>
  <c r="V879" i="14"/>
  <c r="N879" i="14"/>
  <c r="AB879" i="14"/>
  <c r="C425" i="17"/>
  <c r="D425" i="17"/>
  <c r="AC879" i="14"/>
  <c r="S879" i="14"/>
  <c r="M879" i="14"/>
  <c r="S463" i="14"/>
  <c r="Y463" i="14"/>
  <c r="AC463" i="14"/>
  <c r="M463" i="14"/>
  <c r="V463" i="14"/>
  <c r="N463" i="14"/>
  <c r="AB463" i="14"/>
  <c r="C9" i="17"/>
  <c r="D9" i="17"/>
  <c r="M462" i="14"/>
  <c r="C8" i="17"/>
  <c r="M918" i="14"/>
  <c r="C464" i="17"/>
  <c r="M722" i="14"/>
  <c r="C268" i="17"/>
  <c r="V1166" i="14"/>
  <c r="Y1166" i="14"/>
  <c r="AB1166" i="14"/>
  <c r="N1166" i="14"/>
  <c r="M1166" i="14"/>
  <c r="S1166" i="14"/>
  <c r="AC1166" i="14"/>
  <c r="G166" i="1"/>
  <c r="AX171" i="3"/>
  <c r="C228" i="17"/>
  <c r="M682" i="14"/>
  <c r="N1327" i="14"/>
  <c r="AB1327" i="14"/>
  <c r="Y1327" i="14"/>
  <c r="V1327" i="14"/>
  <c r="S1327" i="14"/>
  <c r="M1327" i="14"/>
  <c r="AC1327" i="14"/>
  <c r="M733" i="14"/>
  <c r="C279" i="17"/>
  <c r="M690" i="14"/>
  <c r="C236" i="17"/>
  <c r="AC1331" i="14"/>
  <c r="S1331" i="14"/>
  <c r="AB1331" i="14"/>
  <c r="Y1331" i="14"/>
  <c r="M1331" i="14"/>
  <c r="N1331" i="14"/>
  <c r="V1331" i="14"/>
  <c r="Y280" i="14"/>
  <c r="M280" i="14"/>
  <c r="V280" i="14"/>
  <c r="AC280" i="14"/>
  <c r="N280" i="14"/>
  <c r="AB280" i="14"/>
  <c r="S280" i="14"/>
  <c r="Y1023" i="14"/>
  <c r="AC1023" i="14"/>
  <c r="AB1023" i="14"/>
  <c r="V1023" i="14"/>
  <c r="S1023" i="14"/>
  <c r="N1023" i="14"/>
  <c r="M1023" i="14"/>
  <c r="AB1307" i="14"/>
  <c r="S1307" i="14"/>
  <c r="V1307" i="14"/>
  <c r="M1307" i="14"/>
  <c r="N1307" i="14"/>
  <c r="AC1307" i="14"/>
  <c r="Y1307" i="14"/>
  <c r="C454" i="17"/>
  <c r="M908" i="14"/>
  <c r="M645" i="14"/>
  <c r="C191" i="17"/>
  <c r="N1303" i="14"/>
  <c r="M1303" i="14"/>
  <c r="AC1303" i="14"/>
  <c r="Y1303" i="14"/>
  <c r="AB1303" i="14"/>
  <c r="V1303" i="14"/>
  <c r="S1303" i="14"/>
  <c r="M665" i="14"/>
  <c r="Y665" i="14"/>
  <c r="S665" i="14"/>
  <c r="V665" i="14"/>
  <c r="N665" i="14"/>
  <c r="AC665" i="14"/>
  <c r="C211" i="17"/>
  <c r="AB665" i="14"/>
  <c r="Y1305" i="14"/>
  <c r="AB1305" i="14"/>
  <c r="N1305" i="14"/>
  <c r="V1305" i="14"/>
  <c r="S1305" i="14"/>
  <c r="AC1305" i="14"/>
  <c r="M1305" i="14"/>
  <c r="M648" i="14"/>
  <c r="C194" i="17"/>
  <c r="AB654" i="14"/>
  <c r="Y654" i="14"/>
  <c r="C200" i="17"/>
  <c r="AC654" i="14"/>
  <c r="M654" i="14"/>
  <c r="N654" i="14"/>
  <c r="S654" i="14"/>
  <c r="V654" i="14"/>
  <c r="Y668" i="14"/>
  <c r="M668" i="14"/>
  <c r="N668" i="14"/>
  <c r="AC668" i="14"/>
  <c r="V668" i="14"/>
  <c r="AB668" i="14"/>
  <c r="C214" i="17"/>
  <c r="D214" i="17"/>
  <c r="S668" i="14"/>
  <c r="C212" i="17"/>
  <c r="M666" i="14"/>
  <c r="M653" i="14"/>
  <c r="N653" i="14"/>
  <c r="Y653" i="14"/>
  <c r="AC653" i="14"/>
  <c r="AB653" i="14"/>
  <c r="V653" i="14"/>
  <c r="C199" i="17"/>
  <c r="D199" i="17"/>
  <c r="S653" i="14"/>
  <c r="Y1309" i="14"/>
  <c r="AB1309" i="14"/>
  <c r="S1309" i="14"/>
  <c r="M1309" i="14"/>
  <c r="N1309" i="14"/>
  <c r="V1309" i="14"/>
  <c r="AC1309" i="14"/>
  <c r="L378" i="14"/>
  <c r="M378" i="14"/>
  <c r="L366" i="14"/>
  <c r="M366" i="14"/>
  <c r="L369" i="14"/>
  <c r="L375" i="14"/>
  <c r="L379" i="14"/>
  <c r="L373" i="14"/>
  <c r="L368" i="14"/>
  <c r="M368" i="14"/>
  <c r="L370" i="14"/>
  <c r="M370" i="14"/>
  <c r="L372" i="14"/>
  <c r="L371" i="14"/>
  <c r="L376" i="14"/>
  <c r="L374" i="14"/>
  <c r="L367" i="14"/>
  <c r="L377" i="14"/>
  <c r="M377" i="14"/>
  <c r="L302" i="14"/>
  <c r="M302" i="14"/>
  <c r="L304" i="14"/>
  <c r="M304" i="14"/>
  <c r="L303" i="14"/>
  <c r="M303" i="14"/>
  <c r="G65" i="1"/>
  <c r="G64" i="1"/>
  <c r="AX74" i="3"/>
  <c r="AI74" i="3"/>
  <c r="L754" i="14"/>
  <c r="L751" i="14"/>
  <c r="L1396" i="14"/>
  <c r="L1392" i="14"/>
  <c r="L1068" i="14"/>
  <c r="L757" i="14"/>
  <c r="L1397" i="14"/>
  <c r="L1072" i="14"/>
  <c r="M1072" i="14"/>
  <c r="L758" i="14"/>
  <c r="L756" i="14"/>
  <c r="L755" i="14"/>
  <c r="L1391" i="14"/>
  <c r="L1395" i="14"/>
  <c r="L760" i="14"/>
  <c r="L759" i="14"/>
  <c r="L750" i="14"/>
  <c r="L1070" i="14"/>
  <c r="M1070" i="14"/>
  <c r="L1073" i="14"/>
  <c r="L1067" i="14"/>
  <c r="M1067" i="14"/>
  <c r="L752" i="14"/>
  <c r="L753" i="14"/>
  <c r="L749" i="14"/>
  <c r="L1398" i="14"/>
  <c r="L1071" i="14"/>
  <c r="L1393" i="14"/>
  <c r="L1390" i="14"/>
  <c r="L1069" i="14"/>
  <c r="L1394" i="14"/>
  <c r="G53" i="1"/>
  <c r="AI63" i="3"/>
  <c r="V830" i="14"/>
  <c r="AB830" i="14"/>
  <c r="Y830" i="14"/>
  <c r="C376" i="17"/>
  <c r="D376" i="17"/>
  <c r="S830" i="14"/>
  <c r="M830" i="14"/>
  <c r="AC830" i="14"/>
  <c r="N830" i="14"/>
  <c r="AC838" i="14"/>
  <c r="Y838" i="14"/>
  <c r="C384" i="17"/>
  <c r="D384" i="17"/>
  <c r="AB838" i="14"/>
  <c r="M838" i="14"/>
  <c r="N838" i="14"/>
  <c r="V838" i="14"/>
  <c r="S838" i="14"/>
  <c r="N849" i="14"/>
  <c r="S849" i="14"/>
  <c r="V849" i="14"/>
  <c r="AB849" i="14"/>
  <c r="Y849" i="14"/>
  <c r="AC849" i="14"/>
  <c r="C395" i="17"/>
  <c r="D395" i="17"/>
  <c r="M849" i="14"/>
  <c r="AB848" i="14"/>
  <c r="M848" i="14"/>
  <c r="N848" i="14"/>
  <c r="AC848" i="14"/>
  <c r="V848" i="14"/>
  <c r="S848" i="14"/>
  <c r="C394" i="17"/>
  <c r="D394" i="17"/>
  <c r="Y848" i="14"/>
  <c r="C392" i="17"/>
  <c r="N846" i="14"/>
  <c r="AC846" i="14"/>
  <c r="S846" i="14"/>
  <c r="V846" i="14"/>
  <c r="M846" i="14"/>
  <c r="AB846" i="14"/>
  <c r="Y846" i="14"/>
  <c r="S835" i="14"/>
  <c r="N835" i="14"/>
  <c r="C381" i="17"/>
  <c r="D381" i="17"/>
  <c r="Y835" i="14"/>
  <c r="AC835" i="14"/>
  <c r="M835" i="14"/>
  <c r="AB835" i="14"/>
  <c r="V835" i="14"/>
  <c r="L1274" i="14"/>
  <c r="L1273" i="14"/>
  <c r="L629" i="14"/>
  <c r="L632" i="14"/>
  <c r="L1278" i="14"/>
  <c r="M1278" i="14"/>
  <c r="L631" i="14"/>
  <c r="L1272" i="14"/>
  <c r="M1272" i="14"/>
  <c r="L634" i="14"/>
  <c r="L1275" i="14"/>
  <c r="M1275" i="14"/>
  <c r="L1009" i="14"/>
  <c r="M1009" i="14"/>
  <c r="L1276" i="14"/>
  <c r="L633" i="14"/>
  <c r="L898" i="14"/>
  <c r="L630" i="14"/>
  <c r="L1008" i="14"/>
  <c r="M1008" i="14"/>
  <c r="L913" i="14"/>
  <c r="L914" i="14"/>
  <c r="L1277" i="14"/>
  <c r="M915" i="14"/>
  <c r="C461" i="17"/>
  <c r="M734" i="14"/>
  <c r="C280" i="17"/>
  <c r="M1376" i="14"/>
  <c r="V1376" i="14"/>
  <c r="AB1376" i="14"/>
  <c r="AC1376" i="14"/>
  <c r="Y1376" i="14"/>
  <c r="S1376" i="14"/>
  <c r="N1376" i="14"/>
  <c r="M473" i="14"/>
  <c r="C19" i="17"/>
  <c r="M912" i="14"/>
  <c r="C458" i="17"/>
  <c r="V801" i="14"/>
  <c r="Y801" i="14"/>
  <c r="C347" i="17"/>
  <c r="D347" i="17"/>
  <c r="AB801" i="14"/>
  <c r="AC801" i="14"/>
  <c r="M801" i="14"/>
  <c r="S801" i="14"/>
  <c r="N801" i="14"/>
  <c r="C344" i="17"/>
  <c r="M798" i="14"/>
  <c r="Y1438" i="14"/>
  <c r="N1438" i="14"/>
  <c r="AB1438" i="14"/>
  <c r="V1438" i="14"/>
  <c r="M1438" i="14"/>
  <c r="S1438" i="14"/>
  <c r="AC1438" i="14"/>
  <c r="AB1442" i="14"/>
  <c r="V1442" i="14"/>
  <c r="N1442" i="14"/>
  <c r="S1442" i="14"/>
  <c r="AC1442" i="14"/>
  <c r="M1442" i="14"/>
  <c r="Y1442" i="14"/>
  <c r="C287" i="17"/>
  <c r="M741" i="14"/>
  <c r="L263" i="14"/>
  <c r="M263" i="14"/>
  <c r="L265" i="14"/>
  <c r="M265" i="14"/>
  <c r="L264" i="14"/>
  <c r="L82" i="14"/>
  <c r="L83" i="14"/>
  <c r="M83" i="14"/>
  <c r="L80" i="14"/>
  <c r="L77" i="14"/>
  <c r="L76" i="14"/>
  <c r="M76" i="14"/>
  <c r="L81" i="14"/>
  <c r="M81" i="14"/>
  <c r="L79" i="14"/>
  <c r="M79" i="14"/>
  <c r="L78" i="14"/>
  <c r="AB74" i="14"/>
  <c r="Y74" i="14"/>
  <c r="M74" i="14"/>
  <c r="S74" i="14"/>
  <c r="N74" i="14"/>
  <c r="AC74" i="14"/>
  <c r="V74" i="14"/>
  <c r="L361" i="14"/>
  <c r="M361" i="14"/>
  <c r="L363" i="14"/>
  <c r="M363" i="14"/>
  <c r="L364" i="14"/>
  <c r="L359" i="14"/>
  <c r="M359" i="14"/>
  <c r="L360" i="14"/>
  <c r="L358" i="14"/>
  <c r="L362" i="14"/>
  <c r="L365" i="14"/>
  <c r="M365" i="14"/>
  <c r="L357" i="14"/>
  <c r="M357" i="14"/>
  <c r="AC1182" i="14"/>
  <c r="M1182" i="14"/>
  <c r="N1182" i="14"/>
  <c r="S1182" i="14"/>
  <c r="Y1182" i="14"/>
  <c r="V1182" i="14"/>
  <c r="AB1182" i="14"/>
  <c r="S1189" i="14"/>
  <c r="AB1189" i="14"/>
  <c r="AC1189" i="14"/>
  <c r="N1189" i="14"/>
  <c r="M1189" i="14"/>
  <c r="Y1189" i="14"/>
  <c r="V1189" i="14"/>
  <c r="C79" i="17"/>
  <c r="M533" i="14"/>
  <c r="S1190" i="14"/>
  <c r="AC1190" i="14"/>
  <c r="Y1190" i="14"/>
  <c r="N1190" i="14"/>
  <c r="V1190" i="14"/>
  <c r="AB1190" i="14"/>
  <c r="M1190" i="14"/>
  <c r="M532" i="14"/>
  <c r="AB532" i="14"/>
  <c r="S532" i="14"/>
  <c r="Y532" i="14"/>
  <c r="C78" i="17"/>
  <c r="N532" i="14"/>
  <c r="V532" i="14"/>
  <c r="AC532" i="14"/>
  <c r="N540" i="14"/>
  <c r="Y540" i="14"/>
  <c r="AC540" i="14"/>
  <c r="M540" i="14"/>
  <c r="S540" i="14"/>
  <c r="V540" i="14"/>
  <c r="C86" i="17"/>
  <c r="D86" i="17"/>
  <c r="AB540" i="14"/>
  <c r="C442" i="17"/>
  <c r="M896" i="14"/>
  <c r="V505" i="14"/>
  <c r="S505" i="14"/>
  <c r="Y505" i="14"/>
  <c r="AB505" i="14"/>
  <c r="AC505" i="14"/>
  <c r="N505" i="14"/>
  <c r="M505" i="14"/>
  <c r="C51" i="17"/>
  <c r="D51" i="17"/>
  <c r="M506" i="14"/>
  <c r="C52" i="17"/>
  <c r="AC509" i="14"/>
  <c r="Y509" i="14"/>
  <c r="C55" i="17"/>
  <c r="D55" i="17"/>
  <c r="N509" i="14"/>
  <c r="M509" i="14"/>
  <c r="S509" i="14"/>
  <c r="V509" i="14"/>
  <c r="AB509" i="14"/>
  <c r="AB480" i="14"/>
  <c r="M480" i="14"/>
  <c r="Y480" i="14"/>
  <c r="C26" i="17"/>
  <c r="V480" i="14"/>
  <c r="N480" i="14"/>
  <c r="AC480" i="14"/>
  <c r="S480" i="14"/>
  <c r="C23" i="17"/>
  <c r="M477" i="14"/>
  <c r="M1140" i="14"/>
  <c r="N1140" i="14"/>
  <c r="AC1140" i="14"/>
  <c r="S1140" i="14"/>
  <c r="Y1140" i="14"/>
  <c r="AB1140" i="14"/>
  <c r="V1140" i="14"/>
  <c r="Y1139" i="14"/>
  <c r="N1139" i="14"/>
  <c r="S1139" i="14"/>
  <c r="AC1139" i="14"/>
  <c r="M1139" i="14"/>
  <c r="V1139" i="14"/>
  <c r="AB1139" i="14"/>
  <c r="C445" i="17"/>
  <c r="M899" i="14"/>
  <c r="M1037" i="14"/>
  <c r="V1037" i="14"/>
  <c r="AB1037" i="14"/>
  <c r="N1037" i="14"/>
  <c r="Y1037" i="14"/>
  <c r="AC1037" i="14"/>
  <c r="S1037" i="14"/>
  <c r="G130" i="1"/>
  <c r="AX134" i="3"/>
  <c r="AC1039" i="14"/>
  <c r="AB1039" i="14"/>
  <c r="V1039" i="14"/>
  <c r="S1039" i="14"/>
  <c r="Y1039" i="14"/>
  <c r="N1039" i="14"/>
  <c r="M1039" i="14"/>
  <c r="S1038" i="14"/>
  <c r="AC1038" i="14"/>
  <c r="V1038" i="14"/>
  <c r="N1038" i="14"/>
  <c r="M1038" i="14"/>
  <c r="Y1038" i="14"/>
  <c r="AB1038" i="14"/>
  <c r="M695" i="14"/>
  <c r="C241" i="17"/>
  <c r="L307" i="14"/>
  <c r="L306" i="14"/>
  <c r="C221" i="17"/>
  <c r="M675" i="14"/>
  <c r="G89" i="1"/>
  <c r="AX97" i="3"/>
  <c r="L272" i="14"/>
  <c r="L271" i="14"/>
  <c r="M271" i="14"/>
  <c r="L274" i="14"/>
  <c r="M274" i="14"/>
  <c r="L273" i="14"/>
  <c r="M273" i="14"/>
  <c r="Y552" i="14"/>
  <c r="AC552" i="14"/>
  <c r="N552" i="14"/>
  <c r="M552" i="14"/>
  <c r="C98" i="17"/>
  <c r="AB552" i="14"/>
  <c r="V552" i="14"/>
  <c r="S552" i="14"/>
  <c r="V555" i="14"/>
  <c r="C101" i="17"/>
  <c r="S555" i="14"/>
  <c r="Y555" i="14"/>
  <c r="M555" i="14"/>
  <c r="AC555" i="14"/>
  <c r="N555" i="14"/>
  <c r="AB555" i="14"/>
  <c r="AC1197" i="14"/>
  <c r="V1197" i="14"/>
  <c r="M1197" i="14"/>
  <c r="S1197" i="14"/>
  <c r="N1197" i="14"/>
  <c r="Y1197" i="14"/>
  <c r="AB1197" i="14"/>
  <c r="M545" i="14"/>
  <c r="C91" i="17"/>
  <c r="V548" i="14"/>
  <c r="C94" i="17"/>
  <c r="D94" i="17"/>
  <c r="AB548" i="14"/>
  <c r="S548" i="14"/>
  <c r="M548" i="14"/>
  <c r="Y548" i="14"/>
  <c r="N548" i="14"/>
  <c r="AC548" i="14"/>
  <c r="Y1220" i="14"/>
  <c r="M1220" i="14"/>
  <c r="S1220" i="14"/>
  <c r="AB1220" i="14"/>
  <c r="AC1220" i="14"/>
  <c r="V1220" i="14"/>
  <c r="N1220" i="14"/>
  <c r="AC571" i="14"/>
  <c r="Y571" i="14"/>
  <c r="S571" i="14"/>
  <c r="M571" i="14"/>
  <c r="N571" i="14"/>
  <c r="AB571" i="14"/>
  <c r="C117" i="17"/>
  <c r="V571" i="14"/>
  <c r="Y565" i="14"/>
  <c r="AC565" i="14"/>
  <c r="N565" i="14"/>
  <c r="AB565" i="14"/>
  <c r="V565" i="14"/>
  <c r="S565" i="14"/>
  <c r="M565" i="14"/>
  <c r="C111" i="17"/>
  <c r="M569" i="14"/>
  <c r="C115" i="17"/>
  <c r="D115" i="17"/>
  <c r="N569" i="14"/>
  <c r="Y569" i="14"/>
  <c r="V569" i="14"/>
  <c r="AC569" i="14"/>
  <c r="AB569" i="14"/>
  <c r="S569" i="14"/>
  <c r="S981" i="14"/>
  <c r="AC981" i="14"/>
  <c r="N981" i="14"/>
  <c r="M981" i="14"/>
  <c r="Y981" i="14"/>
  <c r="V981" i="14"/>
  <c r="AB981" i="14"/>
  <c r="C443" i="17"/>
  <c r="M897" i="14"/>
  <c r="S568" i="14"/>
  <c r="AC568" i="14"/>
  <c r="N568" i="14"/>
  <c r="V568" i="14"/>
  <c r="Y568" i="14"/>
  <c r="AB568" i="14"/>
  <c r="M568" i="14"/>
  <c r="C114" i="17"/>
  <c r="AB1429" i="14"/>
  <c r="V1429" i="14"/>
  <c r="Y1429" i="14"/>
  <c r="M1429" i="14"/>
  <c r="N1429" i="14"/>
  <c r="AC1429" i="14"/>
  <c r="S1429" i="14"/>
  <c r="M787" i="14"/>
  <c r="C333" i="17"/>
  <c r="C451" i="17"/>
  <c r="M905" i="14"/>
  <c r="M459" i="14"/>
  <c r="C5" i="17"/>
  <c r="N1389" i="14"/>
  <c r="AC1389" i="14"/>
  <c r="V1389" i="14"/>
  <c r="AB1389" i="14"/>
  <c r="Y1389" i="14"/>
  <c r="S1389" i="14"/>
  <c r="M1389" i="14"/>
  <c r="S1064" i="14"/>
  <c r="AB1064" i="14"/>
  <c r="N1064" i="14"/>
  <c r="M1064" i="14"/>
  <c r="V1064" i="14"/>
  <c r="Y1064" i="14"/>
  <c r="AC1064" i="14"/>
  <c r="M819" i="14"/>
  <c r="C365" i="17"/>
  <c r="AB727" i="14"/>
  <c r="C273" i="17"/>
  <c r="D273" i="17"/>
  <c r="AC727" i="14"/>
  <c r="N727" i="14"/>
  <c r="Y727" i="14"/>
  <c r="S727" i="14"/>
  <c r="V727" i="14"/>
  <c r="M727" i="14"/>
  <c r="C272" i="17"/>
  <c r="M726" i="14"/>
  <c r="L248" i="14"/>
  <c r="L247" i="14"/>
  <c r="M247" i="14"/>
  <c r="L237" i="14"/>
  <c r="L240" i="14"/>
  <c r="L236" i="14"/>
  <c r="M236" i="14"/>
  <c r="L238" i="14"/>
  <c r="M238" i="14"/>
  <c r="L239" i="14"/>
  <c r="M239" i="14"/>
  <c r="L189" i="14"/>
  <c r="L188" i="14"/>
  <c r="L318" i="14"/>
  <c r="L319" i="14"/>
  <c r="L316" i="14"/>
  <c r="L313" i="14"/>
  <c r="L321" i="14"/>
  <c r="L317" i="14"/>
  <c r="L311" i="14"/>
  <c r="M311" i="14"/>
  <c r="L310" i="14"/>
  <c r="L312" i="14"/>
  <c r="L320" i="14"/>
  <c r="L315" i="14"/>
  <c r="M315" i="14"/>
  <c r="L314" i="14"/>
  <c r="S75" i="14"/>
  <c r="N75" i="14"/>
  <c r="Y75" i="14"/>
  <c r="AC75" i="14"/>
  <c r="V75" i="14"/>
  <c r="M75" i="14"/>
  <c r="AB75" i="14"/>
  <c r="AX150" i="3"/>
  <c r="G146" i="1"/>
  <c r="G108" i="1"/>
  <c r="AX115" i="3"/>
  <c r="M497" i="14"/>
  <c r="C43" i="17"/>
  <c r="V1152" i="14"/>
  <c r="S1152" i="14"/>
  <c r="M1152" i="14"/>
  <c r="N1152" i="14"/>
  <c r="Y1152" i="14"/>
  <c r="AB1152" i="14"/>
  <c r="AC1152" i="14"/>
  <c r="C74" i="17"/>
  <c r="M528" i="14"/>
  <c r="M526" i="14"/>
  <c r="C72" i="17"/>
  <c r="V1357" i="14"/>
  <c r="N1357" i="14"/>
  <c r="AC1357" i="14"/>
  <c r="S1357" i="14"/>
  <c r="M1357" i="14"/>
  <c r="AB1357" i="14"/>
  <c r="Y1357" i="14"/>
  <c r="S1358" i="14"/>
  <c r="V1358" i="14"/>
  <c r="M1358" i="14"/>
  <c r="AB1358" i="14"/>
  <c r="AC1358" i="14"/>
  <c r="N1358" i="14"/>
  <c r="Y1358" i="14"/>
  <c r="C248" i="17"/>
  <c r="M702" i="14"/>
  <c r="Y1411" i="14"/>
  <c r="AB1411" i="14"/>
  <c r="AC1411" i="14"/>
  <c r="N1411" i="14"/>
  <c r="V1411" i="14"/>
  <c r="S1411" i="14"/>
  <c r="M1411" i="14"/>
  <c r="AC775" i="14"/>
  <c r="Y775" i="14"/>
  <c r="AB775" i="14"/>
  <c r="M775" i="14"/>
  <c r="C321" i="17"/>
  <c r="N775" i="14"/>
  <c r="S775" i="14"/>
  <c r="V775" i="14"/>
  <c r="AC1093" i="14"/>
  <c r="M1093" i="14"/>
  <c r="V1093" i="14"/>
  <c r="N1093" i="14"/>
  <c r="Y1093" i="14"/>
  <c r="S1093" i="14"/>
  <c r="AB1093" i="14"/>
  <c r="G147" i="1"/>
  <c r="AX151" i="3"/>
  <c r="AC1472" i="14"/>
  <c r="Y1472" i="14"/>
  <c r="M1472" i="14"/>
  <c r="N1472" i="14"/>
  <c r="AB1472" i="14"/>
  <c r="S1472" i="14"/>
  <c r="V1472" i="14"/>
  <c r="M740" i="14"/>
  <c r="V740" i="14"/>
  <c r="S740" i="14"/>
  <c r="AB740" i="14"/>
  <c r="Y740" i="14"/>
  <c r="C286" i="17"/>
  <c r="D286" i="17"/>
  <c r="N740" i="14"/>
  <c r="AC740" i="14"/>
  <c r="S1381" i="14"/>
  <c r="M1381" i="14"/>
  <c r="AB1381" i="14"/>
  <c r="N1381" i="14"/>
  <c r="AC1381" i="14"/>
  <c r="V1381" i="14"/>
  <c r="Y1381" i="14"/>
  <c r="M1222" i="14"/>
  <c r="AB1222" i="14"/>
  <c r="N1222" i="14"/>
  <c r="AC1222" i="14"/>
  <c r="S1222" i="14"/>
  <c r="V1222" i="14"/>
  <c r="Y1222" i="14"/>
  <c r="S982" i="14"/>
  <c r="AB982" i="14"/>
  <c r="Y982" i="14"/>
  <c r="AC982" i="14"/>
  <c r="V982" i="14"/>
  <c r="N982" i="14"/>
  <c r="M982" i="14"/>
  <c r="M904" i="14"/>
  <c r="C450" i="17"/>
  <c r="C329" i="17"/>
  <c r="M783" i="14"/>
  <c r="M1424" i="14"/>
  <c r="V1424" i="14"/>
  <c r="N1424" i="14"/>
  <c r="S1424" i="14"/>
  <c r="Y1424" i="14"/>
  <c r="AC1424" i="14"/>
  <c r="AB1424" i="14"/>
  <c r="C330" i="17"/>
  <c r="Y784" i="14"/>
  <c r="M784" i="14"/>
  <c r="AB784" i="14"/>
  <c r="N784" i="14"/>
  <c r="V784" i="14"/>
  <c r="S784" i="14"/>
  <c r="AC784" i="14"/>
  <c r="M910" i="14"/>
  <c r="C456" i="17"/>
  <c r="M785" i="14"/>
  <c r="AB785" i="14"/>
  <c r="S785" i="14"/>
  <c r="C331" i="17"/>
  <c r="D331" i="17"/>
  <c r="Y785" i="14"/>
  <c r="V785" i="14"/>
  <c r="N785" i="14"/>
  <c r="AC785" i="14"/>
  <c r="AB821" i="14"/>
  <c r="AC821" i="14"/>
  <c r="N821" i="14"/>
  <c r="V821" i="14"/>
  <c r="Y821" i="14"/>
  <c r="M821" i="14"/>
  <c r="C367" i="17"/>
  <c r="D367" i="17"/>
  <c r="S821" i="14"/>
  <c r="C165" i="17"/>
  <c r="M619" i="14"/>
  <c r="S624" i="14"/>
  <c r="C170" i="17"/>
  <c r="AC624" i="14"/>
  <c r="AB624" i="14"/>
  <c r="V624" i="14"/>
  <c r="Y624" i="14"/>
  <c r="N624" i="14"/>
  <c r="M624" i="14"/>
  <c r="S1260" i="14"/>
  <c r="M1260" i="14"/>
  <c r="N1260" i="14"/>
  <c r="AC1260" i="14"/>
  <c r="V1260" i="14"/>
  <c r="Y1260" i="14"/>
  <c r="AB1260" i="14"/>
  <c r="C168" i="17"/>
  <c r="M622" i="14"/>
  <c r="N626" i="14"/>
  <c r="C172" i="17"/>
  <c r="AB626" i="14"/>
  <c r="V626" i="14"/>
  <c r="Y626" i="14"/>
  <c r="S626" i="14"/>
  <c r="AC626" i="14"/>
  <c r="M626" i="14"/>
  <c r="Y1004" i="14"/>
  <c r="V1004" i="14"/>
  <c r="AC1004" i="14"/>
  <c r="AB1004" i="14"/>
  <c r="S1004" i="14"/>
  <c r="M1004" i="14"/>
  <c r="N1004" i="14"/>
  <c r="L36" i="14"/>
  <c r="L35" i="14"/>
  <c r="M35" i="14"/>
  <c r="S606" i="14"/>
  <c r="V606" i="14"/>
  <c r="AC606" i="14"/>
  <c r="C152" i="17"/>
  <c r="AB606" i="14"/>
  <c r="Y606" i="14"/>
  <c r="M606" i="14"/>
  <c r="N606" i="14"/>
  <c r="S1237" i="14"/>
  <c r="AC1237" i="14"/>
  <c r="AB1237" i="14"/>
  <c r="N1237" i="14"/>
  <c r="M1237" i="14"/>
  <c r="Y1237" i="14"/>
  <c r="V1237" i="14"/>
  <c r="C155" i="17"/>
  <c r="D155" i="17"/>
  <c r="Y609" i="14"/>
  <c r="S609" i="14"/>
  <c r="AC609" i="14"/>
  <c r="AB609" i="14"/>
  <c r="V609" i="14"/>
  <c r="M609" i="14"/>
  <c r="N609" i="14"/>
  <c r="M1257" i="14"/>
  <c r="Y1257" i="14"/>
  <c r="V1257" i="14"/>
  <c r="N1257" i="14"/>
  <c r="AC1257" i="14"/>
  <c r="S1257" i="14"/>
  <c r="AB1257" i="14"/>
  <c r="C131" i="17"/>
  <c r="D131" i="17"/>
  <c r="S585" i="14"/>
  <c r="V585" i="14"/>
  <c r="AC585" i="14"/>
  <c r="AB585" i="14"/>
  <c r="N585" i="14"/>
  <c r="M585" i="14"/>
  <c r="Y585" i="14"/>
  <c r="AB587" i="14"/>
  <c r="AC587" i="14"/>
  <c r="Y587" i="14"/>
  <c r="V587" i="14"/>
  <c r="S587" i="14"/>
  <c r="N587" i="14"/>
  <c r="M587" i="14"/>
  <c r="C133" i="17"/>
  <c r="D133" i="17"/>
  <c r="C151" i="17"/>
  <c r="M605" i="14"/>
  <c r="C143" i="17"/>
  <c r="M597" i="14"/>
  <c r="M599" i="14"/>
  <c r="C145" i="17"/>
  <c r="C469" i="17"/>
  <c r="M923" i="14"/>
  <c r="L276" i="14"/>
  <c r="L278" i="14"/>
  <c r="L277" i="14"/>
  <c r="N766" i="14"/>
  <c r="S766" i="14"/>
  <c r="AC766" i="14"/>
  <c r="AB766" i="14"/>
  <c r="M766" i="14"/>
  <c r="Y766" i="14"/>
  <c r="V766" i="14"/>
  <c r="C312" i="17"/>
  <c r="S1085" i="14"/>
  <c r="AC1085" i="14"/>
  <c r="AB1085" i="14"/>
  <c r="Y1085" i="14"/>
  <c r="V1085" i="14"/>
  <c r="N1085" i="14"/>
  <c r="M1085" i="14"/>
  <c r="V1400" i="14"/>
  <c r="AC1400" i="14"/>
  <c r="S1400" i="14"/>
  <c r="AB1400" i="14"/>
  <c r="N1400" i="14"/>
  <c r="M1400" i="14"/>
  <c r="Y1400" i="14"/>
  <c r="M1075" i="14"/>
  <c r="Y1075" i="14"/>
  <c r="V1075" i="14"/>
  <c r="AC1075" i="14"/>
  <c r="S1075" i="14"/>
  <c r="AB1075" i="14"/>
  <c r="N1075" i="14"/>
  <c r="S1404" i="14"/>
  <c r="M1404" i="14"/>
  <c r="N1404" i="14"/>
  <c r="V1404" i="14"/>
  <c r="AC1404" i="14"/>
  <c r="Y1404" i="14"/>
  <c r="AB1404" i="14"/>
  <c r="L24" i="14"/>
  <c r="L25" i="14"/>
  <c r="L23" i="14"/>
  <c r="M23" i="14"/>
  <c r="AC60" i="14"/>
  <c r="M60" i="14"/>
  <c r="V60" i="14"/>
  <c r="N60" i="14"/>
  <c r="S60" i="14"/>
  <c r="AB60" i="14"/>
  <c r="Y60" i="14"/>
  <c r="L348" i="14"/>
  <c r="M348" i="14"/>
  <c r="L352" i="14"/>
  <c r="L350" i="14"/>
  <c r="L351" i="14"/>
  <c r="M351" i="14"/>
  <c r="L349" i="14"/>
  <c r="AC859" i="14"/>
  <c r="V859" i="14"/>
  <c r="Y859" i="14"/>
  <c r="M859" i="14"/>
  <c r="S859" i="14"/>
  <c r="AB859" i="14"/>
  <c r="C405" i="17"/>
  <c r="N859" i="14"/>
  <c r="AC852" i="14"/>
  <c r="M852" i="14"/>
  <c r="S852" i="14"/>
  <c r="V852" i="14"/>
  <c r="Y852" i="14"/>
  <c r="N852" i="14"/>
  <c r="C398" i="17"/>
  <c r="AB852" i="14"/>
  <c r="AC872" i="14"/>
  <c r="C418" i="17"/>
  <c r="D418" i="17"/>
  <c r="AB872" i="14"/>
  <c r="N872" i="14"/>
  <c r="M872" i="14"/>
  <c r="Y872" i="14"/>
  <c r="S872" i="14"/>
  <c r="V872" i="14"/>
  <c r="S865" i="14"/>
  <c r="V865" i="14"/>
  <c r="N865" i="14"/>
  <c r="C411" i="17"/>
  <c r="D411" i="17"/>
  <c r="M865" i="14"/>
  <c r="AC865" i="14"/>
  <c r="AB865" i="14"/>
  <c r="Y865" i="14"/>
  <c r="AB873" i="14"/>
  <c r="N873" i="14"/>
  <c r="C419" i="17"/>
  <c r="M873" i="14"/>
  <c r="AC873" i="14"/>
  <c r="Y873" i="14"/>
  <c r="S873" i="14"/>
  <c r="V873" i="14"/>
  <c r="AB861" i="14"/>
  <c r="AC861" i="14"/>
  <c r="S861" i="14"/>
  <c r="N861" i="14"/>
  <c r="C407" i="17"/>
  <c r="D407" i="17"/>
  <c r="M861" i="14"/>
  <c r="V861" i="14"/>
  <c r="Y861" i="14"/>
  <c r="M705" i="14"/>
  <c r="C251" i="17"/>
  <c r="Y882" i="14"/>
  <c r="N882" i="14"/>
  <c r="M882" i="14"/>
  <c r="S882" i="14"/>
  <c r="AB882" i="14"/>
  <c r="C428" i="17"/>
  <c r="D428" i="17"/>
  <c r="AC882" i="14"/>
  <c r="V882" i="14"/>
  <c r="N891" i="14"/>
  <c r="C437" i="17"/>
  <c r="S891" i="14"/>
  <c r="V891" i="14"/>
  <c r="AB891" i="14"/>
  <c r="AC891" i="14"/>
  <c r="Y891" i="14"/>
  <c r="M891" i="14"/>
  <c r="AC887" i="14"/>
  <c r="AB887" i="14"/>
  <c r="M887" i="14"/>
  <c r="C433" i="17"/>
  <c r="S887" i="14"/>
  <c r="Y887" i="14"/>
  <c r="V887" i="14"/>
  <c r="N887" i="14"/>
  <c r="C431" i="17"/>
  <c r="D431" i="17"/>
  <c r="Y885" i="14"/>
  <c r="N885" i="14"/>
  <c r="M885" i="14"/>
  <c r="AC885" i="14"/>
  <c r="V885" i="14"/>
  <c r="AB885" i="14"/>
  <c r="S885" i="14"/>
  <c r="V875" i="14"/>
  <c r="Y875" i="14"/>
  <c r="AB875" i="14"/>
  <c r="S875" i="14"/>
  <c r="M875" i="14"/>
  <c r="N875" i="14"/>
  <c r="C421" i="17"/>
  <c r="AC875" i="14"/>
  <c r="C435" i="17"/>
  <c r="D435" i="17"/>
  <c r="Y889" i="14"/>
  <c r="V889" i="14"/>
  <c r="AC889" i="14"/>
  <c r="M889" i="14"/>
  <c r="S889" i="14"/>
  <c r="N889" i="14"/>
  <c r="AB889" i="14"/>
  <c r="M906" i="14"/>
  <c r="C452" i="17"/>
  <c r="AC932" i="14"/>
  <c r="V932" i="14"/>
  <c r="M932" i="14"/>
  <c r="AB932" i="14"/>
  <c r="N932" i="14"/>
  <c r="S932" i="14"/>
  <c r="Y932" i="14"/>
  <c r="AB1119" i="14"/>
  <c r="N1119" i="14"/>
  <c r="V1119" i="14"/>
  <c r="M1119" i="14"/>
  <c r="AC1119" i="14"/>
  <c r="Y1119" i="14"/>
  <c r="S1119" i="14"/>
  <c r="AB723" i="14"/>
  <c r="AC723" i="14"/>
  <c r="V723" i="14"/>
  <c r="M723" i="14"/>
  <c r="N723" i="14"/>
  <c r="S723" i="14"/>
  <c r="C269" i="17"/>
  <c r="Y723" i="14"/>
  <c r="AC513" i="14"/>
  <c r="V513" i="14"/>
  <c r="N513" i="14"/>
  <c r="M513" i="14"/>
  <c r="S513" i="14"/>
  <c r="Y513" i="14"/>
  <c r="C59" i="17"/>
  <c r="D59" i="17"/>
  <c r="AB513" i="14"/>
  <c r="V683" i="14"/>
  <c r="S683" i="14"/>
  <c r="AC683" i="14"/>
  <c r="M683" i="14"/>
  <c r="Y683" i="14"/>
  <c r="C229" i="17"/>
  <c r="D229" i="17"/>
  <c r="N683" i="14"/>
  <c r="AB683" i="14"/>
  <c r="L672" i="14"/>
  <c r="L1315" i="14"/>
  <c r="M1315" i="14"/>
  <c r="L671" i="14"/>
  <c r="L1316" i="14"/>
  <c r="M1316" i="14"/>
  <c r="L1030" i="14"/>
  <c r="M1030" i="14"/>
  <c r="L673" i="14"/>
  <c r="AC1371" i="14"/>
  <c r="N1371" i="14"/>
  <c r="V1371" i="14"/>
  <c r="S1371" i="14"/>
  <c r="M1371" i="14"/>
  <c r="Y1371" i="14"/>
  <c r="AB1371" i="14"/>
  <c r="M732" i="14"/>
  <c r="C278" i="17"/>
  <c r="AB730" i="14"/>
  <c r="AC730" i="14"/>
  <c r="M730" i="14"/>
  <c r="N730" i="14"/>
  <c r="C276" i="17"/>
  <c r="D276" i="17"/>
  <c r="Y730" i="14"/>
  <c r="S730" i="14"/>
  <c r="V730" i="14"/>
  <c r="C234" i="17"/>
  <c r="M688" i="14"/>
  <c r="AC697" i="14"/>
  <c r="C243" i="17"/>
  <c r="D243" i="17"/>
  <c r="N697" i="14"/>
  <c r="V697" i="14"/>
  <c r="M697" i="14"/>
  <c r="S697" i="14"/>
  <c r="AB697" i="14"/>
  <c r="Y697" i="14"/>
  <c r="V281" i="14"/>
  <c r="N281" i="14"/>
  <c r="Y281" i="14"/>
  <c r="AB281" i="14"/>
  <c r="AC281" i="14"/>
  <c r="M281" i="14"/>
  <c r="S281" i="14"/>
  <c r="L284" i="14"/>
  <c r="L283" i="14"/>
  <c r="M283" i="14"/>
  <c r="L282" i="14"/>
  <c r="M282" i="14"/>
  <c r="V647" i="14"/>
  <c r="Y647" i="14"/>
  <c r="C193" i="17"/>
  <c r="N647" i="14"/>
  <c r="M647" i="14"/>
  <c r="AB647" i="14"/>
  <c r="S647" i="14"/>
  <c r="AC647" i="14"/>
  <c r="M643" i="14"/>
  <c r="C189" i="17"/>
  <c r="AC1301" i="14"/>
  <c r="N1301" i="14"/>
  <c r="V1301" i="14"/>
  <c r="AB1301" i="14"/>
  <c r="S1301" i="14"/>
  <c r="Y1301" i="14"/>
  <c r="M1301" i="14"/>
  <c r="M669" i="14"/>
  <c r="C215" i="17"/>
  <c r="Y1288" i="14"/>
  <c r="AC1288" i="14"/>
  <c r="M1288" i="14"/>
  <c r="S1288" i="14"/>
  <c r="V1288" i="14"/>
  <c r="N1288" i="14"/>
  <c r="AB1288" i="14"/>
  <c r="AB1297" i="14"/>
  <c r="S1297" i="14"/>
  <c r="Y1297" i="14"/>
  <c r="V1297" i="14"/>
  <c r="M1297" i="14"/>
  <c r="AC1297" i="14"/>
  <c r="N1297" i="14"/>
  <c r="S1294" i="14"/>
  <c r="AB1294" i="14"/>
  <c r="Y1294" i="14"/>
  <c r="M1294" i="14"/>
  <c r="V1294" i="14"/>
  <c r="N1294" i="14"/>
  <c r="AC1294" i="14"/>
  <c r="AB649" i="14"/>
  <c r="Y649" i="14"/>
  <c r="V649" i="14"/>
  <c r="AC649" i="14"/>
  <c r="M649" i="14"/>
  <c r="N649" i="14"/>
  <c r="C195" i="17"/>
  <c r="D195" i="17"/>
  <c r="S649" i="14"/>
  <c r="V660" i="14"/>
  <c r="S660" i="14"/>
  <c r="Y660" i="14"/>
  <c r="AB660" i="14"/>
  <c r="M660" i="14"/>
  <c r="AC660" i="14"/>
  <c r="C206" i="17"/>
  <c r="D206" i="17"/>
  <c r="N660" i="14"/>
  <c r="N663" i="14"/>
  <c r="V663" i="14"/>
  <c r="M663" i="14"/>
  <c r="S663" i="14"/>
  <c r="Y663" i="14"/>
  <c r="AB663" i="14"/>
  <c r="C209" i="17"/>
  <c r="AC663" i="14"/>
  <c r="L31" i="14"/>
  <c r="L30" i="14"/>
  <c r="M30" i="14"/>
  <c r="L233" i="14"/>
  <c r="M233" i="14"/>
  <c r="L232" i="14"/>
  <c r="M232" i="14"/>
  <c r="L234" i="14"/>
  <c r="L202" i="14"/>
  <c r="M202" i="14"/>
  <c r="L203" i="14"/>
  <c r="M203" i="14"/>
  <c r="L201" i="14"/>
  <c r="L200" i="14"/>
  <c r="M200" i="14"/>
  <c r="L198" i="14"/>
  <c r="M198" i="14"/>
  <c r="L196" i="14"/>
  <c r="M196" i="14"/>
  <c r="L199" i="14"/>
  <c r="L197" i="14"/>
  <c r="V1167" i="14"/>
  <c r="S1167" i="14"/>
  <c r="AB1167" i="14"/>
  <c r="AC1167" i="14"/>
  <c r="M1167" i="14"/>
  <c r="Y1167" i="14"/>
  <c r="N1167" i="14"/>
  <c r="L990" i="14"/>
  <c r="M990" i="14"/>
  <c r="L1225" i="14"/>
  <c r="M1225" i="14"/>
  <c r="L992" i="14"/>
  <c r="L582" i="14"/>
  <c r="L995" i="14"/>
  <c r="L993" i="14"/>
  <c r="M993" i="14"/>
  <c r="L577" i="14"/>
  <c r="L583" i="14"/>
  <c r="L988" i="14"/>
  <c r="M988" i="14"/>
  <c r="L581" i="14"/>
  <c r="L580" i="14"/>
  <c r="L579" i="14"/>
  <c r="L991" i="14"/>
  <c r="L1226" i="14"/>
  <c r="L578" i="14"/>
  <c r="L996" i="14"/>
  <c r="L1228" i="14"/>
  <c r="L989" i="14"/>
  <c r="L994" i="14"/>
  <c r="L987" i="14"/>
  <c r="M987" i="14"/>
  <c r="L1227" i="14"/>
  <c r="S843" i="14"/>
  <c r="C389" i="17"/>
  <c r="D389" i="17"/>
  <c r="M843" i="14"/>
  <c r="N843" i="14"/>
  <c r="V843" i="14"/>
  <c r="Y843" i="14"/>
  <c r="AC843" i="14"/>
  <c r="AB843" i="14"/>
  <c r="S841" i="14"/>
  <c r="C387" i="17"/>
  <c r="D387" i="17"/>
  <c r="AC841" i="14"/>
  <c r="Y841" i="14"/>
  <c r="V841" i="14"/>
  <c r="AB841" i="14"/>
  <c r="M841" i="14"/>
  <c r="N841" i="14"/>
  <c r="AB831" i="14"/>
  <c r="M831" i="14"/>
  <c r="N831" i="14"/>
  <c r="C377" i="17"/>
  <c r="D377" i="17"/>
  <c r="Y831" i="14"/>
  <c r="AC831" i="14"/>
  <c r="S831" i="14"/>
  <c r="V831" i="14"/>
  <c r="C372" i="17"/>
  <c r="M826" i="14"/>
  <c r="Y840" i="14"/>
  <c r="AC840" i="14"/>
  <c r="N840" i="14"/>
  <c r="M840" i="14"/>
  <c r="C386" i="17"/>
  <c r="S840" i="14"/>
  <c r="AB840" i="14"/>
  <c r="V840" i="14"/>
  <c r="Y828" i="14"/>
  <c r="S828" i="14"/>
  <c r="C374" i="17"/>
  <c r="V828" i="14"/>
  <c r="AB828" i="14"/>
  <c r="AC828" i="14"/>
  <c r="N828" i="14"/>
  <c r="M828" i="14"/>
  <c r="N836" i="14"/>
  <c r="M836" i="14"/>
  <c r="Y836" i="14"/>
  <c r="AC836" i="14"/>
  <c r="V836" i="14"/>
  <c r="C382" i="17"/>
  <c r="D382" i="17"/>
  <c r="S836" i="14"/>
  <c r="AB836" i="14"/>
  <c r="G110" i="1"/>
  <c r="AX117" i="3"/>
  <c r="C281" i="17"/>
  <c r="M735" i="14"/>
  <c r="Y735" i="14"/>
  <c r="AC735" i="14"/>
  <c r="S735" i="14"/>
  <c r="AB735" i="14"/>
  <c r="N735" i="14"/>
  <c r="V735" i="14"/>
  <c r="M1130" i="14"/>
  <c r="AB1130" i="14"/>
  <c r="Y1130" i="14"/>
  <c r="N1130" i="14"/>
  <c r="S1130" i="14"/>
  <c r="V1130" i="14"/>
  <c r="AC1130" i="14"/>
  <c r="S1111" i="14"/>
  <c r="N1111" i="14"/>
  <c r="AC1111" i="14"/>
  <c r="Y1111" i="14"/>
  <c r="AB1111" i="14"/>
  <c r="M1111" i="14"/>
  <c r="V1111" i="14"/>
  <c r="V1107" i="14"/>
  <c r="AC1107" i="14"/>
  <c r="N1107" i="14"/>
  <c r="Y1107" i="14"/>
  <c r="M1107" i="14"/>
  <c r="S1107" i="14"/>
  <c r="AB1107" i="14"/>
  <c r="S1108" i="14"/>
  <c r="N1108" i="14"/>
  <c r="V1108" i="14"/>
  <c r="AC1108" i="14"/>
  <c r="M1108" i="14"/>
  <c r="Y1108" i="14"/>
  <c r="AB1108" i="14"/>
  <c r="Y797" i="14"/>
  <c r="AB797" i="14"/>
  <c r="S797" i="14"/>
  <c r="V797" i="14"/>
  <c r="M797" i="14"/>
  <c r="AC797" i="14"/>
  <c r="C343" i="17"/>
  <c r="D343" i="17"/>
  <c r="N797" i="14"/>
  <c r="C288" i="17"/>
  <c r="M742" i="14"/>
  <c r="L136" i="14"/>
  <c r="M136" i="14"/>
  <c r="L134" i="14"/>
  <c r="M134" i="14"/>
  <c r="L135" i="14"/>
  <c r="L137" i="14"/>
  <c r="M137" i="14"/>
  <c r="N502" i="14"/>
  <c r="AB502" i="14"/>
  <c r="V502" i="14"/>
  <c r="AC502" i="14"/>
  <c r="M502" i="14"/>
  <c r="C48" i="17"/>
  <c r="Y502" i="14"/>
  <c r="S502" i="14"/>
  <c r="V1183" i="14"/>
  <c r="Y1183" i="14"/>
  <c r="N1183" i="14"/>
  <c r="S1183" i="14"/>
  <c r="M1183" i="14"/>
  <c r="AC1183" i="14"/>
  <c r="AB1183" i="14"/>
  <c r="Y1195" i="14"/>
  <c r="N1195" i="14"/>
  <c r="AB1195" i="14"/>
  <c r="M1195" i="14"/>
  <c r="V1195" i="14"/>
  <c r="S1195" i="14"/>
  <c r="AC1195" i="14"/>
  <c r="M541" i="14"/>
  <c r="C87" i="17"/>
  <c r="Y539" i="14"/>
  <c r="AC539" i="14"/>
  <c r="N539" i="14"/>
  <c r="AB539" i="14"/>
  <c r="V539" i="14"/>
  <c r="M539" i="14"/>
  <c r="C85" i="17"/>
  <c r="D85" i="17"/>
  <c r="S539" i="14"/>
  <c r="M537" i="14"/>
  <c r="C83" i="17"/>
  <c r="AX144" i="3"/>
  <c r="G140" i="1"/>
  <c r="AC1161" i="14"/>
  <c r="N1161" i="14"/>
  <c r="S1161" i="14"/>
  <c r="Y1161" i="14"/>
  <c r="M1161" i="14"/>
  <c r="V1161" i="14"/>
  <c r="AB1161" i="14"/>
  <c r="V1158" i="14"/>
  <c r="AB1158" i="14"/>
  <c r="Y1158" i="14"/>
  <c r="M1158" i="14"/>
  <c r="N1158" i="14"/>
  <c r="S1158" i="14"/>
  <c r="AC1158" i="14"/>
  <c r="M1138" i="14"/>
  <c r="Y1138" i="14"/>
  <c r="S1138" i="14"/>
  <c r="V1138" i="14"/>
  <c r="AC1138" i="14"/>
  <c r="N1138" i="14"/>
  <c r="AB1138" i="14"/>
  <c r="S485" i="14"/>
  <c r="Y485" i="14"/>
  <c r="AB485" i="14"/>
  <c r="AC485" i="14"/>
  <c r="V485" i="14"/>
  <c r="N485" i="14"/>
  <c r="M485" i="14"/>
  <c r="C31" i="17"/>
  <c r="D31" i="17"/>
  <c r="M482" i="14"/>
  <c r="AB482" i="14"/>
  <c r="Y482" i="14"/>
  <c r="V482" i="14"/>
  <c r="S482" i="14"/>
  <c r="C28" i="17"/>
  <c r="AC482" i="14"/>
  <c r="N482" i="14"/>
  <c r="C33" i="17"/>
  <c r="V487" i="14"/>
  <c r="Y487" i="14"/>
  <c r="N487" i="14"/>
  <c r="M487" i="14"/>
  <c r="S487" i="14"/>
  <c r="AB487" i="14"/>
  <c r="AC487" i="14"/>
  <c r="M687" i="14"/>
  <c r="S687" i="14"/>
  <c r="AC687" i="14"/>
  <c r="N687" i="14"/>
  <c r="AB687" i="14"/>
  <c r="C233" i="17"/>
  <c r="Y687" i="14"/>
  <c r="V687" i="14"/>
  <c r="AB1036" i="14"/>
  <c r="Y1036" i="14"/>
  <c r="V1036" i="14"/>
  <c r="S1036" i="14"/>
  <c r="AC1036" i="14"/>
  <c r="M1036" i="14"/>
  <c r="N1036" i="14"/>
  <c r="G75" i="1"/>
  <c r="G76" i="1"/>
  <c r="G74" i="1"/>
  <c r="AX84" i="3"/>
  <c r="AI84" i="3"/>
  <c r="M692" i="14"/>
  <c r="C238" i="17"/>
  <c r="V693" i="14"/>
  <c r="C239" i="17"/>
  <c r="N693" i="14"/>
  <c r="M693" i="14"/>
  <c r="Y693" i="14"/>
  <c r="AC693" i="14"/>
  <c r="AB693" i="14"/>
  <c r="S693" i="14"/>
  <c r="AC1319" i="14"/>
  <c r="S1319" i="14"/>
  <c r="N1319" i="14"/>
  <c r="AB1319" i="14"/>
  <c r="V1319" i="14"/>
  <c r="Y1319" i="14"/>
  <c r="M1319" i="14"/>
  <c r="C470" i="17"/>
  <c r="M924" i="14"/>
  <c r="V825" i="14"/>
  <c r="M825" i="14"/>
  <c r="C371" i="17"/>
  <c r="D371" i="17"/>
  <c r="Y825" i="14"/>
  <c r="AC825" i="14"/>
  <c r="S825" i="14"/>
  <c r="AB825" i="14"/>
  <c r="N825" i="14"/>
  <c r="AO139" i="3"/>
  <c r="AL139" i="3"/>
  <c r="G135" i="1"/>
  <c r="AX139" i="3"/>
  <c r="C97" i="17"/>
  <c r="M551" i="14"/>
  <c r="C100" i="17"/>
  <c r="M554" i="14"/>
  <c r="N550" i="14"/>
  <c r="V550" i="14"/>
  <c r="AB550" i="14"/>
  <c r="S550" i="14"/>
  <c r="M550" i="14"/>
  <c r="C96" i="17"/>
  <c r="D96" i="17"/>
  <c r="AC550" i="14"/>
  <c r="Y550" i="14"/>
  <c r="C95" i="17"/>
  <c r="M549" i="14"/>
  <c r="S1219" i="14"/>
  <c r="AC1219" i="14"/>
  <c r="N1219" i="14"/>
  <c r="M1219" i="14"/>
  <c r="V1219" i="14"/>
  <c r="Y1219" i="14"/>
  <c r="AB1219" i="14"/>
  <c r="AC1209" i="14"/>
  <c r="N1209" i="14"/>
  <c r="S1209" i="14"/>
  <c r="M1209" i="14"/>
  <c r="V1209" i="14"/>
  <c r="AB1209" i="14"/>
  <c r="Y1209" i="14"/>
  <c r="C466" i="17"/>
  <c r="M920" i="14"/>
  <c r="M572" i="14"/>
  <c r="AB572" i="14"/>
  <c r="AC572" i="14"/>
  <c r="C118" i="17"/>
  <c r="Y572" i="14"/>
  <c r="S572" i="14"/>
  <c r="N572" i="14"/>
  <c r="V572" i="14"/>
  <c r="M900" i="14"/>
  <c r="C446" i="17"/>
  <c r="M1430" i="14"/>
  <c r="Y1430" i="14"/>
  <c r="V1430" i="14"/>
  <c r="AB1430" i="14"/>
  <c r="S1430" i="14"/>
  <c r="N1430" i="14"/>
  <c r="AC1430" i="14"/>
  <c r="S1105" i="14"/>
  <c r="Y1105" i="14"/>
  <c r="M1105" i="14"/>
  <c r="AB1105" i="14"/>
  <c r="V1105" i="14"/>
  <c r="AC1105" i="14"/>
  <c r="N1105" i="14"/>
  <c r="C336" i="17"/>
  <c r="M790" i="14"/>
  <c r="AB1432" i="14"/>
  <c r="N1432" i="14"/>
  <c r="AC1432" i="14"/>
  <c r="S1432" i="14"/>
  <c r="M1432" i="14"/>
  <c r="Y1432" i="14"/>
  <c r="V1432" i="14"/>
  <c r="Y748" i="14"/>
  <c r="N748" i="14"/>
  <c r="AC748" i="14"/>
  <c r="AB748" i="14"/>
  <c r="V748" i="14"/>
  <c r="M748" i="14"/>
  <c r="C294" i="17"/>
  <c r="S748" i="14"/>
  <c r="AB1047" i="14"/>
  <c r="M1047" i="14"/>
  <c r="S1047" i="14"/>
  <c r="V1047" i="14"/>
  <c r="N1047" i="14"/>
  <c r="AC1047" i="14"/>
  <c r="Y1047" i="14"/>
  <c r="M1046" i="14"/>
  <c r="AC1046" i="14"/>
  <c r="V1046" i="14"/>
  <c r="N1046" i="14"/>
  <c r="AB1046" i="14"/>
  <c r="S1046" i="14"/>
  <c r="Y1046" i="14"/>
  <c r="V5" i="15"/>
  <c r="V7" i="15"/>
  <c r="J5" i="15"/>
  <c r="J8" i="15"/>
  <c r="K4" i="15"/>
  <c r="W5" i="15"/>
  <c r="W7" i="15"/>
  <c r="K5" i="15"/>
  <c r="K8" i="15"/>
  <c r="L4" i="15"/>
  <c r="Y578" i="14"/>
  <c r="C124" i="17"/>
  <c r="AC578" i="14"/>
  <c r="S578" i="14"/>
  <c r="M578" i="14"/>
  <c r="AB578" i="14"/>
  <c r="V578" i="14"/>
  <c r="N578" i="14"/>
  <c r="L336" i="14"/>
  <c r="L333" i="14"/>
  <c r="L332" i="14"/>
  <c r="M332" i="14"/>
  <c r="L334" i="14"/>
  <c r="L335" i="14"/>
  <c r="M335" i="14"/>
  <c r="L292" i="14"/>
  <c r="M292" i="14"/>
  <c r="L293" i="14"/>
  <c r="M293" i="14"/>
  <c r="L291" i="14"/>
  <c r="L290" i="14"/>
  <c r="M290" i="14"/>
  <c r="L294" i="14"/>
  <c r="M294" i="14"/>
  <c r="Y996" i="14"/>
  <c r="AB996" i="14"/>
  <c r="N996" i="14"/>
  <c r="AC996" i="14"/>
  <c r="S996" i="14"/>
  <c r="M996" i="14"/>
  <c r="V996" i="14"/>
  <c r="C125" i="17"/>
  <c r="Y579" i="14"/>
  <c r="N579" i="14"/>
  <c r="AC579" i="14"/>
  <c r="S579" i="14"/>
  <c r="AB579" i="14"/>
  <c r="V579" i="14"/>
  <c r="M579" i="14"/>
  <c r="M583" i="14"/>
  <c r="C129" i="17"/>
  <c r="V582" i="14"/>
  <c r="N582" i="14"/>
  <c r="Y582" i="14"/>
  <c r="AC582" i="14"/>
  <c r="AB582" i="14"/>
  <c r="M582" i="14"/>
  <c r="S582" i="14"/>
  <c r="C128" i="17"/>
  <c r="N199" i="14"/>
  <c r="V199" i="14"/>
  <c r="Y199" i="14"/>
  <c r="M199" i="14"/>
  <c r="AB199" i="14"/>
  <c r="S199" i="14"/>
  <c r="AC199" i="14"/>
  <c r="N201" i="14"/>
  <c r="AB201" i="14"/>
  <c r="AC201" i="14"/>
  <c r="V201" i="14"/>
  <c r="M201" i="14"/>
  <c r="Y201" i="14"/>
  <c r="S201" i="14"/>
  <c r="M671" i="14"/>
  <c r="C217" i="17"/>
  <c r="AB352" i="14"/>
  <c r="N352" i="14"/>
  <c r="V352" i="14"/>
  <c r="Y352" i="14"/>
  <c r="AC352" i="14"/>
  <c r="S352" i="14"/>
  <c r="M352" i="14"/>
  <c r="S277" i="14"/>
  <c r="V277" i="14"/>
  <c r="Y277" i="14"/>
  <c r="AC277" i="14"/>
  <c r="M277" i="14"/>
  <c r="N277" i="14"/>
  <c r="AB277" i="14"/>
  <c r="L285" i="14"/>
  <c r="M285" i="14"/>
  <c r="L286" i="14"/>
  <c r="V320" i="14"/>
  <c r="Y320" i="14"/>
  <c r="S320" i="14"/>
  <c r="AC320" i="14"/>
  <c r="N320" i="14"/>
  <c r="M320" i="14"/>
  <c r="AB320" i="14"/>
  <c r="S317" i="14"/>
  <c r="AB317" i="14"/>
  <c r="AC317" i="14"/>
  <c r="N317" i="14"/>
  <c r="V317" i="14"/>
  <c r="M317" i="14"/>
  <c r="Y317" i="14"/>
  <c r="AC319" i="14"/>
  <c r="N319" i="14"/>
  <c r="Y319" i="14"/>
  <c r="AB319" i="14"/>
  <c r="V319" i="14"/>
  <c r="S319" i="14"/>
  <c r="M319" i="14"/>
  <c r="M237" i="14"/>
  <c r="S237" i="14"/>
  <c r="N237" i="14"/>
  <c r="Y237" i="14"/>
  <c r="AB237" i="14"/>
  <c r="AC237" i="14"/>
  <c r="V237" i="14"/>
  <c r="L241" i="14"/>
  <c r="L242" i="14"/>
  <c r="M242" i="14"/>
  <c r="S307" i="14"/>
  <c r="AB307" i="14"/>
  <c r="M307" i="14"/>
  <c r="N307" i="14"/>
  <c r="AC307" i="14"/>
  <c r="Y307" i="14"/>
  <c r="V307" i="14"/>
  <c r="M358" i="14"/>
  <c r="AC358" i="14"/>
  <c r="AB358" i="14"/>
  <c r="V358" i="14"/>
  <c r="N358" i="14"/>
  <c r="Y358" i="14"/>
  <c r="S358" i="14"/>
  <c r="V82" i="14"/>
  <c r="M82" i="14"/>
  <c r="AB82" i="14"/>
  <c r="N82" i="14"/>
  <c r="S82" i="14"/>
  <c r="AC82" i="14"/>
  <c r="Y82" i="14"/>
  <c r="M1276" i="14"/>
  <c r="Y1276" i="14"/>
  <c r="AB1276" i="14"/>
  <c r="V1276" i="14"/>
  <c r="S1276" i="14"/>
  <c r="AC1276" i="14"/>
  <c r="N1276" i="14"/>
  <c r="M629" i="14"/>
  <c r="C175" i="17"/>
  <c r="AC1393" i="14"/>
  <c r="S1393" i="14"/>
  <c r="Y1393" i="14"/>
  <c r="V1393" i="14"/>
  <c r="M1393" i="14"/>
  <c r="N1393" i="14"/>
  <c r="AB1393" i="14"/>
  <c r="C299" i="17"/>
  <c r="D299" i="17"/>
  <c r="M753" i="14"/>
  <c r="V753" i="14"/>
  <c r="AC753" i="14"/>
  <c r="N753" i="14"/>
  <c r="AB753" i="14"/>
  <c r="Y753" i="14"/>
  <c r="S753" i="14"/>
  <c r="V1395" i="14"/>
  <c r="N1395" i="14"/>
  <c r="AC1395" i="14"/>
  <c r="Y1395" i="14"/>
  <c r="AB1395" i="14"/>
  <c r="M1395" i="14"/>
  <c r="S1395" i="14"/>
  <c r="N758" i="14"/>
  <c r="S758" i="14"/>
  <c r="AB758" i="14"/>
  <c r="M758" i="14"/>
  <c r="AC758" i="14"/>
  <c r="Y758" i="14"/>
  <c r="V758" i="14"/>
  <c r="C304" i="17"/>
  <c r="D304" i="17"/>
  <c r="S1068" i="14"/>
  <c r="AB1068" i="14"/>
  <c r="AC1068" i="14"/>
  <c r="M1068" i="14"/>
  <c r="N1068" i="14"/>
  <c r="V1068" i="14"/>
  <c r="Y1068" i="14"/>
  <c r="C300" i="17"/>
  <c r="M754" i="14"/>
  <c r="AC371" i="14"/>
  <c r="V371" i="14"/>
  <c r="AB371" i="14"/>
  <c r="S371" i="14"/>
  <c r="Y371" i="14"/>
  <c r="M371" i="14"/>
  <c r="N371" i="14"/>
  <c r="Y373" i="14"/>
  <c r="N373" i="14"/>
  <c r="V373" i="14"/>
  <c r="AB373" i="14"/>
  <c r="AC373" i="14"/>
  <c r="S373" i="14"/>
  <c r="M373" i="14"/>
  <c r="L325" i="14"/>
  <c r="M325" i="14"/>
  <c r="L327" i="14"/>
  <c r="L323" i="14"/>
  <c r="L322" i="14"/>
  <c r="M322" i="14"/>
  <c r="L328" i="14"/>
  <c r="M328" i="14"/>
  <c r="L324" i="14"/>
  <c r="M324" i="14"/>
  <c r="L329" i="14"/>
  <c r="L326" i="14"/>
  <c r="M107" i="14"/>
  <c r="N107" i="14"/>
  <c r="AC107" i="14"/>
  <c r="S107" i="14"/>
  <c r="Y107" i="14"/>
  <c r="V107" i="14"/>
  <c r="AB107" i="14"/>
  <c r="AC111" i="14"/>
  <c r="N111" i="14"/>
  <c r="Y111" i="14"/>
  <c r="AB111" i="14"/>
  <c r="S111" i="14"/>
  <c r="M111" i="14"/>
  <c r="V111" i="14"/>
  <c r="Y41" i="14"/>
  <c r="M41" i="14"/>
  <c r="AB41" i="14"/>
  <c r="V41" i="14"/>
  <c r="AC41" i="14"/>
  <c r="S41" i="14"/>
  <c r="N41" i="14"/>
  <c r="M638" i="14"/>
  <c r="V638" i="14"/>
  <c r="C184" i="17"/>
  <c r="S638" i="14"/>
  <c r="Y638" i="14"/>
  <c r="AC638" i="14"/>
  <c r="N638" i="14"/>
  <c r="AB638" i="14"/>
  <c r="C181" i="17"/>
  <c r="M635" i="14"/>
  <c r="AB142" i="14"/>
  <c r="AC142" i="14"/>
  <c r="N142" i="14"/>
  <c r="S142" i="14"/>
  <c r="V142" i="14"/>
  <c r="Y142" i="14"/>
  <c r="M142" i="14"/>
  <c r="N267" i="14"/>
  <c r="V267" i="14"/>
  <c r="AB267" i="14"/>
  <c r="Y267" i="14"/>
  <c r="S267" i="14"/>
  <c r="AC267" i="14"/>
  <c r="M267" i="14"/>
  <c r="N1352" i="14"/>
  <c r="AC1352" i="14"/>
  <c r="Y1352" i="14"/>
  <c r="AB1352" i="14"/>
  <c r="V1352" i="14"/>
  <c r="M1352" i="14"/>
  <c r="S1352" i="14"/>
  <c r="C457" i="17"/>
  <c r="M911" i="14"/>
  <c r="L72" i="14"/>
  <c r="L71" i="14"/>
  <c r="M71" i="14"/>
  <c r="Y254" i="14"/>
  <c r="V254" i="14"/>
  <c r="S254" i="14"/>
  <c r="AB254" i="14"/>
  <c r="M254" i="14"/>
  <c r="AC254" i="14"/>
  <c r="N254" i="14"/>
  <c r="N95" i="14"/>
  <c r="AC95" i="14"/>
  <c r="Y95" i="14"/>
  <c r="V95" i="14"/>
  <c r="S95" i="14"/>
  <c r="AB95" i="14"/>
  <c r="M95" i="14"/>
  <c r="AC92" i="14"/>
  <c r="S92" i="14"/>
  <c r="M92" i="14"/>
  <c r="N92" i="14"/>
  <c r="Y92" i="14"/>
  <c r="AB92" i="14"/>
  <c r="V92" i="14"/>
  <c r="AC18" i="14"/>
  <c r="Y18" i="14"/>
  <c r="M18" i="14"/>
  <c r="N18" i="14"/>
  <c r="AB18" i="14"/>
  <c r="V18" i="14"/>
  <c r="S18" i="14"/>
  <c r="S191" i="14"/>
  <c r="AC191" i="14"/>
  <c r="AB191" i="14"/>
  <c r="N191" i="14"/>
  <c r="V191" i="14"/>
  <c r="M191" i="14"/>
  <c r="Y191" i="14"/>
  <c r="AC818" i="14"/>
  <c r="V818" i="14"/>
  <c r="M818" i="14"/>
  <c r="C364" i="17"/>
  <c r="D364" i="17"/>
  <c r="N818" i="14"/>
  <c r="AB818" i="14"/>
  <c r="S818" i="14"/>
  <c r="Y818" i="14"/>
  <c r="C468" i="17"/>
  <c r="M922" i="14"/>
  <c r="AC815" i="14"/>
  <c r="C361" i="17"/>
  <c r="D361" i="17"/>
  <c r="M815" i="14"/>
  <c r="AB815" i="14"/>
  <c r="Y815" i="14"/>
  <c r="S815" i="14"/>
  <c r="V815" i="14"/>
  <c r="N815" i="14"/>
  <c r="C449" i="17"/>
  <c r="M903" i="14"/>
  <c r="N1452" i="14"/>
  <c r="M1452" i="14"/>
  <c r="Y1452" i="14"/>
  <c r="AC1452" i="14"/>
  <c r="V1452" i="14"/>
  <c r="AB1452" i="14"/>
  <c r="S1452" i="14"/>
  <c r="S1450" i="14"/>
  <c r="AC1450" i="14"/>
  <c r="AB1450" i="14"/>
  <c r="M1450" i="14"/>
  <c r="N1450" i="14"/>
  <c r="V1450" i="14"/>
  <c r="Y1450" i="14"/>
  <c r="M811" i="14"/>
  <c r="S811" i="14"/>
  <c r="Y811" i="14"/>
  <c r="C357" i="17"/>
  <c r="V811" i="14"/>
  <c r="AB811" i="14"/>
  <c r="AC811" i="14"/>
  <c r="N811" i="14"/>
  <c r="C448" i="17"/>
  <c r="M902" i="14"/>
  <c r="AC69" i="14"/>
  <c r="AB69" i="14"/>
  <c r="V69" i="14"/>
  <c r="M69" i="14"/>
  <c r="N69" i="14"/>
  <c r="S69" i="14"/>
  <c r="Y69" i="14"/>
  <c r="AC66" i="14"/>
  <c r="V66" i="14"/>
  <c r="S66" i="14"/>
  <c r="M66" i="14"/>
  <c r="N66" i="14"/>
  <c r="AB66" i="14"/>
  <c r="Y66" i="14"/>
  <c r="L168" i="14"/>
  <c r="L155" i="14"/>
  <c r="L163" i="14"/>
  <c r="M163" i="14"/>
  <c r="L160" i="14"/>
  <c r="M160" i="14"/>
  <c r="L151" i="14"/>
  <c r="M151" i="14"/>
  <c r="L165" i="14"/>
  <c r="L148" i="14"/>
  <c r="L173" i="14"/>
  <c r="M173" i="14"/>
  <c r="L177" i="14"/>
  <c r="L159" i="14"/>
  <c r="L158" i="14"/>
  <c r="M158" i="14"/>
  <c r="L154" i="14"/>
  <c r="M154" i="14"/>
  <c r="L167" i="14"/>
  <c r="L156" i="14"/>
  <c r="M156" i="14"/>
  <c r="L145" i="14"/>
  <c r="M145" i="14"/>
  <c r="L166" i="14"/>
  <c r="M166" i="14"/>
  <c r="L152" i="14"/>
  <c r="L171" i="14"/>
  <c r="M171" i="14"/>
  <c r="L153" i="14"/>
  <c r="L147" i="14"/>
  <c r="M147" i="14"/>
  <c r="L157" i="14"/>
  <c r="L146" i="14"/>
  <c r="L174" i="14"/>
  <c r="L170" i="14"/>
  <c r="L150" i="14"/>
  <c r="L149" i="14"/>
  <c r="M149" i="14"/>
  <c r="L169" i="14"/>
  <c r="M169" i="14"/>
  <c r="L176" i="14"/>
  <c r="L175" i="14"/>
  <c r="L172" i="14"/>
  <c r="L162" i="14"/>
  <c r="L161" i="14"/>
  <c r="L164" i="14"/>
  <c r="S122" i="14"/>
  <c r="AB122" i="14"/>
  <c r="AC122" i="14"/>
  <c r="V122" i="14"/>
  <c r="Y122" i="14"/>
  <c r="M122" i="14"/>
  <c r="N122" i="14"/>
  <c r="S132" i="14"/>
  <c r="Y132" i="14"/>
  <c r="V132" i="14"/>
  <c r="AC132" i="14"/>
  <c r="N132" i="14"/>
  <c r="M132" i="14"/>
  <c r="AB132" i="14"/>
  <c r="L27" i="14"/>
  <c r="L26" i="14"/>
  <c r="M26" i="14"/>
  <c r="L29" i="14"/>
  <c r="M29" i="14"/>
  <c r="L28" i="14"/>
  <c r="Y1169" i="14"/>
  <c r="S1169" i="14"/>
  <c r="AB1169" i="14"/>
  <c r="M1169" i="14"/>
  <c r="N1169" i="14"/>
  <c r="V1169" i="14"/>
  <c r="AC1169" i="14"/>
  <c r="M1170" i="14"/>
  <c r="AC1170" i="14"/>
  <c r="N1170" i="14"/>
  <c r="S1170" i="14"/>
  <c r="AB1170" i="14"/>
  <c r="V1170" i="14"/>
  <c r="Y1170" i="14"/>
  <c r="M515" i="14"/>
  <c r="C61" i="17"/>
  <c r="V519" i="14"/>
  <c r="C65" i="17"/>
  <c r="D65" i="17"/>
  <c r="S519" i="14"/>
  <c r="M519" i="14"/>
  <c r="AB519" i="14"/>
  <c r="N519" i="14"/>
  <c r="AC519" i="14"/>
  <c r="Y519" i="14"/>
  <c r="Y382" i="14"/>
  <c r="M382" i="14"/>
  <c r="AB382" i="14"/>
  <c r="AC382" i="14"/>
  <c r="N382" i="14"/>
  <c r="S382" i="14"/>
  <c r="V382" i="14"/>
  <c r="S54" i="14"/>
  <c r="N54" i="14"/>
  <c r="Y54" i="14"/>
  <c r="AC54" i="14"/>
  <c r="AB54" i="14"/>
  <c r="V54" i="14"/>
  <c r="M54" i="14"/>
  <c r="M343" i="14"/>
  <c r="Y343" i="14"/>
  <c r="AB343" i="14"/>
  <c r="N343" i="14"/>
  <c r="V343" i="14"/>
  <c r="AC343" i="14"/>
  <c r="S343" i="14"/>
  <c r="V59" i="14"/>
  <c r="M59" i="14"/>
  <c r="N59" i="14"/>
  <c r="Y59" i="14"/>
  <c r="AB59" i="14"/>
  <c r="AC59" i="14"/>
  <c r="S59" i="14"/>
  <c r="N244" i="14"/>
  <c r="AC244" i="14"/>
  <c r="M244" i="14"/>
  <c r="Y244" i="14"/>
  <c r="AB244" i="14"/>
  <c r="V244" i="14"/>
  <c r="S244" i="14"/>
  <c r="C126" i="17"/>
  <c r="M580" i="14"/>
  <c r="C123" i="17"/>
  <c r="M577" i="14"/>
  <c r="M992" i="14"/>
  <c r="AB992" i="14"/>
  <c r="S992" i="14"/>
  <c r="Y992" i="14"/>
  <c r="N992" i="14"/>
  <c r="AC992" i="14"/>
  <c r="V992" i="14"/>
  <c r="C219" i="17"/>
  <c r="D219" i="17"/>
  <c r="AB673" i="14"/>
  <c r="V673" i="14"/>
  <c r="M673" i="14"/>
  <c r="S673" i="14"/>
  <c r="Y673" i="14"/>
  <c r="AC673" i="14"/>
  <c r="N673" i="14"/>
  <c r="AC349" i="14"/>
  <c r="Y349" i="14"/>
  <c r="V349" i="14"/>
  <c r="N349" i="14"/>
  <c r="M349" i="14"/>
  <c r="AB349" i="14"/>
  <c r="S349" i="14"/>
  <c r="V278" i="14"/>
  <c r="Y278" i="14"/>
  <c r="M278" i="14"/>
  <c r="AC278" i="14"/>
  <c r="S278" i="14"/>
  <c r="N278" i="14"/>
  <c r="AB278" i="14"/>
  <c r="L353" i="14"/>
  <c r="L354" i="14"/>
  <c r="L355" i="14"/>
  <c r="N312" i="14"/>
  <c r="V312" i="14"/>
  <c r="S312" i="14"/>
  <c r="AB312" i="14"/>
  <c r="AC312" i="14"/>
  <c r="M312" i="14"/>
  <c r="Y312" i="14"/>
  <c r="AC321" i="14"/>
  <c r="V321" i="14"/>
  <c r="S321" i="14"/>
  <c r="M321" i="14"/>
  <c r="Y321" i="14"/>
  <c r="N321" i="14"/>
  <c r="AB321" i="14"/>
  <c r="M318" i="14"/>
  <c r="S318" i="14"/>
  <c r="AB318" i="14"/>
  <c r="Y318" i="14"/>
  <c r="V318" i="14"/>
  <c r="N318" i="14"/>
  <c r="AC318" i="14"/>
  <c r="Y360" i="14"/>
  <c r="AB360" i="14"/>
  <c r="S360" i="14"/>
  <c r="AC360" i="14"/>
  <c r="N360" i="14"/>
  <c r="M360" i="14"/>
  <c r="V360" i="14"/>
  <c r="M78" i="14"/>
  <c r="S78" i="14"/>
  <c r="Y78" i="14"/>
  <c r="AC78" i="14"/>
  <c r="AB78" i="14"/>
  <c r="N78" i="14"/>
  <c r="V78" i="14"/>
  <c r="V77" i="14"/>
  <c r="Y77" i="14"/>
  <c r="AB77" i="14"/>
  <c r="N77" i="14"/>
  <c r="AC77" i="14"/>
  <c r="S77" i="14"/>
  <c r="M77" i="14"/>
  <c r="AB264" i="14"/>
  <c r="M264" i="14"/>
  <c r="N264" i="14"/>
  <c r="V264" i="14"/>
  <c r="S264" i="14"/>
  <c r="Y264" i="14"/>
  <c r="AC264" i="14"/>
  <c r="AB1277" i="14"/>
  <c r="V1277" i="14"/>
  <c r="M1277" i="14"/>
  <c r="N1277" i="14"/>
  <c r="S1277" i="14"/>
  <c r="Y1277" i="14"/>
  <c r="AC1277" i="14"/>
  <c r="N630" i="14"/>
  <c r="Y630" i="14"/>
  <c r="AC630" i="14"/>
  <c r="C176" i="17"/>
  <c r="AB630" i="14"/>
  <c r="V630" i="14"/>
  <c r="M630" i="14"/>
  <c r="S630" i="14"/>
  <c r="M631" i="14"/>
  <c r="Y631" i="14"/>
  <c r="AC631" i="14"/>
  <c r="C177" i="17"/>
  <c r="AB631" i="14"/>
  <c r="V631" i="14"/>
  <c r="N631" i="14"/>
  <c r="S631" i="14"/>
  <c r="S1273" i="14"/>
  <c r="AB1273" i="14"/>
  <c r="V1273" i="14"/>
  <c r="AC1273" i="14"/>
  <c r="Y1273" i="14"/>
  <c r="M1273" i="14"/>
  <c r="N1273" i="14"/>
  <c r="AB1394" i="14"/>
  <c r="N1394" i="14"/>
  <c r="S1394" i="14"/>
  <c r="V1394" i="14"/>
  <c r="AC1394" i="14"/>
  <c r="Y1394" i="14"/>
  <c r="M1394" i="14"/>
  <c r="Y1071" i="14"/>
  <c r="V1071" i="14"/>
  <c r="AC1071" i="14"/>
  <c r="AB1071" i="14"/>
  <c r="N1071" i="14"/>
  <c r="M1071" i="14"/>
  <c r="S1071" i="14"/>
  <c r="AC752" i="14"/>
  <c r="Y752" i="14"/>
  <c r="AB752" i="14"/>
  <c r="M752" i="14"/>
  <c r="S752" i="14"/>
  <c r="N752" i="14"/>
  <c r="V752" i="14"/>
  <c r="C298" i="17"/>
  <c r="D298" i="17"/>
  <c r="C296" i="17"/>
  <c r="M750" i="14"/>
  <c r="N1391" i="14"/>
  <c r="AC1391" i="14"/>
  <c r="Y1391" i="14"/>
  <c r="V1391" i="14"/>
  <c r="AB1391" i="14"/>
  <c r="M1391" i="14"/>
  <c r="S1391" i="14"/>
  <c r="AB1392" i="14"/>
  <c r="Y1392" i="14"/>
  <c r="S1392" i="14"/>
  <c r="AC1392" i="14"/>
  <c r="N1392" i="14"/>
  <c r="M1392" i="14"/>
  <c r="V1392" i="14"/>
  <c r="S367" i="14"/>
  <c r="N367" i="14"/>
  <c r="V367" i="14"/>
  <c r="AB367" i="14"/>
  <c r="M367" i="14"/>
  <c r="AC367" i="14"/>
  <c r="Y367" i="14"/>
  <c r="V372" i="14"/>
  <c r="N372" i="14"/>
  <c r="S372" i="14"/>
  <c r="AB372" i="14"/>
  <c r="Y372" i="14"/>
  <c r="AC372" i="14"/>
  <c r="M372" i="14"/>
  <c r="N379" i="14"/>
  <c r="V379" i="14"/>
  <c r="AC379" i="14"/>
  <c r="AB379" i="14"/>
  <c r="S379" i="14"/>
  <c r="Y379" i="14"/>
  <c r="M379" i="14"/>
  <c r="L393" i="14"/>
  <c r="L396" i="14"/>
  <c r="L397" i="14"/>
  <c r="L395" i="14"/>
  <c r="L404" i="14"/>
  <c r="L390" i="14"/>
  <c r="L394" i="14"/>
  <c r="L400" i="14"/>
  <c r="L398" i="14"/>
  <c r="L409" i="14"/>
  <c r="L405" i="14"/>
  <c r="L389" i="14"/>
  <c r="L407" i="14"/>
  <c r="L403" i="14"/>
  <c r="M403" i="14"/>
  <c r="L406" i="14"/>
  <c r="L410" i="14"/>
  <c r="L408" i="14"/>
  <c r="L388" i="14"/>
  <c r="L391" i="14"/>
  <c r="L387" i="14"/>
  <c r="M387" i="14"/>
  <c r="L399" i="14"/>
  <c r="L402" i="14"/>
  <c r="L401" i="14"/>
  <c r="L392" i="14"/>
  <c r="M109" i="14"/>
  <c r="N109" i="14"/>
  <c r="S109" i="14"/>
  <c r="Y109" i="14"/>
  <c r="AC109" i="14"/>
  <c r="V109" i="14"/>
  <c r="AB109" i="14"/>
  <c r="M45" i="14"/>
  <c r="S45" i="14"/>
  <c r="Y45" i="14"/>
  <c r="V45" i="14"/>
  <c r="AB45" i="14"/>
  <c r="AC45" i="14"/>
  <c r="N45" i="14"/>
  <c r="S39" i="14"/>
  <c r="V39" i="14"/>
  <c r="N39" i="14"/>
  <c r="Y39" i="14"/>
  <c r="AB39" i="14"/>
  <c r="M39" i="14"/>
  <c r="AC39" i="14"/>
  <c r="N48" i="14"/>
  <c r="AB48" i="14"/>
  <c r="V48" i="14"/>
  <c r="S48" i="14"/>
  <c r="Y48" i="14"/>
  <c r="AC48" i="14"/>
  <c r="M48" i="14"/>
  <c r="L117" i="14"/>
  <c r="M117" i="14"/>
  <c r="L118" i="14"/>
  <c r="V1284" i="14"/>
  <c r="Y1284" i="14"/>
  <c r="AC1284" i="14"/>
  <c r="M1284" i="14"/>
  <c r="S1284" i="14"/>
  <c r="N1284" i="14"/>
  <c r="AB1284" i="14"/>
  <c r="AC636" i="14"/>
  <c r="C182" i="17"/>
  <c r="V636" i="14"/>
  <c r="AB636" i="14"/>
  <c r="S636" i="14"/>
  <c r="M636" i="14"/>
  <c r="N636" i="14"/>
  <c r="Y636" i="14"/>
  <c r="M642" i="14"/>
  <c r="C188" i="17"/>
  <c r="AC1280" i="14"/>
  <c r="N1280" i="14"/>
  <c r="V1280" i="14"/>
  <c r="S1280" i="14"/>
  <c r="M1280" i="14"/>
  <c r="Y1280" i="14"/>
  <c r="AB1280" i="14"/>
  <c r="AC288" i="14"/>
  <c r="S288" i="14"/>
  <c r="N288" i="14"/>
  <c r="M288" i="14"/>
  <c r="V288" i="14"/>
  <c r="AB288" i="14"/>
  <c r="Y288" i="14"/>
  <c r="V143" i="14"/>
  <c r="N143" i="14"/>
  <c r="AB143" i="14"/>
  <c r="AC143" i="14"/>
  <c r="M143" i="14"/>
  <c r="S143" i="14"/>
  <c r="Y143" i="14"/>
  <c r="Y140" i="14"/>
  <c r="M140" i="14"/>
  <c r="AC140" i="14"/>
  <c r="N140" i="14"/>
  <c r="AB140" i="14"/>
  <c r="S140" i="14"/>
  <c r="V140" i="14"/>
  <c r="AC711" i="14"/>
  <c r="N711" i="14"/>
  <c r="V711" i="14"/>
  <c r="M711" i="14"/>
  <c r="S711" i="14"/>
  <c r="Y711" i="14"/>
  <c r="C257" i="17"/>
  <c r="AB711" i="14"/>
  <c r="AB255" i="14"/>
  <c r="Y255" i="14"/>
  <c r="S255" i="14"/>
  <c r="AC255" i="14"/>
  <c r="N255" i="14"/>
  <c r="M255" i="14"/>
  <c r="V255" i="14"/>
  <c r="Y97" i="14"/>
  <c r="S97" i="14"/>
  <c r="M97" i="14"/>
  <c r="V97" i="14"/>
  <c r="N97" i="14"/>
  <c r="AC97" i="14"/>
  <c r="AB97" i="14"/>
  <c r="AC103" i="14"/>
  <c r="M103" i="14"/>
  <c r="AB103" i="14"/>
  <c r="S103" i="14"/>
  <c r="V103" i="14"/>
  <c r="N103" i="14"/>
  <c r="Y103" i="14"/>
  <c r="M296" i="14"/>
  <c r="AC296" i="14"/>
  <c r="Y296" i="14"/>
  <c r="N296" i="14"/>
  <c r="V296" i="14"/>
  <c r="AB296" i="14"/>
  <c r="S296" i="14"/>
  <c r="AC1455" i="14"/>
  <c r="Y1455" i="14"/>
  <c r="AB1455" i="14"/>
  <c r="N1455" i="14"/>
  <c r="S1455" i="14"/>
  <c r="V1455" i="14"/>
  <c r="M1455" i="14"/>
  <c r="N810" i="14"/>
  <c r="C356" i="17"/>
  <c r="AC810" i="14"/>
  <c r="M810" i="14"/>
  <c r="Y810" i="14"/>
  <c r="S810" i="14"/>
  <c r="V810" i="14"/>
  <c r="AB810" i="14"/>
  <c r="M1454" i="14"/>
  <c r="AC1454" i="14"/>
  <c r="N1454" i="14"/>
  <c r="AB1454" i="14"/>
  <c r="S1454" i="14"/>
  <c r="Y1454" i="14"/>
  <c r="V1454" i="14"/>
  <c r="N1448" i="14"/>
  <c r="V1448" i="14"/>
  <c r="M1448" i="14"/>
  <c r="Y1448" i="14"/>
  <c r="AB1448" i="14"/>
  <c r="AC1448" i="14"/>
  <c r="S1448" i="14"/>
  <c r="C363" i="17"/>
  <c r="M817" i="14"/>
  <c r="AC1458" i="14"/>
  <c r="S1458" i="14"/>
  <c r="N1458" i="14"/>
  <c r="AB1458" i="14"/>
  <c r="V1458" i="14"/>
  <c r="M1458" i="14"/>
  <c r="Y1458" i="14"/>
  <c r="V1463" i="14"/>
  <c r="N1463" i="14"/>
  <c r="Y1463" i="14"/>
  <c r="AC1463" i="14"/>
  <c r="M1463" i="14"/>
  <c r="S1463" i="14"/>
  <c r="AB1463" i="14"/>
  <c r="V1457" i="14"/>
  <c r="AB1457" i="14"/>
  <c r="N1457" i="14"/>
  <c r="S1457" i="14"/>
  <c r="Y1457" i="14"/>
  <c r="M1457" i="14"/>
  <c r="AC1457" i="14"/>
  <c r="AC812" i="14"/>
  <c r="S812" i="14"/>
  <c r="C358" i="17"/>
  <c r="V812" i="14"/>
  <c r="AB812" i="14"/>
  <c r="Y812" i="14"/>
  <c r="N812" i="14"/>
  <c r="M812" i="14"/>
  <c r="S68" i="14"/>
  <c r="N68" i="14"/>
  <c r="AC68" i="14"/>
  <c r="M68" i="14"/>
  <c r="Y68" i="14"/>
  <c r="V68" i="14"/>
  <c r="AB68" i="14"/>
  <c r="Y300" i="14"/>
  <c r="AC300" i="14"/>
  <c r="S300" i="14"/>
  <c r="V300" i="14"/>
  <c r="N300" i="14"/>
  <c r="M300" i="14"/>
  <c r="AB300" i="14"/>
  <c r="AB124" i="14"/>
  <c r="N124" i="14"/>
  <c r="Y124" i="14"/>
  <c r="S124" i="14"/>
  <c r="M124" i="14"/>
  <c r="V124" i="14"/>
  <c r="AC124" i="14"/>
  <c r="AB130" i="14"/>
  <c r="AC130" i="14"/>
  <c r="S130" i="14"/>
  <c r="V130" i="14"/>
  <c r="Y130" i="14"/>
  <c r="N130" i="14"/>
  <c r="M130" i="14"/>
  <c r="V308" i="14"/>
  <c r="AB308" i="14"/>
  <c r="N308" i="14"/>
  <c r="S308" i="14"/>
  <c r="AC308" i="14"/>
  <c r="M308" i="14"/>
  <c r="Y308" i="14"/>
  <c r="Y521" i="14"/>
  <c r="M521" i="14"/>
  <c r="S521" i="14"/>
  <c r="C67" i="17"/>
  <c r="D67" i="17"/>
  <c r="N521" i="14"/>
  <c r="V521" i="14"/>
  <c r="AC521" i="14"/>
  <c r="AB521" i="14"/>
  <c r="M518" i="14"/>
  <c r="C64" i="17"/>
  <c r="AB968" i="14"/>
  <c r="Y968" i="14"/>
  <c r="M968" i="14"/>
  <c r="N968" i="14"/>
  <c r="V968" i="14"/>
  <c r="AC968" i="14"/>
  <c r="S968" i="14"/>
  <c r="M520" i="14"/>
  <c r="C66" i="17"/>
  <c r="L430" i="14"/>
  <c r="L421" i="14"/>
  <c r="L422" i="14"/>
  <c r="L425" i="14"/>
  <c r="L419" i="14"/>
  <c r="L417" i="14"/>
  <c r="L434" i="14"/>
  <c r="L431" i="14"/>
  <c r="L411" i="14"/>
  <c r="L426" i="14"/>
  <c r="L418" i="14"/>
  <c r="L432" i="14"/>
  <c r="L427" i="14"/>
  <c r="L429" i="14"/>
  <c r="L433" i="14"/>
  <c r="L416" i="14"/>
  <c r="L414" i="14"/>
  <c r="L424" i="14"/>
  <c r="L412" i="14"/>
  <c r="L420" i="14"/>
  <c r="L413" i="14"/>
  <c r="L415" i="14"/>
  <c r="L423" i="14"/>
  <c r="L428" i="14"/>
  <c r="M385" i="14"/>
  <c r="S385" i="14"/>
  <c r="Y385" i="14"/>
  <c r="AB385" i="14"/>
  <c r="N385" i="14"/>
  <c r="AC385" i="14"/>
  <c r="V385" i="14"/>
  <c r="AC338" i="14"/>
  <c r="Y338" i="14"/>
  <c r="M338" i="14"/>
  <c r="N338" i="14"/>
  <c r="V338" i="14"/>
  <c r="AB338" i="14"/>
  <c r="S338" i="14"/>
  <c r="V347" i="14"/>
  <c r="N347" i="14"/>
  <c r="Y347" i="14"/>
  <c r="AC347" i="14"/>
  <c r="M347" i="14"/>
  <c r="S347" i="14"/>
  <c r="AB347" i="14"/>
  <c r="M33" i="14"/>
  <c r="V33" i="14"/>
  <c r="N33" i="14"/>
  <c r="S33" i="14"/>
  <c r="Y33" i="14"/>
  <c r="AC33" i="14"/>
  <c r="AB33" i="14"/>
  <c r="N246" i="14"/>
  <c r="S246" i="14"/>
  <c r="V246" i="14"/>
  <c r="M246" i="14"/>
  <c r="AB246" i="14"/>
  <c r="Y246" i="14"/>
  <c r="AC246" i="14"/>
  <c r="S261" i="14"/>
  <c r="M261" i="14"/>
  <c r="AB261" i="14"/>
  <c r="Y261" i="14"/>
  <c r="V261" i="14"/>
  <c r="AC261" i="14"/>
  <c r="N261" i="14"/>
  <c r="L438" i="14"/>
  <c r="L441" i="14"/>
  <c r="L456" i="14"/>
  <c r="L454" i="14"/>
  <c r="L435" i="14"/>
  <c r="L450" i="14"/>
  <c r="L448" i="14"/>
  <c r="L436" i="14"/>
  <c r="L444" i="14"/>
  <c r="L451" i="14"/>
  <c r="L445" i="14"/>
  <c r="L447" i="14"/>
  <c r="L437" i="14"/>
  <c r="L453" i="14"/>
  <c r="L455" i="14"/>
  <c r="L443" i="14"/>
  <c r="L446" i="14"/>
  <c r="L440" i="14"/>
  <c r="L439" i="14"/>
  <c r="L442" i="14"/>
  <c r="L449" i="14"/>
  <c r="L452" i="14"/>
  <c r="S116" i="14"/>
  <c r="V116" i="14"/>
  <c r="AB116" i="14"/>
  <c r="M116" i="14"/>
  <c r="Y116" i="14"/>
  <c r="AC116" i="14"/>
  <c r="N116" i="14"/>
  <c r="AC113" i="14"/>
  <c r="N113" i="14"/>
  <c r="V113" i="14"/>
  <c r="AB113" i="14"/>
  <c r="Y113" i="14"/>
  <c r="M113" i="14"/>
  <c r="S113" i="14"/>
  <c r="L222" i="14"/>
  <c r="L206" i="14"/>
  <c r="M206" i="14"/>
  <c r="L221" i="14"/>
  <c r="L216" i="14"/>
  <c r="L211" i="14"/>
  <c r="M211" i="14"/>
  <c r="L228" i="14"/>
  <c r="M228" i="14"/>
  <c r="L226" i="14"/>
  <c r="L215" i="14"/>
  <c r="L225" i="14"/>
  <c r="M225" i="14"/>
  <c r="L204" i="14"/>
  <c r="M204" i="14"/>
  <c r="L210" i="14"/>
  <c r="L207" i="14"/>
  <c r="L218" i="14"/>
  <c r="M218" i="14"/>
  <c r="L220" i="14"/>
  <c r="L227" i="14"/>
  <c r="M227" i="14"/>
  <c r="L223" i="14"/>
  <c r="M223" i="14"/>
  <c r="L230" i="14"/>
  <c r="M230" i="14"/>
  <c r="L208" i="14"/>
  <c r="L212" i="14"/>
  <c r="L214" i="14"/>
  <c r="L224" i="14"/>
  <c r="L219" i="14"/>
  <c r="L217" i="14"/>
  <c r="L205" i="14"/>
  <c r="L213" i="14"/>
  <c r="M213" i="14"/>
  <c r="L209" i="14"/>
  <c r="M209" i="14"/>
  <c r="L229" i="14"/>
  <c r="N135" i="14"/>
  <c r="S135" i="14"/>
  <c r="Y135" i="14"/>
  <c r="M135" i="14"/>
  <c r="V135" i="14"/>
  <c r="AB135" i="14"/>
  <c r="AC135" i="14"/>
  <c r="AB989" i="14"/>
  <c r="N989" i="14"/>
  <c r="V989" i="14"/>
  <c r="M989" i="14"/>
  <c r="S989" i="14"/>
  <c r="Y989" i="14"/>
  <c r="AC989" i="14"/>
  <c r="M1226" i="14"/>
  <c r="Y1226" i="14"/>
  <c r="V1226" i="14"/>
  <c r="N1226" i="14"/>
  <c r="S1226" i="14"/>
  <c r="AC1226" i="14"/>
  <c r="AB1226" i="14"/>
  <c r="N581" i="14"/>
  <c r="M581" i="14"/>
  <c r="S581" i="14"/>
  <c r="V581" i="14"/>
  <c r="C127" i="17"/>
  <c r="D127" i="17"/>
  <c r="Y581" i="14"/>
  <c r="AC581" i="14"/>
  <c r="AB581" i="14"/>
  <c r="Y284" i="14"/>
  <c r="M284" i="14"/>
  <c r="AC284" i="14"/>
  <c r="N284" i="14"/>
  <c r="V284" i="14"/>
  <c r="S284" i="14"/>
  <c r="AB284" i="14"/>
  <c r="C218" i="17"/>
  <c r="M672" i="14"/>
  <c r="M25" i="14"/>
  <c r="V25" i="14"/>
  <c r="Y25" i="14"/>
  <c r="AB25" i="14"/>
  <c r="N25" i="14"/>
  <c r="S25" i="14"/>
  <c r="AC25" i="14"/>
  <c r="S276" i="14"/>
  <c r="AB276" i="14"/>
  <c r="M276" i="14"/>
  <c r="AC276" i="14"/>
  <c r="V276" i="14"/>
  <c r="N276" i="14"/>
  <c r="Y276" i="14"/>
  <c r="V36" i="14"/>
  <c r="AC36" i="14"/>
  <c r="M36" i="14"/>
  <c r="Y36" i="14"/>
  <c r="S36" i="14"/>
  <c r="N36" i="14"/>
  <c r="AB36" i="14"/>
  <c r="M314" i="14"/>
  <c r="N314" i="14"/>
  <c r="Y314" i="14"/>
  <c r="S314" i="14"/>
  <c r="V314" i="14"/>
  <c r="AB314" i="14"/>
  <c r="AC314" i="14"/>
  <c r="N310" i="14"/>
  <c r="Y310" i="14"/>
  <c r="M310" i="14"/>
  <c r="S310" i="14"/>
  <c r="AB310" i="14"/>
  <c r="AC310" i="14"/>
  <c r="V310" i="14"/>
  <c r="AC313" i="14"/>
  <c r="N313" i="14"/>
  <c r="AB313" i="14"/>
  <c r="S313" i="14"/>
  <c r="Y313" i="14"/>
  <c r="M313" i="14"/>
  <c r="V313" i="14"/>
  <c r="AB188" i="14"/>
  <c r="V188" i="14"/>
  <c r="S188" i="14"/>
  <c r="AC188" i="14"/>
  <c r="M188" i="14"/>
  <c r="Y188" i="14"/>
  <c r="N188" i="14"/>
  <c r="AB248" i="14"/>
  <c r="Y248" i="14"/>
  <c r="N248" i="14"/>
  <c r="V248" i="14"/>
  <c r="AC248" i="14"/>
  <c r="S248" i="14"/>
  <c r="M248" i="14"/>
  <c r="AC272" i="14"/>
  <c r="N272" i="14"/>
  <c r="Y272" i="14"/>
  <c r="AB272" i="14"/>
  <c r="S272" i="14"/>
  <c r="M272" i="14"/>
  <c r="V272" i="14"/>
  <c r="M80" i="14"/>
  <c r="N80" i="14"/>
  <c r="AB80" i="14"/>
  <c r="Y80" i="14"/>
  <c r="V80" i="14"/>
  <c r="S80" i="14"/>
  <c r="AC80" i="14"/>
  <c r="M914" i="14"/>
  <c r="C460" i="17"/>
  <c r="M898" i="14"/>
  <c r="C444" i="17"/>
  <c r="AC1274" i="14"/>
  <c r="V1274" i="14"/>
  <c r="N1274" i="14"/>
  <c r="M1274" i="14"/>
  <c r="S1274" i="14"/>
  <c r="AB1274" i="14"/>
  <c r="Y1274" i="14"/>
  <c r="S1069" i="14"/>
  <c r="N1069" i="14"/>
  <c r="AB1069" i="14"/>
  <c r="M1069" i="14"/>
  <c r="V1069" i="14"/>
  <c r="AC1069" i="14"/>
  <c r="Y1069" i="14"/>
  <c r="N1398" i="14"/>
  <c r="AC1398" i="14"/>
  <c r="S1398" i="14"/>
  <c r="Y1398" i="14"/>
  <c r="V1398" i="14"/>
  <c r="M1398" i="14"/>
  <c r="AB1398" i="14"/>
  <c r="N759" i="14"/>
  <c r="AC759" i="14"/>
  <c r="V759" i="14"/>
  <c r="S759" i="14"/>
  <c r="C305" i="17"/>
  <c r="AB759" i="14"/>
  <c r="M759" i="14"/>
  <c r="Y759" i="14"/>
  <c r="S755" i="14"/>
  <c r="V755" i="14"/>
  <c r="AB755" i="14"/>
  <c r="Y755" i="14"/>
  <c r="N755" i="14"/>
  <c r="M755" i="14"/>
  <c r="AC755" i="14"/>
  <c r="C301" i="17"/>
  <c r="D301" i="17"/>
  <c r="M1397" i="14"/>
  <c r="V1397" i="14"/>
  <c r="Y1397" i="14"/>
  <c r="AC1397" i="14"/>
  <c r="S1397" i="14"/>
  <c r="N1397" i="14"/>
  <c r="AB1397" i="14"/>
  <c r="Y1396" i="14"/>
  <c r="N1396" i="14"/>
  <c r="V1396" i="14"/>
  <c r="AC1396" i="14"/>
  <c r="M1396" i="14"/>
  <c r="S1396" i="14"/>
  <c r="AB1396" i="14"/>
  <c r="S374" i="14"/>
  <c r="V374" i="14"/>
  <c r="M374" i="14"/>
  <c r="AB374" i="14"/>
  <c r="Y374" i="14"/>
  <c r="AC374" i="14"/>
  <c r="N374" i="14"/>
  <c r="N375" i="14"/>
  <c r="AC375" i="14"/>
  <c r="Y375" i="14"/>
  <c r="S375" i="14"/>
  <c r="AB375" i="14"/>
  <c r="M375" i="14"/>
  <c r="V375" i="14"/>
  <c r="V1028" i="14"/>
  <c r="S1028" i="14"/>
  <c r="Y1028" i="14"/>
  <c r="AC1028" i="14"/>
  <c r="AB1028" i="14"/>
  <c r="N1028" i="14"/>
  <c r="M1028" i="14"/>
  <c r="M670" i="14"/>
  <c r="C216" i="17"/>
  <c r="C185" i="17"/>
  <c r="M639" i="14"/>
  <c r="N1282" i="14"/>
  <c r="S1282" i="14"/>
  <c r="M1282" i="14"/>
  <c r="AC1282" i="14"/>
  <c r="AB1282" i="14"/>
  <c r="V1282" i="14"/>
  <c r="Y1282" i="14"/>
  <c r="M1014" i="14"/>
  <c r="AC1014" i="14"/>
  <c r="Y1014" i="14"/>
  <c r="AB1014" i="14"/>
  <c r="V1014" i="14"/>
  <c r="S1014" i="14"/>
  <c r="N1014" i="14"/>
  <c r="C187" i="17"/>
  <c r="M641" i="14"/>
  <c r="AC139" i="14"/>
  <c r="Y139" i="14"/>
  <c r="N139" i="14"/>
  <c r="AB139" i="14"/>
  <c r="M139" i="14"/>
  <c r="V139" i="14"/>
  <c r="S139" i="14"/>
  <c r="C259" i="17"/>
  <c r="M713" i="14"/>
  <c r="L51" i="14"/>
  <c r="M51" i="14"/>
  <c r="L50" i="14"/>
  <c r="L49" i="14"/>
  <c r="M49" i="14"/>
  <c r="M99" i="14"/>
  <c r="S99" i="14"/>
  <c r="V99" i="14"/>
  <c r="AB99" i="14"/>
  <c r="N99" i="14"/>
  <c r="AC99" i="14"/>
  <c r="Y99" i="14"/>
  <c r="AC298" i="14"/>
  <c r="Y298" i="14"/>
  <c r="AB298" i="14"/>
  <c r="V298" i="14"/>
  <c r="M298" i="14"/>
  <c r="N298" i="14"/>
  <c r="S298" i="14"/>
  <c r="M192" i="14"/>
  <c r="AB192" i="14"/>
  <c r="Y192" i="14"/>
  <c r="S192" i="14"/>
  <c r="N192" i="14"/>
  <c r="AC192" i="14"/>
  <c r="V192" i="14"/>
  <c r="M193" i="14"/>
  <c r="AC193" i="14"/>
  <c r="S193" i="14"/>
  <c r="V193" i="14"/>
  <c r="Y193" i="14"/>
  <c r="N193" i="14"/>
  <c r="AB193" i="14"/>
  <c r="M805" i="14"/>
  <c r="C351" i="17"/>
  <c r="M806" i="14"/>
  <c r="V806" i="14"/>
  <c r="N806" i="14"/>
  <c r="Y806" i="14"/>
  <c r="AB806" i="14"/>
  <c r="AC806" i="14"/>
  <c r="C352" i="17"/>
  <c r="D352" i="17"/>
  <c r="S806" i="14"/>
  <c r="M813" i="14"/>
  <c r="AB813" i="14"/>
  <c r="AC813" i="14"/>
  <c r="S813" i="14"/>
  <c r="V813" i="14"/>
  <c r="Y813" i="14"/>
  <c r="N813" i="14"/>
  <c r="C359" i="17"/>
  <c r="M816" i="14"/>
  <c r="C362" i="17"/>
  <c r="M299" i="14"/>
  <c r="AC299" i="14"/>
  <c r="S299" i="14"/>
  <c r="V299" i="14"/>
  <c r="Y299" i="14"/>
  <c r="N299" i="14"/>
  <c r="AB299" i="14"/>
  <c r="AB127" i="14"/>
  <c r="Y127" i="14"/>
  <c r="V127" i="14"/>
  <c r="M127" i="14"/>
  <c r="S127" i="14"/>
  <c r="N127" i="14"/>
  <c r="AC127" i="14"/>
  <c r="M126" i="14"/>
  <c r="AB126" i="14"/>
  <c r="N126" i="14"/>
  <c r="V126" i="14"/>
  <c r="AC126" i="14"/>
  <c r="Y126" i="14"/>
  <c r="S126" i="14"/>
  <c r="AB120" i="14"/>
  <c r="N120" i="14"/>
  <c r="V120" i="14"/>
  <c r="Y120" i="14"/>
  <c r="S120" i="14"/>
  <c r="AC120" i="14"/>
  <c r="M120" i="14"/>
  <c r="AC309" i="14"/>
  <c r="AB309" i="14"/>
  <c r="V309" i="14"/>
  <c r="N309" i="14"/>
  <c r="Y309" i="14"/>
  <c r="M309" i="14"/>
  <c r="S309" i="14"/>
  <c r="Y966" i="14"/>
  <c r="N966" i="14"/>
  <c r="AC966" i="14"/>
  <c r="V966" i="14"/>
  <c r="S966" i="14"/>
  <c r="AB966" i="14"/>
  <c r="M966" i="14"/>
  <c r="S517" i="14"/>
  <c r="C63" i="17"/>
  <c r="D63" i="17"/>
  <c r="Y517" i="14"/>
  <c r="M517" i="14"/>
  <c r="AC517" i="14"/>
  <c r="N517" i="14"/>
  <c r="AB517" i="14"/>
  <c r="V517" i="14"/>
  <c r="V1171" i="14"/>
  <c r="M1171" i="14"/>
  <c r="Y1171" i="14"/>
  <c r="N1171" i="14"/>
  <c r="S1171" i="14"/>
  <c r="AC1171" i="14"/>
  <c r="AB1171" i="14"/>
  <c r="S1173" i="14"/>
  <c r="V1173" i="14"/>
  <c r="AB1173" i="14"/>
  <c r="M1173" i="14"/>
  <c r="Y1173" i="14"/>
  <c r="AC1173" i="14"/>
  <c r="N1173" i="14"/>
  <c r="S383" i="14"/>
  <c r="V383" i="14"/>
  <c r="Y383" i="14"/>
  <c r="N383" i="14"/>
  <c r="AC383" i="14"/>
  <c r="M383" i="14"/>
  <c r="AB383" i="14"/>
  <c r="AB341" i="14"/>
  <c r="M341" i="14"/>
  <c r="AC341" i="14"/>
  <c r="V341" i="14"/>
  <c r="S341" i="14"/>
  <c r="N341" i="14"/>
  <c r="Y341" i="14"/>
  <c r="AB339" i="14"/>
  <c r="Y339" i="14"/>
  <c r="N339" i="14"/>
  <c r="S339" i="14"/>
  <c r="M339" i="14"/>
  <c r="V339" i="14"/>
  <c r="AC339" i="14"/>
  <c r="N56" i="14"/>
  <c r="V56" i="14"/>
  <c r="M56" i="14"/>
  <c r="AB56" i="14"/>
  <c r="Y56" i="14"/>
  <c r="AC56" i="14"/>
  <c r="S56" i="14"/>
  <c r="M994" i="14"/>
  <c r="S994" i="14"/>
  <c r="V994" i="14"/>
  <c r="Y994" i="14"/>
  <c r="N994" i="14"/>
  <c r="AC994" i="14"/>
  <c r="AB994" i="14"/>
  <c r="N1227" i="14"/>
  <c r="V1227" i="14"/>
  <c r="AB1227" i="14"/>
  <c r="Y1227" i="14"/>
  <c r="S1227" i="14"/>
  <c r="AC1227" i="14"/>
  <c r="M1227" i="14"/>
  <c r="N1228" i="14"/>
  <c r="AC1228" i="14"/>
  <c r="M1228" i="14"/>
  <c r="AB1228" i="14"/>
  <c r="Y1228" i="14"/>
  <c r="V1228" i="14"/>
  <c r="S1228" i="14"/>
  <c r="M991" i="14"/>
  <c r="AC991" i="14"/>
  <c r="N991" i="14"/>
  <c r="AB991" i="14"/>
  <c r="Y991" i="14"/>
  <c r="V991" i="14"/>
  <c r="S991" i="14"/>
  <c r="Y995" i="14"/>
  <c r="S995" i="14"/>
  <c r="V995" i="14"/>
  <c r="AC995" i="14"/>
  <c r="AB995" i="14"/>
  <c r="M995" i="14"/>
  <c r="N995" i="14"/>
  <c r="M197" i="14"/>
  <c r="N197" i="14"/>
  <c r="Y197" i="14"/>
  <c r="AB197" i="14"/>
  <c r="AC197" i="14"/>
  <c r="V197" i="14"/>
  <c r="S197" i="14"/>
  <c r="Y234" i="14"/>
  <c r="AC234" i="14"/>
  <c r="S234" i="14"/>
  <c r="N234" i="14"/>
  <c r="AB234" i="14"/>
  <c r="M234" i="14"/>
  <c r="V234" i="14"/>
  <c r="S31" i="14"/>
  <c r="N31" i="14"/>
  <c r="M31" i="14"/>
  <c r="Y31" i="14"/>
  <c r="AC31" i="14"/>
  <c r="V31" i="14"/>
  <c r="AB31" i="14"/>
  <c r="Y350" i="14"/>
  <c r="AB350" i="14"/>
  <c r="AC350" i="14"/>
  <c r="V350" i="14"/>
  <c r="M350" i="14"/>
  <c r="N350" i="14"/>
  <c r="S350" i="14"/>
  <c r="N24" i="14"/>
  <c r="AB24" i="14"/>
  <c r="Y24" i="14"/>
  <c r="M24" i="14"/>
  <c r="AC24" i="14"/>
  <c r="S24" i="14"/>
  <c r="V24" i="14"/>
  <c r="AB316" i="14"/>
  <c r="N316" i="14"/>
  <c r="Y316" i="14"/>
  <c r="S316" i="14"/>
  <c r="V316" i="14"/>
  <c r="AC316" i="14"/>
  <c r="M316" i="14"/>
  <c r="S189" i="14"/>
  <c r="N189" i="14"/>
  <c r="Y189" i="14"/>
  <c r="AC189" i="14"/>
  <c r="V189" i="14"/>
  <c r="M189" i="14"/>
  <c r="AB189" i="14"/>
  <c r="N240" i="14"/>
  <c r="M240" i="14"/>
  <c r="AC240" i="14"/>
  <c r="V240" i="14"/>
  <c r="Y240" i="14"/>
  <c r="AB240" i="14"/>
  <c r="S240" i="14"/>
  <c r="Y306" i="14"/>
  <c r="V306" i="14"/>
  <c r="N306" i="14"/>
  <c r="AB306" i="14"/>
  <c r="S306" i="14"/>
  <c r="M306" i="14"/>
  <c r="AC306" i="14"/>
  <c r="AB362" i="14"/>
  <c r="Y362" i="14"/>
  <c r="S362" i="14"/>
  <c r="N362" i="14"/>
  <c r="AC362" i="14"/>
  <c r="M362" i="14"/>
  <c r="V362" i="14"/>
  <c r="N364" i="14"/>
  <c r="M364" i="14"/>
  <c r="S364" i="14"/>
  <c r="Y364" i="14"/>
  <c r="AB364" i="14"/>
  <c r="AC364" i="14"/>
  <c r="V364" i="14"/>
  <c r="C459" i="17"/>
  <c r="M913" i="14"/>
  <c r="AC633" i="14"/>
  <c r="V633" i="14"/>
  <c r="M633" i="14"/>
  <c r="N633" i="14"/>
  <c r="C179" i="17"/>
  <c r="D179" i="17"/>
  <c r="S633" i="14"/>
  <c r="AB633" i="14"/>
  <c r="Y633" i="14"/>
  <c r="C180" i="17"/>
  <c r="M634" i="14"/>
  <c r="AC632" i="14"/>
  <c r="V632" i="14"/>
  <c r="Y632" i="14"/>
  <c r="M632" i="14"/>
  <c r="S632" i="14"/>
  <c r="N632" i="14"/>
  <c r="C178" i="17"/>
  <c r="D178" i="17"/>
  <c r="AB632" i="14"/>
  <c r="S1390" i="14"/>
  <c r="M1390" i="14"/>
  <c r="AB1390" i="14"/>
  <c r="N1390" i="14"/>
  <c r="V1390" i="14"/>
  <c r="Y1390" i="14"/>
  <c r="AC1390" i="14"/>
  <c r="V749" i="14"/>
  <c r="S749" i="14"/>
  <c r="C295" i="17"/>
  <c r="AC749" i="14"/>
  <c r="AB749" i="14"/>
  <c r="M749" i="14"/>
  <c r="Y749" i="14"/>
  <c r="N749" i="14"/>
  <c r="N1073" i="14"/>
  <c r="AC1073" i="14"/>
  <c r="AB1073" i="14"/>
  <c r="Y1073" i="14"/>
  <c r="V1073" i="14"/>
  <c r="S1073" i="14"/>
  <c r="M1073" i="14"/>
  <c r="N760" i="14"/>
  <c r="AC760" i="14"/>
  <c r="Y760" i="14"/>
  <c r="S760" i="14"/>
  <c r="M760" i="14"/>
  <c r="V760" i="14"/>
  <c r="AB760" i="14"/>
  <c r="C306" i="17"/>
  <c r="D306" i="17"/>
  <c r="AB756" i="14"/>
  <c r="M756" i="14"/>
  <c r="C302" i="17"/>
  <c r="AC756" i="14"/>
  <c r="Y756" i="14"/>
  <c r="S756" i="14"/>
  <c r="N756" i="14"/>
  <c r="V756" i="14"/>
  <c r="AB757" i="14"/>
  <c r="S757" i="14"/>
  <c r="AC757" i="14"/>
  <c r="M757" i="14"/>
  <c r="Y757" i="14"/>
  <c r="C303" i="17"/>
  <c r="D303" i="17"/>
  <c r="N757" i="14"/>
  <c r="V757" i="14"/>
  <c r="V751" i="14"/>
  <c r="AC751" i="14"/>
  <c r="M751" i="14"/>
  <c r="C297" i="17"/>
  <c r="N751" i="14"/>
  <c r="AB751" i="14"/>
  <c r="Y751" i="14"/>
  <c r="S751" i="14"/>
  <c r="L181" i="14"/>
  <c r="M181" i="14"/>
  <c r="L179" i="14"/>
  <c r="L178" i="14"/>
  <c r="M178" i="14"/>
  <c r="L184" i="14"/>
  <c r="M184" i="14"/>
  <c r="L186" i="14"/>
  <c r="M186" i="14"/>
  <c r="L183" i="14"/>
  <c r="M183" i="14"/>
  <c r="L182" i="14"/>
  <c r="L180" i="14"/>
  <c r="M180" i="14"/>
  <c r="L185" i="14"/>
  <c r="L187" i="14"/>
  <c r="N376" i="14"/>
  <c r="AB376" i="14"/>
  <c r="AC376" i="14"/>
  <c r="Y376" i="14"/>
  <c r="M376" i="14"/>
  <c r="S376" i="14"/>
  <c r="V376" i="14"/>
  <c r="M369" i="14"/>
  <c r="AC369" i="14"/>
  <c r="V369" i="14"/>
  <c r="N369" i="14"/>
  <c r="S369" i="14"/>
  <c r="AB369" i="14"/>
  <c r="Y369" i="14"/>
  <c r="N43" i="14"/>
  <c r="AB43" i="14"/>
  <c r="Y43" i="14"/>
  <c r="S43" i="14"/>
  <c r="V43" i="14"/>
  <c r="AC43" i="14"/>
  <c r="M43" i="14"/>
  <c r="M46" i="14"/>
  <c r="Y46" i="14"/>
  <c r="AC46" i="14"/>
  <c r="V46" i="14"/>
  <c r="S46" i="14"/>
  <c r="N46" i="14"/>
  <c r="AB46" i="14"/>
  <c r="V331" i="14"/>
  <c r="AB331" i="14"/>
  <c r="S331" i="14"/>
  <c r="AC331" i="14"/>
  <c r="N331" i="14"/>
  <c r="Y331" i="14"/>
  <c r="M331" i="14"/>
  <c r="AB1010" i="14"/>
  <c r="S1010" i="14"/>
  <c r="AC1010" i="14"/>
  <c r="Y1010" i="14"/>
  <c r="V1010" i="14"/>
  <c r="N1010" i="14"/>
  <c r="M1010" i="14"/>
  <c r="Y1012" i="14"/>
  <c r="M1012" i="14"/>
  <c r="AB1012" i="14"/>
  <c r="AC1012" i="14"/>
  <c r="V1012" i="14"/>
  <c r="S1012" i="14"/>
  <c r="N1012" i="14"/>
  <c r="M640" i="14"/>
  <c r="V640" i="14"/>
  <c r="Y640" i="14"/>
  <c r="AB640" i="14"/>
  <c r="AC640" i="14"/>
  <c r="N640" i="14"/>
  <c r="S640" i="14"/>
  <c r="C186" i="17"/>
  <c r="Y1015" i="14"/>
  <c r="AB1015" i="14"/>
  <c r="S1015" i="14"/>
  <c r="V1015" i="14"/>
  <c r="M1015" i="14"/>
  <c r="N1015" i="14"/>
  <c r="AC1015" i="14"/>
  <c r="C183" i="17"/>
  <c r="M637" i="14"/>
  <c r="L86" i="14"/>
  <c r="M86" i="14"/>
  <c r="L90" i="14"/>
  <c r="M90" i="14"/>
  <c r="L87" i="14"/>
  <c r="M87" i="14"/>
  <c r="L85" i="14"/>
  <c r="L89" i="14"/>
  <c r="M89" i="14"/>
  <c r="L84" i="14"/>
  <c r="M84" i="14"/>
  <c r="L88" i="14"/>
  <c r="M712" i="14"/>
  <c r="C258" i="17"/>
  <c r="M710" i="14"/>
  <c r="C256" i="17"/>
  <c r="AB100" i="14"/>
  <c r="S100" i="14"/>
  <c r="M100" i="14"/>
  <c r="V100" i="14"/>
  <c r="Y100" i="14"/>
  <c r="AC100" i="14"/>
  <c r="N100" i="14"/>
  <c r="Y105" i="14"/>
  <c r="V105" i="14"/>
  <c r="S105" i="14"/>
  <c r="AC105" i="14"/>
  <c r="AB105" i="14"/>
  <c r="M105" i="14"/>
  <c r="N105" i="14"/>
  <c r="AC101" i="14"/>
  <c r="N101" i="14"/>
  <c r="Y101" i="14"/>
  <c r="V101" i="14"/>
  <c r="AB101" i="14"/>
  <c r="S101" i="14"/>
  <c r="M101" i="14"/>
  <c r="AB93" i="14"/>
  <c r="AC93" i="14"/>
  <c r="Y93" i="14"/>
  <c r="M93" i="14"/>
  <c r="V93" i="14"/>
  <c r="N93" i="14"/>
  <c r="S93" i="14"/>
  <c r="Y194" i="14"/>
  <c r="AB194" i="14"/>
  <c r="V194" i="14"/>
  <c r="AC194" i="14"/>
  <c r="N194" i="14"/>
  <c r="M194" i="14"/>
  <c r="S194" i="14"/>
  <c r="AC1460" i="14"/>
  <c r="M1460" i="14"/>
  <c r="AB1460" i="14"/>
  <c r="V1460" i="14"/>
  <c r="Y1460" i="14"/>
  <c r="S1460" i="14"/>
  <c r="N1460" i="14"/>
  <c r="M814" i="14"/>
  <c r="AB814" i="14"/>
  <c r="S814" i="14"/>
  <c r="N814" i="14"/>
  <c r="V814" i="14"/>
  <c r="Y814" i="14"/>
  <c r="C360" i="17"/>
  <c r="D360" i="17"/>
  <c r="AC814" i="14"/>
  <c r="C354" i="17"/>
  <c r="D354" i="17"/>
  <c r="V808" i="14"/>
  <c r="Y808" i="14"/>
  <c r="AC808" i="14"/>
  <c r="M808" i="14"/>
  <c r="AB808" i="14"/>
  <c r="N808" i="14"/>
  <c r="S808" i="14"/>
  <c r="Y1113" i="14"/>
  <c r="N1113" i="14"/>
  <c r="AB1113" i="14"/>
  <c r="S1113" i="14"/>
  <c r="V1113" i="14"/>
  <c r="M1113" i="14"/>
  <c r="AC1113" i="14"/>
  <c r="C353" i="17"/>
  <c r="M807" i="14"/>
  <c r="C355" i="17"/>
  <c r="M809" i="14"/>
  <c r="AC70" i="14"/>
  <c r="N70" i="14"/>
  <c r="S70" i="14"/>
  <c r="V70" i="14"/>
  <c r="M70" i="14"/>
  <c r="Y70" i="14"/>
  <c r="AB70" i="14"/>
  <c r="N301" i="14"/>
  <c r="AC301" i="14"/>
  <c r="AB301" i="14"/>
  <c r="M301" i="14"/>
  <c r="S301" i="14"/>
  <c r="Y301" i="14"/>
  <c r="V301" i="14"/>
  <c r="C220" i="17"/>
  <c r="M674" i="14"/>
  <c r="AC133" i="14"/>
  <c r="AB133" i="14"/>
  <c r="N133" i="14"/>
  <c r="Y133" i="14"/>
  <c r="V133" i="14"/>
  <c r="M133" i="14"/>
  <c r="S133" i="14"/>
  <c r="N129" i="14"/>
  <c r="S129" i="14"/>
  <c r="AC129" i="14"/>
  <c r="Y129" i="14"/>
  <c r="AB129" i="14"/>
  <c r="M129" i="14"/>
  <c r="V129" i="14"/>
  <c r="Y250" i="14"/>
  <c r="AB250" i="14"/>
  <c r="V250" i="14"/>
  <c r="AC250" i="14"/>
  <c r="S250" i="14"/>
  <c r="M250" i="14"/>
  <c r="N250" i="14"/>
  <c r="AC967" i="14"/>
  <c r="M967" i="14"/>
  <c r="AB967" i="14"/>
  <c r="N967" i="14"/>
  <c r="V967" i="14"/>
  <c r="Y967" i="14"/>
  <c r="S967" i="14"/>
  <c r="C68" i="17"/>
  <c r="M522" i="14"/>
  <c r="Y516" i="14"/>
  <c r="AB516" i="14"/>
  <c r="V516" i="14"/>
  <c r="S516" i="14"/>
  <c r="AC516" i="14"/>
  <c r="C62" i="17"/>
  <c r="D62" i="17"/>
  <c r="N516" i="14"/>
  <c r="M516" i="14"/>
  <c r="N63" i="14"/>
  <c r="Y63" i="14"/>
  <c r="AB63" i="14"/>
  <c r="S63" i="14"/>
  <c r="M63" i="14"/>
  <c r="AC63" i="14"/>
  <c r="V63" i="14"/>
  <c r="AB384" i="14"/>
  <c r="AC384" i="14"/>
  <c r="V384" i="14"/>
  <c r="N384" i="14"/>
  <c r="M384" i="14"/>
  <c r="S384" i="14"/>
  <c r="Y384" i="14"/>
  <c r="N53" i="14"/>
  <c r="AC53" i="14"/>
  <c r="Y53" i="14"/>
  <c r="S53" i="14"/>
  <c r="M53" i="14"/>
  <c r="AB53" i="14"/>
  <c r="V53" i="14"/>
  <c r="AB345" i="14"/>
  <c r="Y345" i="14"/>
  <c r="V345" i="14"/>
  <c r="AC345" i="14"/>
  <c r="N345" i="14"/>
  <c r="M345" i="14"/>
  <c r="S345" i="14"/>
  <c r="M346" i="14"/>
  <c r="AB346" i="14"/>
  <c r="V346" i="14"/>
  <c r="N346" i="14"/>
  <c r="Y346" i="14"/>
  <c r="AC346" i="14"/>
  <c r="S346" i="14"/>
  <c r="S57" i="14"/>
  <c r="AB57" i="14"/>
  <c r="N57" i="14"/>
  <c r="AC57" i="14"/>
  <c r="Y57" i="14"/>
  <c r="M57" i="14"/>
  <c r="V57" i="14"/>
  <c r="M260" i="14"/>
  <c r="AC260" i="14"/>
  <c r="S260" i="14"/>
  <c r="Y260" i="14"/>
  <c r="N260" i="14"/>
  <c r="V260" i="14"/>
  <c r="AB260" i="14"/>
  <c r="X5" i="15"/>
  <c r="X7" i="15"/>
  <c r="L5" i="15"/>
  <c r="L8" i="15"/>
  <c r="I10" i="15"/>
  <c r="I11" i="15"/>
  <c r="AB88" i="14"/>
  <c r="AC88" i="14"/>
  <c r="S88" i="14"/>
  <c r="V88" i="14"/>
  <c r="N88" i="14"/>
  <c r="M88" i="14"/>
  <c r="Y88" i="14"/>
  <c r="V182" i="14"/>
  <c r="AB182" i="14"/>
  <c r="AC182" i="14"/>
  <c r="Y182" i="14"/>
  <c r="M182" i="14"/>
  <c r="N182" i="14"/>
  <c r="S182" i="14"/>
  <c r="AC205" i="14"/>
  <c r="M205" i="14"/>
  <c r="Y205" i="14"/>
  <c r="S205" i="14"/>
  <c r="V205" i="14"/>
  <c r="N205" i="14"/>
  <c r="AB205" i="14"/>
  <c r="N214" i="14"/>
  <c r="M214" i="14"/>
  <c r="Y214" i="14"/>
  <c r="AB214" i="14"/>
  <c r="S214" i="14"/>
  <c r="AC214" i="14"/>
  <c r="V214" i="14"/>
  <c r="AC207" i="14"/>
  <c r="V207" i="14"/>
  <c r="M207" i="14"/>
  <c r="AB207" i="14"/>
  <c r="Y207" i="14"/>
  <c r="S207" i="14"/>
  <c r="N207" i="14"/>
  <c r="V215" i="14"/>
  <c r="Y215" i="14"/>
  <c r="AC215" i="14"/>
  <c r="N215" i="14"/>
  <c r="S215" i="14"/>
  <c r="AB215" i="14"/>
  <c r="M215" i="14"/>
  <c r="AB216" i="14"/>
  <c r="S216" i="14"/>
  <c r="AC216" i="14"/>
  <c r="M216" i="14"/>
  <c r="N216" i="14"/>
  <c r="Y216" i="14"/>
  <c r="V216" i="14"/>
  <c r="M442" i="14"/>
  <c r="Y442" i="14"/>
  <c r="S442" i="14"/>
  <c r="AC442" i="14"/>
  <c r="N442" i="14"/>
  <c r="V442" i="14"/>
  <c r="AB442" i="14"/>
  <c r="V443" i="14"/>
  <c r="S443" i="14"/>
  <c r="AC443" i="14"/>
  <c r="AB443" i="14"/>
  <c r="Y443" i="14"/>
  <c r="N443" i="14"/>
  <c r="M443" i="14"/>
  <c r="V447" i="14"/>
  <c r="Y447" i="14"/>
  <c r="AC447" i="14"/>
  <c r="S447" i="14"/>
  <c r="N447" i="14"/>
  <c r="AB447" i="14"/>
  <c r="M447" i="14"/>
  <c r="AC436" i="14"/>
  <c r="S436" i="14"/>
  <c r="N436" i="14"/>
  <c r="V436" i="14"/>
  <c r="Y436" i="14"/>
  <c r="M436" i="14"/>
  <c r="AB436" i="14"/>
  <c r="AC454" i="14"/>
  <c r="S454" i="14"/>
  <c r="Y454" i="14"/>
  <c r="N454" i="14"/>
  <c r="AB454" i="14"/>
  <c r="M454" i="14"/>
  <c r="V454" i="14"/>
  <c r="S415" i="14"/>
  <c r="AC415" i="14"/>
  <c r="Y415" i="14"/>
  <c r="M415" i="14"/>
  <c r="AB415" i="14"/>
  <c r="N415" i="14"/>
  <c r="V415" i="14"/>
  <c r="V424" i="14"/>
  <c r="M424" i="14"/>
  <c r="S424" i="14"/>
  <c r="N424" i="14"/>
  <c r="AB424" i="14"/>
  <c r="Y424" i="14"/>
  <c r="AC424" i="14"/>
  <c r="N429" i="14"/>
  <c r="M429" i="14"/>
  <c r="V429" i="14"/>
  <c r="S429" i="14"/>
  <c r="AC429" i="14"/>
  <c r="Y429" i="14"/>
  <c r="AB429" i="14"/>
  <c r="N426" i="14"/>
  <c r="Y426" i="14"/>
  <c r="AC426" i="14"/>
  <c r="S426" i="14"/>
  <c r="V426" i="14"/>
  <c r="AB426" i="14"/>
  <c r="M426" i="14"/>
  <c r="M417" i="14"/>
  <c r="V417" i="14"/>
  <c r="AB417" i="14"/>
  <c r="AC417" i="14"/>
  <c r="S417" i="14"/>
  <c r="Y417" i="14"/>
  <c r="N417" i="14"/>
  <c r="N421" i="14"/>
  <c r="Y421" i="14"/>
  <c r="AC421" i="14"/>
  <c r="M421" i="14"/>
  <c r="V421" i="14"/>
  <c r="AB421" i="14"/>
  <c r="S421" i="14"/>
  <c r="N401" i="14"/>
  <c r="AC401" i="14"/>
  <c r="V401" i="14"/>
  <c r="S401" i="14"/>
  <c r="AB401" i="14"/>
  <c r="M401" i="14"/>
  <c r="Y401" i="14"/>
  <c r="M391" i="14"/>
  <c r="AB391" i="14"/>
  <c r="Y391" i="14"/>
  <c r="N391" i="14"/>
  <c r="S391" i="14"/>
  <c r="AC391" i="14"/>
  <c r="V391" i="14"/>
  <c r="AC406" i="14"/>
  <c r="N406" i="14"/>
  <c r="Y406" i="14"/>
  <c r="AB406" i="14"/>
  <c r="V406" i="14"/>
  <c r="M406" i="14"/>
  <c r="S406" i="14"/>
  <c r="S405" i="14"/>
  <c r="M405" i="14"/>
  <c r="Y405" i="14"/>
  <c r="AC405" i="14"/>
  <c r="V405" i="14"/>
  <c r="N405" i="14"/>
  <c r="AB405" i="14"/>
  <c r="V394" i="14"/>
  <c r="AB394" i="14"/>
  <c r="M394" i="14"/>
  <c r="AC394" i="14"/>
  <c r="Y394" i="14"/>
  <c r="S394" i="14"/>
  <c r="N394" i="14"/>
  <c r="AC397" i="14"/>
  <c r="M397" i="14"/>
  <c r="S397" i="14"/>
  <c r="AB397" i="14"/>
  <c r="V397" i="14"/>
  <c r="Y397" i="14"/>
  <c r="N397" i="14"/>
  <c r="S28" i="14"/>
  <c r="AC28" i="14"/>
  <c r="V28" i="14"/>
  <c r="N28" i="14"/>
  <c r="Y28" i="14"/>
  <c r="AB28" i="14"/>
  <c r="M28" i="14"/>
  <c r="AC162" i="14"/>
  <c r="Y162" i="14"/>
  <c r="AB162" i="14"/>
  <c r="S162" i="14"/>
  <c r="N162" i="14"/>
  <c r="V162" i="14"/>
  <c r="M162" i="14"/>
  <c r="V174" i="14"/>
  <c r="AB174" i="14"/>
  <c r="Y174" i="14"/>
  <c r="AC174" i="14"/>
  <c r="S174" i="14"/>
  <c r="N174" i="14"/>
  <c r="M174" i="14"/>
  <c r="AC153" i="14"/>
  <c r="V153" i="14"/>
  <c r="AB153" i="14"/>
  <c r="N153" i="14"/>
  <c r="Y153" i="14"/>
  <c r="M153" i="14"/>
  <c r="S153" i="14"/>
  <c r="AC148" i="14"/>
  <c r="N148" i="14"/>
  <c r="S148" i="14"/>
  <c r="V148" i="14"/>
  <c r="M148" i="14"/>
  <c r="Y148" i="14"/>
  <c r="AB148" i="14"/>
  <c r="Y326" i="14"/>
  <c r="N326" i="14"/>
  <c r="AC326" i="14"/>
  <c r="S326" i="14"/>
  <c r="M326" i="14"/>
  <c r="V326" i="14"/>
  <c r="AB326" i="14"/>
  <c r="AC241" i="14"/>
  <c r="S241" i="14"/>
  <c r="Y241" i="14"/>
  <c r="M241" i="14"/>
  <c r="N241" i="14"/>
  <c r="AB241" i="14"/>
  <c r="V241" i="14"/>
  <c r="Y291" i="14"/>
  <c r="N291" i="14"/>
  <c r="M291" i="14"/>
  <c r="V291" i="14"/>
  <c r="S291" i="14"/>
  <c r="AC291" i="14"/>
  <c r="AB291" i="14"/>
  <c r="AC334" i="14"/>
  <c r="S334" i="14"/>
  <c r="Y334" i="14"/>
  <c r="N334" i="14"/>
  <c r="V334" i="14"/>
  <c r="AB334" i="14"/>
  <c r="M334" i="14"/>
  <c r="Y187" i="14"/>
  <c r="S187" i="14"/>
  <c r="AC187" i="14"/>
  <c r="M187" i="14"/>
  <c r="N187" i="14"/>
  <c r="V187" i="14"/>
  <c r="AB187" i="14"/>
  <c r="AC179" i="14"/>
  <c r="Y179" i="14"/>
  <c r="S179" i="14"/>
  <c r="V179" i="14"/>
  <c r="N179" i="14"/>
  <c r="AB179" i="14"/>
  <c r="M179" i="14"/>
  <c r="AC229" i="14"/>
  <c r="M229" i="14"/>
  <c r="AB229" i="14"/>
  <c r="Y229" i="14"/>
  <c r="V229" i="14"/>
  <c r="N229" i="14"/>
  <c r="S229" i="14"/>
  <c r="N217" i="14"/>
  <c r="AB217" i="14"/>
  <c r="M217" i="14"/>
  <c r="V217" i="14"/>
  <c r="S217" i="14"/>
  <c r="Y217" i="14"/>
  <c r="AC217" i="14"/>
  <c r="N212" i="14"/>
  <c r="Y212" i="14"/>
  <c r="V212" i="14"/>
  <c r="AB212" i="14"/>
  <c r="AC212" i="14"/>
  <c r="M212" i="14"/>
  <c r="S212" i="14"/>
  <c r="AB210" i="14"/>
  <c r="M210" i="14"/>
  <c r="AC210" i="14"/>
  <c r="S210" i="14"/>
  <c r="Y210" i="14"/>
  <c r="V210" i="14"/>
  <c r="N210" i="14"/>
  <c r="S226" i="14"/>
  <c r="M226" i="14"/>
  <c r="N226" i="14"/>
  <c r="Y226" i="14"/>
  <c r="AC226" i="14"/>
  <c r="V226" i="14"/>
  <c r="AB226" i="14"/>
  <c r="Y221" i="14"/>
  <c r="N221" i="14"/>
  <c r="S221" i="14"/>
  <c r="AB221" i="14"/>
  <c r="M221" i="14"/>
  <c r="V221" i="14"/>
  <c r="AC221" i="14"/>
  <c r="M439" i="14"/>
  <c r="AC439" i="14"/>
  <c r="AB439" i="14"/>
  <c r="S439" i="14"/>
  <c r="N439" i="14"/>
  <c r="V439" i="14"/>
  <c r="Y439" i="14"/>
  <c r="V455" i="14"/>
  <c r="Y455" i="14"/>
  <c r="N455" i="14"/>
  <c r="AC455" i="14"/>
  <c r="S455" i="14"/>
  <c r="AB455" i="14"/>
  <c r="M455" i="14"/>
  <c r="V445" i="14"/>
  <c r="Y445" i="14"/>
  <c r="M445" i="14"/>
  <c r="S445" i="14"/>
  <c r="AC445" i="14"/>
  <c r="AB445" i="14"/>
  <c r="N445" i="14"/>
  <c r="V448" i="14"/>
  <c r="AB448" i="14"/>
  <c r="S448" i="14"/>
  <c r="AC448" i="14"/>
  <c r="N448" i="14"/>
  <c r="M448" i="14"/>
  <c r="Y448" i="14"/>
  <c r="N456" i="14"/>
  <c r="Y456" i="14"/>
  <c r="S456" i="14"/>
  <c r="M456" i="14"/>
  <c r="AB456" i="14"/>
  <c r="AC456" i="14"/>
  <c r="V456" i="14"/>
  <c r="AC413" i="14"/>
  <c r="M413" i="14"/>
  <c r="V413" i="14"/>
  <c r="AB413" i="14"/>
  <c r="S413" i="14"/>
  <c r="N413" i="14"/>
  <c r="Y413" i="14"/>
  <c r="S414" i="14"/>
  <c r="M414" i="14"/>
  <c r="Y414" i="14"/>
  <c r="AC414" i="14"/>
  <c r="V414" i="14"/>
  <c r="N414" i="14"/>
  <c r="AB414" i="14"/>
  <c r="AC427" i="14"/>
  <c r="V427" i="14"/>
  <c r="N427" i="14"/>
  <c r="S427" i="14"/>
  <c r="M427" i="14"/>
  <c r="AB427" i="14"/>
  <c r="Y427" i="14"/>
  <c r="V411" i="14"/>
  <c r="M411" i="14"/>
  <c r="N411" i="14"/>
  <c r="S411" i="14"/>
  <c r="AC411" i="14"/>
  <c r="AB411" i="14"/>
  <c r="Y411" i="14"/>
  <c r="AB419" i="14"/>
  <c r="AC419" i="14"/>
  <c r="N419" i="14"/>
  <c r="V419" i="14"/>
  <c r="S419" i="14"/>
  <c r="M419" i="14"/>
  <c r="Y419" i="14"/>
  <c r="V430" i="14"/>
  <c r="AC430" i="14"/>
  <c r="S430" i="14"/>
  <c r="AB430" i="14"/>
  <c r="N430" i="14"/>
  <c r="M430" i="14"/>
  <c r="Y430" i="14"/>
  <c r="M118" i="14"/>
  <c r="Y118" i="14"/>
  <c r="V118" i="14"/>
  <c r="AB118" i="14"/>
  <c r="N118" i="14"/>
  <c r="AC118" i="14"/>
  <c r="S118" i="14"/>
  <c r="AC402" i="14"/>
  <c r="M402" i="14"/>
  <c r="S402" i="14"/>
  <c r="N402" i="14"/>
  <c r="Y402" i="14"/>
  <c r="AB402" i="14"/>
  <c r="V402" i="14"/>
  <c r="AB388" i="14"/>
  <c r="M388" i="14"/>
  <c r="V388" i="14"/>
  <c r="AC388" i="14"/>
  <c r="Y388" i="14"/>
  <c r="N388" i="14"/>
  <c r="S388" i="14"/>
  <c r="Y409" i="14"/>
  <c r="M409" i="14"/>
  <c r="AC409" i="14"/>
  <c r="AB409" i="14"/>
  <c r="V409" i="14"/>
  <c r="S409" i="14"/>
  <c r="N409" i="14"/>
  <c r="AC390" i="14"/>
  <c r="Y390" i="14"/>
  <c r="V390" i="14"/>
  <c r="S390" i="14"/>
  <c r="M390" i="14"/>
  <c r="AB390" i="14"/>
  <c r="N390" i="14"/>
  <c r="N396" i="14"/>
  <c r="V396" i="14"/>
  <c r="Y396" i="14"/>
  <c r="M396" i="14"/>
  <c r="S396" i="14"/>
  <c r="AB396" i="14"/>
  <c r="AC396" i="14"/>
  <c r="N355" i="14"/>
  <c r="AB355" i="14"/>
  <c r="S355" i="14"/>
  <c r="M355" i="14"/>
  <c r="AC355" i="14"/>
  <c r="V355" i="14"/>
  <c r="Y355" i="14"/>
  <c r="N172" i="14"/>
  <c r="AC172" i="14"/>
  <c r="V172" i="14"/>
  <c r="S172" i="14"/>
  <c r="AB172" i="14"/>
  <c r="M172" i="14"/>
  <c r="Y172" i="14"/>
  <c r="AC146" i="14"/>
  <c r="V146" i="14"/>
  <c r="M146" i="14"/>
  <c r="Y146" i="14"/>
  <c r="N146" i="14"/>
  <c r="S146" i="14"/>
  <c r="AB146" i="14"/>
  <c r="Y159" i="14"/>
  <c r="AC159" i="14"/>
  <c r="S159" i="14"/>
  <c r="V159" i="14"/>
  <c r="N159" i="14"/>
  <c r="AB159" i="14"/>
  <c r="M159" i="14"/>
  <c r="AB165" i="14"/>
  <c r="V165" i="14"/>
  <c r="M165" i="14"/>
  <c r="AC165" i="14"/>
  <c r="N165" i="14"/>
  <c r="S165" i="14"/>
  <c r="Y165" i="14"/>
  <c r="Y155" i="14"/>
  <c r="S155" i="14"/>
  <c r="V155" i="14"/>
  <c r="AB155" i="14"/>
  <c r="M155" i="14"/>
  <c r="AC155" i="14"/>
  <c r="N155" i="14"/>
  <c r="M72" i="14"/>
  <c r="AB72" i="14"/>
  <c r="N72" i="14"/>
  <c r="S72" i="14"/>
  <c r="AC72" i="14"/>
  <c r="Y72" i="14"/>
  <c r="V72" i="14"/>
  <c r="S329" i="14"/>
  <c r="V329" i="14"/>
  <c r="Y329" i="14"/>
  <c r="M329" i="14"/>
  <c r="AC329" i="14"/>
  <c r="AB329" i="14"/>
  <c r="N329" i="14"/>
  <c r="V323" i="14"/>
  <c r="N323" i="14"/>
  <c r="AB323" i="14"/>
  <c r="Y323" i="14"/>
  <c r="S323" i="14"/>
  <c r="M323" i="14"/>
  <c r="AC323" i="14"/>
  <c r="S286" i="14"/>
  <c r="AB286" i="14"/>
  <c r="Y286" i="14"/>
  <c r="AC286" i="14"/>
  <c r="N286" i="14"/>
  <c r="M286" i="14"/>
  <c r="V286" i="14"/>
  <c r="Y185" i="14"/>
  <c r="AC185" i="14"/>
  <c r="N185" i="14"/>
  <c r="S185" i="14"/>
  <c r="AB185" i="14"/>
  <c r="M185" i="14"/>
  <c r="V185" i="14"/>
  <c r="AB50" i="14"/>
  <c r="S50" i="14"/>
  <c r="M50" i="14"/>
  <c r="Y50" i="14"/>
  <c r="N50" i="14"/>
  <c r="AC50" i="14"/>
  <c r="V50" i="14"/>
  <c r="AC219" i="14"/>
  <c r="S219" i="14"/>
  <c r="N219" i="14"/>
  <c r="V219" i="14"/>
  <c r="AB219" i="14"/>
  <c r="Y219" i="14"/>
  <c r="M219" i="14"/>
  <c r="V208" i="14"/>
  <c r="N208" i="14"/>
  <c r="AC208" i="14"/>
  <c r="AB208" i="14"/>
  <c r="S208" i="14"/>
  <c r="Y208" i="14"/>
  <c r="M208" i="14"/>
  <c r="S220" i="14"/>
  <c r="Y220" i="14"/>
  <c r="V220" i="14"/>
  <c r="AC220" i="14"/>
  <c r="AB220" i="14"/>
  <c r="N220" i="14"/>
  <c r="M220" i="14"/>
  <c r="AC452" i="14"/>
  <c r="N452" i="14"/>
  <c r="M452" i="14"/>
  <c r="Y452" i="14"/>
  <c r="V452" i="14"/>
  <c r="S452" i="14"/>
  <c r="AB452" i="14"/>
  <c r="AC440" i="14"/>
  <c r="AB440" i="14"/>
  <c r="N440" i="14"/>
  <c r="S440" i="14"/>
  <c r="Y440" i="14"/>
  <c r="V440" i="14"/>
  <c r="M440" i="14"/>
  <c r="AC453" i="14"/>
  <c r="N453" i="14"/>
  <c r="V453" i="14"/>
  <c r="S453" i="14"/>
  <c r="AB453" i="14"/>
  <c r="M453" i="14"/>
  <c r="Y453" i="14"/>
  <c r="S451" i="14"/>
  <c r="AC451" i="14"/>
  <c r="Y451" i="14"/>
  <c r="N451" i="14"/>
  <c r="M451" i="14"/>
  <c r="V451" i="14"/>
  <c r="AB451" i="14"/>
  <c r="V450" i="14"/>
  <c r="M450" i="14"/>
  <c r="AC450" i="14"/>
  <c r="AB450" i="14"/>
  <c r="Y450" i="14"/>
  <c r="N450" i="14"/>
  <c r="S450" i="14"/>
  <c r="N441" i="14"/>
  <c r="Y441" i="14"/>
  <c r="S441" i="14"/>
  <c r="AC441" i="14"/>
  <c r="AB441" i="14"/>
  <c r="M441" i="14"/>
  <c r="V441" i="14"/>
  <c r="M428" i="14"/>
  <c r="Y428" i="14"/>
  <c r="V428" i="14"/>
  <c r="AC428" i="14"/>
  <c r="S428" i="14"/>
  <c r="N428" i="14"/>
  <c r="AB428" i="14"/>
  <c r="Y420" i="14"/>
  <c r="AC420" i="14"/>
  <c r="N420" i="14"/>
  <c r="AB420" i="14"/>
  <c r="S420" i="14"/>
  <c r="V420" i="14"/>
  <c r="M420" i="14"/>
  <c r="V416" i="14"/>
  <c r="AC416" i="14"/>
  <c r="Y416" i="14"/>
  <c r="N416" i="14"/>
  <c r="AB416" i="14"/>
  <c r="M416" i="14"/>
  <c r="S416" i="14"/>
  <c r="M432" i="14"/>
  <c r="N432" i="14"/>
  <c r="AC432" i="14"/>
  <c r="AB432" i="14"/>
  <c r="V432" i="14"/>
  <c r="Y432" i="14"/>
  <c r="S432" i="14"/>
  <c r="M431" i="14"/>
  <c r="Y431" i="14"/>
  <c r="S431" i="14"/>
  <c r="AC431" i="14"/>
  <c r="V431" i="14"/>
  <c r="N431" i="14"/>
  <c r="AB431" i="14"/>
  <c r="M425" i="14"/>
  <c r="V425" i="14"/>
  <c r="AC425" i="14"/>
  <c r="S425" i="14"/>
  <c r="Y425" i="14"/>
  <c r="AB425" i="14"/>
  <c r="N425" i="14"/>
  <c r="N399" i="14"/>
  <c r="M399" i="14"/>
  <c r="V399" i="14"/>
  <c r="AB399" i="14"/>
  <c r="S399" i="14"/>
  <c r="AC399" i="14"/>
  <c r="Y399" i="14"/>
  <c r="S408" i="14"/>
  <c r="N408" i="14"/>
  <c r="Y408" i="14"/>
  <c r="AC408" i="14"/>
  <c r="AB408" i="14"/>
  <c r="M408" i="14"/>
  <c r="V408" i="14"/>
  <c r="AC407" i="14"/>
  <c r="AB407" i="14"/>
  <c r="Y407" i="14"/>
  <c r="M407" i="14"/>
  <c r="N407" i="14"/>
  <c r="V407" i="14"/>
  <c r="S407" i="14"/>
  <c r="M398" i="14"/>
  <c r="Y398" i="14"/>
  <c r="S398" i="14"/>
  <c r="N398" i="14"/>
  <c r="V398" i="14"/>
  <c r="AC398" i="14"/>
  <c r="AB398" i="14"/>
  <c r="V404" i="14"/>
  <c r="S404" i="14"/>
  <c r="M404" i="14"/>
  <c r="Y404" i="14"/>
  <c r="AB404" i="14"/>
  <c r="AC404" i="14"/>
  <c r="N404" i="14"/>
  <c r="AC393" i="14"/>
  <c r="N393" i="14"/>
  <c r="M393" i="14"/>
  <c r="S393" i="14"/>
  <c r="Y393" i="14"/>
  <c r="V393" i="14"/>
  <c r="AB393" i="14"/>
  <c r="M354" i="14"/>
  <c r="Y354" i="14"/>
  <c r="N354" i="14"/>
  <c r="S354" i="14"/>
  <c r="AB354" i="14"/>
  <c r="AC354" i="14"/>
  <c r="V354" i="14"/>
  <c r="AB164" i="14"/>
  <c r="M164" i="14"/>
  <c r="Y164" i="14"/>
  <c r="AC164" i="14"/>
  <c r="S164" i="14"/>
  <c r="N164" i="14"/>
  <c r="V164" i="14"/>
  <c r="Y175" i="14"/>
  <c r="AC175" i="14"/>
  <c r="AB175" i="14"/>
  <c r="N175" i="14"/>
  <c r="V175" i="14"/>
  <c r="S175" i="14"/>
  <c r="M175" i="14"/>
  <c r="N150" i="14"/>
  <c r="V150" i="14"/>
  <c r="S150" i="14"/>
  <c r="M150" i="14"/>
  <c r="AB150" i="14"/>
  <c r="AC150" i="14"/>
  <c r="Y150" i="14"/>
  <c r="Y157" i="14"/>
  <c r="M157" i="14"/>
  <c r="AB157" i="14"/>
  <c r="V157" i="14"/>
  <c r="AC157" i="14"/>
  <c r="N157" i="14"/>
  <c r="S157" i="14"/>
  <c r="N152" i="14"/>
  <c r="AB152" i="14"/>
  <c r="AC152" i="14"/>
  <c r="Y152" i="14"/>
  <c r="S152" i="14"/>
  <c r="V152" i="14"/>
  <c r="M152" i="14"/>
  <c r="M167" i="14"/>
  <c r="AC167" i="14"/>
  <c r="AB167" i="14"/>
  <c r="Y167" i="14"/>
  <c r="S167" i="14"/>
  <c r="N167" i="14"/>
  <c r="V167" i="14"/>
  <c r="S177" i="14"/>
  <c r="AC177" i="14"/>
  <c r="AB177" i="14"/>
  <c r="N177" i="14"/>
  <c r="M177" i="14"/>
  <c r="Y177" i="14"/>
  <c r="V177" i="14"/>
  <c r="S168" i="14"/>
  <c r="M168" i="14"/>
  <c r="N168" i="14"/>
  <c r="V168" i="14"/>
  <c r="Y168" i="14"/>
  <c r="AC168" i="14"/>
  <c r="AB168" i="14"/>
  <c r="AC327" i="14"/>
  <c r="S327" i="14"/>
  <c r="M327" i="14"/>
  <c r="Y327" i="14"/>
  <c r="N327" i="14"/>
  <c r="V327" i="14"/>
  <c r="AB327" i="14"/>
  <c r="M333" i="14"/>
  <c r="Y333" i="14"/>
  <c r="N333" i="14"/>
  <c r="V333" i="14"/>
  <c r="S333" i="14"/>
  <c r="AC333" i="14"/>
  <c r="AB333" i="14"/>
  <c r="N85" i="14"/>
  <c r="Y85" i="14"/>
  <c r="M85" i="14"/>
  <c r="V85" i="14"/>
  <c r="AC85" i="14"/>
  <c r="AB85" i="14"/>
  <c r="S85" i="14"/>
  <c r="Y224" i="14"/>
  <c r="AC224" i="14"/>
  <c r="N224" i="14"/>
  <c r="V224" i="14"/>
  <c r="M224" i="14"/>
  <c r="AB224" i="14"/>
  <c r="S224" i="14"/>
  <c r="V222" i="14"/>
  <c r="N222" i="14"/>
  <c r="Y222" i="14"/>
  <c r="M222" i="14"/>
  <c r="AB222" i="14"/>
  <c r="AC222" i="14"/>
  <c r="S222" i="14"/>
  <c r="S449" i="14"/>
  <c r="N449" i="14"/>
  <c r="M449" i="14"/>
  <c r="Y449" i="14"/>
  <c r="V449" i="14"/>
  <c r="AC449" i="14"/>
  <c r="AB449" i="14"/>
  <c r="AB446" i="14"/>
  <c r="Y446" i="14"/>
  <c r="S446" i="14"/>
  <c r="AC446" i="14"/>
  <c r="M446" i="14"/>
  <c r="V446" i="14"/>
  <c r="N446" i="14"/>
  <c r="M437" i="14"/>
  <c r="N437" i="14"/>
  <c r="V437" i="14"/>
  <c r="AC437" i="14"/>
  <c r="S437" i="14"/>
  <c r="AB437" i="14"/>
  <c r="Y437" i="14"/>
  <c r="Y444" i="14"/>
  <c r="M444" i="14"/>
  <c r="AB444" i="14"/>
  <c r="S444" i="14"/>
  <c r="V444" i="14"/>
  <c r="N444" i="14"/>
  <c r="AC444" i="14"/>
  <c r="AC435" i="14"/>
  <c r="M435" i="14"/>
  <c r="N435" i="14"/>
  <c r="V435" i="14"/>
  <c r="AB435" i="14"/>
  <c r="Y435" i="14"/>
  <c r="S435" i="14"/>
  <c r="S438" i="14"/>
  <c r="AC438" i="14"/>
  <c r="AB438" i="14"/>
  <c r="N438" i="14"/>
  <c r="Y438" i="14"/>
  <c r="M438" i="14"/>
  <c r="V438" i="14"/>
  <c r="M423" i="14"/>
  <c r="AB423" i="14"/>
  <c r="AC423" i="14"/>
  <c r="Y423" i="14"/>
  <c r="N423" i="14"/>
  <c r="V423" i="14"/>
  <c r="S423" i="14"/>
  <c r="Y412" i="14"/>
  <c r="N412" i="14"/>
  <c r="M412" i="14"/>
  <c r="AC412" i="14"/>
  <c r="S412" i="14"/>
  <c r="V412" i="14"/>
  <c r="AB412" i="14"/>
  <c r="S433" i="14"/>
  <c r="M433" i="14"/>
  <c r="Y433" i="14"/>
  <c r="AC433" i="14"/>
  <c r="V433" i="14"/>
  <c r="N433" i="14"/>
  <c r="AB433" i="14"/>
  <c r="AC418" i="14"/>
  <c r="V418" i="14"/>
  <c r="N418" i="14"/>
  <c r="AB418" i="14"/>
  <c r="Y418" i="14"/>
  <c r="S418" i="14"/>
  <c r="M418" i="14"/>
  <c r="AC434" i="14"/>
  <c r="N434" i="14"/>
  <c r="AB434" i="14"/>
  <c r="V434" i="14"/>
  <c r="M434" i="14"/>
  <c r="S434" i="14"/>
  <c r="Y434" i="14"/>
  <c r="AB422" i="14"/>
  <c r="M422" i="14"/>
  <c r="V422" i="14"/>
  <c r="Y422" i="14"/>
  <c r="AC422" i="14"/>
  <c r="S422" i="14"/>
  <c r="N422" i="14"/>
  <c r="AC392" i="14"/>
  <c r="AB392" i="14"/>
  <c r="Y392" i="14"/>
  <c r="S392" i="14"/>
  <c r="N392" i="14"/>
  <c r="V392" i="14"/>
  <c r="M392" i="14"/>
  <c r="M410" i="14"/>
  <c r="AC410" i="14"/>
  <c r="AB410" i="14"/>
  <c r="S410" i="14"/>
  <c r="Y410" i="14"/>
  <c r="N410" i="14"/>
  <c r="V410" i="14"/>
  <c r="V389" i="14"/>
  <c r="S389" i="14"/>
  <c r="Y389" i="14"/>
  <c r="M389" i="14"/>
  <c r="N389" i="14"/>
  <c r="AC389" i="14"/>
  <c r="AB389" i="14"/>
  <c r="AC400" i="14"/>
  <c r="V400" i="14"/>
  <c r="N400" i="14"/>
  <c r="Y400" i="14"/>
  <c r="M400" i="14"/>
  <c r="S400" i="14"/>
  <c r="AB400" i="14"/>
  <c r="V395" i="14"/>
  <c r="AC395" i="14"/>
  <c r="N395" i="14"/>
  <c r="M395" i="14"/>
  <c r="S395" i="14"/>
  <c r="Y395" i="14"/>
  <c r="AB395" i="14"/>
  <c r="AB353" i="14"/>
  <c r="AC353" i="14"/>
  <c r="S353" i="14"/>
  <c r="M353" i="14"/>
  <c r="V353" i="14"/>
  <c r="N353" i="14"/>
  <c r="Y353" i="14"/>
  <c r="S27" i="14"/>
  <c r="Y27" i="14"/>
  <c r="AB27" i="14"/>
  <c r="M27" i="14"/>
  <c r="N27" i="14"/>
  <c r="AC27" i="14"/>
  <c r="V27" i="14"/>
  <c r="AC161" i="14"/>
  <c r="AB161" i="14"/>
  <c r="Y161" i="14"/>
  <c r="M161" i="14"/>
  <c r="V161" i="14"/>
  <c r="N161" i="14"/>
  <c r="S161" i="14"/>
  <c r="AB176" i="14"/>
  <c r="N176" i="14"/>
  <c r="S176" i="14"/>
  <c r="V176" i="14"/>
  <c r="Y176" i="14"/>
  <c r="M176" i="14"/>
  <c r="AC176" i="14"/>
  <c r="N170" i="14"/>
  <c r="AC170" i="14"/>
  <c r="AB170" i="14"/>
  <c r="V170" i="14"/>
  <c r="S170" i="14"/>
  <c r="Y170" i="14"/>
  <c r="M170" i="14"/>
  <c r="AC336" i="14"/>
  <c r="N336" i="14"/>
  <c r="V336" i="14"/>
  <c r="AB336" i="14"/>
  <c r="S336" i="14"/>
  <c r="Y336" i="14"/>
  <c r="M336" i="14"/>
  <c r="E13" i="15"/>
  <c r="E15" i="15"/>
  <c r="G20" i="15"/>
  <c r="H20" i="15"/>
  <c r="I20" i="15"/>
  <c r="J32" i="15"/>
  <c r="K32" i="15"/>
  <c r="J52" i="15"/>
  <c r="K52" i="15"/>
  <c r="J24" i="15"/>
  <c r="K24" i="15"/>
  <c r="J36" i="15"/>
  <c r="K36" i="15"/>
  <c r="J22" i="15"/>
  <c r="K22" i="15"/>
  <c r="J34" i="15"/>
  <c r="K34" i="15"/>
  <c r="J48" i="15"/>
  <c r="K48" i="15"/>
  <c r="J70" i="15"/>
  <c r="K70" i="15"/>
  <c r="J23" i="15"/>
  <c r="K23" i="15"/>
  <c r="J68" i="15"/>
  <c r="K68" i="15"/>
  <c r="J82" i="15"/>
  <c r="K82" i="15"/>
  <c r="J27" i="15"/>
  <c r="K27" i="15"/>
  <c r="J41" i="15"/>
  <c r="K41" i="15"/>
  <c r="J57" i="15"/>
  <c r="K57" i="15"/>
  <c r="J94" i="15"/>
  <c r="K94" i="15"/>
  <c r="J33" i="15"/>
  <c r="K33" i="15"/>
  <c r="J83" i="15"/>
  <c r="K83" i="15"/>
  <c r="L83" i="15"/>
  <c r="J50" i="15"/>
  <c r="K50" i="15"/>
  <c r="J64" i="15"/>
  <c r="K64" i="15"/>
  <c r="J84" i="15"/>
  <c r="K84" i="15"/>
  <c r="J25" i="15"/>
  <c r="K25" i="15"/>
  <c r="J45" i="15"/>
  <c r="K45" i="15"/>
  <c r="J81" i="15"/>
  <c r="K81" i="15"/>
  <c r="J38" i="15"/>
  <c r="K38" i="15"/>
  <c r="J58" i="15"/>
  <c r="K58" i="15"/>
  <c r="J90" i="15"/>
  <c r="K90" i="15"/>
  <c r="J37" i="15"/>
  <c r="K37" i="15"/>
  <c r="J51" i="15"/>
  <c r="K51" i="15"/>
  <c r="J71" i="15"/>
  <c r="K71" i="15"/>
  <c r="J87" i="15"/>
  <c r="K87" i="15"/>
  <c r="I12" i="15"/>
  <c r="J77" i="15"/>
  <c r="K77" i="15"/>
  <c r="J93" i="15"/>
  <c r="K93" i="15"/>
  <c r="L93" i="15"/>
  <c r="J72" i="15"/>
  <c r="K72" i="15"/>
  <c r="J86" i="15"/>
  <c r="K86" i="15"/>
  <c r="J47" i="15"/>
  <c r="K47" i="15"/>
  <c r="J61" i="15"/>
  <c r="K61" i="15"/>
  <c r="J59" i="15"/>
  <c r="K59" i="15"/>
  <c r="J73" i="15"/>
  <c r="K73" i="15"/>
  <c r="J20" i="15"/>
  <c r="K20" i="15"/>
  <c r="J46" i="15"/>
  <c r="K46" i="15"/>
  <c r="J30" i="15"/>
  <c r="K30" i="15"/>
  <c r="J42" i="15"/>
  <c r="K42" i="15"/>
  <c r="J28" i="15"/>
  <c r="K28" i="15"/>
  <c r="J40" i="15"/>
  <c r="K40" i="15"/>
  <c r="J54" i="15"/>
  <c r="K54" i="15"/>
  <c r="J76" i="15"/>
  <c r="K76" i="15"/>
  <c r="J29" i="15"/>
  <c r="K29" i="15"/>
  <c r="J62" i="15"/>
  <c r="K62" i="15"/>
  <c r="J74" i="15"/>
  <c r="K74" i="15"/>
  <c r="J21" i="15"/>
  <c r="K21" i="15"/>
  <c r="J35" i="15"/>
  <c r="K35" i="15"/>
  <c r="J49" i="15"/>
  <c r="K49" i="15"/>
  <c r="J19" i="15"/>
  <c r="K19" i="15"/>
  <c r="J39" i="15"/>
  <c r="K39" i="15"/>
  <c r="J75" i="15"/>
  <c r="K75" i="15"/>
  <c r="J91" i="15"/>
  <c r="K91" i="15"/>
  <c r="L91" i="15"/>
  <c r="J60" i="15"/>
  <c r="K60" i="15"/>
  <c r="J78" i="15"/>
  <c r="K78" i="15"/>
  <c r="J92" i="15"/>
  <c r="K92" i="15"/>
  <c r="J31" i="15"/>
  <c r="K31" i="15"/>
  <c r="J89" i="15"/>
  <c r="K89" i="15"/>
  <c r="J26" i="15"/>
  <c r="K26" i="15"/>
  <c r="J44" i="15"/>
  <c r="K44" i="15"/>
  <c r="J95" i="15"/>
  <c r="J43" i="15"/>
  <c r="K43" i="15"/>
  <c r="J65" i="15"/>
  <c r="K65" i="15"/>
  <c r="J79" i="15"/>
  <c r="K79" i="15"/>
  <c r="J56" i="15"/>
  <c r="K56" i="15"/>
  <c r="J88" i="15"/>
  <c r="K88" i="15"/>
  <c r="J63" i="15"/>
  <c r="K63" i="15"/>
  <c r="J85" i="15"/>
  <c r="K85" i="15"/>
  <c r="J66" i="15"/>
  <c r="K66" i="15"/>
  <c r="J80" i="15"/>
  <c r="K80" i="15"/>
  <c r="J55" i="15"/>
  <c r="K55" i="15"/>
  <c r="J69" i="15"/>
  <c r="K69" i="15"/>
  <c r="J53" i="15"/>
  <c r="K53" i="15"/>
  <c r="J67" i="15"/>
  <c r="K67" i="15"/>
  <c r="G64" i="15"/>
  <c r="H64" i="15"/>
  <c r="I64" i="15"/>
  <c r="G29" i="15"/>
  <c r="H29" i="15"/>
  <c r="I29" i="15"/>
  <c r="G57" i="15"/>
  <c r="H57" i="15"/>
  <c r="I57" i="15"/>
  <c r="G74" i="15"/>
  <c r="H74" i="15"/>
  <c r="I74" i="15"/>
  <c r="G86" i="15"/>
  <c r="H86" i="15"/>
  <c r="I86" i="15"/>
  <c r="G63" i="15"/>
  <c r="H63" i="15"/>
  <c r="I63" i="15"/>
  <c r="G21" i="15"/>
  <c r="H21" i="15"/>
  <c r="I21" i="15"/>
  <c r="G26" i="15"/>
  <c r="H26" i="15"/>
  <c r="I26" i="15"/>
  <c r="G38" i="15"/>
  <c r="H38" i="15"/>
  <c r="I38" i="15"/>
  <c r="G59" i="15"/>
  <c r="H59" i="15"/>
  <c r="I59" i="15"/>
  <c r="G68" i="15"/>
  <c r="H68" i="15"/>
  <c r="I68" i="15"/>
  <c r="G49" i="15"/>
  <c r="H49" i="15"/>
  <c r="I49" i="15"/>
  <c r="G34" i="15"/>
  <c r="H34" i="15"/>
  <c r="I34" i="15"/>
  <c r="G19" i="15"/>
  <c r="H19" i="15"/>
  <c r="I19" i="15"/>
  <c r="G84" i="15"/>
  <c r="H84" i="15"/>
  <c r="I84" i="15"/>
  <c r="G93" i="15"/>
  <c r="H93" i="15"/>
  <c r="I93" i="15"/>
  <c r="G50" i="15"/>
  <c r="H50" i="15"/>
  <c r="I50" i="15"/>
  <c r="G27" i="15"/>
  <c r="H27" i="15"/>
  <c r="I27" i="15"/>
  <c r="G83" i="15"/>
  <c r="H83" i="15"/>
  <c r="I83" i="15"/>
  <c r="G60" i="15"/>
  <c r="H60" i="15"/>
  <c r="I60" i="15"/>
  <c r="G88" i="15"/>
  <c r="H88" i="15"/>
  <c r="I88" i="15"/>
  <c r="G90" i="15"/>
  <c r="H90" i="15"/>
  <c r="I90" i="15"/>
  <c r="G35" i="15"/>
  <c r="H35" i="15"/>
  <c r="I35" i="15"/>
  <c r="G79" i="15"/>
  <c r="H79" i="15"/>
  <c r="I79" i="15"/>
  <c r="G37" i="15"/>
  <c r="H37" i="15"/>
  <c r="I37" i="15"/>
  <c r="G42" i="15"/>
  <c r="H42" i="15"/>
  <c r="I42" i="15"/>
  <c r="G54" i="15"/>
  <c r="H54" i="15"/>
  <c r="I54" i="15"/>
  <c r="G75" i="15"/>
  <c r="H75" i="15"/>
  <c r="I75" i="15"/>
  <c r="G58" i="15"/>
  <c r="H58" i="15"/>
  <c r="I58" i="15"/>
  <c r="G70" i="15"/>
  <c r="H70" i="15"/>
  <c r="I70" i="15"/>
  <c r="G91" i="15"/>
  <c r="H91" i="15"/>
  <c r="I91" i="15"/>
  <c r="G36" i="15"/>
  <c r="H36" i="15"/>
  <c r="I36" i="15"/>
  <c r="G80" i="15"/>
  <c r="H80" i="15"/>
  <c r="I80" i="15"/>
  <c r="G73" i="15"/>
  <c r="H73" i="15"/>
  <c r="I73" i="15"/>
  <c r="G78" i="15"/>
  <c r="H78" i="15"/>
  <c r="I78" i="15"/>
  <c r="G71" i="15"/>
  <c r="H71" i="15"/>
  <c r="I71" i="15"/>
  <c r="G76" i="15"/>
  <c r="H76" i="15"/>
  <c r="I76" i="15"/>
  <c r="G25" i="15"/>
  <c r="H25" i="15"/>
  <c r="I25" i="15"/>
  <c r="G30" i="15"/>
  <c r="H30" i="15"/>
  <c r="I30" i="15"/>
  <c r="G51" i="15"/>
  <c r="H51" i="15"/>
  <c r="I51" i="15"/>
  <c r="G28" i="15"/>
  <c r="H28" i="15"/>
  <c r="I28" i="15"/>
  <c r="G56" i="15"/>
  <c r="H56" i="15"/>
  <c r="I56" i="15"/>
  <c r="G39" i="15"/>
  <c r="H39" i="15"/>
  <c r="I39" i="15"/>
  <c r="G67" i="15"/>
  <c r="H67" i="15"/>
  <c r="I67" i="15"/>
  <c r="G44" i="15"/>
  <c r="H44" i="15"/>
  <c r="I44" i="15"/>
  <c r="G69" i="15"/>
  <c r="H69" i="15"/>
  <c r="I69" i="15"/>
  <c r="G81" i="15"/>
  <c r="H81" i="15"/>
  <c r="I81" i="15"/>
  <c r="G22" i="15"/>
  <c r="H22" i="15"/>
  <c r="I22" i="15"/>
  <c r="G43" i="15"/>
  <c r="H43" i="15"/>
  <c r="I43" i="15"/>
  <c r="G52" i="15"/>
  <c r="H52" i="15"/>
  <c r="I52" i="15"/>
  <c r="G33" i="15"/>
  <c r="H33" i="15"/>
  <c r="I33" i="15"/>
  <c r="G89" i="15"/>
  <c r="H89" i="15"/>
  <c r="I89" i="15"/>
  <c r="G94" i="15"/>
  <c r="H94" i="15"/>
  <c r="I94" i="15"/>
  <c r="G87" i="15"/>
  <c r="H87" i="15"/>
  <c r="I87" i="15"/>
  <c r="G92" i="15"/>
  <c r="H92" i="15"/>
  <c r="I92" i="15"/>
  <c r="G41" i="15"/>
  <c r="H41" i="15"/>
  <c r="I41" i="15"/>
  <c r="G46" i="15"/>
  <c r="H46" i="15"/>
  <c r="I46" i="15"/>
  <c r="G48" i="15"/>
  <c r="H48" i="15"/>
  <c r="I48" i="15"/>
  <c r="G61" i="15"/>
  <c r="H61" i="15"/>
  <c r="I61" i="15"/>
  <c r="G66" i="15"/>
  <c r="H66" i="15"/>
  <c r="I66" i="15"/>
  <c r="L66" i="15"/>
  <c r="G72" i="15"/>
  <c r="H72" i="15"/>
  <c r="I72" i="15"/>
  <c r="G53" i="15"/>
  <c r="H53" i="15"/>
  <c r="I53" i="15"/>
  <c r="G23" i="15"/>
  <c r="H23" i="15"/>
  <c r="I23" i="15"/>
  <c r="G32" i="15"/>
  <c r="H32" i="15"/>
  <c r="I32" i="15"/>
  <c r="G45" i="15"/>
  <c r="H45" i="15"/>
  <c r="I45" i="15"/>
  <c r="G47" i="15"/>
  <c r="H47" i="15"/>
  <c r="I47" i="15"/>
  <c r="G31" i="15"/>
  <c r="H31" i="15"/>
  <c r="I31" i="15"/>
  <c r="G40" i="15"/>
  <c r="H40" i="15"/>
  <c r="I40" i="15"/>
  <c r="G85" i="15"/>
  <c r="H85" i="15"/>
  <c r="I85" i="15"/>
  <c r="G55" i="15"/>
  <c r="H55" i="15"/>
  <c r="I55" i="15"/>
  <c r="G65" i="15"/>
  <c r="H65" i="15"/>
  <c r="I65" i="15"/>
  <c r="L65" i="15"/>
  <c r="G77" i="15"/>
  <c r="H77" i="15"/>
  <c r="I77" i="15"/>
  <c r="G82" i="15"/>
  <c r="H82" i="15"/>
  <c r="I82" i="15"/>
  <c r="G24" i="15"/>
  <c r="H24" i="15"/>
  <c r="I24" i="15"/>
  <c r="G62" i="15"/>
  <c r="H62" i="15"/>
  <c r="I62" i="15"/>
  <c r="L39" i="15"/>
  <c r="L21" i="15"/>
  <c r="L76" i="15"/>
  <c r="L73" i="15"/>
  <c r="L37" i="15"/>
  <c r="L64" i="15"/>
  <c r="L43" i="15"/>
  <c r="L89" i="15"/>
  <c r="L74" i="15"/>
  <c r="L59" i="15"/>
  <c r="L90" i="15"/>
  <c r="L34" i="15"/>
  <c r="L53" i="15"/>
  <c r="L56" i="15"/>
  <c r="L31" i="15"/>
  <c r="L62" i="15"/>
  <c r="L69" i="15"/>
  <c r="L85" i="15"/>
  <c r="L79" i="15"/>
  <c r="L44" i="15"/>
  <c r="L92" i="15"/>
  <c r="L75" i="15"/>
  <c r="L35" i="15"/>
  <c r="L29" i="15"/>
  <c r="L28" i="15"/>
  <c r="L20" i="15"/>
  <c r="L47" i="15"/>
  <c r="L77" i="15"/>
  <c r="L51" i="15"/>
  <c r="L38" i="15"/>
  <c r="L84" i="15"/>
  <c r="L33" i="15"/>
  <c r="L27" i="15"/>
  <c r="L70" i="15"/>
  <c r="L36" i="15"/>
  <c r="L55" i="15"/>
  <c r="L63" i="15"/>
  <c r="L26" i="15"/>
  <c r="L78" i="15"/>
  <c r="L42" i="15"/>
  <c r="L86" i="15"/>
  <c r="L81" i="15"/>
  <c r="L94" i="15"/>
  <c r="L82" i="15"/>
  <c r="L48" i="15"/>
  <c r="L24" i="15"/>
  <c r="L67" i="15"/>
  <c r="L80" i="15"/>
  <c r="L88" i="15"/>
  <c r="L60" i="15"/>
  <c r="L19" i="15"/>
  <c r="L54" i="15"/>
  <c r="L30" i="15"/>
  <c r="L72" i="15"/>
  <c r="L87" i="15"/>
  <c r="L45" i="15"/>
  <c r="L50" i="15"/>
  <c r="L57" i="15"/>
  <c r="L68" i="15"/>
  <c r="L52" i="15"/>
  <c r="L49" i="15"/>
  <c r="L40" i="15"/>
  <c r="L46" i="15"/>
  <c r="L61" i="15"/>
  <c r="L71" i="15"/>
  <c r="L58" i="15"/>
  <c r="L25" i="15"/>
  <c r="L41" i="15"/>
  <c r="L23" i="15"/>
  <c r="L22" i="15"/>
  <c r="L32" i="15"/>
  <c r="D20" i="16"/>
  <c r="B12" i="16"/>
  <c r="B13" i="16"/>
  <c r="E28" i="16"/>
  <c r="E23" i="16"/>
  <c r="E119" i="16"/>
  <c r="E77" i="16"/>
  <c r="E36" i="16"/>
  <c r="E49" i="16"/>
  <c r="E103" i="16"/>
  <c r="E63" i="16"/>
  <c r="E117" i="16"/>
  <c r="E38" i="16"/>
  <c r="E33" i="16"/>
  <c r="E44" i="16"/>
  <c r="E98" i="16"/>
  <c r="E66" i="16"/>
  <c r="E78" i="16"/>
  <c r="E92" i="16"/>
  <c r="E42" i="16"/>
  <c r="E51" i="16"/>
  <c r="E101" i="16"/>
  <c r="E107" i="16"/>
  <c r="E85" i="16"/>
  <c r="E41" i="16"/>
  <c r="E88" i="16"/>
  <c r="E69" i="16"/>
  <c r="F69" i="16"/>
  <c r="E118" i="16"/>
  <c r="E58" i="16"/>
  <c r="F58" i="16"/>
  <c r="E79" i="16"/>
  <c r="I79" i="16"/>
  <c r="E115" i="16"/>
  <c r="F115" i="16"/>
  <c r="E53" i="16"/>
  <c r="E108" i="16"/>
  <c r="I108" i="16"/>
  <c r="E59" i="16"/>
  <c r="E50" i="16"/>
  <c r="F50" i="16"/>
  <c r="E96" i="16"/>
  <c r="E45" i="16"/>
  <c r="E81" i="16"/>
  <c r="E102" i="16"/>
  <c r="F102" i="16"/>
  <c r="E76" i="16"/>
  <c r="E25" i="16"/>
  <c r="E80" i="16"/>
  <c r="F80" i="16"/>
  <c r="E27" i="16"/>
  <c r="E30" i="16"/>
  <c r="E46" i="16"/>
  <c r="E67" i="16"/>
  <c r="E94" i="16"/>
  <c r="E73" i="16"/>
  <c r="E110" i="16"/>
  <c r="E54" i="16"/>
  <c r="E29" i="16"/>
  <c r="E65" i="16"/>
  <c r="E109" i="16"/>
  <c r="E86" i="16"/>
  <c r="F86" i="16"/>
  <c r="E97" i="16"/>
  <c r="E75" i="16"/>
  <c r="E34" i="16"/>
  <c r="F34" i="16"/>
  <c r="E31" i="16"/>
  <c r="F31" i="16"/>
  <c r="E111" i="16"/>
  <c r="E84" i="16"/>
  <c r="E93" i="16"/>
  <c r="F93" i="16"/>
  <c r="E43" i="16"/>
  <c r="F43" i="16"/>
  <c r="E60" i="16"/>
  <c r="I60" i="16"/>
  <c r="J60" i="16" s="1"/>
  <c r="K56" i="19" s="1"/>
  <c r="E37" i="16"/>
  <c r="E57" i="16"/>
  <c r="I57" i="16"/>
  <c r="E89" i="16"/>
  <c r="F89" i="16"/>
  <c r="E64" i="16"/>
  <c r="I64" i="16"/>
  <c r="E71" i="16"/>
  <c r="F71" i="16"/>
  <c r="E83" i="16"/>
  <c r="E113" i="16"/>
  <c r="F113" i="16"/>
  <c r="E87" i="16"/>
  <c r="E99" i="16"/>
  <c r="E40" i="16"/>
  <c r="E56" i="16"/>
  <c r="F56" i="16"/>
  <c r="E39" i="16"/>
  <c r="E62" i="16"/>
  <c r="E82" i="16"/>
  <c r="E106" i="16"/>
  <c r="E52" i="16"/>
  <c r="F52" i="16"/>
  <c r="E55" i="16"/>
  <c r="E26" i="16"/>
  <c r="F26" i="16"/>
  <c r="E74" i="16"/>
  <c r="E90" i="16"/>
  <c r="F90" i="16"/>
  <c r="E24" i="16"/>
  <c r="E105" i="16"/>
  <c r="F105" i="16"/>
  <c r="E32" i="16"/>
  <c r="I32" i="16"/>
  <c r="J32" i="16" s="1"/>
  <c r="J27" i="4" s="1"/>
  <c r="E95" i="16"/>
  <c r="F95" i="16"/>
  <c r="E70" i="16"/>
  <c r="E68" i="16"/>
  <c r="F68" i="16"/>
  <c r="E114" i="16"/>
  <c r="E35" i="16"/>
  <c r="F35" i="16"/>
  <c r="E104" i="16"/>
  <c r="E61" i="16"/>
  <c r="F61" i="16"/>
  <c r="E100" i="16"/>
  <c r="E72" i="16"/>
  <c r="F72" i="16"/>
  <c r="E116" i="16"/>
  <c r="E48" i="16"/>
  <c r="F48" i="16"/>
  <c r="E47" i="16"/>
  <c r="E91" i="16"/>
  <c r="F91" i="16"/>
  <c r="E112" i="16"/>
  <c r="I109" i="16"/>
  <c r="F109" i="16"/>
  <c r="F75" i="16"/>
  <c r="F84" i="16"/>
  <c r="F37" i="16"/>
  <c r="F83" i="16"/>
  <c r="F99" i="16"/>
  <c r="F40" i="16"/>
  <c r="F62" i="16"/>
  <c r="F55" i="16"/>
  <c r="F24" i="16"/>
  <c r="F70" i="16"/>
  <c r="F104" i="16"/>
  <c r="I116" i="16"/>
  <c r="F116" i="16"/>
  <c r="F112" i="16"/>
  <c r="F28" i="16"/>
  <c r="F41" i="16"/>
  <c r="F53" i="16"/>
  <c r="F107" i="16"/>
  <c r="F101" i="16"/>
  <c r="F88" i="16"/>
  <c r="F51" i="16"/>
  <c r="F59" i="16"/>
  <c r="F92" i="16"/>
  <c r="F78" i="16"/>
  <c r="I98" i="16"/>
  <c r="F98" i="16"/>
  <c r="F118" i="16"/>
  <c r="F44" i="16"/>
  <c r="F33" i="16"/>
  <c r="F45" i="16"/>
  <c r="I58" i="16"/>
  <c r="I63" i="16"/>
  <c r="F63" i="16"/>
  <c r="F79" i="16"/>
  <c r="F49" i="16"/>
  <c r="I36" i="16"/>
  <c r="F36" i="16"/>
  <c r="F77" i="16"/>
  <c r="F76" i="16"/>
  <c r="I119" i="16"/>
  <c r="F119" i="16"/>
  <c r="F85" i="16"/>
  <c r="I80" i="16"/>
  <c r="J80" i="16" s="1"/>
  <c r="F27" i="16"/>
  <c r="I42" i="16"/>
  <c r="J42" i="16" s="1"/>
  <c r="B41" i="4" s="1"/>
  <c r="F42" i="16"/>
  <c r="F30" i="16"/>
  <c r="F46" i="16"/>
  <c r="F66" i="16"/>
  <c r="F67" i="16"/>
  <c r="F96" i="16"/>
  <c r="F38" i="16"/>
  <c r="I73" i="16"/>
  <c r="F73" i="16"/>
  <c r="F117" i="16"/>
  <c r="F110" i="16"/>
  <c r="I103" i="16"/>
  <c r="F103" i="16"/>
  <c r="F65" i="16"/>
  <c r="F23" i="16"/>
  <c r="I69" i="16"/>
  <c r="J69" i="16" s="1"/>
  <c r="B80" i="4" s="1"/>
  <c r="F39" i="16"/>
  <c r="F111" i="16"/>
  <c r="F29" i="16"/>
  <c r="J103" i="16"/>
  <c r="B37" i="4"/>
  <c r="K65" i="19"/>
  <c r="L65" i="19" s="1"/>
  <c r="M65" i="19" s="1"/>
  <c r="F54" i="16"/>
  <c r="F94" i="16"/>
  <c r="F74" i="16"/>
  <c r="E20" i="16"/>
  <c r="K38" i="19"/>
  <c r="L38" i="19" s="1"/>
  <c r="M38" i="19" s="1"/>
  <c r="F25" i="16"/>
  <c r="I61" i="16"/>
  <c r="J61" i="16" s="1"/>
  <c r="K57" i="19" s="1"/>
  <c r="L57" i="19" s="1"/>
  <c r="M57" i="19" s="1"/>
  <c r="F64" i="16"/>
  <c r="K92" i="19"/>
  <c r="L92" i="19" s="1"/>
  <c r="M92" i="19" s="1"/>
  <c r="F108" i="16"/>
  <c r="J108" i="16"/>
  <c r="K104" i="19" s="1"/>
  <c r="L104" i="19" s="1"/>
  <c r="M104" i="19" s="1"/>
  <c r="F81" i="16"/>
  <c r="F57" i="16"/>
  <c r="J57" i="16"/>
  <c r="I43" i="16"/>
  <c r="F47" i="16"/>
  <c r="F32" i="16"/>
  <c r="J79" i="16"/>
  <c r="J94" i="4" s="1"/>
  <c r="F114" i="16"/>
  <c r="K110" i="19"/>
  <c r="L110" i="19" s="1"/>
  <c r="M110" i="19" s="1"/>
  <c r="F87" i="16"/>
  <c r="F60" i="16"/>
  <c r="F97" i="16"/>
  <c r="J119" i="16"/>
  <c r="J58" i="16"/>
  <c r="F100" i="16"/>
  <c r="F106" i="16"/>
  <c r="I56" i="16"/>
  <c r="J56" i="16" s="1"/>
  <c r="F82" i="16"/>
  <c r="K97" i="19"/>
  <c r="L97" i="19" s="1"/>
  <c r="M97" i="19" s="1"/>
  <c r="K49" i="19"/>
  <c r="L49" i="19"/>
  <c r="M49" i="19" s="1"/>
  <c r="J116" i="16"/>
  <c r="B27" i="4"/>
  <c r="K51" i="19"/>
  <c r="L51" i="19" s="1"/>
  <c r="M51" i="19" s="1"/>
  <c r="J64" i="16"/>
  <c r="K89" i="19"/>
  <c r="L89" i="19" s="1"/>
  <c r="M89" i="19" s="1"/>
  <c r="K93" i="19"/>
  <c r="L93" i="19" s="1"/>
  <c r="M93" i="19" s="1"/>
  <c r="J109" i="16"/>
  <c r="B126" i="4"/>
  <c r="J37" i="4"/>
  <c r="I23" i="16"/>
  <c r="J23" i="16"/>
  <c r="K19" i="19" s="1"/>
  <c r="J73" i="16"/>
  <c r="K76" i="19"/>
  <c r="L76" i="19" s="1"/>
  <c r="M76" i="19" s="1"/>
  <c r="J36" i="16"/>
  <c r="K32" i="19" s="1"/>
  <c r="L32" i="19"/>
  <c r="M32" i="19" s="1"/>
  <c r="J63" i="16"/>
  <c r="K59" i="19"/>
  <c r="L59" i="19" s="1"/>
  <c r="M59" i="19" s="1"/>
  <c r="J98" i="16"/>
  <c r="K94" i="19" s="1"/>
  <c r="L94" i="19"/>
  <c r="M94" i="19" s="1"/>
  <c r="K52" i="19"/>
  <c r="L52" i="19" s="1"/>
  <c r="M52" i="19" s="1"/>
  <c r="J43" i="16"/>
  <c r="J116" i="4"/>
  <c r="J41" i="4"/>
  <c r="B55" i="4"/>
  <c r="B125" i="4"/>
  <c r="G20" i="16"/>
  <c r="K71" i="18"/>
  <c r="L71" i="18"/>
  <c r="M71" i="18" s="1"/>
  <c r="K71" i="19"/>
  <c r="L71" i="19"/>
  <c r="M71" i="19" s="1"/>
  <c r="K64" i="18"/>
  <c r="L64" i="18" s="1"/>
  <c r="M64" i="18" s="1"/>
  <c r="K64" i="19"/>
  <c r="L64" i="19" s="1"/>
  <c r="M64" i="19" s="1"/>
  <c r="K87" i="18"/>
  <c r="L87" i="18" s="1"/>
  <c r="M87" i="18" s="1"/>
  <c r="K87" i="19"/>
  <c r="L87" i="19" s="1"/>
  <c r="M87" i="19" s="1"/>
  <c r="K40" i="18"/>
  <c r="L40" i="18" s="1"/>
  <c r="M40" i="18" s="1"/>
  <c r="K40" i="19"/>
  <c r="L40" i="19" s="1"/>
  <c r="M40" i="19" s="1"/>
  <c r="K28" i="19"/>
  <c r="L28" i="19" s="1"/>
  <c r="M28" i="19" s="1"/>
  <c r="K95" i="18"/>
  <c r="L95" i="18" s="1"/>
  <c r="M95" i="18" s="1"/>
  <c r="K95" i="19"/>
  <c r="L95" i="19" s="1"/>
  <c r="M95" i="19" s="1"/>
  <c r="K75" i="19"/>
  <c r="L75" i="19" s="1"/>
  <c r="M75" i="19" s="1"/>
  <c r="J64" i="4"/>
  <c r="L56" i="19"/>
  <c r="M56" i="19" s="1"/>
  <c r="J194" i="4"/>
  <c r="K115" i="19"/>
  <c r="L115" i="19" s="1"/>
  <c r="M115" i="19" s="1"/>
  <c r="K82" i="18"/>
  <c r="L82" i="18" s="1"/>
  <c r="M82" i="18" s="1"/>
  <c r="K82" i="19"/>
  <c r="L82" i="19" s="1"/>
  <c r="M82" i="19" s="1"/>
  <c r="J61" i="4"/>
  <c r="K44" i="18"/>
  <c r="L44" i="18"/>
  <c r="M44" i="18" s="1"/>
  <c r="K44" i="19"/>
  <c r="L44" i="19"/>
  <c r="M44" i="19" s="1"/>
  <c r="K96" i="18"/>
  <c r="L96" i="18" s="1"/>
  <c r="M96" i="18" s="1"/>
  <c r="K96" i="19"/>
  <c r="J62" i="4"/>
  <c r="K54" i="19"/>
  <c r="L54" i="19" s="1"/>
  <c r="M54" i="19" s="1"/>
  <c r="K109" i="18"/>
  <c r="L109" i="18" s="1"/>
  <c r="M109" i="18" s="1"/>
  <c r="K109" i="19"/>
  <c r="L109" i="19" s="1"/>
  <c r="M109" i="19"/>
  <c r="K50" i="18"/>
  <c r="L50" i="18" s="1"/>
  <c r="M50" i="18" s="1"/>
  <c r="K50" i="19"/>
  <c r="L50" i="19" s="1"/>
  <c r="M50" i="19" s="1"/>
  <c r="B62" i="4"/>
  <c r="J80" i="4"/>
  <c r="K34" i="18"/>
  <c r="L34" i="18"/>
  <c r="M34" i="18" s="1"/>
  <c r="K34" i="19"/>
  <c r="L34" i="19" s="1"/>
  <c r="M34" i="19" s="1"/>
  <c r="J153" i="4"/>
  <c r="K110" i="18"/>
  <c r="L110" i="18" s="1"/>
  <c r="M110" i="18" s="1"/>
  <c r="J112" i="4"/>
  <c r="K89" i="18"/>
  <c r="L89" i="18" s="1"/>
  <c r="M89" i="18" s="1"/>
  <c r="J59" i="4"/>
  <c r="K51" i="18"/>
  <c r="L51" i="18" s="1"/>
  <c r="M51" i="18" s="1"/>
  <c r="J55" i="4"/>
  <c r="K49" i="18"/>
  <c r="L49" i="18" s="1"/>
  <c r="M49" i="18" s="1"/>
  <c r="B116" i="4"/>
  <c r="K92" i="18"/>
  <c r="L92" i="18" s="1"/>
  <c r="M92" i="18" s="1"/>
  <c r="J117" i="4"/>
  <c r="K93" i="18"/>
  <c r="L93" i="18" s="1"/>
  <c r="M93" i="18"/>
  <c r="B123" i="4"/>
  <c r="K97" i="18"/>
  <c r="L97" i="18" s="1"/>
  <c r="M97" i="18" s="1"/>
  <c r="J134" i="4"/>
  <c r="B134" i="4"/>
  <c r="B112" i="4"/>
  <c r="B94" i="4"/>
  <c r="J1109" i="14" s="1"/>
  <c r="J125" i="4"/>
  <c r="H20" i="16"/>
  <c r="B121" i="4"/>
  <c r="J121" i="4"/>
  <c r="B64" i="4"/>
  <c r="J1016" i="14" s="1"/>
  <c r="B194" i="4"/>
  <c r="J123" i="4"/>
  <c r="B117" i="4"/>
  <c r="B59" i="4"/>
  <c r="J583" i="14" s="1"/>
  <c r="B153" i="4"/>
  <c r="J986" i="14"/>
  <c r="J16" i="4"/>
  <c r="B16" i="4"/>
  <c r="J70" i="4"/>
  <c r="B70" i="4"/>
  <c r="J1112" i="14" s="1"/>
  <c r="J144" i="14"/>
  <c r="N986" i="14"/>
  <c r="J103" i="4"/>
  <c r="B103" i="4"/>
  <c r="B43" i="4"/>
  <c r="J1076" i="14" s="1"/>
  <c r="J152" i="4"/>
  <c r="B152" i="4"/>
  <c r="J980" i="14"/>
  <c r="J72" i="4"/>
  <c r="B72" i="4"/>
  <c r="J1017" i="14" s="1"/>
  <c r="AB1017" i="14" s="1"/>
  <c r="J95" i="4"/>
  <c r="B95" i="4"/>
  <c r="J56" i="4"/>
  <c r="B56" i="4"/>
  <c r="J368" i="14"/>
  <c r="J807" i="14"/>
  <c r="J1449" i="14"/>
  <c r="J590" i="14"/>
  <c r="J1264" i="14"/>
  <c r="J1236" i="14"/>
  <c r="J151" i="14"/>
  <c r="J901" i="14"/>
  <c r="J235" i="14"/>
  <c r="J674" i="14"/>
  <c r="J1317" i="14"/>
  <c r="J90" i="4"/>
  <c r="B90" i="4"/>
  <c r="J119" i="4"/>
  <c r="B119" i="4"/>
  <c r="J78" i="4"/>
  <c r="B78" i="4"/>
  <c r="J49" i="4"/>
  <c r="B49" i="4"/>
  <c r="J118" i="4"/>
  <c r="B118" i="4"/>
  <c r="J35" i="4"/>
  <c r="B35" i="4"/>
  <c r="J40" i="14"/>
  <c r="J19" i="14"/>
  <c r="J1353" i="14"/>
  <c r="J712" i="14"/>
  <c r="J479" i="14"/>
  <c r="J458" i="14"/>
  <c r="J273" i="14"/>
  <c r="AB1109" i="14"/>
  <c r="AC1109" i="14"/>
  <c r="V1109" i="14"/>
  <c r="J60" i="4"/>
  <c r="B60" i="4"/>
  <c r="J110" i="4"/>
  <c r="B110" i="4"/>
  <c r="J45" i="4"/>
  <c r="B45" i="4"/>
  <c r="J1456" i="14"/>
  <c r="J903" i="14"/>
  <c r="J1359" i="14"/>
  <c r="J1403" i="14"/>
  <c r="J279" i="14"/>
  <c r="J325" i="14"/>
  <c r="J764" i="14"/>
  <c r="J718" i="14"/>
  <c r="J1308" i="14"/>
  <c r="J1406" i="14"/>
  <c r="J767" i="14"/>
  <c r="J328" i="14"/>
  <c r="J225" i="14"/>
  <c r="J664" i="14"/>
  <c r="J608" i="14"/>
  <c r="J1252" i="14"/>
  <c r="J993" i="14"/>
  <c r="J1070" i="14"/>
  <c r="J169" i="14"/>
  <c r="J948" i="14"/>
  <c r="J1104" i="14"/>
  <c r="V986" i="14"/>
  <c r="S986" i="14"/>
  <c r="V1070" i="14"/>
  <c r="AC1070" i="14"/>
  <c r="Y1070" i="14"/>
  <c r="AB1070" i="14"/>
  <c r="S1070" i="14"/>
  <c r="N1070" i="14"/>
  <c r="N328" i="14"/>
  <c r="AB328" i="14"/>
  <c r="AC328" i="14"/>
  <c r="AB1252" i="14"/>
  <c r="S1252" i="14"/>
  <c r="V1252" i="14"/>
  <c r="N1252" i="14"/>
  <c r="AC1252" i="14"/>
  <c r="Y1252" i="14"/>
  <c r="Y767" i="14"/>
  <c r="B313" i="17"/>
  <c r="D313" i="17" s="1"/>
  <c r="V767" i="14"/>
  <c r="S767" i="14"/>
  <c r="AB767" i="14"/>
  <c r="N767" i="14"/>
  <c r="AC767" i="14"/>
  <c r="Y764" i="14"/>
  <c r="V764" i="14"/>
  <c r="AC764" i="14"/>
  <c r="N764" i="14"/>
  <c r="S764" i="14"/>
  <c r="AB764" i="14"/>
  <c r="B310" i="17"/>
  <c r="D310" i="17" s="1"/>
  <c r="N1359" i="14"/>
  <c r="Y1359" i="14"/>
  <c r="AC1359" i="14"/>
  <c r="V1359" i="14"/>
  <c r="AB1359" i="14"/>
  <c r="S1359" i="14"/>
  <c r="Y903" i="14"/>
  <c r="V903" i="14"/>
  <c r="S903" i="14"/>
  <c r="AC903" i="14"/>
  <c r="B449" i="17"/>
  <c r="D449" i="17" s="1"/>
  <c r="AB903" i="14"/>
  <c r="N903" i="14"/>
  <c r="AB273" i="14"/>
  <c r="N273" i="14"/>
  <c r="V273" i="14"/>
  <c r="AC273" i="14"/>
  <c r="S273" i="14"/>
  <c r="Y273" i="14"/>
  <c r="N1353" i="14"/>
  <c r="AC1353" i="14"/>
  <c r="V1353" i="14"/>
  <c r="AB1353" i="14"/>
  <c r="Y1353" i="14"/>
  <c r="S1353" i="14"/>
  <c r="J1285" i="14"/>
  <c r="J200" i="14"/>
  <c r="J1291" i="14"/>
  <c r="J648" i="14"/>
  <c r="J1401" i="14"/>
  <c r="J1275" i="14"/>
  <c r="J209" i="14"/>
  <c r="J913" i="14"/>
  <c r="S674" i="14"/>
  <c r="V674" i="14"/>
  <c r="AB674" i="14"/>
  <c r="N901" i="14"/>
  <c r="AB901" i="14"/>
  <c r="S901" i="14"/>
  <c r="V901" i="14"/>
  <c r="AC901" i="14"/>
  <c r="Y901" i="14"/>
  <c r="B447" i="17"/>
  <c r="D447" i="17" s="1"/>
  <c r="AB590" i="14"/>
  <c r="N590" i="14"/>
  <c r="V590" i="14"/>
  <c r="Y590" i="14"/>
  <c r="S590" i="14"/>
  <c r="B136" i="17"/>
  <c r="D136" i="17" s="1"/>
  <c r="AC590" i="14"/>
  <c r="N1449" i="14"/>
  <c r="AC1449" i="14"/>
  <c r="S1449" i="14"/>
  <c r="Y1449" i="14"/>
  <c r="AB1449" i="14"/>
  <c r="V1449" i="14"/>
  <c r="Y948" i="14"/>
  <c r="S948" i="14"/>
  <c r="AB948" i="14"/>
  <c r="V948" i="14"/>
  <c r="AC948" i="14"/>
  <c r="N948" i="14"/>
  <c r="S169" i="14"/>
  <c r="AC169" i="14"/>
  <c r="V169" i="14"/>
  <c r="N169" i="14"/>
  <c r="AB169" i="14"/>
  <c r="Y169" i="14"/>
  <c r="V608" i="14"/>
  <c r="AC608" i="14"/>
  <c r="S608" i="14"/>
  <c r="AB608" i="14"/>
  <c r="B154" i="17"/>
  <c r="D154" i="17" s="1"/>
  <c r="Y608" i="14"/>
  <c r="N608" i="14"/>
  <c r="AC664" i="14"/>
  <c r="N664" i="14"/>
  <c r="V664" i="14"/>
  <c r="Y664" i="14"/>
  <c r="AB664" i="14"/>
  <c r="S664" i="14"/>
  <c r="B210" i="17"/>
  <c r="D210" i="17" s="1"/>
  <c r="S1406" i="14"/>
  <c r="Y1406" i="14"/>
  <c r="AC1406" i="14"/>
  <c r="N1406" i="14"/>
  <c r="V1406" i="14"/>
  <c r="AB1406" i="14"/>
  <c r="AC325" i="14"/>
  <c r="Y325" i="14"/>
  <c r="N325" i="14"/>
  <c r="AB325" i="14"/>
  <c r="V325" i="14"/>
  <c r="S325" i="14"/>
  <c r="S1456" i="14"/>
  <c r="AC1456" i="14"/>
  <c r="AB1456" i="14"/>
  <c r="N1456" i="14"/>
  <c r="V1456" i="14"/>
  <c r="Y1456" i="14"/>
  <c r="J1441" i="14"/>
  <c r="J800" i="14"/>
  <c r="N800" i="14" s="1"/>
  <c r="J361" i="14"/>
  <c r="J804" i="14"/>
  <c r="B350" i="17" s="1"/>
  <c r="D350" i="17" s="1"/>
  <c r="J1446" i="14"/>
  <c r="J365" i="14"/>
  <c r="V365" i="14" s="1"/>
  <c r="N458" i="14"/>
  <c r="V458" i="14"/>
  <c r="AC458" i="14"/>
  <c r="Y458" i="14"/>
  <c r="S458" i="14"/>
  <c r="AB458" i="14"/>
  <c r="B4" i="17"/>
  <c r="D4" i="17" s="1"/>
  <c r="S19" i="14"/>
  <c r="V19" i="14"/>
  <c r="Y19" i="14"/>
  <c r="AC19" i="14"/>
  <c r="N19" i="14"/>
  <c r="AB19" i="14"/>
  <c r="AB235" i="14"/>
  <c r="N235" i="14"/>
  <c r="AC235" i="14"/>
  <c r="S235" i="14"/>
  <c r="Y235" i="14"/>
  <c r="V235" i="14"/>
  <c r="Y151" i="14"/>
  <c r="S151" i="14"/>
  <c r="AC151" i="14"/>
  <c r="N151" i="14"/>
  <c r="V151" i="14"/>
  <c r="AB151" i="14"/>
  <c r="AB807" i="14"/>
  <c r="N807" i="14"/>
  <c r="S807" i="14"/>
  <c r="V1017" i="14"/>
  <c r="S1017" i="14"/>
  <c r="Y1017" i="14"/>
  <c r="AC1017" i="14"/>
  <c r="N1017" i="14"/>
  <c r="V980" i="14"/>
  <c r="AB980" i="14"/>
  <c r="Y980" i="14"/>
  <c r="N980" i="14"/>
  <c r="S980" i="14"/>
  <c r="AC980" i="14"/>
  <c r="J233" i="14"/>
  <c r="J1316" i="14"/>
  <c r="J672" i="14"/>
  <c r="AC583" i="14"/>
  <c r="V583" i="14"/>
  <c r="N583" i="14"/>
  <c r="S583" i="14"/>
  <c r="Y583" i="14"/>
  <c r="AB583" i="14"/>
  <c r="B129" i="17"/>
  <c r="D129" i="17" s="1"/>
  <c r="Y225" i="14"/>
  <c r="N225" i="14"/>
  <c r="AC225" i="14"/>
  <c r="S225" i="14"/>
  <c r="V225" i="14"/>
  <c r="AB225" i="14"/>
  <c r="V1308" i="14"/>
  <c r="AB1308" i="14"/>
  <c r="N1308" i="14"/>
  <c r="AC1308" i="14"/>
  <c r="S1308" i="14"/>
  <c r="Y1308" i="14"/>
  <c r="Y279" i="14"/>
  <c r="AC279" i="14"/>
  <c r="AB279" i="14"/>
  <c r="S279" i="14"/>
  <c r="V279" i="14"/>
  <c r="N279" i="14"/>
  <c r="N479" i="14"/>
  <c r="V479" i="14"/>
  <c r="AC479" i="14"/>
  <c r="B25" i="17"/>
  <c r="D25" i="17" s="1"/>
  <c r="S479" i="14"/>
  <c r="AB479" i="14"/>
  <c r="Y479" i="14"/>
  <c r="S40" i="14"/>
  <c r="AC40" i="14"/>
  <c r="Y40" i="14"/>
  <c r="AB40" i="14"/>
  <c r="V40" i="14"/>
  <c r="N40" i="14"/>
  <c r="J381" i="14"/>
  <c r="J820" i="14"/>
  <c r="J1033" i="14"/>
  <c r="V1033" i="14" s="1"/>
  <c r="J1465" i="14"/>
  <c r="J1043" i="14"/>
  <c r="J763" i="14"/>
  <c r="J218" i="14"/>
  <c r="Y218" i="14" s="1"/>
  <c r="J1402" i="14"/>
  <c r="J1011" i="14"/>
  <c r="J324" i="14"/>
  <c r="J657" i="14"/>
  <c r="N657" i="14" s="1"/>
  <c r="J1300" i="14"/>
  <c r="J203" i="14"/>
  <c r="J1286" i="14"/>
  <c r="J223" i="14"/>
  <c r="Y223" i="14" s="1"/>
  <c r="J642" i="14"/>
  <c r="J195" i="14"/>
  <c r="J1278" i="14"/>
  <c r="J634" i="14"/>
  <c r="S634" i="14" s="1"/>
  <c r="J1306" i="14"/>
  <c r="J662" i="14"/>
  <c r="J340" i="14"/>
  <c r="J934" i="14"/>
  <c r="AC934" i="14" s="1"/>
  <c r="J1418" i="14"/>
  <c r="J42" i="14"/>
  <c r="J779" i="14"/>
  <c r="J1090" i="14"/>
  <c r="AB1090" i="14" s="1"/>
  <c r="J928" i="14"/>
  <c r="J1137" i="14"/>
  <c r="J481" i="14"/>
  <c r="V1236" i="14"/>
  <c r="S1236" i="14"/>
  <c r="AB1236" i="14"/>
  <c r="Y1236" i="14"/>
  <c r="AC1236" i="14"/>
  <c r="N1236" i="14"/>
  <c r="S368" i="14"/>
  <c r="V368" i="14"/>
  <c r="N368" i="14"/>
  <c r="Y368" i="14"/>
  <c r="AB368" i="14"/>
  <c r="AC368" i="14"/>
  <c r="AB144" i="14"/>
  <c r="Y144" i="14"/>
  <c r="S144" i="14"/>
  <c r="V144" i="14"/>
  <c r="AC144" i="14"/>
  <c r="N144" i="14"/>
  <c r="Y993" i="14"/>
  <c r="N993" i="14"/>
  <c r="AB993" i="14"/>
  <c r="S993" i="14"/>
  <c r="AC993" i="14"/>
  <c r="V993" i="14"/>
  <c r="V718" i="14"/>
  <c r="S718" i="14"/>
  <c r="N718" i="14"/>
  <c r="B264" i="17"/>
  <c r="D264" i="17" s="1"/>
  <c r="Y718" i="14"/>
  <c r="AB718" i="14"/>
  <c r="AC718" i="14"/>
  <c r="Y1403" i="14"/>
  <c r="AC1403" i="14"/>
  <c r="AB1403" i="14"/>
  <c r="S1403" i="14"/>
  <c r="N1403" i="14"/>
  <c r="V1403" i="14"/>
  <c r="J652" i="14"/>
  <c r="J213" i="14"/>
  <c r="J1295" i="14"/>
  <c r="N712" i="14"/>
  <c r="S712" i="14"/>
  <c r="V712" i="14"/>
  <c r="Y712" i="14"/>
  <c r="AC712" i="14"/>
  <c r="B258" i="17"/>
  <c r="D258" i="17" s="1"/>
  <c r="AB712" i="14"/>
  <c r="S1317" i="14"/>
  <c r="V1317" i="14"/>
  <c r="AC1317" i="14"/>
  <c r="N1317" i="14"/>
  <c r="Y1317" i="14"/>
  <c r="AB1317" i="14"/>
  <c r="S1264" i="14"/>
  <c r="Y1264" i="14"/>
  <c r="AC1264" i="14"/>
  <c r="AB1264" i="14"/>
  <c r="N1264" i="14"/>
  <c r="V1264" i="14"/>
  <c r="J1027" i="14"/>
  <c r="J650" i="14"/>
  <c r="J1009" i="14"/>
  <c r="J1293" i="14"/>
  <c r="AC1293" i="14" s="1"/>
  <c r="J211" i="14"/>
  <c r="J1461" i="14"/>
  <c r="J377" i="14"/>
  <c r="J816" i="14"/>
  <c r="AC1076" i="14"/>
  <c r="V1076" i="14"/>
  <c r="S1076" i="14"/>
  <c r="N1076" i="14"/>
  <c r="AB1076" i="14"/>
  <c r="Y1076" i="14"/>
  <c r="AC1112" i="14"/>
  <c r="V1112" i="14"/>
  <c r="Y1112" i="14"/>
  <c r="AB1112" i="14"/>
  <c r="N1112" i="14"/>
  <c r="S1112" i="14"/>
  <c r="J1427" i="14"/>
  <c r="J896" i="14"/>
  <c r="J1415" i="14"/>
  <c r="J905" i="14"/>
  <c r="AB905" i="14" s="1"/>
  <c r="J923" i="14"/>
  <c r="J904" i="14"/>
  <c r="J1205" i="14"/>
  <c r="J925" i="14"/>
  <c r="AC925" i="14" s="1"/>
  <c r="J897" i="14"/>
  <c r="J1229" i="14"/>
  <c r="S1229" i="14" s="1"/>
  <c r="J920" i="14"/>
  <c r="J900" i="14"/>
  <c r="Y900" i="14" s="1"/>
  <c r="N1104" i="14"/>
  <c r="S1104" i="14"/>
  <c r="AC1104" i="14"/>
  <c r="V1104" i="14"/>
  <c r="AB1104" i="14"/>
  <c r="Y1104" i="14"/>
  <c r="N1229" i="14"/>
  <c r="Y897" i="14"/>
  <c r="S897" i="14"/>
  <c r="AB897" i="14"/>
  <c r="B443" i="17"/>
  <c r="D443" i="17" s="1"/>
  <c r="AC897" i="14"/>
  <c r="V897" i="14"/>
  <c r="N897" i="14"/>
  <c r="N1293" i="14"/>
  <c r="S1293" i="14"/>
  <c r="AB1293" i="14"/>
  <c r="N900" i="14"/>
  <c r="S900" i="14"/>
  <c r="Y925" i="14"/>
  <c r="AC905" i="14"/>
  <c r="V905" i="14"/>
  <c r="V1009" i="14"/>
  <c r="AB1009" i="14"/>
  <c r="Y1009" i="14"/>
  <c r="Y920" i="14"/>
  <c r="V920" i="14"/>
  <c r="AC920" i="14"/>
  <c r="B466" i="17"/>
  <c r="D466" i="17" s="1"/>
  <c r="N920" i="14"/>
  <c r="AB920" i="14"/>
  <c r="S920" i="14"/>
  <c r="AB1205" i="14"/>
  <c r="AC1205" i="14"/>
  <c r="N1205" i="14"/>
  <c r="S1205" i="14"/>
  <c r="Y1205" i="14"/>
  <c r="V1205" i="14"/>
  <c r="S1415" i="14"/>
  <c r="Y1415" i="14"/>
  <c r="AC1415" i="14"/>
  <c r="V1415" i="14"/>
  <c r="AB1415" i="14"/>
  <c r="N1415" i="14"/>
  <c r="Y1461" i="14"/>
  <c r="V1461" i="14"/>
  <c r="N1461" i="14"/>
  <c r="AC1461" i="14"/>
  <c r="S1461" i="14"/>
  <c r="AB1461" i="14"/>
  <c r="N650" i="14"/>
  <c r="AC650" i="14"/>
  <c r="AB650" i="14"/>
  <c r="S650" i="14"/>
  <c r="Y650" i="14"/>
  <c r="V650" i="14"/>
  <c r="B196" i="17"/>
  <c r="D196" i="17" s="1"/>
  <c r="N1137" i="14"/>
  <c r="N42" i="14"/>
  <c r="AB42" i="14"/>
  <c r="S662" i="14"/>
  <c r="AB195" i="14"/>
  <c r="V203" i="14"/>
  <c r="Y203" i="14"/>
  <c r="S1011" i="14"/>
  <c r="V1043" i="14"/>
  <c r="S1043" i="14"/>
  <c r="N381" i="14"/>
  <c r="V1316" i="14"/>
  <c r="S365" i="14"/>
  <c r="AC365" i="14"/>
  <c r="Y365" i="14"/>
  <c r="S800" i="14"/>
  <c r="AC800" i="14"/>
  <c r="V800" i="14"/>
  <c r="AC913" i="14"/>
  <c r="V913" i="14"/>
  <c r="S913" i="14"/>
  <c r="N913" i="14"/>
  <c r="AB913" i="14"/>
  <c r="Y913" i="14"/>
  <c r="B459" i="17"/>
  <c r="D459" i="17" s="1"/>
  <c r="V1275" i="14"/>
  <c r="Y1275" i="14"/>
  <c r="N1275" i="14"/>
  <c r="S1275" i="14"/>
  <c r="AB1275" i="14"/>
  <c r="AC1275" i="14"/>
  <c r="Y648" i="14"/>
  <c r="B194" i="17"/>
  <c r="D194" i="17" s="1"/>
  <c r="N648" i="14"/>
  <c r="AC648" i="14"/>
  <c r="AB648" i="14"/>
  <c r="S648" i="14"/>
  <c r="V648" i="14"/>
  <c r="N200" i="14"/>
  <c r="AB200" i="14"/>
  <c r="AC200" i="14"/>
  <c r="V200" i="14"/>
  <c r="Y200" i="14"/>
  <c r="S200" i="14"/>
  <c r="N896" i="14"/>
  <c r="V896" i="14"/>
  <c r="AB896" i="14"/>
  <c r="AC896" i="14"/>
  <c r="S896" i="14"/>
  <c r="Y896" i="14"/>
  <c r="B442" i="17"/>
  <c r="D442" i="17" s="1"/>
  <c r="V211" i="14"/>
  <c r="AB211" i="14"/>
  <c r="AC211" i="14"/>
  <c r="Y211" i="14"/>
  <c r="S211" i="14"/>
  <c r="N211" i="14"/>
  <c r="AB1027" i="14"/>
  <c r="N1027" i="14"/>
  <c r="V1027" i="14"/>
  <c r="Y1027" i="14"/>
  <c r="S1027" i="14"/>
  <c r="AC1027" i="14"/>
  <c r="Y1295" i="14"/>
  <c r="N1295" i="14"/>
  <c r="S1295" i="14"/>
  <c r="AB1295" i="14"/>
  <c r="AC1295" i="14"/>
  <c r="V1295" i="14"/>
  <c r="S928" i="14"/>
  <c r="AC928" i="14"/>
  <c r="Y928" i="14"/>
  <c r="AB928" i="14"/>
  <c r="V928" i="14"/>
  <c r="N928" i="14"/>
  <c r="AB1418" i="14"/>
  <c r="N1418" i="14"/>
  <c r="Y1418" i="14"/>
  <c r="V1418" i="14"/>
  <c r="AC1418" i="14"/>
  <c r="S1418" i="14"/>
  <c r="S1306" i="14"/>
  <c r="AC1306" i="14"/>
  <c r="N1306" i="14"/>
  <c r="AB1306" i="14"/>
  <c r="V1306" i="14"/>
  <c r="Y1306" i="14"/>
  <c r="S642" i="14"/>
  <c r="V642" i="14"/>
  <c r="AC642" i="14"/>
  <c r="B188" i="17"/>
  <c r="D188" i="17" s="1"/>
  <c r="N642" i="14"/>
  <c r="AB642" i="14"/>
  <c r="Y642" i="14"/>
  <c r="N1300" i="14"/>
  <c r="AC1300" i="14"/>
  <c r="AB1300" i="14"/>
  <c r="Y1300" i="14"/>
  <c r="V1300" i="14"/>
  <c r="S1300" i="14"/>
  <c r="Y1402" i="14"/>
  <c r="N1402" i="14"/>
  <c r="AC1402" i="14"/>
  <c r="S1402" i="14"/>
  <c r="V1402" i="14"/>
  <c r="AB1402" i="14"/>
  <c r="AB1465" i="14"/>
  <c r="V1465" i="14"/>
  <c r="S1465" i="14"/>
  <c r="N1465" i="14"/>
  <c r="Y1465" i="14"/>
  <c r="AC1465" i="14"/>
  <c r="AB233" i="14"/>
  <c r="Y233" i="14"/>
  <c r="V233" i="14"/>
  <c r="N233" i="14"/>
  <c r="S233" i="14"/>
  <c r="AC233" i="14"/>
  <c r="N1446" i="14"/>
  <c r="AC1446" i="14"/>
  <c r="S1446" i="14"/>
  <c r="V1446" i="14"/>
  <c r="AB1446" i="14"/>
  <c r="Y1446" i="14"/>
  <c r="S1441" i="14"/>
  <c r="AC1441" i="14"/>
  <c r="AB1441" i="14"/>
  <c r="V1441" i="14"/>
  <c r="N1441" i="14"/>
  <c r="Y1441" i="14"/>
  <c r="V904" i="14"/>
  <c r="Y904" i="14"/>
  <c r="AB904" i="14"/>
  <c r="N904" i="14"/>
  <c r="S904" i="14"/>
  <c r="B450" i="17"/>
  <c r="D450" i="17"/>
  <c r="AC904" i="14"/>
  <c r="AB923" i="14"/>
  <c r="N923" i="14"/>
  <c r="S923" i="14"/>
  <c r="V923" i="14"/>
  <c r="Y923" i="14"/>
  <c r="AC923" i="14"/>
  <c r="B469" i="17"/>
  <c r="D469" i="17" s="1"/>
  <c r="V213" i="14"/>
  <c r="N213" i="14"/>
  <c r="S213" i="14"/>
  <c r="AB213" i="14"/>
  <c r="AC213" i="14"/>
  <c r="Y213" i="14"/>
  <c r="Y1090" i="14"/>
  <c r="N1090" i="14"/>
  <c r="AC1090" i="14"/>
  <c r="V934" i="14"/>
  <c r="AB934" i="14"/>
  <c r="N934" i="14"/>
  <c r="AB634" i="14"/>
  <c r="B180" i="17"/>
  <c r="D180" i="17" s="1"/>
  <c r="N634" i="14"/>
  <c r="Y634" i="14"/>
  <c r="AB223" i="14"/>
  <c r="N223" i="14"/>
  <c r="AC223" i="14"/>
  <c r="S657" i="14"/>
  <c r="AB657" i="14"/>
  <c r="V657" i="14"/>
  <c r="B203" i="17"/>
  <c r="D203" i="17" s="1"/>
  <c r="AC218" i="14"/>
  <c r="V218" i="14"/>
  <c r="S218" i="14"/>
  <c r="AC1033" i="14"/>
  <c r="Y1033" i="14"/>
  <c r="AB1033" i="14"/>
  <c r="N804" i="14"/>
  <c r="S804" i="14"/>
  <c r="AC804" i="14"/>
  <c r="AB209" i="14"/>
  <c r="V209" i="14"/>
  <c r="AC209" i="14"/>
  <c r="N209" i="14"/>
  <c r="Y209" i="14"/>
  <c r="S209" i="14"/>
  <c r="AB1401" i="14"/>
  <c r="N1401" i="14"/>
  <c r="S1401" i="14"/>
  <c r="Y1401" i="14"/>
  <c r="V1401" i="14"/>
  <c r="AC1401" i="14"/>
  <c r="V1291" i="14"/>
  <c r="S1291" i="14"/>
  <c r="N1291" i="14"/>
  <c r="AC1291" i="14"/>
  <c r="AB1291" i="14"/>
  <c r="Y1291" i="14"/>
  <c r="V1285" i="14"/>
  <c r="Y1285" i="14"/>
  <c r="AC1285" i="14"/>
  <c r="AB1285" i="14"/>
  <c r="S1285" i="14"/>
  <c r="N1285" i="14"/>
  <c r="S1427" i="14"/>
  <c r="N1427" i="14"/>
  <c r="AB1427" i="14"/>
  <c r="V1427" i="14"/>
  <c r="Y1427" i="14"/>
  <c r="AC1427" i="14"/>
  <c r="V816" i="14"/>
  <c r="AC816" i="14"/>
  <c r="S816" i="14"/>
  <c r="N816" i="14"/>
  <c r="AB816" i="14"/>
  <c r="B362" i="17"/>
  <c r="D362" i="17"/>
  <c r="Y816" i="14"/>
  <c r="S377" i="14"/>
  <c r="AB377" i="14"/>
  <c r="AC377" i="14"/>
  <c r="Y377" i="14"/>
  <c r="V377" i="14"/>
  <c r="N377" i="14"/>
  <c r="Y652" i="14"/>
  <c r="AC652" i="14"/>
  <c r="AB652" i="14"/>
  <c r="N652" i="14"/>
  <c r="V652" i="14"/>
  <c r="B198" i="17"/>
  <c r="D198" i="17"/>
  <c r="S652" i="14"/>
  <c r="N481" i="14"/>
  <c r="S481" i="14"/>
  <c r="V481" i="14"/>
  <c r="AC481" i="14"/>
  <c r="Y481" i="14"/>
  <c r="AB481" i="14"/>
  <c r="B27" i="17"/>
  <c r="D27" i="17" s="1"/>
  <c r="AB779" i="14"/>
  <c r="S779" i="14"/>
  <c r="AC779" i="14"/>
  <c r="N779" i="14"/>
  <c r="Y779" i="14"/>
  <c r="B325" i="17"/>
  <c r="D325" i="17" s="1"/>
  <c r="V779" i="14"/>
  <c r="N340" i="14"/>
  <c r="AB340" i="14"/>
  <c r="S340" i="14"/>
  <c r="Y340" i="14"/>
  <c r="V340" i="14"/>
  <c r="AC340" i="14"/>
  <c r="AB1278" i="14"/>
  <c r="Y1278" i="14"/>
  <c r="N1278" i="14"/>
  <c r="AC1278" i="14"/>
  <c r="S1278" i="14"/>
  <c r="V1278" i="14"/>
  <c r="V1286" i="14"/>
  <c r="N1286" i="14"/>
  <c r="AB1286" i="14"/>
  <c r="S1286" i="14"/>
  <c r="AC1286" i="14"/>
  <c r="Y1286" i="14"/>
  <c r="Y324" i="14"/>
  <c r="S324" i="14"/>
  <c r="V324" i="14"/>
  <c r="AC324" i="14"/>
  <c r="AB324" i="14"/>
  <c r="N324" i="14"/>
  <c r="AB763" i="14"/>
  <c r="Y763" i="14"/>
  <c r="AC763" i="14"/>
  <c r="N763" i="14"/>
  <c r="V763" i="14"/>
  <c r="B309" i="17"/>
  <c r="D309" i="17" s="1"/>
  <c r="S763" i="14"/>
  <c r="Y820" i="14"/>
  <c r="S820" i="14"/>
  <c r="B366" i="17"/>
  <c r="D366" i="17" s="1"/>
  <c r="AB820" i="14"/>
  <c r="AC820" i="14"/>
  <c r="N820" i="14"/>
  <c r="V820" i="14"/>
  <c r="AB672" i="14"/>
  <c r="B218" i="17"/>
  <c r="D218" i="17" s="1"/>
  <c r="Y672" i="14"/>
  <c r="AC672" i="14"/>
  <c r="N672" i="14"/>
  <c r="V672" i="14"/>
  <c r="S672" i="14"/>
  <c r="AB361" i="14"/>
  <c r="N361" i="14"/>
  <c r="S361" i="14"/>
  <c r="Y361" i="14"/>
  <c r="V361" i="14"/>
  <c r="AC361" i="14"/>
  <c r="N925" i="14" l="1"/>
  <c r="V1293" i="14"/>
  <c r="Y1293" i="14"/>
  <c r="AC1229" i="14"/>
  <c r="AB1016" i="14"/>
  <c r="N1016" i="14"/>
  <c r="Y1016" i="14"/>
  <c r="S770" i="14"/>
  <c r="AC770" i="14"/>
  <c r="Y770" i="14"/>
  <c r="Y467" i="14"/>
  <c r="AB467" i="14"/>
  <c r="N467" i="14"/>
  <c r="V467" i="14"/>
  <c r="K18" i="19"/>
  <c r="I15" i="16"/>
  <c r="I4" i="16"/>
  <c r="I12" i="16"/>
  <c r="J31" i="16"/>
  <c r="J110" i="16"/>
  <c r="J33" i="16"/>
  <c r="J84" i="16"/>
  <c r="J52" i="16"/>
  <c r="J59" i="16"/>
  <c r="J78" i="16"/>
  <c r="J85" i="16"/>
  <c r="J112" i="16"/>
  <c r="J30" i="16"/>
  <c r="J65" i="16"/>
  <c r="J106" i="16"/>
  <c r="J41" i="16"/>
  <c r="J104" i="16"/>
  <c r="J46" i="16"/>
  <c r="J105" i="16"/>
  <c r="J95" i="16"/>
  <c r="J74" i="16"/>
  <c r="J29" i="16"/>
  <c r="J35" i="16"/>
  <c r="J34" i="16"/>
  <c r="J76" i="16"/>
  <c r="J89" i="16"/>
  <c r="J115" i="16"/>
  <c r="J111" i="16"/>
  <c r="J51" i="16"/>
  <c r="J90" i="16"/>
  <c r="J94" i="16"/>
  <c r="J92" i="16"/>
  <c r="J77" i="16"/>
  <c r="J83" i="16"/>
  <c r="J72" i="16"/>
  <c r="J71" i="16"/>
  <c r="J117" i="16"/>
  <c r="J70" i="16"/>
  <c r="J26" i="16"/>
  <c r="J45" i="16"/>
  <c r="J25" i="16"/>
  <c r="J37" i="16"/>
  <c r="J62" i="16"/>
  <c r="J102" i="16"/>
  <c r="J66" i="16"/>
  <c r="J88" i="16"/>
  <c r="J82" i="16"/>
  <c r="J50" i="16"/>
  <c r="J81" i="16"/>
  <c r="J118" i="16"/>
  <c r="J39" i="16"/>
  <c r="J40" i="16"/>
  <c r="J107" i="16"/>
  <c r="J24" i="16"/>
  <c r="J87" i="16"/>
  <c r="J27" i="16"/>
  <c r="J49" i="16"/>
  <c r="J28" i="16"/>
  <c r="J47" i="16"/>
  <c r="J67" i="16"/>
  <c r="AB1137" i="14"/>
  <c r="AC1137" i="14"/>
  <c r="Y1137" i="14"/>
  <c r="Y42" i="14"/>
  <c r="S42" i="14"/>
  <c r="V42" i="14"/>
  <c r="Y662" i="14"/>
  <c r="AC662" i="14"/>
  <c r="N662" i="14"/>
  <c r="B208" i="17"/>
  <c r="D208" i="17" s="1"/>
  <c r="V195" i="14"/>
  <c r="Y195" i="14"/>
  <c r="N195" i="14"/>
  <c r="AC203" i="14"/>
  <c r="S203" i="14"/>
  <c r="N203" i="14"/>
  <c r="AB1011" i="14"/>
  <c r="V1011" i="14"/>
  <c r="AC1011" i="14"/>
  <c r="Y1043" i="14"/>
  <c r="AC1043" i="14"/>
  <c r="AB1043" i="14"/>
  <c r="AC381" i="14"/>
  <c r="AB381" i="14"/>
  <c r="V381" i="14"/>
  <c r="N1316" i="14"/>
  <c r="S1316" i="14"/>
  <c r="AC1316" i="14"/>
  <c r="K69" i="19"/>
  <c r="L69" i="19" s="1"/>
  <c r="M69" i="19" s="1"/>
  <c r="J88" i="4"/>
  <c r="B88" i="4"/>
  <c r="B136" i="4"/>
  <c r="J136" i="4"/>
  <c r="K105" i="19"/>
  <c r="L105" i="19" s="1"/>
  <c r="M105" i="19" s="1"/>
  <c r="B74" i="4"/>
  <c r="K60" i="19"/>
  <c r="L60" i="19" s="1"/>
  <c r="M60" i="19" s="1"/>
  <c r="J157" i="4"/>
  <c r="K112" i="19"/>
  <c r="L112" i="19" s="1"/>
  <c r="M112" i="19" s="1"/>
  <c r="B157" i="4"/>
  <c r="J1031" i="14" s="1"/>
  <c r="Y804" i="14"/>
  <c r="AB804" i="14"/>
  <c r="V804" i="14"/>
  <c r="S1033" i="14"/>
  <c r="N1033" i="14"/>
  <c r="N218" i="14"/>
  <c r="AB218" i="14"/>
  <c r="AC657" i="14"/>
  <c r="Y657" i="14"/>
  <c r="S223" i="14"/>
  <c r="V223" i="14"/>
  <c r="AC634" i="14"/>
  <c r="V634" i="14"/>
  <c r="S934" i="14"/>
  <c r="Y934" i="14"/>
  <c r="S1090" i="14"/>
  <c r="V1090" i="14"/>
  <c r="AB800" i="14"/>
  <c r="B346" i="17"/>
  <c r="D346" i="17" s="1"/>
  <c r="Y800" i="14"/>
  <c r="AB365" i="14"/>
  <c r="N365" i="14"/>
  <c r="AB1316" i="14"/>
  <c r="Y1316" i="14"/>
  <c r="S381" i="14"/>
  <c r="Y381" i="14"/>
  <c r="N1043" i="14"/>
  <c r="Y1011" i="14"/>
  <c r="N1011" i="14"/>
  <c r="AB203" i="14"/>
  <c r="S195" i="14"/>
  <c r="AC195" i="14"/>
  <c r="AB662" i="14"/>
  <c r="V662" i="14"/>
  <c r="AC42" i="14"/>
  <c r="V1137" i="14"/>
  <c r="S1137" i="14"/>
  <c r="AC900" i="14"/>
  <c r="V900" i="14"/>
  <c r="AB900" i="14"/>
  <c r="B446" i="17"/>
  <c r="D446" i="17" s="1"/>
  <c r="AB1229" i="14"/>
  <c r="V1229" i="14"/>
  <c r="Y1229" i="14"/>
  <c r="AB925" i="14"/>
  <c r="V925" i="14"/>
  <c r="S925" i="14"/>
  <c r="B471" i="17"/>
  <c r="D471" i="17" s="1"/>
  <c r="B451" i="17"/>
  <c r="D451" i="17" s="1"/>
  <c r="N905" i="14"/>
  <c r="S905" i="14"/>
  <c r="Y905" i="14"/>
  <c r="N1009" i="14"/>
  <c r="S1009" i="14"/>
  <c r="AC1009" i="14"/>
  <c r="J403" i="14"/>
  <c r="J965" i="14"/>
  <c r="J842" i="14"/>
  <c r="J1322" i="14"/>
  <c r="J678" i="14"/>
  <c r="J239" i="14"/>
  <c r="J74" i="4"/>
  <c r="J605" i="14"/>
  <c r="J186" i="14"/>
  <c r="J1268" i="14"/>
  <c r="J1249" i="14"/>
  <c r="J625" i="14"/>
  <c r="J166" i="14"/>
  <c r="V807" i="14"/>
  <c r="AC807" i="14"/>
  <c r="B353" i="17"/>
  <c r="D353" i="17" s="1"/>
  <c r="Y807" i="14"/>
  <c r="J570" i="14"/>
  <c r="J1218" i="14"/>
  <c r="J985" i="14"/>
  <c r="J131" i="14"/>
  <c r="Y328" i="14"/>
  <c r="S328" i="14"/>
  <c r="V328" i="14"/>
  <c r="J641" i="14"/>
  <c r="J202" i="14"/>
  <c r="J639" i="14"/>
  <c r="J898" i="14"/>
  <c r="J1283" i="14"/>
  <c r="J914" i="14"/>
  <c r="J921" i="14"/>
  <c r="J1026" i="14"/>
  <c r="AC674" i="14"/>
  <c r="Y674" i="14"/>
  <c r="B220" i="17"/>
  <c r="D220" i="17" s="1"/>
  <c r="N674" i="14"/>
  <c r="Y986" i="14"/>
  <c r="AC986" i="14"/>
  <c r="AB986" i="14"/>
  <c r="V1016" i="14"/>
  <c r="S1016" i="14"/>
  <c r="AC1016" i="14"/>
  <c r="Y1109" i="14"/>
  <c r="S1109" i="14"/>
  <c r="N1109" i="14"/>
  <c r="J1179" i="14"/>
  <c r="J528" i="14"/>
  <c r="J89" i="14"/>
  <c r="J1097" i="14"/>
  <c r="J931" i="14"/>
  <c r="K39" i="19"/>
  <c r="L39" i="19" s="1"/>
  <c r="M39" i="19" s="1"/>
  <c r="J43" i="4"/>
  <c r="K53" i="19"/>
  <c r="L53" i="19" s="1"/>
  <c r="M53" i="19" s="1"/>
  <c r="B61" i="4"/>
  <c r="K99" i="19"/>
  <c r="L99" i="19" s="1"/>
  <c r="M99" i="19" s="1"/>
  <c r="J126" i="4"/>
  <c r="V899" i="14"/>
  <c r="Y899" i="14"/>
  <c r="N899" i="14"/>
  <c r="AC899" i="14"/>
  <c r="B445" i="17"/>
  <c r="D445" i="17" s="1"/>
  <c r="AB899" i="14"/>
  <c r="S899" i="14"/>
  <c r="B390" i="17"/>
  <c r="D390" i="17" s="1"/>
  <c r="AB844" i="14"/>
  <c r="Y844" i="14"/>
  <c r="S844" i="14"/>
  <c r="V844" i="14"/>
  <c r="AC844" i="14"/>
  <c r="N844" i="14"/>
  <c r="J15" i="4"/>
  <c r="L19" i="19"/>
  <c r="M19" i="19" s="1"/>
  <c r="L96" i="19"/>
  <c r="M96" i="19" s="1"/>
  <c r="H16" i="19"/>
  <c r="I18" i="19"/>
  <c r="J18" i="19" s="1"/>
  <c r="L18" i="19" s="1"/>
  <c r="M18" i="19" s="1"/>
  <c r="K43" i="19" l="1"/>
  <c r="L43" i="19" s="1"/>
  <c r="M43" i="19" s="1"/>
  <c r="B48" i="4"/>
  <c r="K43" i="18"/>
  <c r="L43" i="18" s="1"/>
  <c r="M43" i="18" s="1"/>
  <c r="J48" i="4"/>
  <c r="J51" i="4"/>
  <c r="B51" i="4"/>
  <c r="K45" i="18"/>
  <c r="L45" i="18" s="1"/>
  <c r="M45" i="18" s="1"/>
  <c r="K45" i="19"/>
  <c r="L45" i="19" s="1"/>
  <c r="M45" i="19" s="1"/>
  <c r="K83" i="19"/>
  <c r="L83" i="19" s="1"/>
  <c r="M83" i="19" s="1"/>
  <c r="K83" i="18"/>
  <c r="L83" i="18" s="1"/>
  <c r="M83" i="18" s="1"/>
  <c r="B105" i="4"/>
  <c r="J105" i="4"/>
  <c r="K103" i="18"/>
  <c r="L103" i="18" s="1"/>
  <c r="M103" i="18" s="1"/>
  <c r="J133" i="4"/>
  <c r="K103" i="19"/>
  <c r="L103" i="19" s="1"/>
  <c r="M103" i="19" s="1"/>
  <c r="B133" i="4"/>
  <c r="K35" i="19"/>
  <c r="L35" i="19" s="1"/>
  <c r="M35" i="19" s="1"/>
  <c r="B38" i="4"/>
  <c r="K35" i="18"/>
  <c r="L35" i="18" s="1"/>
  <c r="M35" i="18" s="1"/>
  <c r="J38" i="4"/>
  <c r="B97" i="4"/>
  <c r="J97" i="4"/>
  <c r="K77" i="18"/>
  <c r="L77" i="18" s="1"/>
  <c r="M77" i="18" s="1"/>
  <c r="K77" i="19"/>
  <c r="L77" i="19" s="1"/>
  <c r="M77" i="19" s="1"/>
  <c r="J98" i="4"/>
  <c r="B98" i="4"/>
  <c r="K78" i="18"/>
  <c r="L78" i="18" s="1"/>
  <c r="M78" i="18" s="1"/>
  <c r="K78" i="19"/>
  <c r="L78" i="19" s="1"/>
  <c r="M78" i="19" s="1"/>
  <c r="B76" i="4"/>
  <c r="J76" i="4"/>
  <c r="K62" i="18"/>
  <c r="L62" i="18" s="1"/>
  <c r="M62" i="18" s="1"/>
  <c r="K62" i="19"/>
  <c r="L62" i="19" s="1"/>
  <c r="M62" i="19" s="1"/>
  <c r="K58" i="18"/>
  <c r="L58" i="18" s="1"/>
  <c r="M58" i="18" s="1"/>
  <c r="B71" i="4"/>
  <c r="K58" i="19"/>
  <c r="L58" i="19" s="1"/>
  <c r="M58" i="19" s="1"/>
  <c r="J71" i="4"/>
  <c r="K21" i="18"/>
  <c r="L21" i="18" s="1"/>
  <c r="M21" i="18" s="1"/>
  <c r="K21" i="19"/>
  <c r="L21" i="19" s="1"/>
  <c r="M21" i="19" s="1"/>
  <c r="B18" i="4"/>
  <c r="J18" i="4"/>
  <c r="K22" i="18"/>
  <c r="L22" i="18" s="1"/>
  <c r="M22" i="18" s="1"/>
  <c r="J19" i="4"/>
  <c r="K22" i="19"/>
  <c r="L22" i="19" s="1"/>
  <c r="M22" i="19" s="1"/>
  <c r="B19" i="4"/>
  <c r="B159" i="4"/>
  <c r="J1030" i="14" s="1"/>
  <c r="J159" i="4"/>
  <c r="K113" i="18"/>
  <c r="L113" i="18" s="1"/>
  <c r="M113" i="18" s="1"/>
  <c r="K113" i="19"/>
  <c r="L113" i="19" s="1"/>
  <c r="M113" i="19" s="1"/>
  <c r="K68" i="18"/>
  <c r="L68" i="18" s="1"/>
  <c r="M68" i="18" s="1"/>
  <c r="K68" i="19"/>
  <c r="L68" i="19" s="1"/>
  <c r="M68" i="19" s="1"/>
  <c r="J87" i="4"/>
  <c r="B87" i="4"/>
  <c r="J978" i="14" s="1"/>
  <c r="K73" i="19"/>
  <c r="L73" i="19" s="1"/>
  <c r="M73" i="19" s="1"/>
  <c r="J92" i="4"/>
  <c r="K73" i="18"/>
  <c r="L73" i="18" s="1"/>
  <c r="M73" i="18" s="1"/>
  <c r="B92" i="4"/>
  <c r="K90" i="19"/>
  <c r="L90" i="19" s="1"/>
  <c r="M90" i="19" s="1"/>
  <c r="J114" i="4"/>
  <c r="K90" i="18"/>
  <c r="L90" i="18" s="1"/>
  <c r="M90" i="18" s="1"/>
  <c r="B114" i="4"/>
  <c r="J979" i="14" s="1"/>
  <c r="K47" i="19"/>
  <c r="L47" i="19" s="1"/>
  <c r="M47" i="19" s="1"/>
  <c r="J53" i="4"/>
  <c r="K47" i="18"/>
  <c r="L47" i="18" s="1"/>
  <c r="M47" i="18" s="1"/>
  <c r="B53" i="4"/>
  <c r="B155" i="4"/>
  <c r="J155" i="4"/>
  <c r="K111" i="18"/>
  <c r="L111" i="18" s="1"/>
  <c r="M111" i="18" s="1"/>
  <c r="K111" i="19"/>
  <c r="L111" i="19" s="1"/>
  <c r="M111" i="19" s="1"/>
  <c r="K72" i="19"/>
  <c r="L72" i="19" s="1"/>
  <c r="M72" i="19" s="1"/>
  <c r="B91" i="4"/>
  <c r="K72" i="18"/>
  <c r="L72" i="18" s="1"/>
  <c r="M72" i="18" s="1"/>
  <c r="J91" i="4"/>
  <c r="K31" i="18"/>
  <c r="L31" i="18" s="1"/>
  <c r="M31" i="18" s="1"/>
  <c r="K31" i="19"/>
  <c r="L31" i="19" s="1"/>
  <c r="M31" i="19" s="1"/>
  <c r="J33" i="4"/>
  <c r="B33" i="4"/>
  <c r="K70" i="19"/>
  <c r="L70" i="19" s="1"/>
  <c r="M70" i="19" s="1"/>
  <c r="J89" i="4"/>
  <c r="B89" i="4"/>
  <c r="K70" i="18"/>
  <c r="L70" i="18" s="1"/>
  <c r="M70" i="18" s="1"/>
  <c r="K101" i="18"/>
  <c r="L101" i="18" s="1"/>
  <c r="M101" i="18" s="1"/>
  <c r="K101" i="19"/>
  <c r="L101" i="19" s="1"/>
  <c r="M101" i="19" s="1"/>
  <c r="B129" i="4"/>
  <c r="J129" i="4"/>
  <c r="K100" i="19"/>
  <c r="L100" i="19" s="1"/>
  <c r="M100" i="19" s="1"/>
  <c r="J128" i="4"/>
  <c r="B128" i="4"/>
  <c r="K100" i="18"/>
  <c r="L100" i="18" s="1"/>
  <c r="M100" i="18" s="1"/>
  <c r="K102" i="19"/>
  <c r="L102" i="19" s="1"/>
  <c r="M102" i="19" s="1"/>
  <c r="K102" i="18"/>
  <c r="L102" i="18" s="1"/>
  <c r="M102" i="18" s="1"/>
  <c r="B132" i="4"/>
  <c r="J132" i="4"/>
  <c r="K26" i="19"/>
  <c r="L26" i="19" s="1"/>
  <c r="M26" i="19" s="1"/>
  <c r="K26" i="18"/>
  <c r="L26" i="18" s="1"/>
  <c r="M26" i="18" s="1"/>
  <c r="B23" i="4"/>
  <c r="J23" i="4"/>
  <c r="B102" i="4"/>
  <c r="K81" i="18"/>
  <c r="L81" i="18" s="1"/>
  <c r="M81" i="18" s="1"/>
  <c r="K81" i="19"/>
  <c r="L81" i="19" s="1"/>
  <c r="M81" i="19" s="1"/>
  <c r="J102" i="4"/>
  <c r="K55" i="18"/>
  <c r="L55" i="18" s="1"/>
  <c r="M55" i="18" s="1"/>
  <c r="K55" i="19"/>
  <c r="L55" i="19" s="1"/>
  <c r="M55" i="19" s="1"/>
  <c r="B63" i="4"/>
  <c r="J63" i="4"/>
  <c r="K80" i="18"/>
  <c r="L80" i="18" s="1"/>
  <c r="M80" i="18" s="1"/>
  <c r="K80" i="19"/>
  <c r="L80" i="19" s="1"/>
  <c r="M80" i="19" s="1"/>
  <c r="B101" i="4"/>
  <c r="J101" i="4"/>
  <c r="K106" i="18"/>
  <c r="L106" i="18" s="1"/>
  <c r="M106" i="18" s="1"/>
  <c r="B137" i="4"/>
  <c r="J970" i="14" s="1"/>
  <c r="K106" i="19"/>
  <c r="L106" i="19" s="1"/>
  <c r="M106" i="19" s="1"/>
  <c r="J137" i="4"/>
  <c r="J12" i="16"/>
  <c r="I14" i="16"/>
  <c r="I7" i="16" s="1"/>
  <c r="I16" i="16" s="1"/>
  <c r="I17" i="16" s="1"/>
  <c r="B77" i="4"/>
  <c r="K63" i="18"/>
  <c r="L63" i="18" s="1"/>
  <c r="M63" i="18" s="1"/>
  <c r="K63" i="19"/>
  <c r="L63" i="19" s="1"/>
  <c r="M63" i="19" s="1"/>
  <c r="J77" i="4"/>
  <c r="K24" i="18"/>
  <c r="L24" i="18" s="1"/>
  <c r="M24" i="18" s="1"/>
  <c r="B21" i="4"/>
  <c r="K24" i="19"/>
  <c r="L24" i="19" s="1"/>
  <c r="M24" i="19" s="1"/>
  <c r="J21" i="4"/>
  <c r="K23" i="18"/>
  <c r="L23" i="18" s="1"/>
  <c r="M23" i="18" s="1"/>
  <c r="K23" i="19"/>
  <c r="L23" i="19" s="1"/>
  <c r="M23" i="19" s="1"/>
  <c r="J20" i="4"/>
  <c r="B20" i="4"/>
  <c r="J17" i="4"/>
  <c r="K20" i="19"/>
  <c r="L20" i="19" s="1"/>
  <c r="M20" i="19" s="1"/>
  <c r="B17" i="4"/>
  <c r="K20" i="18"/>
  <c r="L20" i="18" s="1"/>
  <c r="M20" i="18" s="1"/>
  <c r="K36" i="18"/>
  <c r="L36" i="18" s="1"/>
  <c r="M36" i="18" s="1"/>
  <c r="J39" i="4"/>
  <c r="K36" i="19"/>
  <c r="L36" i="19" s="1"/>
  <c r="M36" i="19" s="1"/>
  <c r="B39" i="4"/>
  <c r="K114" i="19"/>
  <c r="L114" i="19" s="1"/>
  <c r="M114" i="19" s="1"/>
  <c r="B186" i="4"/>
  <c r="J186" i="4"/>
  <c r="K114" i="18"/>
  <c r="L114" i="18" s="1"/>
  <c r="M114" i="18" s="1"/>
  <c r="B52" i="4"/>
  <c r="J52" i="4"/>
  <c r="K46" i="18"/>
  <c r="L46" i="18" s="1"/>
  <c r="M46" i="18" s="1"/>
  <c r="K46" i="19"/>
  <c r="L46" i="19" s="1"/>
  <c r="M46" i="19" s="1"/>
  <c r="K84" i="18"/>
  <c r="L84" i="18" s="1"/>
  <c r="M84" i="18" s="1"/>
  <c r="K84" i="19"/>
  <c r="L84" i="19" s="1"/>
  <c r="M84" i="19" s="1"/>
  <c r="J106" i="4"/>
  <c r="B106" i="4"/>
  <c r="J1020" i="14" s="1"/>
  <c r="B124" i="4"/>
  <c r="J124" i="4"/>
  <c r="K98" i="19"/>
  <c r="L98" i="19" s="1"/>
  <c r="M98" i="19" s="1"/>
  <c r="K98" i="18"/>
  <c r="L98" i="18" s="1"/>
  <c r="M98" i="18" s="1"/>
  <c r="K33" i="19"/>
  <c r="L33" i="19" s="1"/>
  <c r="M33" i="19" s="1"/>
  <c r="J36" i="4"/>
  <c r="K33" i="18"/>
  <c r="L33" i="18" s="1"/>
  <c r="M33" i="18" s="1"/>
  <c r="B36" i="4"/>
  <c r="K41" i="18"/>
  <c r="L41" i="18" s="1"/>
  <c r="M41" i="18" s="1"/>
  <c r="B46" i="4"/>
  <c r="K41" i="19"/>
  <c r="L41" i="19" s="1"/>
  <c r="M41" i="19" s="1"/>
  <c r="J46" i="4"/>
  <c r="B82" i="4"/>
  <c r="J82" i="4"/>
  <c r="K66" i="18"/>
  <c r="L66" i="18" s="1"/>
  <c r="M66" i="18" s="1"/>
  <c r="K66" i="19"/>
  <c r="L66" i="19" s="1"/>
  <c r="M66" i="19" s="1"/>
  <c r="K67" i="18"/>
  <c r="L67" i="18" s="1"/>
  <c r="M67" i="18" s="1"/>
  <c r="B85" i="4"/>
  <c r="K67" i="19"/>
  <c r="L67" i="19" s="1"/>
  <c r="M67" i="19" s="1"/>
  <c r="J85" i="4"/>
  <c r="K79" i="19"/>
  <c r="L79" i="19" s="1"/>
  <c r="M79" i="19" s="1"/>
  <c r="K79" i="18"/>
  <c r="L79" i="18" s="1"/>
  <c r="M79" i="18" s="1"/>
  <c r="B100" i="4"/>
  <c r="J100" i="4"/>
  <c r="K88" i="19"/>
  <c r="L88" i="19" s="1"/>
  <c r="M88" i="19" s="1"/>
  <c r="B111" i="4"/>
  <c r="K88" i="18"/>
  <c r="L88" i="18" s="1"/>
  <c r="M88" i="18" s="1"/>
  <c r="J111" i="4"/>
  <c r="K86" i="18"/>
  <c r="L86" i="18" s="1"/>
  <c r="M86" i="18" s="1"/>
  <c r="K86" i="19"/>
  <c r="L86" i="19" s="1"/>
  <c r="M86" i="19" s="1"/>
  <c r="J109" i="4"/>
  <c r="B109" i="4"/>
  <c r="J998" i="14" s="1"/>
  <c r="K107" i="19"/>
  <c r="L107" i="19" s="1"/>
  <c r="M107" i="19" s="1"/>
  <c r="B141" i="4"/>
  <c r="J141" i="4"/>
  <c r="K107" i="18"/>
  <c r="L107" i="18" s="1"/>
  <c r="M107" i="18" s="1"/>
  <c r="K85" i="18"/>
  <c r="L85" i="18" s="1"/>
  <c r="M85" i="18" s="1"/>
  <c r="J107" i="4"/>
  <c r="K85" i="19"/>
  <c r="L85" i="19" s="1"/>
  <c r="M85" i="19" s="1"/>
  <c r="B107" i="4"/>
  <c r="K30" i="19"/>
  <c r="L30" i="19" s="1"/>
  <c r="M30" i="19" s="1"/>
  <c r="K30" i="18"/>
  <c r="L30" i="18" s="1"/>
  <c r="M30" i="18" s="1"/>
  <c r="B30" i="4"/>
  <c r="J32" i="4"/>
  <c r="B32" i="4"/>
  <c r="J30" i="4"/>
  <c r="K25" i="18"/>
  <c r="L25" i="18" s="1"/>
  <c r="M25" i="18" s="1"/>
  <c r="K25" i="19"/>
  <c r="L25" i="19" s="1"/>
  <c r="M25" i="19" s="1"/>
  <c r="J22" i="4"/>
  <c r="B22" i="4"/>
  <c r="K91" i="19"/>
  <c r="L91" i="19" s="1"/>
  <c r="M91" i="19" s="1"/>
  <c r="J115" i="4"/>
  <c r="K91" i="18"/>
  <c r="L91" i="18" s="1"/>
  <c r="M91" i="18" s="1"/>
  <c r="B115" i="4"/>
  <c r="K42" i="18"/>
  <c r="L42" i="18" s="1"/>
  <c r="M42" i="18" s="1"/>
  <c r="K42" i="19"/>
  <c r="L42" i="19" s="1"/>
  <c r="M42" i="19" s="1"/>
  <c r="B47" i="4"/>
  <c r="J47" i="4"/>
  <c r="J40" i="4"/>
  <c r="K37" i="18"/>
  <c r="L37" i="18" s="1"/>
  <c r="M37" i="18" s="1"/>
  <c r="K37" i="19"/>
  <c r="L37" i="19" s="1"/>
  <c r="M37" i="19" s="1"/>
  <c r="B40" i="4"/>
  <c r="K61" i="18"/>
  <c r="L61" i="18" s="1"/>
  <c r="M61" i="18" s="1"/>
  <c r="K61" i="19"/>
  <c r="L61" i="19" s="1"/>
  <c r="M61" i="19" s="1"/>
  <c r="B75" i="4"/>
  <c r="J75" i="4"/>
  <c r="J142" i="4"/>
  <c r="B142" i="4"/>
  <c r="K108" i="19"/>
  <c r="L108" i="19" s="1"/>
  <c r="M108" i="19" s="1"/>
  <c r="K108" i="18"/>
  <c r="L108" i="18" s="1"/>
  <c r="M108" i="18" s="1"/>
  <c r="K74" i="18"/>
  <c r="L74" i="18" s="1"/>
  <c r="M74" i="18" s="1"/>
  <c r="K74" i="19"/>
  <c r="L74" i="19" s="1"/>
  <c r="M74" i="19" s="1"/>
  <c r="J93" i="4"/>
  <c r="B93" i="4"/>
  <c r="K48" i="18"/>
  <c r="L48" i="18" s="1"/>
  <c r="M48" i="18" s="1"/>
  <c r="K48" i="19"/>
  <c r="L48" i="19" s="1"/>
  <c r="M48" i="19" s="1"/>
  <c r="J54" i="4"/>
  <c r="B54" i="4"/>
  <c r="K29" i="19"/>
  <c r="L29" i="19" s="1"/>
  <c r="M29" i="19" s="1"/>
  <c r="J28" i="4"/>
  <c r="B28" i="4"/>
  <c r="K29" i="18"/>
  <c r="L29" i="18" s="1"/>
  <c r="M29" i="18" s="1"/>
  <c r="K27" i="18"/>
  <c r="L27" i="18" s="1"/>
  <c r="M27" i="18" s="1"/>
  <c r="K27" i="19"/>
  <c r="L27" i="19" s="1"/>
  <c r="M27" i="19" s="1"/>
  <c r="J25" i="4"/>
  <c r="B25" i="4"/>
  <c r="I5" i="16"/>
  <c r="I8" i="16" s="1"/>
  <c r="J912" i="14"/>
  <c r="J1445" i="14"/>
  <c r="S89" i="14"/>
  <c r="AC89" i="14"/>
  <c r="AB89" i="14"/>
  <c r="Y89" i="14"/>
  <c r="N89" i="14"/>
  <c r="V89" i="14"/>
  <c r="AC921" i="14"/>
  <c r="S921" i="14"/>
  <c r="Y921" i="14"/>
  <c r="V921" i="14"/>
  <c r="AB921" i="14"/>
  <c r="N921" i="14"/>
  <c r="B467" i="17"/>
  <c r="D467" i="17" s="1"/>
  <c r="AB639" i="14"/>
  <c r="Y639" i="14"/>
  <c r="AC639" i="14"/>
  <c r="S639" i="14"/>
  <c r="B185" i="17"/>
  <c r="D185" i="17" s="1"/>
  <c r="V639" i="14"/>
  <c r="N639" i="14"/>
  <c r="Y641" i="14"/>
  <c r="AC641" i="14"/>
  <c r="N641" i="14"/>
  <c r="S641" i="14"/>
  <c r="AB641" i="14"/>
  <c r="V641" i="14"/>
  <c r="B187" i="17"/>
  <c r="D187" i="17" s="1"/>
  <c r="N985" i="14"/>
  <c r="Y985" i="14"/>
  <c r="V985" i="14"/>
  <c r="AB985" i="14"/>
  <c r="AC985" i="14"/>
  <c r="S985" i="14"/>
  <c r="S570" i="14"/>
  <c r="N570" i="14"/>
  <c r="AB570" i="14"/>
  <c r="B116" i="17"/>
  <c r="D116" i="17" s="1"/>
  <c r="V570" i="14"/>
  <c r="Y570" i="14"/>
  <c r="AC570" i="14"/>
  <c r="AC166" i="14"/>
  <c r="V166" i="14"/>
  <c r="N166" i="14"/>
  <c r="S166" i="14"/>
  <c r="AB166" i="14"/>
  <c r="Y166" i="14"/>
  <c r="AC1249" i="14"/>
  <c r="Y1249" i="14"/>
  <c r="V1249" i="14"/>
  <c r="S1249" i="14"/>
  <c r="AB1249" i="14"/>
  <c r="N1249" i="14"/>
  <c r="N186" i="14"/>
  <c r="AB186" i="14"/>
  <c r="AC186" i="14"/>
  <c r="Y186" i="14"/>
  <c r="V186" i="14"/>
  <c r="S186" i="14"/>
  <c r="S678" i="14"/>
  <c r="N678" i="14"/>
  <c r="V678" i="14"/>
  <c r="Y678" i="14"/>
  <c r="B224" i="17"/>
  <c r="D224" i="17" s="1"/>
  <c r="AB678" i="14"/>
  <c r="AC678" i="14"/>
  <c r="S842" i="14"/>
  <c r="N842" i="14"/>
  <c r="V842" i="14"/>
  <c r="AB842" i="14"/>
  <c r="B388" i="17"/>
  <c r="D388" i="17" s="1"/>
  <c r="AC842" i="14"/>
  <c r="Y842" i="14"/>
  <c r="AC403" i="14"/>
  <c r="V403" i="14"/>
  <c r="Y403" i="14"/>
  <c r="AB403" i="14"/>
  <c r="S403" i="14"/>
  <c r="N403" i="14"/>
  <c r="J529" i="14"/>
  <c r="J90" i="14"/>
  <c r="J1180" i="14"/>
  <c r="AB1097" i="14"/>
  <c r="S1097" i="14"/>
  <c r="V1097" i="14"/>
  <c r="N1097" i="14"/>
  <c r="Y1097" i="14"/>
  <c r="AC1097" i="14"/>
  <c r="V1179" i="14"/>
  <c r="AB1179" i="14"/>
  <c r="AC1179" i="14"/>
  <c r="Y1179" i="14"/>
  <c r="S1179" i="14"/>
  <c r="N1179" i="14"/>
  <c r="AB1283" i="14"/>
  <c r="Y1283" i="14"/>
  <c r="S1283" i="14"/>
  <c r="AC1283" i="14"/>
  <c r="N1283" i="14"/>
  <c r="V1283" i="14"/>
  <c r="Y931" i="14"/>
  <c r="AC931" i="14"/>
  <c r="V931" i="14"/>
  <c r="AB931" i="14"/>
  <c r="S931" i="14"/>
  <c r="N931" i="14"/>
  <c r="AB528" i="14"/>
  <c r="N528" i="14"/>
  <c r="S528" i="14"/>
  <c r="V528" i="14"/>
  <c r="Y528" i="14"/>
  <c r="B74" i="17"/>
  <c r="D74" i="17" s="1"/>
  <c r="AC528" i="14"/>
  <c r="V1026" i="14"/>
  <c r="Y1026" i="14"/>
  <c r="N1026" i="14"/>
  <c r="AB1026" i="14"/>
  <c r="AC1026" i="14"/>
  <c r="S1026" i="14"/>
  <c r="V914" i="14"/>
  <c r="Y914" i="14"/>
  <c r="AB914" i="14"/>
  <c r="AC914" i="14"/>
  <c r="S914" i="14"/>
  <c r="N914" i="14"/>
  <c r="B460" i="17"/>
  <c r="D460" i="17" s="1"/>
  <c r="V898" i="14"/>
  <c r="N898" i="14"/>
  <c r="B444" i="17"/>
  <c r="D444" i="17" s="1"/>
  <c r="AB898" i="14"/>
  <c r="S898" i="14"/>
  <c r="AC898" i="14"/>
  <c r="Y898" i="14"/>
  <c r="V202" i="14"/>
  <c r="AB202" i="14"/>
  <c r="AC202" i="14"/>
  <c r="N202" i="14"/>
  <c r="Y202" i="14"/>
  <c r="S202" i="14"/>
  <c r="N131" i="14"/>
  <c r="AC131" i="14"/>
  <c r="S131" i="14"/>
  <c r="AB131" i="14"/>
  <c r="V131" i="14"/>
  <c r="Y131" i="14"/>
  <c r="AB1218" i="14"/>
  <c r="AC1218" i="14"/>
  <c r="V1218" i="14"/>
  <c r="N1218" i="14"/>
  <c r="S1218" i="14"/>
  <c r="Y1218" i="14"/>
  <c r="V625" i="14"/>
  <c r="AB625" i="14"/>
  <c r="S625" i="14"/>
  <c r="Y625" i="14"/>
  <c r="B171" i="17"/>
  <c r="D171" i="17" s="1"/>
  <c r="N625" i="14"/>
  <c r="AC625" i="14"/>
  <c r="S1268" i="14"/>
  <c r="AC1268" i="14"/>
  <c r="Y1268" i="14"/>
  <c r="V1268" i="14"/>
  <c r="AB1268" i="14"/>
  <c r="N1268" i="14"/>
  <c r="V605" i="14"/>
  <c r="AC605" i="14"/>
  <c r="N605" i="14"/>
  <c r="AB605" i="14"/>
  <c r="S605" i="14"/>
  <c r="Y605" i="14"/>
  <c r="B151" i="17"/>
  <c r="D151" i="17" s="1"/>
  <c r="AB239" i="14"/>
  <c r="N239" i="14"/>
  <c r="V239" i="14"/>
  <c r="AC239" i="14"/>
  <c r="S239" i="14"/>
  <c r="Y239" i="14"/>
  <c r="V1322" i="14"/>
  <c r="AC1322" i="14"/>
  <c r="AB1322" i="14"/>
  <c r="Y1322" i="14"/>
  <c r="N1322" i="14"/>
  <c r="S1322" i="14"/>
  <c r="S965" i="14"/>
  <c r="N965" i="14"/>
  <c r="Y965" i="14"/>
  <c r="AC965" i="14"/>
  <c r="AB965" i="14"/>
  <c r="V965" i="14"/>
  <c r="N1031" i="14"/>
  <c r="Y1031" i="14"/>
  <c r="AB1031" i="14"/>
  <c r="AC1031" i="14"/>
  <c r="V1031" i="14"/>
  <c r="S1031" i="14"/>
  <c r="J1459" i="14"/>
  <c r="J902" i="14"/>
  <c r="J128" i="14"/>
  <c r="J1215" i="14"/>
  <c r="J567" i="14"/>
  <c r="J769" i="14" l="1"/>
  <c r="J330" i="14"/>
  <c r="J1318" i="14"/>
  <c r="J1408" i="14"/>
  <c r="J675" i="14"/>
  <c r="J236" i="14"/>
  <c r="J1242" i="14"/>
  <c r="J597" i="14"/>
  <c r="J623" i="14"/>
  <c r="J1266" i="14"/>
  <c r="J158" i="14"/>
  <c r="J184" i="14"/>
  <c r="J294" i="14"/>
  <c r="J123" i="14"/>
  <c r="J1224" i="14"/>
  <c r="J733" i="14"/>
  <c r="J576" i="14"/>
  <c r="J1210" i="14"/>
  <c r="J137" i="14"/>
  <c r="J1374" i="14"/>
  <c r="J562" i="14"/>
  <c r="J86" i="14"/>
  <c r="J525" i="14"/>
  <c r="J547" i="14"/>
  <c r="J108" i="14"/>
  <c r="J1177" i="14"/>
  <c r="J924" i="14"/>
  <c r="J1320" i="14"/>
  <c r="J1302" i="14"/>
  <c r="J1082" i="14"/>
  <c r="J908" i="14"/>
  <c r="J1029" i="14"/>
  <c r="J1084" i="14"/>
  <c r="J1022" i="14"/>
  <c r="J81" i="14"/>
  <c r="J289" i="14"/>
  <c r="J520" i="14"/>
  <c r="J918" i="14"/>
  <c r="J1172" i="14"/>
  <c r="J115" i="14"/>
  <c r="J1364" i="14"/>
  <c r="J96" i="14"/>
  <c r="J1186" i="14"/>
  <c r="J919" i="14"/>
  <c r="J554" i="14"/>
  <c r="J1369" i="14"/>
  <c r="J1366" i="14"/>
  <c r="J909" i="14"/>
  <c r="J728" i="14"/>
  <c r="J535" i="14"/>
  <c r="J243" i="14"/>
  <c r="J253" i="14"/>
  <c r="J35" i="14"/>
  <c r="J61" i="14"/>
  <c r="J471" i="14"/>
  <c r="J776" i="14"/>
  <c r="J459" i="14"/>
  <c r="J1163" i="14"/>
  <c r="J337" i="14"/>
  <c r="J1146" i="14"/>
  <c r="J474" i="14"/>
  <c r="J1126" i="14"/>
  <c r="J263" i="14"/>
  <c r="J1330" i="14"/>
  <c r="J348" i="14"/>
  <c r="J705" i="14"/>
  <c r="J787" i="14"/>
  <c r="J1346" i="14"/>
  <c r="J20" i="14"/>
  <c r="J32" i="14"/>
  <c r="J488" i="14"/>
  <c r="J23" i="14"/>
  <c r="J465" i="14"/>
  <c r="J259" i="14"/>
  <c r="J688" i="14"/>
  <c r="J275" i="14"/>
  <c r="J65" i="14"/>
  <c r="J1157" i="14"/>
  <c r="J682" i="14"/>
  <c r="J477" i="14"/>
  <c r="J38" i="14"/>
  <c r="J510" i="14"/>
  <c r="J692" i="14"/>
  <c r="J771" i="14"/>
  <c r="J462" i="14"/>
  <c r="J500" i="14"/>
  <c r="J710" i="14"/>
  <c r="J62" i="14"/>
  <c r="J30" i="14"/>
  <c r="J1149" i="14"/>
  <c r="J71" i="14"/>
  <c r="J49" i="14"/>
  <c r="J1143" i="14"/>
  <c r="J247" i="14"/>
  <c r="J271" i="14"/>
  <c r="J1116" i="14"/>
  <c r="J52" i="14"/>
  <c r="J332" i="14"/>
  <c r="J1122" i="14"/>
  <c r="J494" i="14"/>
  <c r="J1334" i="14"/>
  <c r="J1428" i="14"/>
  <c r="J1410" i="14"/>
  <c r="J469" i="14"/>
  <c r="J501" i="14"/>
  <c r="J249" i="14"/>
  <c r="J686" i="14"/>
  <c r="J698" i="14"/>
  <c r="J1154" i="14"/>
  <c r="J1416" i="14"/>
  <c r="J266" i="14"/>
  <c r="J26" i="14"/>
  <c r="J1129" i="14"/>
  <c r="J1132" i="14"/>
  <c r="J504" i="14"/>
  <c r="J1355" i="14"/>
  <c r="J1351" i="14"/>
  <c r="J1343" i="14"/>
  <c r="J491" i="14"/>
  <c r="J702" i="14"/>
  <c r="J1118" i="14"/>
  <c r="J1328" i="14"/>
  <c r="J55" i="14"/>
  <c r="J1339" i="14"/>
  <c r="J714" i="14"/>
  <c r="J1324" i="14"/>
  <c r="J1135" i="14"/>
  <c r="J268" i="14"/>
  <c r="J1244" i="14"/>
  <c r="J160" i="14"/>
  <c r="J1348" i="14"/>
  <c r="J599" i="14"/>
  <c r="J315" i="14"/>
  <c r="J707" i="14"/>
  <c r="J988" i="14"/>
  <c r="J754" i="14"/>
  <c r="S970" i="14"/>
  <c r="AC970" i="14"/>
  <c r="V970" i="14"/>
  <c r="N970" i="14"/>
  <c r="AB970" i="14"/>
  <c r="Y970" i="14"/>
  <c r="J110" i="14"/>
  <c r="J549" i="14"/>
  <c r="J87" i="14"/>
  <c r="J1199" i="14"/>
  <c r="J526" i="14"/>
  <c r="J971" i="14"/>
  <c r="J522" i="14"/>
  <c r="J83" i="14"/>
  <c r="J1174" i="14"/>
  <c r="J1443" i="14"/>
  <c r="J363" i="14"/>
  <c r="J802" i="14"/>
  <c r="V979" i="14"/>
  <c r="AB979" i="14"/>
  <c r="Y979" i="14"/>
  <c r="N979" i="14"/>
  <c r="AC979" i="14"/>
  <c r="S979" i="14"/>
  <c r="J1247" i="14"/>
  <c r="J163" i="14"/>
  <c r="J602" i="14"/>
  <c r="J990" i="14"/>
  <c r="AB978" i="14"/>
  <c r="S978" i="14"/>
  <c r="V978" i="14"/>
  <c r="Y978" i="14"/>
  <c r="N978" i="14"/>
  <c r="AC978" i="14"/>
  <c r="J366" i="14"/>
  <c r="J805" i="14"/>
  <c r="J1447" i="14"/>
  <c r="J595" i="14"/>
  <c r="J1240" i="14"/>
  <c r="J156" i="14"/>
  <c r="J910" i="14"/>
  <c r="J1422" i="14"/>
  <c r="J1103" i="14"/>
  <c r="J1373" i="14"/>
  <c r="J121" i="14"/>
  <c r="J575" i="14"/>
  <c r="J1208" i="14"/>
  <c r="J1223" i="14"/>
  <c r="J293" i="14"/>
  <c r="J732" i="14"/>
  <c r="J560" i="14"/>
  <c r="J136" i="14"/>
  <c r="J667" i="14"/>
  <c r="J1087" i="14"/>
  <c r="J228" i="14"/>
  <c r="J1311" i="14"/>
  <c r="J283" i="14"/>
  <c r="J1363" i="14"/>
  <c r="J518" i="14"/>
  <c r="J94" i="14"/>
  <c r="J533" i="14"/>
  <c r="J114" i="14"/>
  <c r="J1184" i="14"/>
  <c r="J79" i="14"/>
  <c r="J1045" i="14"/>
  <c r="J722" i="14"/>
  <c r="J553" i="14"/>
  <c r="J580" i="14"/>
  <c r="J1234" i="14"/>
  <c r="J620" i="14"/>
  <c r="J1262" i="14"/>
  <c r="J1077" i="14"/>
  <c r="J750" i="14"/>
  <c r="J141" i="14"/>
  <c r="J1378" i="14"/>
  <c r="J915" i="14"/>
  <c r="J149" i="14"/>
  <c r="J311" i="14"/>
  <c r="J1055" i="14"/>
  <c r="J588" i="14"/>
  <c r="J181" i="14"/>
  <c r="J4" i="16"/>
  <c r="J15" i="16"/>
  <c r="J84" i="14"/>
  <c r="J523" i="14"/>
  <c r="J1175" i="14"/>
  <c r="J106" i="14"/>
  <c r="J1196" i="14"/>
  <c r="J545" i="14"/>
  <c r="J1453" i="14"/>
  <c r="J922" i="14"/>
  <c r="J1019" i="14"/>
  <c r="J1013" i="14"/>
  <c r="J1098" i="14"/>
  <c r="J950" i="14"/>
  <c r="J637" i="14"/>
  <c r="J645" i="14"/>
  <c r="J1289" i="14"/>
  <c r="J1281" i="14"/>
  <c r="J1025" i="14"/>
  <c r="J1008" i="14"/>
  <c r="J206" i="14"/>
  <c r="J743" i="14"/>
  <c r="J198" i="14"/>
  <c r="J304" i="14"/>
  <c r="J1384" i="14"/>
  <c r="J29" i="14"/>
  <c r="J34" i="14"/>
  <c r="J335" i="14"/>
  <c r="J270" i="14"/>
  <c r="J67" i="14"/>
  <c r="J497" i="14"/>
  <c r="J1131" i="14"/>
  <c r="J1121" i="14"/>
  <c r="J47" i="14"/>
  <c r="J1431" i="14"/>
  <c r="J1145" i="14"/>
  <c r="J252" i="14"/>
  <c r="J917" i="14"/>
  <c r="J926" i="14"/>
  <c r="J1151" i="14"/>
  <c r="J907" i="14"/>
  <c r="J1141" i="14"/>
  <c r="J257" i="14"/>
  <c r="J774" i="14"/>
  <c r="J1423" i="14"/>
  <c r="J1128" i="14"/>
  <c r="J486" i="14"/>
  <c r="J351" i="14"/>
  <c r="J1413" i="14"/>
  <c r="J1125" i="14"/>
  <c r="J58" i="14"/>
  <c r="J696" i="14"/>
  <c r="J790" i="14"/>
  <c r="J1159" i="14"/>
  <c r="J691" i="14"/>
  <c r="J906" i="14"/>
  <c r="J916" i="14"/>
  <c r="J344" i="14"/>
  <c r="J783" i="14"/>
  <c r="J911" i="14"/>
  <c r="J468" i="14"/>
  <c r="J1333" i="14"/>
  <c r="J1354" i="14"/>
  <c r="J51" i="14"/>
  <c r="J506" i="14"/>
  <c r="J709" i="14"/>
  <c r="J1350" i="14"/>
  <c r="J473" i="14"/>
  <c r="J490" i="14"/>
  <c r="J734" i="14"/>
  <c r="J731" i="14"/>
  <c r="J138" i="14"/>
  <c r="J584" i="14"/>
  <c r="J1053" i="14"/>
  <c r="J577" i="14"/>
  <c r="J1375" i="14"/>
  <c r="J1230" i="14"/>
  <c r="J178" i="14"/>
  <c r="J1067" i="14"/>
  <c r="J292" i="14"/>
  <c r="J145" i="14"/>
  <c r="J1060" i="14"/>
  <c r="J1259" i="14"/>
  <c r="J617" i="14"/>
  <c r="J1074" i="14"/>
  <c r="J1225" i="14"/>
  <c r="J295" i="14"/>
  <c r="J1372" i="14"/>
  <c r="J1194" i="14"/>
  <c r="J104" i="14"/>
  <c r="J543" i="14"/>
  <c r="J230" i="14"/>
  <c r="J1313" i="14"/>
  <c r="J669" i="14"/>
  <c r="S998" i="14"/>
  <c r="AB998" i="14"/>
  <c r="Y998" i="14"/>
  <c r="AC998" i="14"/>
  <c r="N998" i="14"/>
  <c r="V998" i="14"/>
  <c r="J1462" i="14"/>
  <c r="J817" i="14"/>
  <c r="J378" i="14"/>
  <c r="J1212" i="14"/>
  <c r="J984" i="14"/>
  <c r="J564" i="14"/>
  <c r="J125" i="14"/>
  <c r="J1451" i="14"/>
  <c r="J380" i="14"/>
  <c r="J809" i="14"/>
  <c r="J370" i="14"/>
  <c r="J819" i="14"/>
  <c r="J1464" i="14"/>
  <c r="J1439" i="14"/>
  <c r="J798" i="14"/>
  <c r="J359" i="14"/>
  <c r="AC1020" i="14"/>
  <c r="AB1020" i="14"/>
  <c r="S1020" i="14"/>
  <c r="V1020" i="14"/>
  <c r="Y1020" i="14"/>
  <c r="N1020" i="14"/>
  <c r="J387" i="14"/>
  <c r="J826" i="14"/>
  <c r="J964" i="14"/>
  <c r="J1054" i="14"/>
  <c r="J1383" i="14"/>
  <c r="J736" i="14"/>
  <c r="J742" i="14"/>
  <c r="J303" i="14"/>
  <c r="J586" i="14"/>
  <c r="J1232" i="14"/>
  <c r="J297" i="14"/>
  <c r="J1377" i="14"/>
  <c r="J147" i="14"/>
  <c r="J180" i="14"/>
  <c r="J619" i="14"/>
  <c r="J987" i="14"/>
  <c r="J1261" i="14"/>
  <c r="J530" i="14"/>
  <c r="J721" i="14"/>
  <c r="J91" i="14"/>
  <c r="J285" i="14"/>
  <c r="J76" i="14"/>
  <c r="J515" i="14"/>
  <c r="J724" i="14"/>
  <c r="J282" i="14"/>
  <c r="J287" i="14"/>
  <c r="J726" i="14"/>
  <c r="J551" i="14"/>
  <c r="J1201" i="14"/>
  <c r="J1181" i="14"/>
  <c r="J1365" i="14"/>
  <c r="J1362" i="14"/>
  <c r="J112" i="14"/>
  <c r="J1168" i="14"/>
  <c r="J1367" i="14"/>
  <c r="J556" i="14"/>
  <c r="J1204" i="14"/>
  <c r="J1206" i="14"/>
  <c r="J290" i="14"/>
  <c r="J1370" i="14"/>
  <c r="J729" i="14"/>
  <c r="J117" i="14"/>
  <c r="J558" i="14"/>
  <c r="J134" i="14"/>
  <c r="J1221" i="14"/>
  <c r="J573" i="14"/>
  <c r="J119" i="14"/>
  <c r="K12" i="16"/>
  <c r="J14" i="16"/>
  <c r="J7" i="16" s="1"/>
  <c r="J16" i="16" s="1"/>
  <c r="J17" i="16" s="1"/>
  <c r="J677" i="14"/>
  <c r="J1321" i="14"/>
  <c r="J238" i="14"/>
  <c r="J154" i="14"/>
  <c r="J1265" i="14"/>
  <c r="J593" i="14"/>
  <c r="J183" i="14"/>
  <c r="J622" i="14"/>
  <c r="J1238" i="14"/>
  <c r="J671" i="14"/>
  <c r="J232" i="14"/>
  <c r="J1315" i="14"/>
  <c r="J190" i="14"/>
  <c r="J761" i="14"/>
  <c r="J1399" i="14"/>
  <c r="J1272" i="14"/>
  <c r="J1287" i="14"/>
  <c r="J670" i="14"/>
  <c r="J1279" i="14"/>
  <c r="J629" i="14"/>
  <c r="J231" i="14"/>
  <c r="J741" i="14"/>
  <c r="J322" i="14"/>
  <c r="J196" i="14"/>
  <c r="J643" i="14"/>
  <c r="J1314" i="14"/>
  <c r="J302" i="14"/>
  <c r="J1382" i="14"/>
  <c r="J204" i="14"/>
  <c r="J635" i="14"/>
  <c r="J173" i="14"/>
  <c r="J612" i="14"/>
  <c r="J1256" i="14"/>
  <c r="J1005" i="14"/>
  <c r="J171" i="14"/>
  <c r="J610" i="14"/>
  <c r="J1254" i="14"/>
  <c r="J1072" i="14"/>
  <c r="J666" i="14"/>
  <c r="J1086" i="14"/>
  <c r="J1310" i="14"/>
  <c r="J227" i="14"/>
  <c r="J98" i="14"/>
  <c r="J973" i="14"/>
  <c r="J1188" i="14"/>
  <c r="J1063" i="14"/>
  <c r="J537" i="14"/>
  <c r="J1006" i="14"/>
  <c r="J1002" i="14"/>
  <c r="AC1030" i="14"/>
  <c r="AB1030" i="14"/>
  <c r="N1030" i="14"/>
  <c r="S1030" i="14"/>
  <c r="V1030" i="14"/>
  <c r="Y1030" i="14"/>
  <c r="J356" i="14"/>
  <c r="J796" i="14"/>
  <c r="J357" i="14"/>
  <c r="J1437" i="14"/>
  <c r="J1436" i="14"/>
  <c r="J795" i="14"/>
  <c r="J1018" i="14"/>
  <c r="J1471" i="14"/>
  <c r="J1092" i="14"/>
  <c r="J1332" i="14"/>
  <c r="J483" i="14"/>
  <c r="J708" i="14"/>
  <c r="J1326" i="14"/>
  <c r="J265" i="14"/>
  <c r="J690" i="14"/>
  <c r="J684" i="14"/>
  <c r="J245" i="14"/>
  <c r="J1342" i="14"/>
  <c r="J1345" i="14"/>
  <c r="J701" i="14"/>
  <c r="J262" i="14"/>
  <c r="J44" i="14"/>
  <c r="J704" i="14"/>
  <c r="J1349" i="14"/>
  <c r="J695" i="14"/>
  <c r="J251" i="14"/>
  <c r="J1337" i="14"/>
  <c r="J1420" i="14"/>
  <c r="J781" i="14"/>
  <c r="J269" i="14"/>
  <c r="J1102" i="14"/>
  <c r="J274" i="14"/>
  <c r="J952" i="14"/>
  <c r="J342" i="14"/>
  <c r="J935" i="14"/>
  <c r="J681" i="14"/>
  <c r="J242" i="14"/>
  <c r="J256" i="14"/>
  <c r="J713" i="14"/>
  <c r="J1192" i="14"/>
  <c r="J102" i="14"/>
  <c r="J541" i="14"/>
  <c r="J1048" i="14"/>
  <c r="AC1215" i="14"/>
  <c r="AB1215" i="14"/>
  <c r="N1215" i="14"/>
  <c r="Y1215" i="14"/>
  <c r="S1215" i="14"/>
  <c r="V1215" i="14"/>
  <c r="AB902" i="14"/>
  <c r="AC902" i="14"/>
  <c r="S902" i="14"/>
  <c r="V902" i="14"/>
  <c r="B448" i="17"/>
  <c r="D448" i="17" s="1"/>
  <c r="Y902" i="14"/>
  <c r="N902" i="14"/>
  <c r="N90" i="14"/>
  <c r="V90" i="14"/>
  <c r="S90" i="14"/>
  <c r="AC90" i="14"/>
  <c r="Y90" i="14"/>
  <c r="AB90" i="14"/>
  <c r="Y1445" i="14"/>
  <c r="AC1445" i="14"/>
  <c r="V1445" i="14"/>
  <c r="S1445" i="14"/>
  <c r="N1445" i="14"/>
  <c r="AB1445" i="14"/>
  <c r="V567" i="14"/>
  <c r="B113" i="17"/>
  <c r="D113" i="17" s="1"/>
  <c r="AC567" i="14"/>
  <c r="S567" i="14"/>
  <c r="AB567" i="14"/>
  <c r="Y567" i="14"/>
  <c r="N567" i="14"/>
  <c r="Y128" i="14"/>
  <c r="V128" i="14"/>
  <c r="AB128" i="14"/>
  <c r="AC128" i="14"/>
  <c r="S128" i="14"/>
  <c r="N128" i="14"/>
  <c r="S1459" i="14"/>
  <c r="N1459" i="14"/>
  <c r="Y1459" i="14"/>
  <c r="V1459" i="14"/>
  <c r="AC1459" i="14"/>
  <c r="AB1459" i="14"/>
  <c r="AC1180" i="14"/>
  <c r="N1180" i="14"/>
  <c r="Y1180" i="14"/>
  <c r="S1180" i="14"/>
  <c r="V1180" i="14"/>
  <c r="AB1180" i="14"/>
  <c r="AC529" i="14"/>
  <c r="V529" i="14"/>
  <c r="Y529" i="14"/>
  <c r="AB529" i="14"/>
  <c r="B75" i="17"/>
  <c r="D75" i="17" s="1"/>
  <c r="N529" i="14"/>
  <c r="S529" i="14"/>
  <c r="Y912" i="14"/>
  <c r="B458" i="17"/>
  <c r="D458" i="17" s="1"/>
  <c r="S912" i="14"/>
  <c r="AC912" i="14"/>
  <c r="N912" i="14"/>
  <c r="AB912" i="14"/>
  <c r="V912" i="14"/>
  <c r="AB1192" i="14" l="1"/>
  <c r="Y1192" i="14"/>
  <c r="N1192" i="14"/>
  <c r="AC1192" i="14"/>
  <c r="V1192" i="14"/>
  <c r="S1192" i="14"/>
  <c r="N681" i="14"/>
  <c r="B227" i="17"/>
  <c r="D227" i="17" s="1"/>
  <c r="Y681" i="14"/>
  <c r="AC681" i="14"/>
  <c r="AB681" i="14"/>
  <c r="S681" i="14"/>
  <c r="V681" i="14"/>
  <c r="S342" i="14"/>
  <c r="Y342" i="14"/>
  <c r="AB342" i="14"/>
  <c r="V342" i="14"/>
  <c r="N342" i="14"/>
  <c r="AC342" i="14"/>
  <c r="AC274" i="14"/>
  <c r="Y274" i="14"/>
  <c r="V274" i="14"/>
  <c r="S274" i="14"/>
  <c r="N274" i="14"/>
  <c r="AB274" i="14"/>
  <c r="N269" i="14"/>
  <c r="S269" i="14"/>
  <c r="AB269" i="14"/>
  <c r="V269" i="14"/>
  <c r="AC269" i="14"/>
  <c r="Y269" i="14"/>
  <c r="V251" i="14"/>
  <c r="AC251" i="14"/>
  <c r="Y251" i="14"/>
  <c r="AB251" i="14"/>
  <c r="N251" i="14"/>
  <c r="S251" i="14"/>
  <c r="S44" i="14"/>
  <c r="V44" i="14"/>
  <c r="AB44" i="14"/>
  <c r="N44" i="14"/>
  <c r="Y44" i="14"/>
  <c r="AC44" i="14"/>
  <c r="AC1342" i="14"/>
  <c r="AB1342" i="14"/>
  <c r="N1342" i="14"/>
  <c r="S1342" i="14"/>
  <c r="V1342" i="14"/>
  <c r="Y1342" i="14"/>
  <c r="N265" i="14"/>
  <c r="Y265" i="14"/>
  <c r="AC265" i="14"/>
  <c r="S265" i="14"/>
  <c r="AB265" i="14"/>
  <c r="V265" i="14"/>
  <c r="AB1332" i="14"/>
  <c r="V1332" i="14"/>
  <c r="Y1332" i="14"/>
  <c r="S1332" i="14"/>
  <c r="N1332" i="14"/>
  <c r="AC1332" i="14"/>
  <c r="V795" i="14"/>
  <c r="N795" i="14"/>
  <c r="AC795" i="14"/>
  <c r="B341" i="17"/>
  <c r="D341" i="17" s="1"/>
  <c r="Y795" i="14"/>
  <c r="AB795" i="14"/>
  <c r="S795" i="14"/>
  <c r="N796" i="14"/>
  <c r="Y796" i="14"/>
  <c r="S796" i="14"/>
  <c r="B342" i="17"/>
  <c r="D342" i="17" s="1"/>
  <c r="AB796" i="14"/>
  <c r="AC796" i="14"/>
  <c r="V796" i="14"/>
  <c r="S537" i="14"/>
  <c r="AC537" i="14"/>
  <c r="AB537" i="14"/>
  <c r="B83" i="17"/>
  <c r="D83" i="17" s="1"/>
  <c r="V537" i="14"/>
  <c r="N537" i="14"/>
  <c r="Y537" i="14"/>
  <c r="Y98" i="14"/>
  <c r="S98" i="14"/>
  <c r="AC98" i="14"/>
  <c r="AB98" i="14"/>
  <c r="N98" i="14"/>
  <c r="V98" i="14"/>
  <c r="S666" i="14"/>
  <c r="AB666" i="14"/>
  <c r="AC666" i="14"/>
  <c r="N666" i="14"/>
  <c r="V666" i="14"/>
  <c r="Y666" i="14"/>
  <c r="B212" i="17"/>
  <c r="D212" i="17" s="1"/>
  <c r="N1254" i="14"/>
  <c r="AB1254" i="14"/>
  <c r="Y1254" i="14"/>
  <c r="AC1254" i="14"/>
  <c r="V1254" i="14"/>
  <c r="S1254" i="14"/>
  <c r="AC1256" i="14"/>
  <c r="V1256" i="14"/>
  <c r="AB1256" i="14"/>
  <c r="N1256" i="14"/>
  <c r="S1256" i="14"/>
  <c r="Y1256" i="14"/>
  <c r="Y173" i="14"/>
  <c r="S173" i="14"/>
  <c r="AC173" i="14"/>
  <c r="AB173" i="14"/>
  <c r="N173" i="14"/>
  <c r="V173" i="14"/>
  <c r="Y204" i="14"/>
  <c r="N204" i="14"/>
  <c r="AB204" i="14"/>
  <c r="AC204" i="14"/>
  <c r="S204" i="14"/>
  <c r="V204" i="14"/>
  <c r="AB302" i="14"/>
  <c r="S302" i="14"/>
  <c r="Y302" i="14"/>
  <c r="AC302" i="14"/>
  <c r="N302" i="14"/>
  <c r="V302" i="14"/>
  <c r="V643" i="14"/>
  <c r="N643" i="14"/>
  <c r="AC643" i="14"/>
  <c r="AB643" i="14"/>
  <c r="B189" i="17"/>
  <c r="D189" i="17" s="1"/>
  <c r="Y643" i="14"/>
  <c r="S643" i="14"/>
  <c r="AB322" i="14"/>
  <c r="AC322" i="14"/>
  <c r="N322" i="14"/>
  <c r="V322" i="14"/>
  <c r="Y322" i="14"/>
  <c r="S322" i="14"/>
  <c r="Y231" i="14"/>
  <c r="N231" i="14"/>
  <c r="AB231" i="14"/>
  <c r="AC231" i="14"/>
  <c r="V231" i="14"/>
  <c r="S231" i="14"/>
  <c r="AB1279" i="14"/>
  <c r="Y1279" i="14"/>
  <c r="V1279" i="14"/>
  <c r="S1279" i="14"/>
  <c r="N1279" i="14"/>
  <c r="AC1279" i="14"/>
  <c r="AC1287" i="14"/>
  <c r="AB1287" i="14"/>
  <c r="V1287" i="14"/>
  <c r="N1287" i="14"/>
  <c r="Y1287" i="14"/>
  <c r="S1287" i="14"/>
  <c r="AB1399" i="14"/>
  <c r="S1399" i="14"/>
  <c r="Y1399" i="14"/>
  <c r="N1399" i="14"/>
  <c r="AC1399" i="14"/>
  <c r="V1399" i="14"/>
  <c r="AC190" i="14"/>
  <c r="Y190" i="14"/>
  <c r="N190" i="14"/>
  <c r="AB190" i="14"/>
  <c r="S190" i="14"/>
  <c r="V190" i="14"/>
  <c r="S232" i="14"/>
  <c r="V232" i="14"/>
  <c r="AC232" i="14"/>
  <c r="AB232" i="14"/>
  <c r="N232" i="14"/>
  <c r="Y232" i="14"/>
  <c r="V1238" i="14"/>
  <c r="AB1238" i="14"/>
  <c r="N1238" i="14"/>
  <c r="Y1238" i="14"/>
  <c r="S1238" i="14"/>
  <c r="AC1238" i="14"/>
  <c r="S183" i="14"/>
  <c r="V183" i="14"/>
  <c r="Y183" i="14"/>
  <c r="AB183" i="14"/>
  <c r="AC183" i="14"/>
  <c r="N183" i="14"/>
  <c r="S1265" i="14"/>
  <c r="Y1265" i="14"/>
  <c r="V1265" i="14"/>
  <c r="AB1265" i="14"/>
  <c r="AC1265" i="14"/>
  <c r="N1265" i="14"/>
  <c r="S238" i="14"/>
  <c r="Y238" i="14"/>
  <c r="V238" i="14"/>
  <c r="AC238" i="14"/>
  <c r="AB238" i="14"/>
  <c r="N238" i="14"/>
  <c r="V1048" i="14"/>
  <c r="AC1048" i="14"/>
  <c r="S1048" i="14"/>
  <c r="AB1048" i="14"/>
  <c r="N1048" i="14"/>
  <c r="Y1048" i="14"/>
  <c r="AB102" i="14"/>
  <c r="S102" i="14"/>
  <c r="AC102" i="14"/>
  <c r="N102" i="14"/>
  <c r="V102" i="14"/>
  <c r="Y102" i="14"/>
  <c r="B259" i="17"/>
  <c r="D259" i="17" s="1"/>
  <c r="AC713" i="14"/>
  <c r="N713" i="14"/>
  <c r="V713" i="14"/>
  <c r="Y713" i="14"/>
  <c r="AB713" i="14"/>
  <c r="S713" i="14"/>
  <c r="Y242" i="14"/>
  <c r="AB242" i="14"/>
  <c r="N242" i="14"/>
  <c r="AC242" i="14"/>
  <c r="V242" i="14"/>
  <c r="S242" i="14"/>
  <c r="N935" i="14"/>
  <c r="Y935" i="14"/>
  <c r="AC935" i="14"/>
  <c r="AB935" i="14"/>
  <c r="V935" i="14"/>
  <c r="S935" i="14"/>
  <c r="AC952" i="14"/>
  <c r="N952" i="14"/>
  <c r="AB952" i="14"/>
  <c r="S952" i="14"/>
  <c r="Y952" i="14"/>
  <c r="V952" i="14"/>
  <c r="AB1102" i="14"/>
  <c r="S1102" i="14"/>
  <c r="Y1102" i="14"/>
  <c r="V1102" i="14"/>
  <c r="N1102" i="14"/>
  <c r="AC1102" i="14"/>
  <c r="AC781" i="14"/>
  <c r="N781" i="14"/>
  <c r="V781" i="14"/>
  <c r="B327" i="17"/>
  <c r="D327" i="17" s="1"/>
  <c r="Y781" i="14"/>
  <c r="S781" i="14"/>
  <c r="AB781" i="14"/>
  <c r="N1337" i="14"/>
  <c r="AC1337" i="14"/>
  <c r="S1337" i="14"/>
  <c r="Y1337" i="14"/>
  <c r="V1337" i="14"/>
  <c r="AB1337" i="14"/>
  <c r="N695" i="14"/>
  <c r="S695" i="14"/>
  <c r="AC695" i="14"/>
  <c r="B241" i="17"/>
  <c r="D241" i="17" s="1"/>
  <c r="AB695" i="14"/>
  <c r="Y695" i="14"/>
  <c r="V695" i="14"/>
  <c r="AB704" i="14"/>
  <c r="B250" i="17"/>
  <c r="D250" i="17" s="1"/>
  <c r="S704" i="14"/>
  <c r="N704" i="14"/>
  <c r="AC704" i="14"/>
  <c r="Y704" i="14"/>
  <c r="V704" i="14"/>
  <c r="N262" i="14"/>
  <c r="V262" i="14"/>
  <c r="AC262" i="14"/>
  <c r="Y262" i="14"/>
  <c r="AB262" i="14"/>
  <c r="S262" i="14"/>
  <c r="AB1345" i="14"/>
  <c r="S1345" i="14"/>
  <c r="V1345" i="14"/>
  <c r="AC1345" i="14"/>
  <c r="Y1345" i="14"/>
  <c r="N1345" i="14"/>
  <c r="V245" i="14"/>
  <c r="Y245" i="14"/>
  <c r="AB245" i="14"/>
  <c r="S245" i="14"/>
  <c r="N245" i="14"/>
  <c r="AC245" i="14"/>
  <c r="V690" i="14"/>
  <c r="AB690" i="14"/>
  <c r="Y690" i="14"/>
  <c r="B236" i="17"/>
  <c r="D236" i="17" s="1"/>
  <c r="S690" i="14"/>
  <c r="N690" i="14"/>
  <c r="AC690" i="14"/>
  <c r="S1326" i="14"/>
  <c r="V1326" i="14"/>
  <c r="AB1326" i="14"/>
  <c r="Y1326" i="14"/>
  <c r="AC1326" i="14"/>
  <c r="N1326" i="14"/>
  <c r="AB483" i="14"/>
  <c r="AC483" i="14"/>
  <c r="S483" i="14"/>
  <c r="V483" i="14"/>
  <c r="Y483" i="14"/>
  <c r="N483" i="14"/>
  <c r="B29" i="17"/>
  <c r="D29" i="17" s="1"/>
  <c r="AC1092" i="14"/>
  <c r="V1092" i="14"/>
  <c r="N1092" i="14"/>
  <c r="Y1092" i="14"/>
  <c r="AB1092" i="14"/>
  <c r="S1092" i="14"/>
  <c r="AC1018" i="14"/>
  <c r="AB1018" i="14"/>
  <c r="Y1018" i="14"/>
  <c r="S1018" i="14"/>
  <c r="N1018" i="14"/>
  <c r="V1018" i="14"/>
  <c r="AC1436" i="14"/>
  <c r="N1436" i="14"/>
  <c r="AB1436" i="14"/>
  <c r="Y1436" i="14"/>
  <c r="S1436" i="14"/>
  <c r="V1436" i="14"/>
  <c r="S357" i="14"/>
  <c r="AB357" i="14"/>
  <c r="N357" i="14"/>
  <c r="Y357" i="14"/>
  <c r="AC357" i="14"/>
  <c r="V357" i="14"/>
  <c r="AB356" i="14"/>
  <c r="S356" i="14"/>
  <c r="Y356" i="14"/>
  <c r="N356" i="14"/>
  <c r="V356" i="14"/>
  <c r="AC356" i="14"/>
  <c r="S1006" i="14"/>
  <c r="V1006" i="14"/>
  <c r="N1006" i="14"/>
  <c r="AC1006" i="14"/>
  <c r="AB1006" i="14"/>
  <c r="Y1006" i="14"/>
  <c r="AB1063" i="14"/>
  <c r="S1063" i="14"/>
  <c r="Y1063" i="14"/>
  <c r="V1063" i="14"/>
  <c r="N1063" i="14"/>
  <c r="AC1063" i="14"/>
  <c r="AB973" i="14"/>
  <c r="V973" i="14"/>
  <c r="AC973" i="14"/>
  <c r="N973" i="14"/>
  <c r="Y973" i="14"/>
  <c r="S973" i="14"/>
  <c r="AB227" i="14"/>
  <c r="Y227" i="14"/>
  <c r="S227" i="14"/>
  <c r="AC227" i="14"/>
  <c r="N227" i="14"/>
  <c r="V227" i="14"/>
  <c r="AB1086" i="14"/>
  <c r="Y1086" i="14"/>
  <c r="V1086" i="14"/>
  <c r="N1086" i="14"/>
  <c r="S1086" i="14"/>
  <c r="AC1086" i="14"/>
  <c r="AC1072" i="14"/>
  <c r="AB1072" i="14"/>
  <c r="V1072" i="14"/>
  <c r="N1072" i="14"/>
  <c r="S1072" i="14"/>
  <c r="Y1072" i="14"/>
  <c r="AC610" i="14"/>
  <c r="S610" i="14"/>
  <c r="N610" i="14"/>
  <c r="AB610" i="14"/>
  <c r="V610" i="14"/>
  <c r="Y610" i="14"/>
  <c r="B156" i="17"/>
  <c r="D156" i="17" s="1"/>
  <c r="S1005" i="14"/>
  <c r="AB1005" i="14"/>
  <c r="V1005" i="14"/>
  <c r="AC1005" i="14"/>
  <c r="N1005" i="14"/>
  <c r="Y1005" i="14"/>
  <c r="N612" i="14"/>
  <c r="S612" i="14"/>
  <c r="B158" i="17"/>
  <c r="D158" i="17" s="1"/>
  <c r="Y612" i="14"/>
  <c r="AB612" i="14"/>
  <c r="AC612" i="14"/>
  <c r="V612" i="14"/>
  <c r="S635" i="14"/>
  <c r="AC635" i="14"/>
  <c r="Y635" i="14"/>
  <c r="N635" i="14"/>
  <c r="B181" i="17"/>
  <c r="D181" i="17" s="1"/>
  <c r="V635" i="14"/>
  <c r="AB635" i="14"/>
  <c r="V1382" i="14"/>
  <c r="Y1382" i="14"/>
  <c r="S1382" i="14"/>
  <c r="N1382" i="14"/>
  <c r="AB1382" i="14"/>
  <c r="AC1382" i="14"/>
  <c r="Y1314" i="14"/>
  <c r="AC1314" i="14"/>
  <c r="AB1314" i="14"/>
  <c r="V1314" i="14"/>
  <c r="S1314" i="14"/>
  <c r="N1314" i="14"/>
  <c r="AB196" i="14"/>
  <c r="S196" i="14"/>
  <c r="N196" i="14"/>
  <c r="Y196" i="14"/>
  <c r="V196" i="14"/>
  <c r="AC196" i="14"/>
  <c r="Y741" i="14"/>
  <c r="S741" i="14"/>
  <c r="N741" i="14"/>
  <c r="AC741" i="14"/>
  <c r="B287" i="17"/>
  <c r="D287" i="17" s="1"/>
  <c r="V741" i="14"/>
  <c r="AB741" i="14"/>
  <c r="N629" i="14"/>
  <c r="S629" i="14"/>
  <c r="Y629" i="14"/>
  <c r="B175" i="17"/>
  <c r="D175" i="17" s="1"/>
  <c r="V629" i="14"/>
  <c r="AB629" i="14"/>
  <c r="AC629" i="14"/>
  <c r="AB670" i="14"/>
  <c r="B216" i="17"/>
  <c r="D216" i="17" s="1"/>
  <c r="Y670" i="14"/>
  <c r="AC670" i="14"/>
  <c r="S670" i="14"/>
  <c r="N670" i="14"/>
  <c r="V670" i="14"/>
  <c r="AB1272" i="14"/>
  <c r="AC1272" i="14"/>
  <c r="Y1272" i="14"/>
  <c r="N1272" i="14"/>
  <c r="S1272" i="14"/>
  <c r="V1272" i="14"/>
  <c r="B307" i="17"/>
  <c r="D307" i="17" s="1"/>
  <c r="V761" i="14"/>
  <c r="N761" i="14"/>
  <c r="AC761" i="14"/>
  <c r="Y761" i="14"/>
  <c r="AB761" i="14"/>
  <c r="S761" i="14"/>
  <c r="V1315" i="14"/>
  <c r="Y1315" i="14"/>
  <c r="N1315" i="14"/>
  <c r="AB1315" i="14"/>
  <c r="AC1315" i="14"/>
  <c r="S1315" i="14"/>
  <c r="Y671" i="14"/>
  <c r="AB671" i="14"/>
  <c r="AC671" i="14"/>
  <c r="B217" i="17"/>
  <c r="D217" i="17" s="1"/>
  <c r="V671" i="14"/>
  <c r="N671" i="14"/>
  <c r="S671" i="14"/>
  <c r="V622" i="14"/>
  <c r="AC622" i="14"/>
  <c r="N622" i="14"/>
  <c r="Y622" i="14"/>
  <c r="AB622" i="14"/>
  <c r="S622" i="14"/>
  <c r="B168" i="17"/>
  <c r="D168" i="17" s="1"/>
  <c r="AC593" i="14"/>
  <c r="Y593" i="14"/>
  <c r="V593" i="14"/>
  <c r="N593" i="14"/>
  <c r="AB593" i="14"/>
  <c r="S593" i="14"/>
  <c r="B139" i="17"/>
  <c r="D139" i="17" s="1"/>
  <c r="N154" i="14"/>
  <c r="AB154" i="14"/>
  <c r="AC154" i="14"/>
  <c r="S154" i="14"/>
  <c r="V154" i="14"/>
  <c r="Y154" i="14"/>
  <c r="V1321" i="14"/>
  <c r="N1321" i="14"/>
  <c r="Y1321" i="14"/>
  <c r="S1321" i="14"/>
  <c r="AC1321" i="14"/>
  <c r="AB1321" i="14"/>
  <c r="AC119" i="14"/>
  <c r="V119" i="14"/>
  <c r="AB119" i="14"/>
  <c r="S119" i="14"/>
  <c r="N119" i="14"/>
  <c r="Y119" i="14"/>
  <c r="Y1221" i="14"/>
  <c r="N1221" i="14"/>
  <c r="V1221" i="14"/>
  <c r="AC1221" i="14"/>
  <c r="AB1221" i="14"/>
  <c r="S1221" i="14"/>
  <c r="V558" i="14"/>
  <c r="AC558" i="14"/>
  <c r="AB558" i="14"/>
  <c r="S558" i="14"/>
  <c r="B104" i="17"/>
  <c r="D104" i="17" s="1"/>
  <c r="Y558" i="14"/>
  <c r="N558" i="14"/>
  <c r="V729" i="14"/>
  <c r="Y729" i="14"/>
  <c r="AB729" i="14"/>
  <c r="B275" i="17"/>
  <c r="D275" i="17" s="1"/>
  <c r="AC729" i="14"/>
  <c r="N729" i="14"/>
  <c r="S729" i="14"/>
  <c r="N290" i="14"/>
  <c r="S290" i="14"/>
  <c r="Y290" i="14"/>
  <c r="V290" i="14"/>
  <c r="AB290" i="14"/>
  <c r="AC290" i="14"/>
  <c r="S1204" i="14"/>
  <c r="Y1204" i="14"/>
  <c r="AC1204" i="14"/>
  <c r="N1204" i="14"/>
  <c r="AB1204" i="14"/>
  <c r="V1204" i="14"/>
  <c r="Y1367" i="14"/>
  <c r="S1367" i="14"/>
  <c r="N1367" i="14"/>
  <c r="AC1367" i="14"/>
  <c r="AB1367" i="14"/>
  <c r="V1367" i="14"/>
  <c r="AB112" i="14"/>
  <c r="N112" i="14"/>
  <c r="Y112" i="14"/>
  <c r="S112" i="14"/>
  <c r="AC112" i="14"/>
  <c r="V112" i="14"/>
  <c r="AB1365" i="14"/>
  <c r="AC1365" i="14"/>
  <c r="N1365" i="14"/>
  <c r="V1365" i="14"/>
  <c r="Y1365" i="14"/>
  <c r="S1365" i="14"/>
  <c r="N1201" i="14"/>
  <c r="AB1201" i="14"/>
  <c r="Y1201" i="14"/>
  <c r="V1201" i="14"/>
  <c r="S1201" i="14"/>
  <c r="AC1201" i="14"/>
  <c r="V726" i="14"/>
  <c r="S726" i="14"/>
  <c r="B272" i="17"/>
  <c r="D272" i="17" s="1"/>
  <c r="Y726" i="14"/>
  <c r="N726" i="14"/>
  <c r="AC726" i="14"/>
  <c r="AB726" i="14"/>
  <c r="S282" i="14"/>
  <c r="V282" i="14"/>
  <c r="Y282" i="14"/>
  <c r="AC282" i="14"/>
  <c r="N282" i="14"/>
  <c r="AB282" i="14"/>
  <c r="V515" i="14"/>
  <c r="Y515" i="14"/>
  <c r="N515" i="14"/>
  <c r="S515" i="14"/>
  <c r="B61" i="17"/>
  <c r="D61" i="17" s="1"/>
  <c r="AB515" i="14"/>
  <c r="AC515" i="14"/>
  <c r="Y285" i="14"/>
  <c r="V285" i="14"/>
  <c r="AC285" i="14"/>
  <c r="N285" i="14"/>
  <c r="S285" i="14"/>
  <c r="AB285" i="14"/>
  <c r="S721" i="14"/>
  <c r="N721" i="14"/>
  <c r="Y721" i="14"/>
  <c r="V721" i="14"/>
  <c r="AC721" i="14"/>
  <c r="AB721" i="14"/>
  <c r="B267" i="17"/>
  <c r="D267" i="17" s="1"/>
  <c r="S1261" i="14"/>
  <c r="Y1261" i="14"/>
  <c r="N1261" i="14"/>
  <c r="AB1261" i="14"/>
  <c r="V1261" i="14"/>
  <c r="AC1261" i="14"/>
  <c r="N619" i="14"/>
  <c r="B165" i="17"/>
  <c r="D165" i="17" s="1"/>
  <c r="V619" i="14"/>
  <c r="AB619" i="14"/>
  <c r="S619" i="14"/>
  <c r="AC619" i="14"/>
  <c r="Y619" i="14"/>
  <c r="S147" i="14"/>
  <c r="AC147" i="14"/>
  <c r="N147" i="14"/>
  <c r="AB147" i="14"/>
  <c r="Y147" i="14"/>
  <c r="V147" i="14"/>
  <c r="AB297" i="14"/>
  <c r="N297" i="14"/>
  <c r="AC297" i="14"/>
  <c r="Y297" i="14"/>
  <c r="S297" i="14"/>
  <c r="V297" i="14"/>
  <c r="V586" i="14"/>
  <c r="B132" i="17"/>
  <c r="D132" i="17" s="1"/>
  <c r="AB586" i="14"/>
  <c r="Y586" i="14"/>
  <c r="N586" i="14"/>
  <c r="AC586" i="14"/>
  <c r="S586" i="14"/>
  <c r="S742" i="14"/>
  <c r="Y742" i="14"/>
  <c r="V742" i="14"/>
  <c r="N742" i="14"/>
  <c r="AB742" i="14"/>
  <c r="AC742" i="14"/>
  <c r="B288" i="17"/>
  <c r="D288" i="17" s="1"/>
  <c r="Y1383" i="14"/>
  <c r="AB1383" i="14"/>
  <c r="AC1383" i="14"/>
  <c r="N1383" i="14"/>
  <c r="V1383" i="14"/>
  <c r="S1383" i="14"/>
  <c r="N964" i="14"/>
  <c r="AC964" i="14"/>
  <c r="V964" i="14"/>
  <c r="S964" i="14"/>
  <c r="Y964" i="14"/>
  <c r="AB964" i="14"/>
  <c r="S387" i="14"/>
  <c r="AB387" i="14"/>
  <c r="AC387" i="14"/>
  <c r="Y387" i="14"/>
  <c r="V387" i="14"/>
  <c r="N387" i="14"/>
  <c r="N798" i="14"/>
  <c r="B344" i="17"/>
  <c r="D344" i="17" s="1"/>
  <c r="AC798" i="14"/>
  <c r="AB798" i="14"/>
  <c r="S798" i="14"/>
  <c r="V798" i="14"/>
  <c r="Y798" i="14"/>
  <c r="N1464" i="14"/>
  <c r="V1464" i="14"/>
  <c r="Y1464" i="14"/>
  <c r="AB1464" i="14"/>
  <c r="AC1464" i="14"/>
  <c r="S1464" i="14"/>
  <c r="V370" i="14"/>
  <c r="AB370" i="14"/>
  <c r="AC370" i="14"/>
  <c r="N370" i="14"/>
  <c r="Y370" i="14"/>
  <c r="S370" i="14"/>
  <c r="Y380" i="14"/>
  <c r="AB380" i="14"/>
  <c r="V380" i="14"/>
  <c r="S380" i="14"/>
  <c r="AC380" i="14"/>
  <c r="N380" i="14"/>
  <c r="AB125" i="14"/>
  <c r="AC125" i="14"/>
  <c r="Y125" i="14"/>
  <c r="N125" i="14"/>
  <c r="S125" i="14"/>
  <c r="V125" i="14"/>
  <c r="Y984" i="14"/>
  <c r="S984" i="14"/>
  <c r="N984" i="14"/>
  <c r="V984" i="14"/>
  <c r="AB984" i="14"/>
  <c r="AC984" i="14"/>
  <c r="N378" i="14"/>
  <c r="AB378" i="14"/>
  <c r="S378" i="14"/>
  <c r="V378" i="14"/>
  <c r="Y378" i="14"/>
  <c r="AC378" i="14"/>
  <c r="N1462" i="14"/>
  <c r="AC1462" i="14"/>
  <c r="Y1462" i="14"/>
  <c r="AB1462" i="14"/>
  <c r="S1462" i="14"/>
  <c r="V1462" i="14"/>
  <c r="AC1313" i="14"/>
  <c r="S1313" i="14"/>
  <c r="N1313" i="14"/>
  <c r="Y1313" i="14"/>
  <c r="V1313" i="14"/>
  <c r="AB1313" i="14"/>
  <c r="AB543" i="14"/>
  <c r="N543" i="14"/>
  <c r="V543" i="14"/>
  <c r="B89" i="17"/>
  <c r="D89" i="17" s="1"/>
  <c r="AC543" i="14"/>
  <c r="Y543" i="14"/>
  <c r="S543" i="14"/>
  <c r="AB1194" i="14"/>
  <c r="Y1194" i="14"/>
  <c r="N1194" i="14"/>
  <c r="V1194" i="14"/>
  <c r="S1194" i="14"/>
  <c r="AC1194" i="14"/>
  <c r="AC295" i="14"/>
  <c r="S295" i="14"/>
  <c r="V295" i="14"/>
  <c r="Y295" i="14"/>
  <c r="N295" i="14"/>
  <c r="AB295" i="14"/>
  <c r="AB1074" i="14"/>
  <c r="S1074" i="14"/>
  <c r="AC1074" i="14"/>
  <c r="N1074" i="14"/>
  <c r="V1074" i="14"/>
  <c r="Y1074" i="14"/>
  <c r="AC1259" i="14"/>
  <c r="S1259" i="14"/>
  <c r="N1259" i="14"/>
  <c r="Y1259" i="14"/>
  <c r="AB1259" i="14"/>
  <c r="V1259" i="14"/>
  <c r="S145" i="14"/>
  <c r="V145" i="14"/>
  <c r="Y145" i="14"/>
  <c r="N145" i="14"/>
  <c r="AB145" i="14"/>
  <c r="AC145" i="14"/>
  <c r="N1067" i="14"/>
  <c r="AB1067" i="14"/>
  <c r="AC1067" i="14"/>
  <c r="S1067" i="14"/>
  <c r="V1067" i="14"/>
  <c r="Y1067" i="14"/>
  <c r="Y1230" i="14"/>
  <c r="N1230" i="14"/>
  <c r="V1230" i="14"/>
  <c r="S1230" i="14"/>
  <c r="AC1230" i="14"/>
  <c r="AB1230" i="14"/>
  <c r="V577" i="14"/>
  <c r="S577" i="14"/>
  <c r="N577" i="14"/>
  <c r="B123" i="17"/>
  <c r="D123" i="17" s="1"/>
  <c r="Y577" i="14"/>
  <c r="AB577" i="14"/>
  <c r="AC577" i="14"/>
  <c r="AC584" i="14"/>
  <c r="Y584" i="14"/>
  <c r="V584" i="14"/>
  <c r="S584" i="14"/>
  <c r="B130" i="17"/>
  <c r="D130" i="17" s="1"/>
  <c r="AB584" i="14"/>
  <c r="N584" i="14"/>
  <c r="AC731" i="14"/>
  <c r="Y731" i="14"/>
  <c r="S731" i="14"/>
  <c r="B277" i="17"/>
  <c r="D277" i="17" s="1"/>
  <c r="N731" i="14"/>
  <c r="AB731" i="14"/>
  <c r="V731" i="14"/>
  <c r="Y490" i="14"/>
  <c r="N490" i="14"/>
  <c r="AB490" i="14"/>
  <c r="B36" i="17"/>
  <c r="D36" i="17" s="1"/>
  <c r="V490" i="14"/>
  <c r="AC490" i="14"/>
  <c r="S490" i="14"/>
  <c r="AB1350" i="14"/>
  <c r="Y1350" i="14"/>
  <c r="AC1350" i="14"/>
  <c r="S1350" i="14"/>
  <c r="N1350" i="14"/>
  <c r="V1350" i="14"/>
  <c r="AB506" i="14"/>
  <c r="S506" i="14"/>
  <c r="AC506" i="14"/>
  <c r="N506" i="14"/>
  <c r="B52" i="17"/>
  <c r="D52" i="17" s="1"/>
  <c r="V506" i="14"/>
  <c r="Y506" i="14"/>
  <c r="S1354" i="14"/>
  <c r="Y1354" i="14"/>
  <c r="V1354" i="14"/>
  <c r="AC1354" i="14"/>
  <c r="AB1354" i="14"/>
  <c r="N1354" i="14"/>
  <c r="Y468" i="14"/>
  <c r="V468" i="14"/>
  <c r="AB468" i="14"/>
  <c r="AC468" i="14"/>
  <c r="B14" i="17"/>
  <c r="D14" i="17" s="1"/>
  <c r="N468" i="14"/>
  <c r="S468" i="14"/>
  <c r="AB783" i="14"/>
  <c r="S783" i="14"/>
  <c r="B329" i="17"/>
  <c r="D329" i="17" s="1"/>
  <c r="N783" i="14"/>
  <c r="Y783" i="14"/>
  <c r="AC783" i="14"/>
  <c r="V783" i="14"/>
  <c r="B462" i="17"/>
  <c r="D462" i="17" s="1"/>
  <c r="Y916" i="14"/>
  <c r="V916" i="14"/>
  <c r="AC916" i="14"/>
  <c r="N916" i="14"/>
  <c r="AB916" i="14"/>
  <c r="S916" i="14"/>
  <c r="AB691" i="14"/>
  <c r="N691" i="14"/>
  <c r="Y691" i="14"/>
  <c r="S691" i="14"/>
  <c r="V691" i="14"/>
  <c r="B237" i="17"/>
  <c r="D237" i="17" s="1"/>
  <c r="AC691" i="14"/>
  <c r="V790" i="14"/>
  <c r="AC790" i="14"/>
  <c r="Y790" i="14"/>
  <c r="B336" i="17"/>
  <c r="D336" i="17" s="1"/>
  <c r="S790" i="14"/>
  <c r="N790" i="14"/>
  <c r="AB790" i="14"/>
  <c r="Y58" i="14"/>
  <c r="V58" i="14"/>
  <c r="AB58" i="14"/>
  <c r="S58" i="14"/>
  <c r="AC58" i="14"/>
  <c r="N58" i="14"/>
  <c r="Y1413" i="14"/>
  <c r="V1413" i="14"/>
  <c r="AC1413" i="14"/>
  <c r="S1413" i="14"/>
  <c r="AB1413" i="14"/>
  <c r="N1413" i="14"/>
  <c r="Y486" i="14"/>
  <c r="N486" i="14"/>
  <c r="AC486" i="14"/>
  <c r="S486" i="14"/>
  <c r="V486" i="14"/>
  <c r="B32" i="17"/>
  <c r="D32" i="17" s="1"/>
  <c r="AB486" i="14"/>
  <c r="S1423" i="14"/>
  <c r="AC1423" i="14"/>
  <c r="V1423" i="14"/>
  <c r="AB1423" i="14"/>
  <c r="N1423" i="14"/>
  <c r="Y1423" i="14"/>
  <c r="AB257" i="14"/>
  <c r="AC257" i="14"/>
  <c r="S257" i="14"/>
  <c r="Y257" i="14"/>
  <c r="V257" i="14"/>
  <c r="N257" i="14"/>
  <c r="AB907" i="14"/>
  <c r="V907" i="14"/>
  <c r="Y907" i="14"/>
  <c r="N907" i="14"/>
  <c r="B453" i="17"/>
  <c r="D453" i="17" s="1"/>
  <c r="AC907" i="14"/>
  <c r="S907" i="14"/>
  <c r="AC926" i="14"/>
  <c r="S926" i="14"/>
  <c r="AB926" i="14"/>
  <c r="V926" i="14"/>
  <c r="Y926" i="14"/>
  <c r="N926" i="14"/>
  <c r="AC252" i="14"/>
  <c r="N252" i="14"/>
  <c r="V252" i="14"/>
  <c r="S252" i="14"/>
  <c r="Y252" i="14"/>
  <c r="AB252" i="14"/>
  <c r="N1431" i="14"/>
  <c r="Y1431" i="14"/>
  <c r="V1431" i="14"/>
  <c r="AB1431" i="14"/>
  <c r="S1431" i="14"/>
  <c r="AC1431" i="14"/>
  <c r="S1121" i="14"/>
  <c r="AB1121" i="14"/>
  <c r="N1121" i="14"/>
  <c r="AC1121" i="14"/>
  <c r="V1121" i="14"/>
  <c r="Y1121" i="14"/>
  <c r="S497" i="14"/>
  <c r="B43" i="17"/>
  <c r="D43" i="17" s="1"/>
  <c r="V497" i="14"/>
  <c r="AB497" i="14"/>
  <c r="N497" i="14"/>
  <c r="AC497" i="14"/>
  <c r="Y497" i="14"/>
  <c r="V270" i="14"/>
  <c r="S270" i="14"/>
  <c r="AB270" i="14"/>
  <c r="AC270" i="14"/>
  <c r="N270" i="14"/>
  <c r="Y270" i="14"/>
  <c r="Y34" i="14"/>
  <c r="S34" i="14"/>
  <c r="V34" i="14"/>
  <c r="AB34" i="14"/>
  <c r="AC34" i="14"/>
  <c r="N34" i="14"/>
  <c r="V1384" i="14"/>
  <c r="Y1384" i="14"/>
  <c r="S1384" i="14"/>
  <c r="N1384" i="14"/>
  <c r="AC1384" i="14"/>
  <c r="AB1384" i="14"/>
  <c r="AB198" i="14"/>
  <c r="N198" i="14"/>
  <c r="Y198" i="14"/>
  <c r="AC198" i="14"/>
  <c r="S198" i="14"/>
  <c r="V198" i="14"/>
  <c r="Y206" i="14"/>
  <c r="N206" i="14"/>
  <c r="AC206" i="14"/>
  <c r="AB206" i="14"/>
  <c r="S206" i="14"/>
  <c r="V206" i="14"/>
  <c r="N1025" i="14"/>
  <c r="AC1025" i="14"/>
  <c r="S1025" i="14"/>
  <c r="V1025" i="14"/>
  <c r="Y1025" i="14"/>
  <c r="AB1025" i="14"/>
  <c r="S1289" i="14"/>
  <c r="AB1289" i="14"/>
  <c r="V1289" i="14"/>
  <c r="AC1289" i="14"/>
  <c r="Y1289" i="14"/>
  <c r="N1289" i="14"/>
  <c r="V637" i="14"/>
  <c r="Y637" i="14"/>
  <c r="AC637" i="14"/>
  <c r="AB637" i="14"/>
  <c r="B183" i="17"/>
  <c r="D183" i="17" s="1"/>
  <c r="N637" i="14"/>
  <c r="S637" i="14"/>
  <c r="S1098" i="14"/>
  <c r="AC1098" i="14"/>
  <c r="V1098" i="14"/>
  <c r="Y1098" i="14"/>
  <c r="AB1098" i="14"/>
  <c r="N1098" i="14"/>
  <c r="V1019" i="14"/>
  <c r="N1019" i="14"/>
  <c r="AB1019" i="14"/>
  <c r="S1019" i="14"/>
  <c r="Y1019" i="14"/>
  <c r="AC1019" i="14"/>
  <c r="Y1453" i="14"/>
  <c r="N1453" i="14"/>
  <c r="AC1453" i="14"/>
  <c r="V1453" i="14"/>
  <c r="AB1453" i="14"/>
  <c r="S1453" i="14"/>
  <c r="AC1196" i="14"/>
  <c r="V1196" i="14"/>
  <c r="N1196" i="14"/>
  <c r="S1196" i="14"/>
  <c r="AB1196" i="14"/>
  <c r="Y1196" i="14"/>
  <c r="AB1175" i="14"/>
  <c r="V1175" i="14"/>
  <c r="S1175" i="14"/>
  <c r="N1175" i="14"/>
  <c r="Y1175" i="14"/>
  <c r="AC1175" i="14"/>
  <c r="AB84" i="14"/>
  <c r="V84" i="14"/>
  <c r="S84" i="14"/>
  <c r="N84" i="14"/>
  <c r="AC84" i="14"/>
  <c r="Y84" i="14"/>
  <c r="J5" i="16"/>
  <c r="J8" i="16" s="1"/>
  <c r="AB588" i="14"/>
  <c r="V588" i="14"/>
  <c r="B134" i="17"/>
  <c r="D134" i="17" s="1"/>
  <c r="AC588" i="14"/>
  <c r="S588" i="14"/>
  <c r="Y588" i="14"/>
  <c r="N588" i="14"/>
  <c r="N311" i="14"/>
  <c r="AB311" i="14"/>
  <c r="AC311" i="14"/>
  <c r="S311" i="14"/>
  <c r="Y311" i="14"/>
  <c r="V311" i="14"/>
  <c r="S915" i="14"/>
  <c r="AC915" i="14"/>
  <c r="B461" i="17"/>
  <c r="D461" i="17" s="1"/>
  <c r="Y915" i="14"/>
  <c r="AB915" i="14"/>
  <c r="V915" i="14"/>
  <c r="N915" i="14"/>
  <c r="S141" i="14"/>
  <c r="AC141" i="14"/>
  <c r="Y141" i="14"/>
  <c r="V141" i="14"/>
  <c r="N141" i="14"/>
  <c r="AB141" i="14"/>
  <c r="N1077" i="14"/>
  <c r="AC1077" i="14"/>
  <c r="S1077" i="14"/>
  <c r="AB1077" i="14"/>
  <c r="Y1077" i="14"/>
  <c r="V1077" i="14"/>
  <c r="S620" i="14"/>
  <c r="V620" i="14"/>
  <c r="AB620" i="14"/>
  <c r="Y620" i="14"/>
  <c r="N620" i="14"/>
  <c r="AC620" i="14"/>
  <c r="B166" i="17"/>
  <c r="D166" i="17" s="1"/>
  <c r="AC580" i="14"/>
  <c r="AB580" i="14"/>
  <c r="V580" i="14"/>
  <c r="S580" i="14"/>
  <c r="Y580" i="14"/>
  <c r="B126" i="17"/>
  <c r="D126" i="17" s="1"/>
  <c r="N580" i="14"/>
  <c r="Y722" i="14"/>
  <c r="V722" i="14"/>
  <c r="S722" i="14"/>
  <c r="N722" i="14"/>
  <c r="B268" i="17"/>
  <c r="D268" i="17" s="1"/>
  <c r="AB722" i="14"/>
  <c r="AC722" i="14"/>
  <c r="Y79" i="14"/>
  <c r="S79" i="14"/>
  <c r="N79" i="14"/>
  <c r="V79" i="14"/>
  <c r="AB79" i="14"/>
  <c r="AC79" i="14"/>
  <c r="S114" i="14"/>
  <c r="N114" i="14"/>
  <c r="AC114" i="14"/>
  <c r="V114" i="14"/>
  <c r="Y114" i="14"/>
  <c r="AB114" i="14"/>
  <c r="V94" i="14"/>
  <c r="N94" i="14"/>
  <c r="AC94" i="14"/>
  <c r="S94" i="14"/>
  <c r="AB94" i="14"/>
  <c r="Y94" i="14"/>
  <c r="Y1363" i="14"/>
  <c r="V1363" i="14"/>
  <c r="AC1363" i="14"/>
  <c r="AB1363" i="14"/>
  <c r="N1363" i="14"/>
  <c r="S1363" i="14"/>
  <c r="AC1311" i="14"/>
  <c r="Y1311" i="14"/>
  <c r="AB1311" i="14"/>
  <c r="V1311" i="14"/>
  <c r="S1311" i="14"/>
  <c r="N1311" i="14"/>
  <c r="S1087" i="14"/>
  <c r="Y1087" i="14"/>
  <c r="V1087" i="14"/>
  <c r="AC1087" i="14"/>
  <c r="AB1087" i="14"/>
  <c r="N1087" i="14"/>
  <c r="V136" i="14"/>
  <c r="Y136" i="14"/>
  <c r="AC136" i="14"/>
  <c r="S136" i="14"/>
  <c r="N136" i="14"/>
  <c r="AB136" i="14"/>
  <c r="N732" i="14"/>
  <c r="AC732" i="14"/>
  <c r="V732" i="14"/>
  <c r="S732" i="14"/>
  <c r="AB732" i="14"/>
  <c r="B278" i="17"/>
  <c r="D278" i="17" s="1"/>
  <c r="Y732" i="14"/>
  <c r="Y1223" i="14"/>
  <c r="N1223" i="14"/>
  <c r="AB1223" i="14"/>
  <c r="S1223" i="14"/>
  <c r="V1223" i="14"/>
  <c r="AC1223" i="14"/>
  <c r="V575" i="14"/>
  <c r="AC575" i="14"/>
  <c r="S575" i="14"/>
  <c r="AB575" i="14"/>
  <c r="Y575" i="14"/>
  <c r="N575" i="14"/>
  <c r="B121" i="17"/>
  <c r="D121" i="17" s="1"/>
  <c r="AB1373" i="14"/>
  <c r="Y1373" i="14"/>
  <c r="V1373" i="14"/>
  <c r="N1373" i="14"/>
  <c r="S1373" i="14"/>
  <c r="AC1373" i="14"/>
  <c r="V1422" i="14"/>
  <c r="Y1422" i="14"/>
  <c r="AC1422" i="14"/>
  <c r="N1422" i="14"/>
  <c r="S1422" i="14"/>
  <c r="AB1422" i="14"/>
  <c r="AC156" i="14"/>
  <c r="Y156" i="14"/>
  <c r="AB156" i="14"/>
  <c r="S156" i="14"/>
  <c r="V156" i="14"/>
  <c r="N156" i="14"/>
  <c r="N595" i="14"/>
  <c r="B141" i="17"/>
  <c r="D141" i="17" s="1"/>
  <c r="S595" i="14"/>
  <c r="AB595" i="14"/>
  <c r="AC595" i="14"/>
  <c r="V595" i="14"/>
  <c r="Y595" i="14"/>
  <c r="AB805" i="14"/>
  <c r="S805" i="14"/>
  <c r="V805" i="14"/>
  <c r="B351" i="17"/>
  <c r="D351" i="17" s="1"/>
  <c r="Y805" i="14"/>
  <c r="AC805" i="14"/>
  <c r="N805" i="14"/>
  <c r="AB990" i="14"/>
  <c r="AC990" i="14"/>
  <c r="Y990" i="14"/>
  <c r="N990" i="14"/>
  <c r="S990" i="14"/>
  <c r="V990" i="14"/>
  <c r="V163" i="14"/>
  <c r="AC163" i="14"/>
  <c r="AB163" i="14"/>
  <c r="N163" i="14"/>
  <c r="S163" i="14"/>
  <c r="Y163" i="14"/>
  <c r="AB802" i="14"/>
  <c r="Y802" i="14"/>
  <c r="B348" i="17"/>
  <c r="D348" i="17" s="1"/>
  <c r="V802" i="14"/>
  <c r="AC802" i="14"/>
  <c r="S802" i="14"/>
  <c r="N802" i="14"/>
  <c r="V1443" i="14"/>
  <c r="AB1443" i="14"/>
  <c r="AC1443" i="14"/>
  <c r="Y1443" i="14"/>
  <c r="N1443" i="14"/>
  <c r="S1443" i="14"/>
  <c r="S83" i="14"/>
  <c r="Y83" i="14"/>
  <c r="N83" i="14"/>
  <c r="AB83" i="14"/>
  <c r="V83" i="14"/>
  <c r="AC83" i="14"/>
  <c r="AC971" i="14"/>
  <c r="N971" i="14"/>
  <c r="Y971" i="14"/>
  <c r="AB971" i="14"/>
  <c r="V971" i="14"/>
  <c r="S971" i="14"/>
  <c r="AC1199" i="14"/>
  <c r="S1199" i="14"/>
  <c r="V1199" i="14"/>
  <c r="AB1199" i="14"/>
  <c r="Y1199" i="14"/>
  <c r="N1199" i="14"/>
  <c r="S549" i="14"/>
  <c r="Y549" i="14"/>
  <c r="B95" i="17"/>
  <c r="D95" i="17" s="1"/>
  <c r="V549" i="14"/>
  <c r="AB549" i="14"/>
  <c r="N549" i="14"/>
  <c r="AC549" i="14"/>
  <c r="AB754" i="14"/>
  <c r="S754" i="14"/>
  <c r="Y754" i="14"/>
  <c r="B300" i="17"/>
  <c r="D300" i="17" s="1"/>
  <c r="V754" i="14"/>
  <c r="N754" i="14"/>
  <c r="AC754" i="14"/>
  <c r="Y707" i="14"/>
  <c r="AC707" i="14"/>
  <c r="B253" i="17"/>
  <c r="D253" i="17" s="1"/>
  <c r="V707" i="14"/>
  <c r="AB707" i="14"/>
  <c r="S707" i="14"/>
  <c r="N707" i="14"/>
  <c r="N599" i="14"/>
  <c r="AB599" i="14"/>
  <c r="Y599" i="14"/>
  <c r="B145" i="17"/>
  <c r="D145" i="17" s="1"/>
  <c r="AC599" i="14"/>
  <c r="V599" i="14"/>
  <c r="S599" i="14"/>
  <c r="N160" i="14"/>
  <c r="S160" i="14"/>
  <c r="AC160" i="14"/>
  <c r="AB160" i="14"/>
  <c r="V160" i="14"/>
  <c r="Y160" i="14"/>
  <c r="V268" i="14"/>
  <c r="N268" i="14"/>
  <c r="Y268" i="14"/>
  <c r="AC268" i="14"/>
  <c r="S268" i="14"/>
  <c r="AB268" i="14"/>
  <c r="S1324" i="14"/>
  <c r="Y1324" i="14"/>
  <c r="N1324" i="14"/>
  <c r="V1324" i="14"/>
  <c r="AB1324" i="14"/>
  <c r="AC1324" i="14"/>
  <c r="AC1339" i="14"/>
  <c r="AB1339" i="14"/>
  <c r="N1339" i="14"/>
  <c r="V1339" i="14"/>
  <c r="Y1339" i="14"/>
  <c r="S1339" i="14"/>
  <c r="Y1328" i="14"/>
  <c r="N1328" i="14"/>
  <c r="AC1328" i="14"/>
  <c r="V1328" i="14"/>
  <c r="AB1328" i="14"/>
  <c r="S1328" i="14"/>
  <c r="Y702" i="14"/>
  <c r="N702" i="14"/>
  <c r="V702" i="14"/>
  <c r="AC702" i="14"/>
  <c r="AB702" i="14"/>
  <c r="B248" i="17"/>
  <c r="D248" i="17" s="1"/>
  <c r="S702" i="14"/>
  <c r="N1343" i="14"/>
  <c r="Y1343" i="14"/>
  <c r="AB1343" i="14"/>
  <c r="V1343" i="14"/>
  <c r="AC1343" i="14"/>
  <c r="S1343" i="14"/>
  <c r="AC1355" i="14"/>
  <c r="Y1355" i="14"/>
  <c r="N1355" i="14"/>
  <c r="V1355" i="14"/>
  <c r="AB1355" i="14"/>
  <c r="S1355" i="14"/>
  <c r="S1132" i="14"/>
  <c r="AB1132" i="14"/>
  <c r="V1132" i="14"/>
  <c r="Y1132" i="14"/>
  <c r="AC1132" i="14"/>
  <c r="N1132" i="14"/>
  <c r="V26" i="14"/>
  <c r="N26" i="14"/>
  <c r="S26" i="14"/>
  <c r="AC26" i="14"/>
  <c r="Y26" i="14"/>
  <c r="AB26" i="14"/>
  <c r="N1416" i="14"/>
  <c r="Y1416" i="14"/>
  <c r="AC1416" i="14"/>
  <c r="AB1416" i="14"/>
  <c r="S1416" i="14"/>
  <c r="V1416" i="14"/>
  <c r="AC698" i="14"/>
  <c r="V698" i="14"/>
  <c r="N698" i="14"/>
  <c r="B244" i="17"/>
  <c r="D244" i="17" s="1"/>
  <c r="S698" i="14"/>
  <c r="Y698" i="14"/>
  <c r="AB698" i="14"/>
  <c r="V249" i="14"/>
  <c r="Y249" i="14"/>
  <c r="AB249" i="14"/>
  <c r="S249" i="14"/>
  <c r="AC249" i="14"/>
  <c r="N249" i="14"/>
  <c r="V469" i="14"/>
  <c r="S469" i="14"/>
  <c r="Y469" i="14"/>
  <c r="N469" i="14"/>
  <c r="AC469" i="14"/>
  <c r="B15" i="17"/>
  <c r="D15" i="17" s="1"/>
  <c r="AB469" i="14"/>
  <c r="S1428" i="14"/>
  <c r="AB1428" i="14"/>
  <c r="N1428" i="14"/>
  <c r="Y1428" i="14"/>
  <c r="V1428" i="14"/>
  <c r="AC1428" i="14"/>
  <c r="AB494" i="14"/>
  <c r="N494" i="14"/>
  <c r="Y494" i="14"/>
  <c r="B40" i="17"/>
  <c r="D40" i="17" s="1"/>
  <c r="S494" i="14"/>
  <c r="AC494" i="14"/>
  <c r="V494" i="14"/>
  <c r="N332" i="14"/>
  <c r="V332" i="14"/>
  <c r="AC332" i="14"/>
  <c r="AB332" i="14"/>
  <c r="Y332" i="14"/>
  <c r="S332" i="14"/>
  <c r="AB1116" i="14"/>
  <c r="AC1116" i="14"/>
  <c r="Y1116" i="14"/>
  <c r="S1116" i="14"/>
  <c r="V1116" i="14"/>
  <c r="N1116" i="14"/>
  <c r="N247" i="14"/>
  <c r="AB247" i="14"/>
  <c r="S247" i="14"/>
  <c r="Y247" i="14"/>
  <c r="AC247" i="14"/>
  <c r="V247" i="14"/>
  <c r="N49" i="14"/>
  <c r="AB49" i="14"/>
  <c r="S49" i="14"/>
  <c r="V49" i="14"/>
  <c r="Y49" i="14"/>
  <c r="AC49" i="14"/>
  <c r="N1149" i="14"/>
  <c r="AB1149" i="14"/>
  <c r="S1149" i="14"/>
  <c r="AC1149" i="14"/>
  <c r="V1149" i="14"/>
  <c r="Y1149" i="14"/>
  <c r="S62" i="14"/>
  <c r="AB62" i="14"/>
  <c r="N62" i="14"/>
  <c r="V62" i="14"/>
  <c r="AC62" i="14"/>
  <c r="Y62" i="14"/>
  <c r="AB500" i="14"/>
  <c r="Y500" i="14"/>
  <c r="AC500" i="14"/>
  <c r="V500" i="14"/>
  <c r="B46" i="17"/>
  <c r="D46" i="17" s="1"/>
  <c r="S500" i="14"/>
  <c r="N500" i="14"/>
  <c r="V771" i="14"/>
  <c r="AC771" i="14"/>
  <c r="AB771" i="14"/>
  <c r="S771" i="14"/>
  <c r="B317" i="17"/>
  <c r="D317" i="17" s="1"/>
  <c r="Y771" i="14"/>
  <c r="N771" i="14"/>
  <c r="AC510" i="14"/>
  <c r="V510" i="14"/>
  <c r="S510" i="14"/>
  <c r="B56" i="17"/>
  <c r="D56" i="17" s="1"/>
  <c r="N510" i="14"/>
  <c r="Y510" i="14"/>
  <c r="AB510" i="14"/>
  <c r="AC477" i="14"/>
  <c r="V477" i="14"/>
  <c r="B23" i="17"/>
  <c r="D23" i="17" s="1"/>
  <c r="Y477" i="14"/>
  <c r="N477" i="14"/>
  <c r="S477" i="14"/>
  <c r="AB477" i="14"/>
  <c r="Y1157" i="14"/>
  <c r="N1157" i="14"/>
  <c r="AC1157" i="14"/>
  <c r="V1157" i="14"/>
  <c r="AB1157" i="14"/>
  <c r="S1157" i="14"/>
  <c r="S275" i="14"/>
  <c r="AB275" i="14"/>
  <c r="AC275" i="14"/>
  <c r="V275" i="14"/>
  <c r="Y275" i="14"/>
  <c r="N275" i="14"/>
  <c r="AC259" i="14"/>
  <c r="AB259" i="14"/>
  <c r="Y259" i="14"/>
  <c r="N259" i="14"/>
  <c r="V259" i="14"/>
  <c r="S259" i="14"/>
  <c r="V23" i="14"/>
  <c r="S23" i="14"/>
  <c r="N23" i="14"/>
  <c r="AC23" i="14"/>
  <c r="AB23" i="14"/>
  <c r="Y23" i="14"/>
  <c r="N32" i="14"/>
  <c r="S32" i="14"/>
  <c r="V32" i="14"/>
  <c r="AB32" i="14"/>
  <c r="AC32" i="14"/>
  <c r="Y32" i="14"/>
  <c r="S1346" i="14"/>
  <c r="AB1346" i="14"/>
  <c r="Y1346" i="14"/>
  <c r="N1346" i="14"/>
  <c r="V1346" i="14"/>
  <c r="AC1346" i="14"/>
  <c r="S705" i="14"/>
  <c r="V705" i="14"/>
  <c r="AB705" i="14"/>
  <c r="AC705" i="14"/>
  <c r="B251" i="17"/>
  <c r="D251" i="17" s="1"/>
  <c r="Y705" i="14"/>
  <c r="N705" i="14"/>
  <c r="AC1330" i="14"/>
  <c r="AB1330" i="14"/>
  <c r="S1330" i="14"/>
  <c r="V1330" i="14"/>
  <c r="Y1330" i="14"/>
  <c r="N1330" i="14"/>
  <c r="S1126" i="14"/>
  <c r="AB1126" i="14"/>
  <c r="N1126" i="14"/>
  <c r="Y1126" i="14"/>
  <c r="AC1126" i="14"/>
  <c r="V1126" i="14"/>
  <c r="S1146" i="14"/>
  <c r="AC1146" i="14"/>
  <c r="N1146" i="14"/>
  <c r="AB1146" i="14"/>
  <c r="V1146" i="14"/>
  <c r="Y1146" i="14"/>
  <c r="V1163" i="14"/>
  <c r="AB1163" i="14"/>
  <c r="N1163" i="14"/>
  <c r="AC1163" i="14"/>
  <c r="S1163" i="14"/>
  <c r="Y1163" i="14"/>
  <c r="AC776" i="14"/>
  <c r="Y776" i="14"/>
  <c r="S776" i="14"/>
  <c r="N776" i="14"/>
  <c r="AB776" i="14"/>
  <c r="B322" i="17"/>
  <c r="D322" i="17" s="1"/>
  <c r="V776" i="14"/>
  <c r="S61" i="14"/>
  <c r="Y61" i="14"/>
  <c r="AB61" i="14"/>
  <c r="V61" i="14"/>
  <c r="N61" i="14"/>
  <c r="AC61" i="14"/>
  <c r="S253" i="14"/>
  <c r="AC253" i="14"/>
  <c r="N253" i="14"/>
  <c r="Y253" i="14"/>
  <c r="AB253" i="14"/>
  <c r="V253" i="14"/>
  <c r="AB535" i="14"/>
  <c r="B81" i="17"/>
  <c r="D81" i="17" s="1"/>
  <c r="AC535" i="14"/>
  <c r="V535" i="14"/>
  <c r="S535" i="14"/>
  <c r="N535" i="14"/>
  <c r="Y535" i="14"/>
  <c r="Y909" i="14"/>
  <c r="AC909" i="14"/>
  <c r="S909" i="14"/>
  <c r="AB909" i="14"/>
  <c r="V909" i="14"/>
  <c r="N909" i="14"/>
  <c r="B455" i="17"/>
  <c r="D455" i="17" s="1"/>
  <c r="AC1369" i="14"/>
  <c r="Y1369" i="14"/>
  <c r="AB1369" i="14"/>
  <c r="V1369" i="14"/>
  <c r="S1369" i="14"/>
  <c r="N1369" i="14"/>
  <c r="B465" i="17"/>
  <c r="D465" i="17" s="1"/>
  <c r="AB919" i="14"/>
  <c r="Y919" i="14"/>
  <c r="V919" i="14"/>
  <c r="N919" i="14"/>
  <c r="S919" i="14"/>
  <c r="AC919" i="14"/>
  <c r="AC96" i="14"/>
  <c r="S96" i="14"/>
  <c r="Y96" i="14"/>
  <c r="V96" i="14"/>
  <c r="AB96" i="14"/>
  <c r="N96" i="14"/>
  <c r="V115" i="14"/>
  <c r="N115" i="14"/>
  <c r="AC115" i="14"/>
  <c r="Y115" i="14"/>
  <c r="AB115" i="14"/>
  <c r="S115" i="14"/>
  <c r="S918" i="14"/>
  <c r="N918" i="14"/>
  <c r="B464" i="17"/>
  <c r="D464" i="17" s="1"/>
  <c r="AB918" i="14"/>
  <c r="Y918" i="14"/>
  <c r="AC918" i="14"/>
  <c r="V918" i="14"/>
  <c r="V289" i="14"/>
  <c r="S289" i="14"/>
  <c r="Y289" i="14"/>
  <c r="N289" i="14"/>
  <c r="AB289" i="14"/>
  <c r="AC289" i="14"/>
  <c r="S1022" i="14"/>
  <c r="Y1022" i="14"/>
  <c r="AB1022" i="14"/>
  <c r="AC1022" i="14"/>
  <c r="N1022" i="14"/>
  <c r="V1022" i="14"/>
  <c r="AC1029" i="14"/>
  <c r="AB1029" i="14"/>
  <c r="N1029" i="14"/>
  <c r="Y1029" i="14"/>
  <c r="S1029" i="14"/>
  <c r="V1029" i="14"/>
  <c r="S1082" i="14"/>
  <c r="N1082" i="14"/>
  <c r="AB1082" i="14"/>
  <c r="Y1082" i="14"/>
  <c r="V1082" i="14"/>
  <c r="AC1082" i="14"/>
  <c r="AB1320" i="14"/>
  <c r="S1320" i="14"/>
  <c r="Y1320" i="14"/>
  <c r="N1320" i="14"/>
  <c r="AC1320" i="14"/>
  <c r="V1320" i="14"/>
  <c r="AB1177" i="14"/>
  <c r="AC1177" i="14"/>
  <c r="N1177" i="14"/>
  <c r="V1177" i="14"/>
  <c r="Y1177" i="14"/>
  <c r="S1177" i="14"/>
  <c r="AB547" i="14"/>
  <c r="S547" i="14"/>
  <c r="N547" i="14"/>
  <c r="B93" i="17"/>
  <c r="D93" i="17" s="1"/>
  <c r="Y547" i="14"/>
  <c r="AC547" i="14"/>
  <c r="V547" i="14"/>
  <c r="N86" i="14"/>
  <c r="AB86" i="14"/>
  <c r="V86" i="14"/>
  <c r="Y86" i="14"/>
  <c r="AC86" i="14"/>
  <c r="S86" i="14"/>
  <c r="N1374" i="14"/>
  <c r="V1374" i="14"/>
  <c r="AC1374" i="14"/>
  <c r="AB1374" i="14"/>
  <c r="S1374" i="14"/>
  <c r="Y1374" i="14"/>
  <c r="AC1210" i="14"/>
  <c r="V1210" i="14"/>
  <c r="AB1210" i="14"/>
  <c r="N1210" i="14"/>
  <c r="S1210" i="14"/>
  <c r="Y1210" i="14"/>
  <c r="AB733" i="14"/>
  <c r="B279" i="17"/>
  <c r="D279" i="17" s="1"/>
  <c r="AC733" i="14"/>
  <c r="S733" i="14"/>
  <c r="N733" i="14"/>
  <c r="Y733" i="14"/>
  <c r="V733" i="14"/>
  <c r="S123" i="14"/>
  <c r="V123" i="14"/>
  <c r="AB123" i="14"/>
  <c r="N123" i="14"/>
  <c r="AC123" i="14"/>
  <c r="Y123" i="14"/>
  <c r="S184" i="14"/>
  <c r="AB184" i="14"/>
  <c r="N184" i="14"/>
  <c r="V184" i="14"/>
  <c r="AC184" i="14"/>
  <c r="Y184" i="14"/>
  <c r="S1266" i="14"/>
  <c r="AB1266" i="14"/>
  <c r="Y1266" i="14"/>
  <c r="AC1266" i="14"/>
  <c r="N1266" i="14"/>
  <c r="V1266" i="14"/>
  <c r="AB597" i="14"/>
  <c r="V597" i="14"/>
  <c r="S597" i="14"/>
  <c r="B143" i="17"/>
  <c r="D143" i="17" s="1"/>
  <c r="AC597" i="14"/>
  <c r="Y597" i="14"/>
  <c r="N597" i="14"/>
  <c r="AB236" i="14"/>
  <c r="N236" i="14"/>
  <c r="Y236" i="14"/>
  <c r="S236" i="14"/>
  <c r="AC236" i="14"/>
  <c r="V236" i="14"/>
  <c r="V1408" i="14"/>
  <c r="N1408" i="14"/>
  <c r="AB1408" i="14"/>
  <c r="S1408" i="14"/>
  <c r="AC1408" i="14"/>
  <c r="Y1408" i="14"/>
  <c r="AC330" i="14"/>
  <c r="AB330" i="14"/>
  <c r="S330" i="14"/>
  <c r="Y330" i="14"/>
  <c r="N330" i="14"/>
  <c r="V330" i="14"/>
  <c r="B87" i="17"/>
  <c r="D87" i="17" s="1"/>
  <c r="AB541" i="14"/>
  <c r="V541" i="14"/>
  <c r="N541" i="14"/>
  <c r="AC541" i="14"/>
  <c r="Y541" i="14"/>
  <c r="S541" i="14"/>
  <c r="V256" i="14"/>
  <c r="Y256" i="14"/>
  <c r="AB256" i="14"/>
  <c r="S256" i="14"/>
  <c r="AC256" i="14"/>
  <c r="N256" i="14"/>
  <c r="S1420" i="14"/>
  <c r="V1420" i="14"/>
  <c r="AC1420" i="14"/>
  <c r="AB1420" i="14"/>
  <c r="Y1420" i="14"/>
  <c r="N1420" i="14"/>
  <c r="N1349" i="14"/>
  <c r="AC1349" i="14"/>
  <c r="V1349" i="14"/>
  <c r="Y1349" i="14"/>
  <c r="S1349" i="14"/>
  <c r="AB1349" i="14"/>
  <c r="S701" i="14"/>
  <c r="N701" i="14"/>
  <c r="B247" i="17"/>
  <c r="D247" i="17" s="1"/>
  <c r="AB701" i="14"/>
  <c r="Y701" i="14"/>
  <c r="V701" i="14"/>
  <c r="AC701" i="14"/>
  <c r="Y684" i="14"/>
  <c r="AB684" i="14"/>
  <c r="AC684" i="14"/>
  <c r="V684" i="14"/>
  <c r="B230" i="17"/>
  <c r="D230" i="17" s="1"/>
  <c r="S684" i="14"/>
  <c r="N684" i="14"/>
  <c r="Y708" i="14"/>
  <c r="S708" i="14"/>
  <c r="N708" i="14"/>
  <c r="AB708" i="14"/>
  <c r="AC708" i="14"/>
  <c r="V708" i="14"/>
  <c r="B254" i="17"/>
  <c r="D254" i="17" s="1"/>
  <c r="V1471" i="14"/>
  <c r="Y1471" i="14"/>
  <c r="AC1471" i="14"/>
  <c r="N1471" i="14"/>
  <c r="AB1471" i="14"/>
  <c r="S1471" i="14"/>
  <c r="V1437" i="14"/>
  <c r="N1437" i="14"/>
  <c r="Y1437" i="14"/>
  <c r="AC1437" i="14"/>
  <c r="AB1437" i="14"/>
  <c r="S1437" i="14"/>
  <c r="AB1002" i="14"/>
  <c r="AC1002" i="14"/>
  <c r="N1002" i="14"/>
  <c r="V1002" i="14"/>
  <c r="Y1002" i="14"/>
  <c r="S1002" i="14"/>
  <c r="V1188" i="14"/>
  <c r="S1188" i="14"/>
  <c r="Y1188" i="14"/>
  <c r="N1188" i="14"/>
  <c r="AC1188" i="14"/>
  <c r="AB1188" i="14"/>
  <c r="N1310" i="14"/>
  <c r="S1310" i="14"/>
  <c r="AC1310" i="14"/>
  <c r="AB1310" i="14"/>
  <c r="Y1310" i="14"/>
  <c r="V1310" i="14"/>
  <c r="Y171" i="14"/>
  <c r="S171" i="14"/>
  <c r="V171" i="14"/>
  <c r="AC171" i="14"/>
  <c r="N171" i="14"/>
  <c r="AB171" i="14"/>
  <c r="AC677" i="14"/>
  <c r="V677" i="14"/>
  <c r="AB677" i="14"/>
  <c r="S677" i="14"/>
  <c r="N677" i="14"/>
  <c r="Y677" i="14"/>
  <c r="B223" i="17"/>
  <c r="D223" i="17" s="1"/>
  <c r="L12" i="16"/>
  <c r="L14" i="16" s="1"/>
  <c r="L7" i="16" s="1"/>
  <c r="K14" i="16"/>
  <c r="K7" i="16" s="1"/>
  <c r="S573" i="14"/>
  <c r="Y573" i="14"/>
  <c r="V573" i="14"/>
  <c r="B119" i="17"/>
  <c r="D119" i="17" s="1"/>
  <c r="N573" i="14"/>
  <c r="AC573" i="14"/>
  <c r="AB573" i="14"/>
  <c r="V134" i="14"/>
  <c r="AB134" i="14"/>
  <c r="AC134" i="14"/>
  <c r="S134" i="14"/>
  <c r="N134" i="14"/>
  <c r="Y134" i="14"/>
  <c r="V117" i="14"/>
  <c r="AB117" i="14"/>
  <c r="S117" i="14"/>
  <c r="Y117" i="14"/>
  <c r="AC117" i="14"/>
  <c r="N117" i="14"/>
  <c r="AC1370" i="14"/>
  <c r="Y1370" i="14"/>
  <c r="S1370" i="14"/>
  <c r="V1370" i="14"/>
  <c r="N1370" i="14"/>
  <c r="AB1370" i="14"/>
  <c r="V1206" i="14"/>
  <c r="S1206" i="14"/>
  <c r="AB1206" i="14"/>
  <c r="N1206" i="14"/>
  <c r="AC1206" i="14"/>
  <c r="Y1206" i="14"/>
  <c r="N556" i="14"/>
  <c r="AB556" i="14"/>
  <c r="Y556" i="14"/>
  <c r="V556" i="14"/>
  <c r="B102" i="17"/>
  <c r="D102" i="17" s="1"/>
  <c r="AC556" i="14"/>
  <c r="S556" i="14"/>
  <c r="N1168" i="14"/>
  <c r="AC1168" i="14"/>
  <c r="AB1168" i="14"/>
  <c r="Y1168" i="14"/>
  <c r="V1168" i="14"/>
  <c r="S1168" i="14"/>
  <c r="S1362" i="14"/>
  <c r="AB1362" i="14"/>
  <c r="Y1362" i="14"/>
  <c r="AC1362" i="14"/>
  <c r="V1362" i="14"/>
  <c r="N1362" i="14"/>
  <c r="Y1181" i="14"/>
  <c r="AB1181" i="14"/>
  <c r="AC1181" i="14"/>
  <c r="V1181" i="14"/>
  <c r="N1181" i="14"/>
  <c r="S1181" i="14"/>
  <c r="Y551" i="14"/>
  <c r="V551" i="14"/>
  <c r="AC551" i="14"/>
  <c r="B97" i="17"/>
  <c r="D97" i="17" s="1"/>
  <c r="N551" i="14"/>
  <c r="S551" i="14"/>
  <c r="AB551" i="14"/>
  <c r="S287" i="14"/>
  <c r="AC287" i="14"/>
  <c r="N287" i="14"/>
  <c r="Y287" i="14"/>
  <c r="V287" i="14"/>
  <c r="AB287" i="14"/>
  <c r="V724" i="14"/>
  <c r="AB724" i="14"/>
  <c r="Y724" i="14"/>
  <c r="AC724" i="14"/>
  <c r="B270" i="17"/>
  <c r="D270" i="17" s="1"/>
  <c r="N724" i="14"/>
  <c r="S724" i="14"/>
  <c r="N76" i="14"/>
  <c r="S76" i="14"/>
  <c r="AB76" i="14"/>
  <c r="Y76" i="14"/>
  <c r="V76" i="14"/>
  <c r="AC76" i="14"/>
  <c r="N91" i="14"/>
  <c r="Y91" i="14"/>
  <c r="AB91" i="14"/>
  <c r="AC91" i="14"/>
  <c r="S91" i="14"/>
  <c r="V91" i="14"/>
  <c r="N530" i="14"/>
  <c r="V530" i="14"/>
  <c r="AC530" i="14"/>
  <c r="B76" i="17"/>
  <c r="D76" i="17" s="1"/>
  <c r="AB530" i="14"/>
  <c r="Y530" i="14"/>
  <c r="S530" i="14"/>
  <c r="V987" i="14"/>
  <c r="N987" i="14"/>
  <c r="AC987" i="14"/>
  <c r="S987" i="14"/>
  <c r="AB987" i="14"/>
  <c r="Y987" i="14"/>
  <c r="AB180" i="14"/>
  <c r="V180" i="14"/>
  <c r="Y180" i="14"/>
  <c r="S180" i="14"/>
  <c r="AC180" i="14"/>
  <c r="N180" i="14"/>
  <c r="V1377" i="14"/>
  <c r="S1377" i="14"/>
  <c r="AB1377" i="14"/>
  <c r="N1377" i="14"/>
  <c r="AC1377" i="14"/>
  <c r="Y1377" i="14"/>
  <c r="AB1232" i="14"/>
  <c r="AC1232" i="14"/>
  <c r="Y1232" i="14"/>
  <c r="V1232" i="14"/>
  <c r="N1232" i="14"/>
  <c r="S1232" i="14"/>
  <c r="V303" i="14"/>
  <c r="N303" i="14"/>
  <c r="AC303" i="14"/>
  <c r="AB303" i="14"/>
  <c r="S303" i="14"/>
  <c r="Y303" i="14"/>
  <c r="V736" i="14"/>
  <c r="Y736" i="14"/>
  <c r="B282" i="17"/>
  <c r="D282" i="17" s="1"/>
  <c r="N736" i="14"/>
  <c r="S736" i="14"/>
  <c r="AB736" i="14"/>
  <c r="AC736" i="14"/>
  <c r="S1054" i="14"/>
  <c r="AC1054" i="14"/>
  <c r="Y1054" i="14"/>
  <c r="N1054" i="14"/>
  <c r="V1054" i="14"/>
  <c r="AB1054" i="14"/>
  <c r="AC826" i="14"/>
  <c r="AB826" i="14"/>
  <c r="V826" i="14"/>
  <c r="B372" i="17"/>
  <c r="D372" i="17" s="1"/>
  <c r="Y826" i="14"/>
  <c r="S826" i="14"/>
  <c r="N826" i="14"/>
  <c r="AC359" i="14"/>
  <c r="S359" i="14"/>
  <c r="N359" i="14"/>
  <c r="AB359" i="14"/>
  <c r="V359" i="14"/>
  <c r="Y359" i="14"/>
  <c r="AB1439" i="14"/>
  <c r="V1439" i="14"/>
  <c r="AC1439" i="14"/>
  <c r="S1439" i="14"/>
  <c r="Y1439" i="14"/>
  <c r="N1439" i="14"/>
  <c r="S819" i="14"/>
  <c r="V819" i="14"/>
  <c r="B365" i="17"/>
  <c r="D365" i="17" s="1"/>
  <c r="N819" i="14"/>
  <c r="Y819" i="14"/>
  <c r="AB819" i="14"/>
  <c r="AC819" i="14"/>
  <c r="V809" i="14"/>
  <c r="B355" i="17"/>
  <c r="D355" i="17" s="1"/>
  <c r="N809" i="14"/>
  <c r="S809" i="14"/>
  <c r="AB809" i="14"/>
  <c r="Y809" i="14"/>
  <c r="AC809" i="14"/>
  <c r="AC1451" i="14"/>
  <c r="AB1451" i="14"/>
  <c r="S1451" i="14"/>
  <c r="V1451" i="14"/>
  <c r="N1451" i="14"/>
  <c r="Y1451" i="14"/>
  <c r="Y564" i="14"/>
  <c r="N564" i="14"/>
  <c r="S564" i="14"/>
  <c r="AB564" i="14"/>
  <c r="V564" i="14"/>
  <c r="B110" i="17"/>
  <c r="D110" i="17" s="1"/>
  <c r="AC564" i="14"/>
  <c r="AC1212" i="14"/>
  <c r="Y1212" i="14"/>
  <c r="S1212" i="14"/>
  <c r="AB1212" i="14"/>
  <c r="N1212" i="14"/>
  <c r="V1212" i="14"/>
  <c r="S817" i="14"/>
  <c r="N817" i="14"/>
  <c r="V817" i="14"/>
  <c r="AC817" i="14"/>
  <c r="B363" i="17"/>
  <c r="D363" i="17" s="1"/>
  <c r="AB817" i="14"/>
  <c r="Y817" i="14"/>
  <c r="Y669" i="14"/>
  <c r="N669" i="14"/>
  <c r="S669" i="14"/>
  <c r="V669" i="14"/>
  <c r="AC669" i="14"/>
  <c r="AB669" i="14"/>
  <c r="B215" i="17"/>
  <c r="D215" i="17" s="1"/>
  <c r="N230" i="14"/>
  <c r="V230" i="14"/>
  <c r="AB230" i="14"/>
  <c r="Y230" i="14"/>
  <c r="S230" i="14"/>
  <c r="AC230" i="14"/>
  <c r="AC104" i="14"/>
  <c r="Y104" i="14"/>
  <c r="AB104" i="14"/>
  <c r="S104" i="14"/>
  <c r="V104" i="14"/>
  <c r="N104" i="14"/>
  <c r="AC1372" i="14"/>
  <c r="AB1372" i="14"/>
  <c r="V1372" i="14"/>
  <c r="N1372" i="14"/>
  <c r="S1372" i="14"/>
  <c r="Y1372" i="14"/>
  <c r="V1225" i="14"/>
  <c r="AB1225" i="14"/>
  <c r="S1225" i="14"/>
  <c r="AC1225" i="14"/>
  <c r="Y1225" i="14"/>
  <c r="N1225" i="14"/>
  <c r="Y617" i="14"/>
  <c r="AC617" i="14"/>
  <c r="AB617" i="14"/>
  <c r="S617" i="14"/>
  <c r="B163" i="17"/>
  <c r="D163" i="17" s="1"/>
  <c r="V617" i="14"/>
  <c r="N617" i="14"/>
  <c r="Y1060" i="14"/>
  <c r="AB1060" i="14"/>
  <c r="N1060" i="14"/>
  <c r="AC1060" i="14"/>
  <c r="V1060" i="14"/>
  <c r="S1060" i="14"/>
  <c r="N292" i="14"/>
  <c r="AB292" i="14"/>
  <c r="V292" i="14"/>
  <c r="S292" i="14"/>
  <c r="AC292" i="14"/>
  <c r="Y292" i="14"/>
  <c r="V178" i="14"/>
  <c r="Y178" i="14"/>
  <c r="N178" i="14"/>
  <c r="AC178" i="14"/>
  <c r="AB178" i="14"/>
  <c r="S178" i="14"/>
  <c r="AB1375" i="14"/>
  <c r="N1375" i="14"/>
  <c r="V1375" i="14"/>
  <c r="AC1375" i="14"/>
  <c r="S1375" i="14"/>
  <c r="Y1375" i="14"/>
  <c r="Y1053" i="14"/>
  <c r="AB1053" i="14"/>
  <c r="V1053" i="14"/>
  <c r="AC1053" i="14"/>
  <c r="S1053" i="14"/>
  <c r="N1053" i="14"/>
  <c r="AC138" i="14"/>
  <c r="S138" i="14"/>
  <c r="AB138" i="14"/>
  <c r="N138" i="14"/>
  <c r="Y138" i="14"/>
  <c r="V138" i="14"/>
  <c r="AB734" i="14"/>
  <c r="AC734" i="14"/>
  <c r="N734" i="14"/>
  <c r="Y734" i="14"/>
  <c r="S734" i="14"/>
  <c r="B280" i="17"/>
  <c r="D280" i="17" s="1"/>
  <c r="V734" i="14"/>
  <c r="AB473" i="14"/>
  <c r="AC473" i="14"/>
  <c r="N473" i="14"/>
  <c r="Y473" i="14"/>
  <c r="V473" i="14"/>
  <c r="B19" i="17"/>
  <c r="D19" i="17" s="1"/>
  <c r="S473" i="14"/>
  <c r="S709" i="14"/>
  <c r="B255" i="17"/>
  <c r="D255" i="17" s="1"/>
  <c r="V709" i="14"/>
  <c r="AB709" i="14"/>
  <c r="N709" i="14"/>
  <c r="Y709" i="14"/>
  <c r="AC709" i="14"/>
  <c r="S51" i="14"/>
  <c r="AB51" i="14"/>
  <c r="Y51" i="14"/>
  <c r="V51" i="14"/>
  <c r="N51" i="14"/>
  <c r="AC51" i="14"/>
  <c r="N1333" i="14"/>
  <c r="AC1333" i="14"/>
  <c r="Y1333" i="14"/>
  <c r="V1333" i="14"/>
  <c r="AB1333" i="14"/>
  <c r="S1333" i="14"/>
  <c r="AB911" i="14"/>
  <c r="Y911" i="14"/>
  <c r="V911" i="14"/>
  <c r="S911" i="14"/>
  <c r="B457" i="17"/>
  <c r="D457" i="17" s="1"/>
  <c r="N911" i="14"/>
  <c r="AC911" i="14"/>
  <c r="V344" i="14"/>
  <c r="N344" i="14"/>
  <c r="AC344" i="14"/>
  <c r="Y344" i="14"/>
  <c r="AB344" i="14"/>
  <c r="S344" i="14"/>
  <c r="S906" i="14"/>
  <c r="Y906" i="14"/>
  <c r="AC906" i="14"/>
  <c r="B452" i="17"/>
  <c r="D452" i="17" s="1"/>
  <c r="V906" i="14"/>
  <c r="AB906" i="14"/>
  <c r="N906" i="14"/>
  <c r="S1159" i="14"/>
  <c r="Y1159" i="14"/>
  <c r="V1159" i="14"/>
  <c r="AC1159" i="14"/>
  <c r="N1159" i="14"/>
  <c r="AB1159" i="14"/>
  <c r="AC696" i="14"/>
  <c r="Y696" i="14"/>
  <c r="N696" i="14"/>
  <c r="B242" i="17"/>
  <c r="D242" i="17" s="1"/>
  <c r="V696" i="14"/>
  <c r="AB696" i="14"/>
  <c r="S696" i="14"/>
  <c r="Y1125" i="14"/>
  <c r="N1125" i="14"/>
  <c r="AC1125" i="14"/>
  <c r="V1125" i="14"/>
  <c r="S1125" i="14"/>
  <c r="AB1125" i="14"/>
  <c r="V351" i="14"/>
  <c r="Y351" i="14"/>
  <c r="AB351" i="14"/>
  <c r="S351" i="14"/>
  <c r="AC351" i="14"/>
  <c r="N351" i="14"/>
  <c r="AC1128" i="14"/>
  <c r="Y1128" i="14"/>
  <c r="N1128" i="14"/>
  <c r="AB1128" i="14"/>
  <c r="S1128" i="14"/>
  <c r="V1128" i="14"/>
  <c r="AC774" i="14"/>
  <c r="Y774" i="14"/>
  <c r="B320" i="17"/>
  <c r="D320" i="17" s="1"/>
  <c r="S774" i="14"/>
  <c r="V774" i="14"/>
  <c r="AB774" i="14"/>
  <c r="N774" i="14"/>
  <c r="N1141" i="14"/>
  <c r="AC1141" i="14"/>
  <c r="V1141" i="14"/>
  <c r="S1141" i="14"/>
  <c r="AB1141" i="14"/>
  <c r="Y1141" i="14"/>
  <c r="N1151" i="14"/>
  <c r="AB1151" i="14"/>
  <c r="S1151" i="14"/>
  <c r="Y1151" i="14"/>
  <c r="V1151" i="14"/>
  <c r="AC1151" i="14"/>
  <c r="AC917" i="14"/>
  <c r="V917" i="14"/>
  <c r="N917" i="14"/>
  <c r="AB917" i="14"/>
  <c r="S917" i="14"/>
  <c r="Y917" i="14"/>
  <c r="B463" i="17"/>
  <c r="D463" i="17" s="1"/>
  <c r="Y1145" i="14"/>
  <c r="AB1145" i="14"/>
  <c r="V1145" i="14"/>
  <c r="N1145" i="14"/>
  <c r="S1145" i="14"/>
  <c r="AC1145" i="14"/>
  <c r="AB47" i="14"/>
  <c r="AC47" i="14"/>
  <c r="Y47" i="14"/>
  <c r="S47" i="14"/>
  <c r="V47" i="14"/>
  <c r="N47" i="14"/>
  <c r="Y1131" i="14"/>
  <c r="S1131" i="14"/>
  <c r="AC1131" i="14"/>
  <c r="N1131" i="14"/>
  <c r="AB1131" i="14"/>
  <c r="V1131" i="14"/>
  <c r="V67" i="14"/>
  <c r="Y67" i="14"/>
  <c r="N67" i="14"/>
  <c r="AB67" i="14"/>
  <c r="AC67" i="14"/>
  <c r="S67" i="14"/>
  <c r="S335" i="14"/>
  <c r="AB335" i="14"/>
  <c r="AC335" i="14"/>
  <c r="Y335" i="14"/>
  <c r="N335" i="14"/>
  <c r="V335" i="14"/>
  <c r="N29" i="14"/>
  <c r="S29" i="14"/>
  <c r="Y29" i="14"/>
  <c r="V29" i="14"/>
  <c r="AC29" i="14"/>
  <c r="AB29" i="14"/>
  <c r="S304" i="14"/>
  <c r="N304" i="14"/>
  <c r="V304" i="14"/>
  <c r="AC304" i="14"/>
  <c r="AB304" i="14"/>
  <c r="Y304" i="14"/>
  <c r="AC743" i="14"/>
  <c r="S743" i="14"/>
  <c r="AB743" i="14"/>
  <c r="Y743" i="14"/>
  <c r="N743" i="14"/>
  <c r="V743" i="14"/>
  <c r="B289" i="17"/>
  <c r="D289" i="17" s="1"/>
  <c r="AC1008" i="14"/>
  <c r="V1008" i="14"/>
  <c r="AB1008" i="14"/>
  <c r="S1008" i="14"/>
  <c r="Y1008" i="14"/>
  <c r="N1008" i="14"/>
  <c r="Y1281" i="14"/>
  <c r="V1281" i="14"/>
  <c r="S1281" i="14"/>
  <c r="AC1281" i="14"/>
  <c r="N1281" i="14"/>
  <c r="AB1281" i="14"/>
  <c r="S645" i="14"/>
  <c r="Y645" i="14"/>
  <c r="AC645" i="14"/>
  <c r="AB645" i="14"/>
  <c r="B191" i="17"/>
  <c r="D191" i="17" s="1"/>
  <c r="V645" i="14"/>
  <c r="N645" i="14"/>
  <c r="AC950" i="14"/>
  <c r="V950" i="14"/>
  <c r="N950" i="14"/>
  <c r="S950" i="14"/>
  <c r="AB950" i="14"/>
  <c r="Y950" i="14"/>
  <c r="AC1013" i="14"/>
  <c r="N1013" i="14"/>
  <c r="AB1013" i="14"/>
  <c r="Y1013" i="14"/>
  <c r="V1013" i="14"/>
  <c r="S1013" i="14"/>
  <c r="N922" i="14"/>
  <c r="S922" i="14"/>
  <c r="V922" i="14"/>
  <c r="B468" i="17"/>
  <c r="D468" i="17" s="1"/>
  <c r="AC922" i="14"/>
  <c r="AB922" i="14"/>
  <c r="Y922" i="14"/>
  <c r="AC545" i="14"/>
  <c r="V545" i="14"/>
  <c r="B91" i="17"/>
  <c r="D91" i="17" s="1"/>
  <c r="Y545" i="14"/>
  <c r="S545" i="14"/>
  <c r="AB545" i="14"/>
  <c r="N545" i="14"/>
  <c r="S106" i="14"/>
  <c r="N106" i="14"/>
  <c r="AC106" i="14"/>
  <c r="AB106" i="14"/>
  <c r="V106" i="14"/>
  <c r="Y106" i="14"/>
  <c r="S523" i="14"/>
  <c r="V523" i="14"/>
  <c r="B69" i="17"/>
  <c r="D69" i="17" s="1"/>
  <c r="N523" i="14"/>
  <c r="AB523" i="14"/>
  <c r="Y523" i="14"/>
  <c r="AC523" i="14"/>
  <c r="V181" i="14"/>
  <c r="Y181" i="14"/>
  <c r="AC181" i="14"/>
  <c r="N181" i="14"/>
  <c r="AB181" i="14"/>
  <c r="S181" i="14"/>
  <c r="Y1055" i="14"/>
  <c r="N1055" i="14"/>
  <c r="V1055" i="14"/>
  <c r="AB1055" i="14"/>
  <c r="AC1055" i="14"/>
  <c r="S1055" i="14"/>
  <c r="N149" i="14"/>
  <c r="Y149" i="14"/>
  <c r="V149" i="14"/>
  <c r="AC149" i="14"/>
  <c r="AB149" i="14"/>
  <c r="S149" i="14"/>
  <c r="S1378" i="14"/>
  <c r="AB1378" i="14"/>
  <c r="N1378" i="14"/>
  <c r="AC1378" i="14"/>
  <c r="Y1378" i="14"/>
  <c r="V1378" i="14"/>
  <c r="V750" i="14"/>
  <c r="AC750" i="14"/>
  <c r="N750" i="14"/>
  <c r="B296" i="17"/>
  <c r="D296" i="17" s="1"/>
  <c r="Y750" i="14"/>
  <c r="S750" i="14"/>
  <c r="AB750" i="14"/>
  <c r="N1262" i="14"/>
  <c r="V1262" i="14"/>
  <c r="AB1262" i="14"/>
  <c r="Y1262" i="14"/>
  <c r="AC1262" i="14"/>
  <c r="S1262" i="14"/>
  <c r="Y1234" i="14"/>
  <c r="V1234" i="14"/>
  <c r="AB1234" i="14"/>
  <c r="N1234" i="14"/>
  <c r="AC1234" i="14"/>
  <c r="S1234" i="14"/>
  <c r="AC553" i="14"/>
  <c r="V553" i="14"/>
  <c r="AB553" i="14"/>
  <c r="N553" i="14"/>
  <c r="Y553" i="14"/>
  <c r="S553" i="14"/>
  <c r="B99" i="17"/>
  <c r="D99" i="17" s="1"/>
  <c r="AB1045" i="14"/>
  <c r="AC1045" i="14"/>
  <c r="N1045" i="14"/>
  <c r="S1045" i="14"/>
  <c r="V1045" i="14"/>
  <c r="Y1045" i="14"/>
  <c r="Y1184" i="14"/>
  <c r="S1184" i="14"/>
  <c r="AC1184" i="14"/>
  <c r="V1184" i="14"/>
  <c r="N1184" i="14"/>
  <c r="AB1184" i="14"/>
  <c r="S533" i="14"/>
  <c r="AC533" i="14"/>
  <c r="B79" i="17"/>
  <c r="D79" i="17" s="1"/>
  <c r="N533" i="14"/>
  <c r="Y533" i="14"/>
  <c r="AB533" i="14"/>
  <c r="V533" i="14"/>
  <c r="S518" i="14"/>
  <c r="AC518" i="14"/>
  <c r="N518" i="14"/>
  <c r="AB518" i="14"/>
  <c r="V518" i="14"/>
  <c r="B64" i="17"/>
  <c r="D64" i="17" s="1"/>
  <c r="Y518" i="14"/>
  <c r="N283" i="14"/>
  <c r="AB283" i="14"/>
  <c r="S283" i="14"/>
  <c r="AC283" i="14"/>
  <c r="Y283" i="14"/>
  <c r="V283" i="14"/>
  <c r="V228" i="14"/>
  <c r="N228" i="14"/>
  <c r="AB228" i="14"/>
  <c r="AC228" i="14"/>
  <c r="Y228" i="14"/>
  <c r="S228" i="14"/>
  <c r="V667" i="14"/>
  <c r="S667" i="14"/>
  <c r="N667" i="14"/>
  <c r="AC667" i="14"/>
  <c r="B213" i="17"/>
  <c r="D213" i="17" s="1"/>
  <c r="AB667" i="14"/>
  <c r="Y667" i="14"/>
  <c r="S560" i="14"/>
  <c r="AC560" i="14"/>
  <c r="V560" i="14"/>
  <c r="B106" i="17"/>
  <c r="D106" i="17" s="1"/>
  <c r="AB560" i="14"/>
  <c r="Y560" i="14"/>
  <c r="N560" i="14"/>
  <c r="AB293" i="14"/>
  <c r="AC293" i="14"/>
  <c r="N293" i="14"/>
  <c r="S293" i="14"/>
  <c r="Y293" i="14"/>
  <c r="V293" i="14"/>
  <c r="AC1208" i="14"/>
  <c r="V1208" i="14"/>
  <c r="N1208" i="14"/>
  <c r="AB1208" i="14"/>
  <c r="Y1208" i="14"/>
  <c r="S1208" i="14"/>
  <c r="V121" i="14"/>
  <c r="Y121" i="14"/>
  <c r="AC121" i="14"/>
  <c r="N121" i="14"/>
  <c r="AB121" i="14"/>
  <c r="S121" i="14"/>
  <c r="AC1103" i="14"/>
  <c r="N1103" i="14"/>
  <c r="S1103" i="14"/>
  <c r="AB1103" i="14"/>
  <c r="V1103" i="14"/>
  <c r="Y1103" i="14"/>
  <c r="N910" i="14"/>
  <c r="AB910" i="14"/>
  <c r="B456" i="17"/>
  <c r="D456" i="17" s="1"/>
  <c r="Y910" i="14"/>
  <c r="V910" i="14"/>
  <c r="S910" i="14"/>
  <c r="AC910" i="14"/>
  <c r="AB1240" i="14"/>
  <c r="S1240" i="14"/>
  <c r="V1240" i="14"/>
  <c r="Y1240" i="14"/>
  <c r="N1240" i="14"/>
  <c r="AC1240" i="14"/>
  <c r="AB1447" i="14"/>
  <c r="S1447" i="14"/>
  <c r="Y1447" i="14"/>
  <c r="AC1447" i="14"/>
  <c r="V1447" i="14"/>
  <c r="N1447" i="14"/>
  <c r="AC366" i="14"/>
  <c r="Y366" i="14"/>
  <c r="AB366" i="14"/>
  <c r="S366" i="14"/>
  <c r="V366" i="14"/>
  <c r="N366" i="14"/>
  <c r="AB602" i="14"/>
  <c r="S602" i="14"/>
  <c r="Y602" i="14"/>
  <c r="AC602" i="14"/>
  <c r="B148" i="17"/>
  <c r="D148" i="17" s="1"/>
  <c r="V602" i="14"/>
  <c r="N602" i="14"/>
  <c r="N1247" i="14"/>
  <c r="AB1247" i="14"/>
  <c r="S1247" i="14"/>
  <c r="Y1247" i="14"/>
  <c r="AC1247" i="14"/>
  <c r="V1247" i="14"/>
  <c r="Y363" i="14"/>
  <c r="S363" i="14"/>
  <c r="V363" i="14"/>
  <c r="AB363" i="14"/>
  <c r="N363" i="14"/>
  <c r="AC363" i="14"/>
  <c r="N1174" i="14"/>
  <c r="AB1174" i="14"/>
  <c r="AC1174" i="14"/>
  <c r="V1174" i="14"/>
  <c r="Y1174" i="14"/>
  <c r="S1174" i="14"/>
  <c r="AB522" i="14"/>
  <c r="Y522" i="14"/>
  <c r="S522" i="14"/>
  <c r="AC522" i="14"/>
  <c r="V522" i="14"/>
  <c r="B68" i="17"/>
  <c r="D68" i="17" s="1"/>
  <c r="N522" i="14"/>
  <c r="V526" i="14"/>
  <c r="AC526" i="14"/>
  <c r="AB526" i="14"/>
  <c r="Y526" i="14"/>
  <c r="B72" i="17"/>
  <c r="D72" i="17" s="1"/>
  <c r="N526" i="14"/>
  <c r="S526" i="14"/>
  <c r="S87" i="14"/>
  <c r="AB87" i="14"/>
  <c r="N87" i="14"/>
  <c r="Y87" i="14"/>
  <c r="V87" i="14"/>
  <c r="AC87" i="14"/>
  <c r="AB110" i="14"/>
  <c r="S110" i="14"/>
  <c r="V110" i="14"/>
  <c r="N110" i="14"/>
  <c r="Y110" i="14"/>
  <c r="AC110" i="14"/>
  <c r="S988" i="14"/>
  <c r="AB988" i="14"/>
  <c r="Y988" i="14"/>
  <c r="AC988" i="14"/>
  <c r="N988" i="14"/>
  <c r="V988" i="14"/>
  <c r="N315" i="14"/>
  <c r="V315" i="14"/>
  <c r="S315" i="14"/>
  <c r="AC315" i="14"/>
  <c r="Y315" i="14"/>
  <c r="AB315" i="14"/>
  <c r="S1348" i="14"/>
  <c r="N1348" i="14"/>
  <c r="AC1348" i="14"/>
  <c r="Y1348" i="14"/>
  <c r="AB1348" i="14"/>
  <c r="V1348" i="14"/>
  <c r="V1244" i="14"/>
  <c r="Y1244" i="14"/>
  <c r="AC1244" i="14"/>
  <c r="S1244" i="14"/>
  <c r="AB1244" i="14"/>
  <c r="N1244" i="14"/>
  <c r="N1135" i="14"/>
  <c r="AC1135" i="14"/>
  <c r="V1135" i="14"/>
  <c r="S1135" i="14"/>
  <c r="AB1135" i="14"/>
  <c r="Y1135" i="14"/>
  <c r="AB714" i="14"/>
  <c r="V714" i="14"/>
  <c r="Y714" i="14"/>
  <c r="B260" i="17"/>
  <c r="D260" i="17" s="1"/>
  <c r="S714" i="14"/>
  <c r="AC714" i="14"/>
  <c r="N714" i="14"/>
  <c r="N55" i="14"/>
  <c r="Y55" i="14"/>
  <c r="AC55" i="14"/>
  <c r="AB55" i="14"/>
  <c r="V55" i="14"/>
  <c r="S55" i="14"/>
  <c r="N1118" i="14"/>
  <c r="AB1118" i="14"/>
  <c r="V1118" i="14"/>
  <c r="AC1118" i="14"/>
  <c r="S1118" i="14"/>
  <c r="Y1118" i="14"/>
  <c r="S491" i="14"/>
  <c r="B37" i="17"/>
  <c r="D37" i="17" s="1"/>
  <c r="V491" i="14"/>
  <c r="AC491" i="14"/>
  <c r="Y491" i="14"/>
  <c r="AB491" i="14"/>
  <c r="N491" i="14"/>
  <c r="S1351" i="14"/>
  <c r="AC1351" i="14"/>
  <c r="N1351" i="14"/>
  <c r="V1351" i="14"/>
  <c r="AB1351" i="14"/>
  <c r="Y1351" i="14"/>
  <c r="N504" i="14"/>
  <c r="V504" i="14"/>
  <c r="AC504" i="14"/>
  <c r="B50" i="17"/>
  <c r="D50" i="17" s="1"/>
  <c r="AB504" i="14"/>
  <c r="S504" i="14"/>
  <c r="Y504" i="14"/>
  <c r="Y1129" i="14"/>
  <c r="N1129" i="14"/>
  <c r="S1129" i="14"/>
  <c r="V1129" i="14"/>
  <c r="AC1129" i="14"/>
  <c r="AB1129" i="14"/>
  <c r="N266" i="14"/>
  <c r="Y266" i="14"/>
  <c r="S266" i="14"/>
  <c r="AC266" i="14"/>
  <c r="V266" i="14"/>
  <c r="AB266" i="14"/>
  <c r="N1154" i="14"/>
  <c r="Y1154" i="14"/>
  <c r="AC1154" i="14"/>
  <c r="S1154" i="14"/>
  <c r="AB1154" i="14"/>
  <c r="V1154" i="14"/>
  <c r="AB686" i="14"/>
  <c r="V686" i="14"/>
  <c r="N686" i="14"/>
  <c r="S686" i="14"/>
  <c r="Y686" i="14"/>
  <c r="B232" i="17"/>
  <c r="D232" i="17" s="1"/>
  <c r="AC686" i="14"/>
  <c r="Y501" i="14"/>
  <c r="S501" i="14"/>
  <c r="B47" i="17"/>
  <c r="D47" i="17" s="1"/>
  <c r="AC501" i="14"/>
  <c r="AB501" i="14"/>
  <c r="V501" i="14"/>
  <c r="N501" i="14"/>
  <c r="Y1410" i="14"/>
  <c r="AB1410" i="14"/>
  <c r="AC1410" i="14"/>
  <c r="V1410" i="14"/>
  <c r="S1410" i="14"/>
  <c r="N1410" i="14"/>
  <c r="AC1334" i="14"/>
  <c r="Y1334" i="14"/>
  <c r="V1334" i="14"/>
  <c r="N1334" i="14"/>
  <c r="S1334" i="14"/>
  <c r="AB1334" i="14"/>
  <c r="N1122" i="14"/>
  <c r="Y1122" i="14"/>
  <c r="AB1122" i="14"/>
  <c r="S1122" i="14"/>
  <c r="V1122" i="14"/>
  <c r="AC1122" i="14"/>
  <c r="Y52" i="14"/>
  <c r="S52" i="14"/>
  <c r="N52" i="14"/>
  <c r="AC52" i="14"/>
  <c r="V52" i="14"/>
  <c r="AB52" i="14"/>
  <c r="S271" i="14"/>
  <c r="N271" i="14"/>
  <c r="Y271" i="14"/>
  <c r="AC271" i="14"/>
  <c r="V271" i="14"/>
  <c r="AB271" i="14"/>
  <c r="S1143" i="14"/>
  <c r="Y1143" i="14"/>
  <c r="N1143" i="14"/>
  <c r="V1143" i="14"/>
  <c r="AC1143" i="14"/>
  <c r="AB1143" i="14"/>
  <c r="Y71" i="14"/>
  <c r="AC71" i="14"/>
  <c r="AB71" i="14"/>
  <c r="V71" i="14"/>
  <c r="S71" i="14"/>
  <c r="N71" i="14"/>
  <c r="V30" i="14"/>
  <c r="AB30" i="14"/>
  <c r="AC30" i="14"/>
  <c r="Y30" i="14"/>
  <c r="S30" i="14"/>
  <c r="N30" i="14"/>
  <c r="B256" i="17"/>
  <c r="D256" i="17" s="1"/>
  <c r="N710" i="14"/>
  <c r="V710" i="14"/>
  <c r="AB710" i="14"/>
  <c r="AC710" i="14"/>
  <c r="Y710" i="14"/>
  <c r="S710" i="14"/>
  <c r="AB462" i="14"/>
  <c r="V462" i="14"/>
  <c r="AC462" i="14"/>
  <c r="B8" i="17"/>
  <c r="D8" i="17" s="1"/>
  <c r="S462" i="14"/>
  <c r="Y462" i="14"/>
  <c r="N462" i="14"/>
  <c r="S692" i="14"/>
  <c r="N692" i="14"/>
  <c r="B238" i="17"/>
  <c r="D238" i="17" s="1"/>
  <c r="AC692" i="14"/>
  <c r="AB692" i="14"/>
  <c r="Y692" i="14"/>
  <c r="V692" i="14"/>
  <c r="AC38" i="14"/>
  <c r="AB38" i="14"/>
  <c r="Y38" i="14"/>
  <c r="S38" i="14"/>
  <c r="N38" i="14"/>
  <c r="V38" i="14"/>
  <c r="AB682" i="14"/>
  <c r="S682" i="14"/>
  <c r="V682" i="14"/>
  <c r="Y682" i="14"/>
  <c r="AC682" i="14"/>
  <c r="N682" i="14"/>
  <c r="B228" i="17"/>
  <c r="D228" i="17" s="1"/>
  <c r="N65" i="14"/>
  <c r="Y65" i="14"/>
  <c r="V65" i="14"/>
  <c r="S65" i="14"/>
  <c r="AC65" i="14"/>
  <c r="AB65" i="14"/>
  <c r="V688" i="14"/>
  <c r="AC688" i="14"/>
  <c r="N688" i="14"/>
  <c r="S688" i="14"/>
  <c r="Y688" i="14"/>
  <c r="B234" i="17"/>
  <c r="D234" i="17" s="1"/>
  <c r="AB688" i="14"/>
  <c r="AC465" i="14"/>
  <c r="AB465" i="14"/>
  <c r="Y465" i="14"/>
  <c r="B11" i="17"/>
  <c r="D11" i="17" s="1"/>
  <c r="V465" i="14"/>
  <c r="N465" i="14"/>
  <c r="S465" i="14"/>
  <c r="N488" i="14"/>
  <c r="AB488" i="14"/>
  <c r="AC488" i="14"/>
  <c r="Y488" i="14"/>
  <c r="V488" i="14"/>
  <c r="S488" i="14"/>
  <c r="B34" i="17"/>
  <c r="D34" i="17" s="1"/>
  <c r="S20" i="14"/>
  <c r="V20" i="14"/>
  <c r="N20" i="14"/>
  <c r="AC20" i="14"/>
  <c r="AB20" i="14"/>
  <c r="Y20" i="14"/>
  <c r="S787" i="14"/>
  <c r="AB787" i="14"/>
  <c r="AC787" i="14"/>
  <c r="N787" i="14"/>
  <c r="B333" i="17"/>
  <c r="D333" i="17" s="1"/>
  <c r="V787" i="14"/>
  <c r="Y787" i="14"/>
  <c r="S348" i="14"/>
  <c r="N348" i="14"/>
  <c r="AB348" i="14"/>
  <c r="V348" i="14"/>
  <c r="Y348" i="14"/>
  <c r="AC348" i="14"/>
  <c r="S263" i="14"/>
  <c r="AB263" i="14"/>
  <c r="N263" i="14"/>
  <c r="Y263" i="14"/>
  <c r="AC263" i="14"/>
  <c r="V263" i="14"/>
  <c r="V474" i="14"/>
  <c r="B20" i="17"/>
  <c r="D20" i="17" s="1"/>
  <c r="AB474" i="14"/>
  <c r="S474" i="14"/>
  <c r="N474" i="14"/>
  <c r="AC474" i="14"/>
  <c r="Y474" i="14"/>
  <c r="V337" i="14"/>
  <c r="N337" i="14"/>
  <c r="Y337" i="14"/>
  <c r="AB337" i="14"/>
  <c r="S337" i="14"/>
  <c r="AC337" i="14"/>
  <c r="V459" i="14"/>
  <c r="AB459" i="14"/>
  <c r="AC459" i="14"/>
  <c r="N459" i="14"/>
  <c r="S459" i="14"/>
  <c r="B5" i="17"/>
  <c r="D5" i="17" s="1"/>
  <c r="Y459" i="14"/>
  <c r="AB471" i="14"/>
  <c r="N471" i="14"/>
  <c r="B17" i="17"/>
  <c r="D17" i="17" s="1"/>
  <c r="AC471" i="14"/>
  <c r="Y471" i="14"/>
  <c r="V471" i="14"/>
  <c r="S471" i="14"/>
  <c r="S35" i="14"/>
  <c r="V35" i="14"/>
  <c r="AC35" i="14"/>
  <c r="Y35" i="14"/>
  <c r="AB35" i="14"/>
  <c r="N35" i="14"/>
  <c r="AB243" i="14"/>
  <c r="S243" i="14"/>
  <c r="AC243" i="14"/>
  <c r="N243" i="14"/>
  <c r="Y243" i="14"/>
  <c r="V243" i="14"/>
  <c r="Y728" i="14"/>
  <c r="AC728" i="14"/>
  <c r="V728" i="14"/>
  <c r="N728" i="14"/>
  <c r="AB728" i="14"/>
  <c r="B274" i="17"/>
  <c r="D274" i="17" s="1"/>
  <c r="S728" i="14"/>
  <c r="AC1366" i="14"/>
  <c r="V1366" i="14"/>
  <c r="AB1366" i="14"/>
  <c r="S1366" i="14"/>
  <c r="N1366" i="14"/>
  <c r="Y1366" i="14"/>
  <c r="V554" i="14"/>
  <c r="N554" i="14"/>
  <c r="AC554" i="14"/>
  <c r="Y554" i="14"/>
  <c r="AB554" i="14"/>
  <c r="B100" i="17"/>
  <c r="D100" i="17" s="1"/>
  <c r="S554" i="14"/>
  <c r="Y1186" i="14"/>
  <c r="S1186" i="14"/>
  <c r="N1186" i="14"/>
  <c r="V1186" i="14"/>
  <c r="AC1186" i="14"/>
  <c r="AB1186" i="14"/>
  <c r="AB1364" i="14"/>
  <c r="V1364" i="14"/>
  <c r="AC1364" i="14"/>
  <c r="N1364" i="14"/>
  <c r="S1364" i="14"/>
  <c r="Y1364" i="14"/>
  <c r="N1172" i="14"/>
  <c r="Y1172" i="14"/>
  <c r="S1172" i="14"/>
  <c r="AB1172" i="14"/>
  <c r="V1172" i="14"/>
  <c r="AC1172" i="14"/>
  <c r="S520" i="14"/>
  <c r="N520" i="14"/>
  <c r="V520" i="14"/>
  <c r="AC520" i="14"/>
  <c r="B66" i="17"/>
  <c r="D66" i="17" s="1"/>
  <c r="Y520" i="14"/>
  <c r="AB520" i="14"/>
  <c r="Y81" i="14"/>
  <c r="S81" i="14"/>
  <c r="V81" i="14"/>
  <c r="N81" i="14"/>
  <c r="AB81" i="14"/>
  <c r="AC81" i="14"/>
  <c r="AB1084" i="14"/>
  <c r="S1084" i="14"/>
  <c r="V1084" i="14"/>
  <c r="N1084" i="14"/>
  <c r="Y1084" i="14"/>
  <c r="AC1084" i="14"/>
  <c r="S908" i="14"/>
  <c r="AB908" i="14"/>
  <c r="B454" i="17"/>
  <c r="D454" i="17" s="1"/>
  <c r="V908" i="14"/>
  <c r="N908" i="14"/>
  <c r="AC908" i="14"/>
  <c r="Y908" i="14"/>
  <c r="V1302" i="14"/>
  <c r="AB1302" i="14"/>
  <c r="S1302" i="14"/>
  <c r="N1302" i="14"/>
  <c r="Y1302" i="14"/>
  <c r="AC1302" i="14"/>
  <c r="N924" i="14"/>
  <c r="V924" i="14"/>
  <c r="AB924" i="14"/>
  <c r="S924" i="14"/>
  <c r="Y924" i="14"/>
  <c r="B470" i="17"/>
  <c r="D470" i="17" s="1"/>
  <c r="AC924" i="14"/>
  <c r="AB108" i="14"/>
  <c r="V108" i="14"/>
  <c r="S108" i="14"/>
  <c r="AC108" i="14"/>
  <c r="N108" i="14"/>
  <c r="Y108" i="14"/>
  <c r="AB525" i="14"/>
  <c r="Y525" i="14"/>
  <c r="B71" i="17"/>
  <c r="D71" i="17" s="1"/>
  <c r="N525" i="14"/>
  <c r="S525" i="14"/>
  <c r="V525" i="14"/>
  <c r="AC525" i="14"/>
  <c r="B108" i="17"/>
  <c r="D108" i="17" s="1"/>
  <c r="Y562" i="14"/>
  <c r="N562" i="14"/>
  <c r="AB562" i="14"/>
  <c r="V562" i="14"/>
  <c r="AC562" i="14"/>
  <c r="S562" i="14"/>
  <c r="V137" i="14"/>
  <c r="N137" i="14"/>
  <c r="AC137" i="14"/>
  <c r="S137" i="14"/>
  <c r="AB137" i="14"/>
  <c r="Y137" i="14"/>
  <c r="Y576" i="14"/>
  <c r="V576" i="14"/>
  <c r="AC576" i="14"/>
  <c r="S576" i="14"/>
  <c r="AB576" i="14"/>
  <c r="N576" i="14"/>
  <c r="B122" i="17"/>
  <c r="D122" i="17" s="1"/>
  <c r="S1224" i="14"/>
  <c r="N1224" i="14"/>
  <c r="V1224" i="14"/>
  <c r="AB1224" i="14"/>
  <c r="Y1224" i="14"/>
  <c r="AC1224" i="14"/>
  <c r="S294" i="14"/>
  <c r="AB294" i="14"/>
  <c r="AC294" i="14"/>
  <c r="N294" i="14"/>
  <c r="Y294" i="14"/>
  <c r="V294" i="14"/>
  <c r="V158" i="14"/>
  <c r="S158" i="14"/>
  <c r="AB158" i="14"/>
  <c r="N158" i="14"/>
  <c r="AC158" i="14"/>
  <c r="Y158" i="14"/>
  <c r="B169" i="17"/>
  <c r="D169" i="17" s="1"/>
  <c r="Y623" i="14"/>
  <c r="S623" i="14"/>
  <c r="AB623" i="14"/>
  <c r="N623" i="14"/>
  <c r="V623" i="14"/>
  <c r="AC623" i="14"/>
  <c r="V1242" i="14"/>
  <c r="AC1242" i="14"/>
  <c r="S1242" i="14"/>
  <c r="AB1242" i="14"/>
  <c r="Y1242" i="14"/>
  <c r="N1242" i="14"/>
  <c r="V675" i="14"/>
  <c r="AB675" i="14"/>
  <c r="B221" i="17"/>
  <c r="D221" i="17" s="1"/>
  <c r="S675" i="14"/>
  <c r="N675" i="14"/>
  <c r="Y675" i="14"/>
  <c r="AC675" i="14"/>
  <c r="AC1318" i="14"/>
  <c r="V1318" i="14"/>
  <c r="S1318" i="14"/>
  <c r="N1318" i="14"/>
  <c r="AB1318" i="14"/>
  <c r="Y1318" i="14"/>
  <c r="AC769" i="14"/>
  <c r="S769" i="14"/>
  <c r="B315" i="17"/>
  <c r="D315" i="17" s="1"/>
  <c r="V769" i="14"/>
  <c r="N769" i="14"/>
  <c r="Y769" i="14"/>
  <c r="AB769" i="14"/>
  <c r="K4" i="16" l="1"/>
  <c r="K15" i="16"/>
  <c r="K16" i="16" s="1"/>
  <c r="K17" i="16" s="1"/>
  <c r="K8" i="16" l="1"/>
  <c r="K5" i="16"/>
  <c r="L15" i="16" l="1"/>
  <c r="L16" i="16" s="1"/>
  <c r="L17" i="16" s="1"/>
  <c r="L4" i="16"/>
  <c r="L5" i="16" l="1"/>
  <c r="L8" i="16" s="1"/>
</calcChain>
</file>

<file path=xl/comments1.xml><?xml version="1.0" encoding="utf-8"?>
<comments xmlns="http://schemas.openxmlformats.org/spreadsheetml/2006/main">
  <authors>
    <author>cwaddell</author>
  </authors>
  <commentList>
    <comment ref="AB3" authorId="0">
      <text>
        <r>
          <rPr>
            <b/>
            <sz val="8"/>
            <color indexed="81"/>
            <rFont val="Tahoma"/>
            <family val="2"/>
          </rPr>
          <t>cwaddell:</t>
        </r>
        <r>
          <rPr>
            <sz val="8"/>
            <color indexed="81"/>
            <rFont val="Tahoma"/>
            <family val="2"/>
          </rPr>
          <t xml:space="preserve">
assumed CPI at same level </t>
        </r>
      </text>
    </comment>
  </commentList>
</comments>
</file>

<file path=xl/comments2.xml><?xml version="1.0" encoding="utf-8"?>
<comments xmlns="http://schemas.openxmlformats.org/spreadsheetml/2006/main">
  <authors>
    <author>cwaddell</author>
  </authors>
  <commentList>
    <comment ref="AB3" authorId="0">
      <text>
        <r>
          <rPr>
            <b/>
            <sz val="8"/>
            <color indexed="81"/>
            <rFont val="Tahoma"/>
            <family val="2"/>
          </rPr>
          <t>cwaddell:</t>
        </r>
        <r>
          <rPr>
            <sz val="8"/>
            <color indexed="81"/>
            <rFont val="Tahoma"/>
            <family val="2"/>
          </rPr>
          <t xml:space="preserve">
assumed CPI at same level </t>
        </r>
      </text>
    </comment>
  </commentList>
</comments>
</file>

<file path=xl/comments3.xml><?xml version="1.0" encoding="utf-8"?>
<comments xmlns="http://schemas.openxmlformats.org/spreadsheetml/2006/main">
  <authors>
    <author>cwaddell</author>
  </authors>
  <commentList>
    <comment ref="AB3" authorId="0">
      <text>
        <r>
          <rPr>
            <b/>
            <sz val="8"/>
            <color indexed="81"/>
            <rFont val="Tahoma"/>
            <family val="2"/>
          </rPr>
          <t>cwaddell:</t>
        </r>
        <r>
          <rPr>
            <sz val="8"/>
            <color indexed="81"/>
            <rFont val="Tahoma"/>
            <family val="2"/>
          </rPr>
          <t xml:space="preserve">
assumed CPI at same level </t>
        </r>
      </text>
    </comment>
  </commentList>
</comments>
</file>

<file path=xl/sharedStrings.xml><?xml version="1.0" encoding="utf-8"?>
<sst xmlns="http://schemas.openxmlformats.org/spreadsheetml/2006/main" count="3941" uniqueCount="2165">
  <si>
    <r>
      <t xml:space="preserve">SLUOS Tariff 2012/2013 </t>
    </r>
    <r>
      <rPr>
        <b/>
        <sz val="8"/>
        <color indexed="10"/>
        <rFont val="Arial"/>
        <family val="2"/>
      </rPr>
      <t>(Proposed *)</t>
    </r>
  </si>
  <si>
    <r>
      <t xml:space="preserve">SLUOS Tariff 2013/2014 </t>
    </r>
    <r>
      <rPr>
        <b/>
        <sz val="8"/>
        <color indexed="10"/>
        <rFont val="Arial"/>
        <family val="2"/>
      </rPr>
      <t>(Proposed *)</t>
    </r>
  </si>
  <si>
    <r>
      <t xml:space="preserve">SLUOS Tariff 2009/2010 </t>
    </r>
    <r>
      <rPr>
        <b/>
        <sz val="8"/>
        <color indexed="10"/>
        <rFont val="Arial"/>
        <family val="2"/>
      </rPr>
      <t>(Proposed *)</t>
    </r>
  </si>
  <si>
    <r>
      <t>SLUOS Tariff 2009/2010</t>
    </r>
    <r>
      <rPr>
        <b/>
        <sz val="8"/>
        <color indexed="12"/>
        <rFont val="Arial"/>
        <family val="2"/>
      </rPr>
      <t xml:space="preserve"> (Approved)</t>
    </r>
  </si>
  <si>
    <r>
      <t xml:space="preserve">SLUOS Tariff 2010/2011 </t>
    </r>
    <r>
      <rPr>
        <b/>
        <sz val="8"/>
        <color indexed="12"/>
        <rFont val="Arial"/>
        <family val="2"/>
      </rPr>
      <t>(Approved)</t>
    </r>
  </si>
  <si>
    <r>
      <t xml:space="preserve">SLUOS Tariff 2011/2012 </t>
    </r>
    <r>
      <rPr>
        <b/>
        <sz val="8"/>
        <color indexed="12"/>
        <rFont val="Arial"/>
        <family val="2"/>
      </rPr>
      <t>(Approved)</t>
    </r>
  </si>
  <si>
    <r>
      <t xml:space="preserve">SLUOS Tariff 2012/2013 </t>
    </r>
    <r>
      <rPr>
        <b/>
        <sz val="8"/>
        <color indexed="12"/>
        <rFont val="Arial"/>
        <family val="2"/>
      </rPr>
      <t>(Approved)</t>
    </r>
  </si>
  <si>
    <r>
      <t xml:space="preserve">SLUOS Tariff 2013/2014 </t>
    </r>
    <r>
      <rPr>
        <b/>
        <sz val="8"/>
        <color indexed="12"/>
        <rFont val="Arial"/>
        <family val="2"/>
      </rPr>
      <t>(Approved)</t>
    </r>
  </si>
  <si>
    <r>
      <t xml:space="preserve">SLUOS Tariff 2010/2011 </t>
    </r>
    <r>
      <rPr>
        <b/>
        <sz val="8"/>
        <color indexed="10"/>
        <rFont val="Arial"/>
        <family val="2"/>
      </rPr>
      <t>(Proposed *)</t>
    </r>
  </si>
  <si>
    <t>MVA0260-ST</t>
  </si>
  <si>
    <t>MVA0290-ST</t>
  </si>
  <si>
    <t>FLU0010</t>
  </si>
  <si>
    <t>FLU0020</t>
  </si>
  <si>
    <t>FLU0030</t>
  </si>
  <si>
    <t>FLU0040</t>
  </si>
  <si>
    <t>FLU0050</t>
  </si>
  <si>
    <t>FLU0060</t>
  </si>
  <si>
    <t>FLU0070</t>
  </si>
  <si>
    <t>FLU0080</t>
  </si>
  <si>
    <t>FLU0090</t>
  </si>
  <si>
    <t>FLU0100</t>
  </si>
  <si>
    <t>FLU0110</t>
  </si>
  <si>
    <t>FLU0120</t>
  </si>
  <si>
    <t>FLU0130</t>
  </si>
  <si>
    <t>FLU0140</t>
  </si>
  <si>
    <t>FLU0150</t>
  </si>
  <si>
    <t>FLU0160</t>
  </si>
  <si>
    <t>FLU0170</t>
  </si>
  <si>
    <t>FLU0180</t>
  </si>
  <si>
    <t>FLU0190</t>
  </si>
  <si>
    <t>FLU0200</t>
  </si>
  <si>
    <t>FLU0210</t>
  </si>
  <si>
    <t>FLU0220</t>
  </si>
  <si>
    <t>FLU0230</t>
  </si>
  <si>
    <t>FLU0240</t>
  </si>
  <si>
    <t>FLU0250</t>
  </si>
  <si>
    <t>FLU0260</t>
  </si>
  <si>
    <t>FLU0270</t>
  </si>
  <si>
    <t>FLU0280</t>
  </si>
  <si>
    <t>FLU0290</t>
  </si>
  <si>
    <t>FLU0300</t>
  </si>
  <si>
    <t>FLU0310</t>
  </si>
  <si>
    <t>FLU0320</t>
  </si>
  <si>
    <t>HPS0010</t>
  </si>
  <si>
    <t>HPS0020</t>
  </si>
  <si>
    <t>HPS0030</t>
  </si>
  <si>
    <t>HPS0040</t>
  </si>
  <si>
    <t>HPS0050</t>
  </si>
  <si>
    <t>HPS0060</t>
  </si>
  <si>
    <t>HPS0070</t>
  </si>
  <si>
    <t>HPS0080</t>
  </si>
  <si>
    <t>HPS0090</t>
  </si>
  <si>
    <t>HPS0100</t>
  </si>
  <si>
    <t>HPS0110</t>
  </si>
  <si>
    <t>HPS0120</t>
  </si>
  <si>
    <t>HPS0130</t>
  </si>
  <si>
    <t>HPS0140</t>
  </si>
  <si>
    <t>HPS0150</t>
  </si>
  <si>
    <t>FLU0350-ST</t>
  </si>
  <si>
    <t>FLU0350</t>
  </si>
  <si>
    <t>HPS0160</t>
  </si>
  <si>
    <t>HPS0170</t>
  </si>
  <si>
    <t>HPS0180</t>
  </si>
  <si>
    <t>HPS0190</t>
  </si>
  <si>
    <t>HPS0200</t>
  </si>
  <si>
    <t>HPS0210</t>
  </si>
  <si>
    <t>HPS0220</t>
  </si>
  <si>
    <t>HPS0230</t>
  </si>
  <si>
    <t>HPS0240</t>
  </si>
  <si>
    <t>HPS0250</t>
  </si>
  <si>
    <t>HPS0260</t>
  </si>
  <si>
    <t>INC0010</t>
  </si>
  <si>
    <t>INC0020</t>
  </si>
  <si>
    <t>INC0030</t>
  </si>
  <si>
    <t>INC0040</t>
  </si>
  <si>
    <t>INC0050</t>
  </si>
  <si>
    <t>INC0060</t>
  </si>
  <si>
    <t>INC0070</t>
  </si>
  <si>
    <t>INC0080</t>
  </si>
  <si>
    <t>INC0090</t>
  </si>
  <si>
    <t>INC0100</t>
  </si>
  <si>
    <t>INC0110</t>
  </si>
  <si>
    <t>INC0120</t>
  </si>
  <si>
    <t>INC0130</t>
  </si>
  <si>
    <t>INC0140</t>
  </si>
  <si>
    <t>INC0150</t>
  </si>
  <si>
    <t>INC0160</t>
  </si>
  <si>
    <t>INC0170</t>
  </si>
  <si>
    <t>LPS0010</t>
  </si>
  <si>
    <t>LPS0020</t>
  </si>
  <si>
    <t>LPS0030</t>
  </si>
  <si>
    <t>LPS0040</t>
  </si>
  <si>
    <t>LPS0050</t>
  </si>
  <si>
    <t>LPS0060</t>
  </si>
  <si>
    <t>LPS0070</t>
  </si>
  <si>
    <t>LPS0080</t>
  </si>
  <si>
    <t>LPS0090</t>
  </si>
  <si>
    <t>MHC0010</t>
  </si>
  <si>
    <t>MHC0020</t>
  </si>
  <si>
    <t>MHC0030</t>
  </si>
  <si>
    <t>MHR0010</t>
  </si>
  <si>
    <t>MHR0020</t>
  </si>
  <si>
    <t>Labour portion of opex</t>
  </si>
  <si>
    <t>MHR0030</t>
  </si>
  <si>
    <t>MHR0040</t>
  </si>
  <si>
    <t>MHR0050</t>
  </si>
  <si>
    <t>MHR0060</t>
  </si>
  <si>
    <t>MHR0070</t>
  </si>
  <si>
    <t>MHR0080</t>
  </si>
  <si>
    <t>MHR0090</t>
  </si>
  <si>
    <t>MHR0100</t>
  </si>
  <si>
    <t>MHR0110</t>
  </si>
  <si>
    <t>MHR0120</t>
  </si>
  <si>
    <t>MHR0130</t>
  </si>
  <si>
    <t>MVA0010</t>
  </si>
  <si>
    <t>MVA0020</t>
  </si>
  <si>
    <t>MVA0030</t>
  </si>
  <si>
    <t>MVA0040</t>
  </si>
  <si>
    <t>MVA0050</t>
  </si>
  <si>
    <t>MVA0060</t>
  </si>
  <si>
    <t>MVA0070</t>
  </si>
  <si>
    <t>MVA0080</t>
  </si>
  <si>
    <t>MVA0090</t>
  </si>
  <si>
    <t>MVA0100</t>
  </si>
  <si>
    <t>MVA0110</t>
  </si>
  <si>
    <t>MVA0120</t>
  </si>
  <si>
    <t>MVA0130</t>
  </si>
  <si>
    <t>MVA0140</t>
  </si>
  <si>
    <t>MVA0150</t>
  </si>
  <si>
    <t>MVA0160</t>
  </si>
  <si>
    <t>MVA0170</t>
  </si>
  <si>
    <t>MVA0180</t>
  </si>
  <si>
    <t>MVA0190</t>
  </si>
  <si>
    <t>MVA0200</t>
  </si>
  <si>
    <t>MVA0210</t>
  </si>
  <si>
    <t>MVA0220</t>
  </si>
  <si>
    <t>MVA0230</t>
  </si>
  <si>
    <t>MVA0240</t>
  </si>
  <si>
    <t>MVA0250</t>
  </si>
  <si>
    <t>MVA0260</t>
  </si>
  <si>
    <t>Inflation rate</t>
  </si>
  <si>
    <t>MVA0270</t>
  </si>
  <si>
    <t>MVA0280</t>
  </si>
  <si>
    <t>MVA0290</t>
  </si>
  <si>
    <t>MVA0300</t>
  </si>
  <si>
    <t>MVA0310</t>
  </si>
  <si>
    <t>MVA0320</t>
  </si>
  <si>
    <t>FLU0090-ST</t>
  </si>
  <si>
    <t>FLU0270-ST</t>
  </si>
  <si>
    <t>HPS0010-INT</t>
  </si>
  <si>
    <t>HPS0030-ST</t>
  </si>
  <si>
    <t>HPS0030-TA</t>
  </si>
  <si>
    <t>HPS0040-ST</t>
  </si>
  <si>
    <t>HPS0040-TA</t>
  </si>
  <si>
    <t>HPS0050-ST</t>
  </si>
  <si>
    <t>HPS0050-TA</t>
  </si>
  <si>
    <t>HPS0080-TA</t>
  </si>
  <si>
    <t>HPS0100-TA</t>
  </si>
  <si>
    <t>HPS0130-ST</t>
  </si>
  <si>
    <t>HPS0130-TA</t>
  </si>
  <si>
    <t>HPS0150-ST</t>
  </si>
  <si>
    <t>HPS0150-TA</t>
  </si>
  <si>
    <t>HPS0160-TA</t>
  </si>
  <si>
    <t>HPS0200-ST</t>
  </si>
  <si>
    <t>HPS0200-TA</t>
  </si>
  <si>
    <t>HPS0240-ST</t>
  </si>
  <si>
    <t>MHR0120-ST</t>
  </si>
  <si>
    <t>MVA0030-ST</t>
  </si>
  <si>
    <t>MVA0090-ST</t>
  </si>
  <si>
    <t>MVA0200-ST</t>
  </si>
  <si>
    <t>MVA0230-ST</t>
  </si>
  <si>
    <t>This spreadsheet defines the different lantern typoes and for each type of construction, the capital code, capital charges and maintenance charge.</t>
  </si>
  <si>
    <t>Traffic Control</t>
  </si>
  <si>
    <t>Total</t>
  </si>
  <si>
    <t>Contains Modelling data used in support of maintenance cost calculations. This includes pole maintenance, traffic control, labour and Plant and patrols.</t>
  </si>
  <si>
    <t>Capital Code Schedules</t>
  </si>
  <si>
    <t>Mapping of the SLUOS Capital prices to the Capital Codes.</t>
  </si>
  <si>
    <t>Pole Maintenance</t>
  </si>
  <si>
    <t>Shared Poles - All pole inspection cost is attributed to the reticulation pole.</t>
  </si>
  <si>
    <t xml:space="preserve">2000 W MH FLOODLIGHT </t>
  </si>
  <si>
    <t>Other Maintenance</t>
  </si>
  <si>
    <t>Lights on PE Control Percentages</t>
  </si>
  <si>
    <t>&lt; 150 W</t>
  </si>
  <si>
    <t>&gt;= 150 W</t>
  </si>
  <si>
    <t>Bulk Replacement Labour and Plant Cost</t>
  </si>
  <si>
    <t>Bulk Replacement Plant Travel Cost</t>
  </si>
  <si>
    <t>Number of Lamps</t>
  </si>
  <si>
    <t>Lamp Cost</t>
  </si>
  <si>
    <t>Ballast / Ignitor Cost</t>
  </si>
  <si>
    <t>Labour &amp; Plant</t>
  </si>
  <si>
    <t>Lamp / Ignitor Cost</t>
  </si>
  <si>
    <t>Material</t>
  </si>
  <si>
    <t>Other Repairs Material Cost</t>
  </si>
  <si>
    <t>Pole Maintenance Costs</t>
  </si>
  <si>
    <t>Street Light Patrol</t>
  </si>
  <si>
    <t>Spot</t>
  </si>
  <si>
    <t>Bulk</t>
  </si>
  <si>
    <t>Maintenance Costs</t>
  </si>
  <si>
    <t>The cells marked with aqua colour define the assumptions used in these calculations.</t>
  </si>
  <si>
    <t>This sheet models the typical maintenance costs associated  for both spot and bulk replacement for each lamp type.</t>
  </si>
  <si>
    <t>Capital Codes Schedules</t>
  </si>
  <si>
    <t>Minor roads. In many situations, the crew will just put out witches hats</t>
  </si>
  <si>
    <t>As above</t>
  </si>
  <si>
    <t>Traffic Route Lighting - more stringent safety regulations</t>
  </si>
  <si>
    <t>Number of Lights maintained per 4 hour stint</t>
  </si>
  <si>
    <t>Materials On-costing Rate</t>
  </si>
  <si>
    <t>Labour On-costing Rate</t>
  </si>
  <si>
    <t>Plant On-costing Rate</t>
  </si>
  <si>
    <t>%</t>
  </si>
  <si>
    <t>This sheet maps the defined capital codes to a SLUOS Capital charge. The sheet is linked to</t>
  </si>
  <si>
    <t>FLU0120-ST</t>
  </si>
  <si>
    <t>FLU0210-ST</t>
  </si>
  <si>
    <t>FLU0220-ST</t>
  </si>
  <si>
    <t>FLU0230-ST</t>
  </si>
  <si>
    <t>FLU0280-ST</t>
  </si>
  <si>
    <t>FLU0290-ST</t>
  </si>
  <si>
    <t>FLU0310-ST</t>
  </si>
  <si>
    <t>FLU0320-ST</t>
  </si>
  <si>
    <t>HPS0060-ST</t>
  </si>
  <si>
    <t>HPS0060-TA</t>
  </si>
  <si>
    <t>HPS0220-ST</t>
  </si>
  <si>
    <t>HPS0230-ST</t>
  </si>
  <si>
    <t>HPS0260-ST</t>
  </si>
  <si>
    <t>INC0060-ST</t>
  </si>
  <si>
    <t>INC0120-ST</t>
  </si>
  <si>
    <t>INC0150-ST</t>
  </si>
  <si>
    <t>INC0170-ST</t>
  </si>
  <si>
    <t>LPS0070-ST</t>
  </si>
  <si>
    <t>MHC0010-ST</t>
  </si>
  <si>
    <t>MHC0020-ST</t>
  </si>
  <si>
    <t>MHC0030-ST</t>
  </si>
  <si>
    <t>MHR0040-ST</t>
  </si>
  <si>
    <t>MHR0050-ST</t>
  </si>
  <si>
    <t>MHR0080-ST</t>
  </si>
  <si>
    <t>MHR0110-ST</t>
  </si>
  <si>
    <t>MHR0130-ST</t>
  </si>
  <si>
    <t>MVA0050-ST</t>
  </si>
  <si>
    <t>MVA0060-ST</t>
  </si>
  <si>
    <t>MVA0070-ST</t>
  </si>
  <si>
    <t>MVA0100-ST</t>
  </si>
  <si>
    <t>MVA0110-ST</t>
  </si>
  <si>
    <t>MVA0130-ST</t>
  </si>
  <si>
    <t>MVA0140-ST</t>
  </si>
  <si>
    <t>MVA0150-ST</t>
  </si>
  <si>
    <t>MVA0160-ST</t>
  </si>
  <si>
    <t>MVA0180-ST</t>
  </si>
  <si>
    <t>MVA0210-ST</t>
  </si>
  <si>
    <t>MVA0240-ST</t>
  </si>
  <si>
    <t>MVA0270-ST</t>
  </si>
  <si>
    <t>MVA0280-ST</t>
  </si>
  <si>
    <t>MVA0300-ST</t>
  </si>
  <si>
    <t>MVA0310-ST</t>
  </si>
  <si>
    <t>MVA0320-ST</t>
  </si>
  <si>
    <t>Count of Lamps in WASP (as of 09-11-2007)</t>
  </si>
  <si>
    <r>
      <t>Note :</t>
    </r>
    <r>
      <rPr>
        <sz val="8"/>
        <rFont val="Arial"/>
        <family val="2"/>
      </rPr>
      <t xml:space="preserve"> The count of Lamps in WASP column should be examined by the reader to determine the list of lampo codes that 
Country Energy currently has in its network.</t>
    </r>
  </si>
  <si>
    <t>the SLUOS Construction Charge Workbook.</t>
  </si>
  <si>
    <t>Plant Assumptions</t>
  </si>
  <si>
    <t>Traffic Control Assumptions</t>
  </si>
  <si>
    <t>Base Traffic Control Cost</t>
  </si>
  <si>
    <t>Labour Rates</t>
  </si>
  <si>
    <t>Streetlight Patrol</t>
  </si>
  <si>
    <t>Number of staff for patrol</t>
  </si>
  <si>
    <t>Number of Patrols per year</t>
  </si>
  <si>
    <t>Streetlights per kiliometre</t>
  </si>
  <si>
    <t>Number of inspections per hour</t>
  </si>
  <si>
    <t>Labour Cost per lantern</t>
  </si>
  <si>
    <t>Plant Cost per lantern</t>
  </si>
  <si>
    <t>Ute / Van</t>
  </si>
  <si>
    <t>Maintenance Model</t>
  </si>
  <si>
    <t xml:space="preserve">Description </t>
  </si>
  <si>
    <t>Calculations</t>
  </si>
  <si>
    <t>Spot Replacement Hours</t>
  </si>
  <si>
    <t>Bulk Replacement Hours</t>
  </si>
  <si>
    <t>CE Standard Labour Rate</t>
  </si>
  <si>
    <t>CE Standard Labour Rate (oncosted)</t>
  </si>
  <si>
    <t>Spot Replacement Labour Cost</t>
  </si>
  <si>
    <t>Bulk Replacement Labour Cost</t>
  </si>
  <si>
    <t>Plant Material Type</t>
  </si>
  <si>
    <t>Hourly Rate</t>
  </si>
  <si>
    <t>EWP</t>
  </si>
  <si>
    <t>Incandescent lights require less traffic control. The traffic control figure for lights &lt; 150W figure has been used for all lamp codes.</t>
  </si>
  <si>
    <t>Lantern Watts (Nominal)</t>
  </si>
  <si>
    <t>Lamp Replacement Frequency Spot % (Manufacturer's Data expressed as a pecentage chance of failure for year)</t>
  </si>
  <si>
    <t>Ballast / Ignitor Replacement Frequency (Manufacturer's Data expressed as a pecentage chance of failure for year)</t>
  </si>
  <si>
    <t>Starter / PE Cell Replacement Frequency expressed as a pecentage chance of failure for year</t>
  </si>
  <si>
    <t>Bulk % (expressed as a pecentage chance of failure for year)</t>
  </si>
  <si>
    <t>Spot Replacement Percentage under Bulk Replacement Regime</t>
  </si>
  <si>
    <t>Total Number of Streetlight Poles (shared and dedicated) determined from WASP (2007)</t>
  </si>
  <si>
    <t>Borer</t>
  </si>
  <si>
    <t>Ditchwitch</t>
  </si>
  <si>
    <t>Trailer/Jinker</t>
  </si>
  <si>
    <t>4 tonne truck</t>
  </si>
  <si>
    <t>Bulk Replacement Plant Hours</t>
  </si>
  <si>
    <t>Spot Replacement Plant Hours</t>
  </si>
  <si>
    <t>Assumptions</t>
  </si>
  <si>
    <t>Spot Replacement Labour Travel Cost</t>
  </si>
  <si>
    <t>Bulk Replacement Labour Travel Cost</t>
  </si>
  <si>
    <t>Spot Replacement Plant Travel Cost</t>
  </si>
  <si>
    <t>Spot Replacement Labour and Plant Cost</t>
  </si>
  <si>
    <t>Number of Controllers Required</t>
  </si>
  <si>
    <t>Hourly Rate for Controller</t>
  </si>
  <si>
    <t>Mapping Code</t>
  </si>
  <si>
    <t>Public Lighting Use of System Charges</t>
  </si>
  <si>
    <t>Tariff Code</t>
  </si>
  <si>
    <t>Equivalent Lantern for Capital Calculation</t>
  </si>
  <si>
    <t>Dedicated Pole</t>
  </si>
  <si>
    <t>Number of lights per Construction</t>
  </si>
  <si>
    <t>Tariff Description</t>
  </si>
  <si>
    <t>Dedicated Pole Type</t>
  </si>
  <si>
    <t>Number of lights</t>
  </si>
  <si>
    <t>MAINTENANCE COMPONENT</t>
  </si>
  <si>
    <t>HIGH PRESSURE SODIUM 50W TWIN ARC</t>
  </si>
  <si>
    <t>35W LOW PRESSURE SODIUM</t>
  </si>
  <si>
    <t>R/BOUT COLUMN</t>
  </si>
  <si>
    <t xml:space="preserve">MERCURY VAPOUR 400W </t>
  </si>
  <si>
    <t>SV 600W HIGH MAST</t>
  </si>
  <si>
    <t>METAL HALIDE 250W BOSTON 3</t>
  </si>
  <si>
    <t>HIGH PRESSURE SODIUM DECORATIVE 150W</t>
  </si>
  <si>
    <t>HIGH PRESSURE SODIUM DECORATIVE 250W (210/220)</t>
  </si>
  <si>
    <t>HIGH PRESSURE SODIUM 1X400 W POST TOP</t>
  </si>
  <si>
    <t>KENSINGTON 80 W</t>
  </si>
  <si>
    <t>NOSTALGIA 80 W</t>
  </si>
  <si>
    <t>REXEL OPTISPAN MINOR CFL57</t>
  </si>
  <si>
    <t>REXEL OPTISPAN MINOR 70 HPS</t>
  </si>
  <si>
    <t>Tariff Descriptions</t>
  </si>
  <si>
    <t>Starter / PE Cell Cost</t>
  </si>
  <si>
    <t>For the different configurations of streetlights (lantern type, type of pole, number of lights), determines the capital code as well as the capital and maintenance charges.</t>
  </si>
  <si>
    <t>Calculates the cost of maintenance for each lamp code.</t>
  </si>
  <si>
    <t>Provides costing data for other types of defined maintenance that has been carried out on Country Energy's streetlight network.</t>
  </si>
  <si>
    <t>Pole Maintenance Cost</t>
  </si>
  <si>
    <t>Installation Cost per unit</t>
  </si>
  <si>
    <t>Total Installation Cost</t>
  </si>
  <si>
    <t>RAB Allocation</t>
  </si>
  <si>
    <t>RAB Allocation per Installation</t>
  </si>
  <si>
    <t>Paint work maintenance of decorative streetlights has not been modelled but this may be required in the future.</t>
  </si>
  <si>
    <t>Percentage of Poles &gt;= 12 years and hence requiring drill hoile and treatment (as determined from WASP)</t>
  </si>
  <si>
    <t>Pole Treatment Time (includes any travel)</t>
  </si>
  <si>
    <t>FLU0370-ST-1870-001-S</t>
  </si>
  <si>
    <t>FLU0370-ST-1870-002-S</t>
  </si>
  <si>
    <t>FLU0370-ST-1880-001-S</t>
  </si>
  <si>
    <t>FLU0370-ST-1880-002-S</t>
  </si>
  <si>
    <t>FLU0370-ST-1890-001-S</t>
  </si>
  <si>
    <t>FLU0370-ST-1900-002-S</t>
  </si>
  <si>
    <t>FLU0370-ST-1910-001-S</t>
  </si>
  <si>
    <t>FLU0370-ST-1910-002-S</t>
  </si>
  <si>
    <t>FLU0370-ST-1920-001-S</t>
  </si>
  <si>
    <t>FLU0370-ST-1920-002-S</t>
  </si>
  <si>
    <t>FLU0370-ST-1930-001-S</t>
  </si>
  <si>
    <t>FLU0370-ST-1930-002-S</t>
  </si>
  <si>
    <t>FLU0370-ST-1940-001-S</t>
  </si>
  <si>
    <t>FLU0370-ST-1940-002-S</t>
  </si>
  <si>
    <t>FLU0370-ST-1950-001-S</t>
  </si>
  <si>
    <t>FLU0370-ST-1950-002-S</t>
  </si>
  <si>
    <t>FLU0370-ST-1960-001-S</t>
  </si>
  <si>
    <t>FLU0370-ST-1960-002-S</t>
  </si>
  <si>
    <t>FLU0370-ST-1970-001-S</t>
  </si>
  <si>
    <t>FLU0370-ST-1970-002-S</t>
  </si>
  <si>
    <t>2009-10</t>
  </si>
  <si>
    <t>2010-11</t>
  </si>
  <si>
    <t>2011-12</t>
  </si>
  <si>
    <t>2012-13</t>
  </si>
  <si>
    <t>2013-14</t>
  </si>
  <si>
    <t>FLU0010-ST-0010-002-B</t>
  </si>
  <si>
    <t>FLU0010-ST-0110-001-B</t>
  </si>
  <si>
    <t>FLU0020-ST-0010-001-B</t>
  </si>
  <si>
    <t>FLU0030-ST-0110-002-B</t>
  </si>
  <si>
    <t>FLU0040-ST-0010-002-B</t>
  </si>
  <si>
    <t>FLU0050-ST-0010-001-B</t>
  </si>
  <si>
    <t>FLU0050-ST-0010-002-B</t>
  </si>
  <si>
    <t>FLU0050-ST-0110-002-B</t>
  </si>
  <si>
    <t>FLU0060-ST-0010-001-B</t>
  </si>
  <si>
    <t>FLU0060-ST-0010-002-B</t>
  </si>
  <si>
    <t>FLU0060-ST-0740-002-B</t>
  </si>
  <si>
    <t>FLU0060-ST-0990-001-B</t>
  </si>
  <si>
    <t>FLU0070-ST-0010-001-B</t>
  </si>
  <si>
    <t>FLU0070-ST-0010-002-B</t>
  </si>
  <si>
    <t>FLU0080-ST-0010-001-B</t>
  </si>
  <si>
    <t>FLU0080-ST-0010-002-B</t>
  </si>
  <si>
    <t>FLU0080-ST-0990-001-B</t>
  </si>
  <si>
    <t>FLU0100-ST-0010-001-B</t>
  </si>
  <si>
    <t>FLU0100-ST-0010-002-B</t>
  </si>
  <si>
    <t>FLU0110-ST-0010-002-B</t>
  </si>
  <si>
    <t>FLU0130-ST-0010-001-B</t>
  </si>
  <si>
    <t>FLU0130-ST-0010-002-B</t>
  </si>
  <si>
    <t>FLU0130-ST-0110-001-B</t>
  </si>
  <si>
    <t>FLU0130-ST-0110-002-B</t>
  </si>
  <si>
    <t>FLU0130-ST-0740-001-B</t>
  </si>
  <si>
    <t>FLU0130-ST-0740-002-B</t>
  </si>
  <si>
    <t>FLU0130-ST-0810-001-B</t>
  </si>
  <si>
    <t>FLU0130-ST-0810-002-B</t>
  </si>
  <si>
    <t>FLU0130-ST-0820-002-B</t>
  </si>
  <si>
    <t>FLU0130-ST-0990-001-B</t>
  </si>
  <si>
    <t>FLU0130-ST-0990-002-B</t>
  </si>
  <si>
    <t>FLU0140-ST-0010-001-B</t>
  </si>
  <si>
    <t>FLU0140-ST-0010-002-B</t>
  </si>
  <si>
    <t>FLU0140-ST-0990-001-B</t>
  </si>
  <si>
    <t>FLU0150-ST-0010-001-B</t>
  </si>
  <si>
    <t>FLU0150-ST-0010-002-B</t>
  </si>
  <si>
    <t>FLU0150-ST-0810-002-B</t>
  </si>
  <si>
    <t>FLU0160-ST-0010-001-B</t>
  </si>
  <si>
    <t>FLU0160-ST-0010-002-B</t>
  </si>
  <si>
    <t>FLU0160-ST-0810-002-B</t>
  </si>
  <si>
    <t>FLU0160-ST-0990-001-B</t>
  </si>
  <si>
    <t>FLU0160-ST-0990-002-B</t>
  </si>
  <si>
    <t>FLU0170-ST-0010-002-B</t>
  </si>
  <si>
    <t>FLU0180-ST-0010-001-B</t>
  </si>
  <si>
    <t>FLU0190-ST-0010-001-B</t>
  </si>
  <si>
    <t>FLU0190-ST-0010-002-B</t>
  </si>
  <si>
    <t>FLU0200-ST-0010-002-B</t>
  </si>
  <si>
    <t>FLU0240-ST-0010-001-B</t>
  </si>
  <si>
    <t>FLU0240-ST-0010-002-B</t>
  </si>
  <si>
    <t>FLU0240-ST-0990-001-B</t>
  </si>
  <si>
    <t>FLU0240-ST-0990-002-B</t>
  </si>
  <si>
    <t>FLU0240-ST-1000-002-B</t>
  </si>
  <si>
    <t>FLU0240-ST-1260-002-B</t>
  </si>
  <si>
    <t>FLU0250-ST-0010-001-B</t>
  </si>
  <si>
    <t>FLU0250-ST-0010-002-B</t>
  </si>
  <si>
    <t>FLU0260-ST-0010-002-B</t>
  </si>
  <si>
    <t>FLU0270-ST-0010-002-B</t>
  </si>
  <si>
    <t>FLU0300-ST-0010-002-B</t>
  </si>
  <si>
    <t>HPS0010-ST-0040-001-B</t>
  </si>
  <si>
    <t>HPS0010-ST-0040-002-B</t>
  </si>
  <si>
    <t>HPS0010-ST-0090-002-B</t>
  </si>
  <si>
    <t>HPS0010-ST-0350-001-B</t>
  </si>
  <si>
    <t>HPS0010-ST-0350-002-B</t>
  </si>
  <si>
    <t>HPS0010-ST-0360-001-B</t>
  </si>
  <si>
    <t>HPS0010-ST-0360-002-B</t>
  </si>
  <si>
    <t>HPS0010-ST-0750-001-B</t>
  </si>
  <si>
    <t>HPS0010-TA-0090-001-B</t>
  </si>
  <si>
    <t>HPS0010-TA-0090-002-B</t>
  </si>
  <si>
    <t>HPS0010-TA-0140-001-B</t>
  </si>
  <si>
    <t>HPS0010-TA-0170-001-B</t>
  </si>
  <si>
    <t>HPS0010-TA-0170-002-B</t>
  </si>
  <si>
    <t>HPS0010-TA-1180-001-B</t>
  </si>
  <si>
    <t>HPS0010-TA-1200-001-B</t>
  </si>
  <si>
    <t>HPS0020-ST-0040-001-B</t>
  </si>
  <si>
    <t>HPS0020-ST-0040-002-B</t>
  </si>
  <si>
    <t>HPS0020-ST-0170-002-B</t>
  </si>
  <si>
    <t>Tarriff Code</t>
  </si>
  <si>
    <t>2009/2010</t>
  </si>
  <si>
    <t>Capital</t>
  </si>
  <si>
    <t>SLUOS</t>
  </si>
  <si>
    <t>2010/2011</t>
  </si>
  <si>
    <t>2011/2012</t>
  </si>
  <si>
    <t>2012/2013</t>
  </si>
  <si>
    <t>2013/2014</t>
  </si>
  <si>
    <t>HPS0020-ST-0350-001-B</t>
  </si>
  <si>
    <t>HPS0020-ST-0350-002-B</t>
  </si>
  <si>
    <t>HPS0020-ST-0360-001-B</t>
  </si>
  <si>
    <t>HPS0020-ST-0360-002-B</t>
  </si>
  <si>
    <t>HPS0020-ST-0730-001-B</t>
  </si>
  <si>
    <t>HPS0020-ST-0730-002-B</t>
  </si>
  <si>
    <t>HPS0020-ST-0750-002-B</t>
  </si>
  <si>
    <t>HPS0020-ST-0880-002-B</t>
  </si>
  <si>
    <t>HPS0020-ST-0890-001-B</t>
  </si>
  <si>
    <t>HPS0020-ST-0890-002-B</t>
  </si>
  <si>
    <t>HPS0020-ST-0910-001-B</t>
  </si>
  <si>
    <t>HPS0020-ST-0910-002-B</t>
  </si>
  <si>
    <t>HPS0020-TA-0090-001-B</t>
  </si>
  <si>
    <t>HPS0020-TA-0090-002-B</t>
  </si>
  <si>
    <t>HPS0020-TA-0140-001-B</t>
  </si>
  <si>
    <t>HPS0020-TA-0140-002-B</t>
  </si>
  <si>
    <t>HPS0020-TA-0170-001-B</t>
  </si>
  <si>
    <t>HPS0020-TA-0170-002-B</t>
  </si>
  <si>
    <t>HPS0070-ST-0040-001-B</t>
  </si>
  <si>
    <t>HPS0070-ST-0040-002-B</t>
  </si>
  <si>
    <t>Return of Capital p.a.</t>
  </si>
  <si>
    <t>Return on Capital per device</t>
  </si>
  <si>
    <t>Assuming write down of existing assets over 5 years</t>
  </si>
  <si>
    <t>MAINTENANCE TARIFFS applicable to Tariff Types 1 &amp; 2</t>
  </si>
  <si>
    <t>HPS0070-ST-0350-001-B</t>
  </si>
  <si>
    <t>HPS0070-ST-0360-001-B</t>
  </si>
  <si>
    <t>HPS0070-ST-0360-002-B</t>
  </si>
  <si>
    <t>HPS0080-ST-0050-001-B</t>
  </si>
  <si>
    <t>HPS0080-ST-0360-002-B</t>
  </si>
  <si>
    <t>HPS0090-ST-0050-001-B</t>
  </si>
  <si>
    <t>HPS0090-ST-0050-002-B</t>
  </si>
  <si>
    <t>HPS0090-ST-0220-001-B</t>
  </si>
  <si>
    <t>HPS0090-ST-0220-002-B</t>
  </si>
  <si>
    <t>HPS0090-ST-0310-001-B</t>
  </si>
  <si>
    <t>HPS0090-ST-0310-002-B</t>
  </si>
  <si>
    <t>HPS0090-ST-0690-001-B</t>
  </si>
  <si>
    <t>HPS0090-ST-0690-002-B</t>
  </si>
  <si>
    <t>HPS0090-ST-0710-002-B</t>
  </si>
  <si>
    <t>HPS0090-ST-0720-001-B</t>
  </si>
  <si>
    <t>HPS0090-ST-0720-002-B</t>
  </si>
  <si>
    <t>HPS0090-ST-0980-002-B</t>
  </si>
  <si>
    <t>HPS0090-ST-1010-001-B</t>
  </si>
  <si>
    <t>HPS0090-ST-1010-002-B</t>
  </si>
  <si>
    <t>HPS0090-ST-1360-002-B</t>
  </si>
  <si>
    <t>HPS0090-TA-0050-001-B</t>
  </si>
  <si>
    <t>HPS0090-TA-0050-002-B</t>
  </si>
  <si>
    <t>HPS0090-TA-0220-001-B</t>
  </si>
  <si>
    <t>HPS0090-TA-0310-001-B</t>
  </si>
  <si>
    <t>HPS0100-ST-0060-001-B</t>
  </si>
  <si>
    <t>HPS0100-ST-0060-002-B</t>
  </si>
  <si>
    <t>HPS0100-ST-0230-002-B</t>
  </si>
  <si>
    <t>HPS0100-ST-0320-001-B</t>
  </si>
  <si>
    <t>HPS0100-ST-0320-002-B</t>
  </si>
  <si>
    <t>HPS0100-ST-0390-002-B</t>
  </si>
  <si>
    <t>HPS0100-ST-0430-001-B</t>
  </si>
  <si>
    <t>HPS0110-ST-0060-001-B</t>
  </si>
  <si>
    <t>HPS0110-ST-0060-002-B</t>
  </si>
  <si>
    <t>HPS0110-ST-0230-001-B</t>
  </si>
  <si>
    <t>HPS0110-ST-0230-002-B</t>
  </si>
  <si>
    <t>HPS0110-ST-0320-001-B</t>
  </si>
  <si>
    <t>HPS0110-ST-0320-002-B</t>
  </si>
  <si>
    <t>HPS0110-ST-0390-001-B</t>
  </si>
  <si>
    <t>HPS0110-ST-0390-002-B</t>
  </si>
  <si>
    <t>HPS0110-ST-0430-002-B</t>
  </si>
  <si>
    <t>HPS0110-ST-0470-001-B</t>
  </si>
  <si>
    <t>HPS0110-ST-0470-002-B</t>
  </si>
  <si>
    <t>HPS0110-ST-0550-001-B</t>
  </si>
  <si>
    <t>HPS0110-ST-0550-002-B</t>
  </si>
  <si>
    <t>HPS0110-ST-0590-001-B</t>
  </si>
  <si>
    <t>HPS0110-ST-0590-002-B</t>
  </si>
  <si>
    <t>HPS0110-ST-0610-001-B</t>
  </si>
  <si>
    <t>HPS0110-ST-0610-002-B</t>
  </si>
  <si>
    <t>HPS0110-ST-0650-002-B</t>
  </si>
  <si>
    <t>HPS0110-ST-0760-001-B</t>
  </si>
  <si>
    <t>HPS0110-ST-0760-002-B</t>
  </si>
  <si>
    <t>HPS0110-ST-0930-002-B</t>
  </si>
  <si>
    <t>HPS0110-ST-0960-001-B</t>
  </si>
  <si>
    <t>HPS0110-ST-0960-002-B</t>
  </si>
  <si>
    <t>HPS0110-ST-0970-002-B</t>
  </si>
  <si>
    <t>HPS0110-ST-1070-001-B</t>
  </si>
  <si>
    <t>HPS0110-ST-1070-002-B</t>
  </si>
  <si>
    <t>HPS0110-ST-1120-001-B</t>
  </si>
  <si>
    <t>HPS0110-ST-1120-002-B</t>
  </si>
  <si>
    <t>HPS0110-ST-1160-001-B</t>
  </si>
  <si>
    <t>HPS0110-ST-1330-002-B</t>
  </si>
  <si>
    <t>HPS0110-ST-1340-002-B</t>
  </si>
  <si>
    <t>HPS0110-ST-1380-002-B</t>
  </si>
  <si>
    <t>HPS0110-ST-1450-002-B</t>
  </si>
  <si>
    <t>HPS0110-TA-0060-001-B</t>
  </si>
  <si>
    <t>HPS0110-TA-0060-002-B</t>
  </si>
  <si>
    <t>HPS0110-TA-0230-001-B</t>
  </si>
  <si>
    <t>HPS0110-TA-0320-001-B</t>
  </si>
  <si>
    <t>HPS0110-TA-0320-002-B</t>
  </si>
  <si>
    <t>HPS0110-TA-0470-001-B</t>
  </si>
  <si>
    <t>HPS0110-TA-0590-001-B</t>
  </si>
  <si>
    <t>HPS0110-TA-0590-002-B</t>
  </si>
  <si>
    <t>HPS0110-TA-0960-001-B</t>
  </si>
  <si>
    <t>HPS0110-TA-1120-002-B</t>
  </si>
  <si>
    <t>HPS0120-ST-0860-002-B</t>
  </si>
  <si>
    <t>HPS0120-ST-0870-002-B</t>
  </si>
  <si>
    <t>HPS0140-ST-0070-001-B</t>
  </si>
  <si>
    <t>HPS0140-ST-0070-002-B</t>
  </si>
  <si>
    <t>HPS0140-ST-0240-002-B</t>
  </si>
  <si>
    <t>HPS0140-ST-0330-002-B</t>
  </si>
  <si>
    <t>HPS0140-ST-0400-002-B</t>
  </si>
  <si>
    <t>HPS0140-ST-1030-001-B</t>
  </si>
  <si>
    <t>HPS0160-ST-0070-001-B</t>
  </si>
  <si>
    <t>HPS0160-ST-0070-002-B</t>
  </si>
  <si>
    <t>HPS0160-ST-0240-001-B</t>
  </si>
  <si>
    <t>HPS0160-ST-0240-002-B</t>
  </si>
  <si>
    <t>HPS0160-ST-0330-001-B</t>
  </si>
  <si>
    <t>HPS0160-ST-0330-002-B</t>
  </si>
  <si>
    <t>HPS0160-ST-1020-001-B</t>
  </si>
  <si>
    <t>HPS0160-ST-1030-001-B</t>
  </si>
  <si>
    <t>HPS0170-ST-0070-001-B</t>
  </si>
  <si>
    <t>HPS0170-ST-0070-002-B</t>
  </si>
  <si>
    <t>HPS0170-ST-0240-001-B</t>
  </si>
  <si>
    <t>HPS0170-ST-0240-002-B</t>
  </si>
  <si>
    <t>HPS0170-ST-0270-002-B</t>
  </si>
  <si>
    <t>HPS0170-ST-0330-001-B</t>
  </si>
  <si>
    <t>HPS0170-ST-0330-002-B</t>
  </si>
  <si>
    <t>HPS0170-ST-0400-001-B</t>
  </si>
  <si>
    <t>HPS0170-ST-0400-002-B</t>
  </si>
  <si>
    <t>HPS0170-ST-0440-001-B</t>
  </si>
  <si>
    <t>HPS0170-ST-0440-002-B</t>
  </si>
  <si>
    <t>HPS0170-ST-0480-002-B</t>
  </si>
  <si>
    <t>HPS0170-ST-0560-002-B</t>
  </si>
  <si>
    <t>HPS0170-ST-0600-002-B</t>
  </si>
  <si>
    <t>HPS0170-ST-0620-001-B</t>
  </si>
  <si>
    <t>HPS0170-ST-0620-002-B</t>
  </si>
  <si>
    <t>HPS0170-ST-0660-002-B</t>
  </si>
  <si>
    <t>HPS0170-ST-0770-002-B</t>
  </si>
  <si>
    <t>HPS0170-ST-0900-002-B</t>
  </si>
  <si>
    <t>HPS0170-ST-1030-001-B</t>
  </si>
  <si>
    <t>HPS0170-ST-1030-002-B</t>
  </si>
  <si>
    <t>HPS0170-ST-1100-001-B</t>
  </si>
  <si>
    <t>HPS0170-ST-1100-002-B</t>
  </si>
  <si>
    <t>HPS0170-ST-1130-001-B</t>
  </si>
  <si>
    <t>HPS0170-ST-1170-001-B</t>
  </si>
  <si>
    <t>HPS0170-ST-1170-002-B</t>
  </si>
  <si>
    <t>HPS0170-ST-1250-001-B</t>
  </si>
  <si>
    <t>HPS0170-TA-0070-001-B</t>
  </si>
  <si>
    <t>HPS0180-ST-0860-001-B</t>
  </si>
  <si>
    <t>HPS0180-ST-0870-001-B</t>
  </si>
  <si>
    <t>HPS0180-ST-0870-002-B</t>
  </si>
  <si>
    <t>HPS0210-ST-0250-001-B</t>
  </si>
  <si>
    <t>HPS0250-ST-0120-001-B</t>
  </si>
  <si>
    <t>HPS0250-ST-0120-002-B</t>
  </si>
  <si>
    <t>HPS0250-ST-0850-001-B</t>
  </si>
  <si>
    <t>HPS0250-ST-1050-001-B</t>
  </si>
  <si>
    <t>HPS0250-ST-1050-002-B</t>
  </si>
  <si>
    <t>INC0010-ST-0010-002-B</t>
  </si>
  <si>
    <t>INC0010-ST-0810-001-B</t>
  </si>
  <si>
    <t>Based on 18.5 spot replacements per day</t>
  </si>
  <si>
    <t>Based on 62.33 bulk replacements per day</t>
  </si>
  <si>
    <t>INC0020-ST-0010-001-B</t>
  </si>
  <si>
    <t>INC0020-ST-0010-002-B</t>
  </si>
  <si>
    <t>INC0020-ST-0810-001-B</t>
  </si>
  <si>
    <t>INC0020-ST-0830-002-B</t>
  </si>
  <si>
    <t>INC0030-ST-0010-001-B</t>
  </si>
  <si>
    <t>INC0030-ST-0010-002-B</t>
  </si>
  <si>
    <t>INC0040-ST-0010-001-B</t>
  </si>
  <si>
    <t>INC0040-ST-0010-002-B</t>
  </si>
  <si>
    <t>INC0040-ST-0810-001-B</t>
  </si>
  <si>
    <t>INC0040-ST-0990-001-B</t>
  </si>
  <si>
    <t>INC0050-ST-0010-001-B</t>
  </si>
  <si>
    <t>INC0050-ST-0010-002-B</t>
  </si>
  <si>
    <t>INC0050-ST-0110-002-B</t>
  </si>
  <si>
    <t>INC0050-ST-0810-001-B</t>
  </si>
  <si>
    <t>INC0050-ST-0990-001-B</t>
  </si>
  <si>
    <t>INC0070-ST-0740-002-B</t>
  </si>
  <si>
    <t>INC0080-ST-0010-001-B</t>
  </si>
  <si>
    <t>INC0080-ST-0010-002-B</t>
  </si>
  <si>
    <t>INC0080-ST-0110-002-B</t>
  </si>
  <si>
    <t>INC0080-ST-0810-001-B</t>
  </si>
  <si>
    <t>INC0090-ST-0010-001-B</t>
  </si>
  <si>
    <t>INC0090-ST-0010-002-B</t>
  </si>
  <si>
    <t>INC0090-ST-0810-001-B</t>
  </si>
  <si>
    <t>INC0100-ST-0010-001-B</t>
  </si>
  <si>
    <t>INC0100-ST-0010-002-B</t>
  </si>
  <si>
    <t>INC0100-ST-0610-001-B</t>
  </si>
  <si>
    <t>INC0100-ST-0810-001-B</t>
  </si>
  <si>
    <t>INC0100-ST-0990-001-B</t>
  </si>
  <si>
    <t>INC0110-ST-0010-001-B</t>
  </si>
  <si>
    <t>INC0110-ST-0010-002-B</t>
  </si>
  <si>
    <t>INC0110-ST-0110-001-B</t>
  </si>
  <si>
    <t>INC0110-ST-0810-001-B</t>
  </si>
  <si>
    <t>INC0130-ST-0010-001-B</t>
  </si>
  <si>
    <t>INC0140-ST-0680-002-B</t>
  </si>
  <si>
    <t>INC0140-ST-0900-002-B</t>
  </si>
  <si>
    <t>INC0140-ST-1130-002-B</t>
  </si>
  <si>
    <t>INC0160-ST-0640-001-B</t>
  </si>
  <si>
    <t>INC0160-ST-0640-002-B</t>
  </si>
  <si>
    <t>INC0160-ST-1170-002-B</t>
  </si>
  <si>
    <t>LPS0010-ST-0040-001-B</t>
  </si>
  <si>
    <t>LPS0010-ST-0350-001-B</t>
  </si>
  <si>
    <t>LPS0010-ST-0350-002-B</t>
  </si>
  <si>
    <t>LPS0020-ST-0040-001-B</t>
  </si>
  <si>
    <t>LPS0020-ST-0040-002-B</t>
  </si>
  <si>
    <t>LPS0030-ST-0040-001-B</t>
  </si>
  <si>
    <t>LPS0030-ST-0040-002-B</t>
  </si>
  <si>
    <t>LPS0030-ST-0360-001-B</t>
  </si>
  <si>
    <t>LPS0040-ST-0050-001-B</t>
  </si>
  <si>
    <t>LPS0040-ST-0050-002-B</t>
  </si>
  <si>
    <t>LPS0040-ST-0060-001-B</t>
  </si>
  <si>
    <t>LPS0040-ST-0220-001-B</t>
  </si>
  <si>
    <t>LPS0040-ST-0310-001-B</t>
  </si>
  <si>
    <t>LPS0050-ST-0060-001-B</t>
  </si>
  <si>
    <t>18</t>
  </si>
  <si>
    <t>19</t>
  </si>
  <si>
    <t>20</t>
  </si>
  <si>
    <t>21</t>
  </si>
  <si>
    <t>22</t>
  </si>
  <si>
    <t>23</t>
  </si>
  <si>
    <t>LPS0050-ST-0060-002-B</t>
  </si>
  <si>
    <t>LPS0050-ST-0230-001-B</t>
  </si>
  <si>
    <t>LPS0050-ST-0230-002-B</t>
  </si>
  <si>
    <t>LPS0060-ST-0060-002-B</t>
  </si>
  <si>
    <t>LPS0060-ST-0230-002-B</t>
  </si>
  <si>
    <t>LPS0060-ST-0320-002-B</t>
  </si>
  <si>
    <t>LPS0080-ST-0070-001-B</t>
  </si>
  <si>
    <t>LPS0080-ST-0230-001-B</t>
  </si>
  <si>
    <t>LPS0080-ST-0240-001-B</t>
  </si>
  <si>
    <t>LPS0090-ST-0070-002-B</t>
  </si>
  <si>
    <t>MHR0010-ST-0040-002-B</t>
  </si>
  <si>
    <t>MHR0010-ST-0360-002-B</t>
  </si>
  <si>
    <t>MHR0030-ST-0050-002-B</t>
  </si>
  <si>
    <t>MHR0030-ST-0310-002-B</t>
  </si>
  <si>
    <t>MHR0060-ST-0060-002-B</t>
  </si>
  <si>
    <t>MHR0060-ST-0320-001-B</t>
  </si>
  <si>
    <t>MHR0060-ST-0320-002-B</t>
  </si>
  <si>
    <t>MHR0060-ST-0390-002-B</t>
  </si>
  <si>
    <t>MHR0060-ST-0430-002-B</t>
  </si>
  <si>
    <t>MHR0060-ST-0610-001-B</t>
  </si>
  <si>
    <t>MHR0060-ST-0610-002-B</t>
  </si>
  <si>
    <t>MHR0060-ST-0960-002-B</t>
  </si>
  <si>
    <t>MHR0060-ST-1120-002-B</t>
  </si>
  <si>
    <t>MHR0060-ST-1270-002-B</t>
  </si>
  <si>
    <t>MHR0060-ST-1280-002-B</t>
  </si>
  <si>
    <t>MHR0060-ST-1290-002-B</t>
  </si>
  <si>
    <t>MHR0070-ST-0070-001-B</t>
  </si>
  <si>
    <t>MHR0070-ST-0070-002-B</t>
  </si>
  <si>
    <t>MHR0070-ST-0620-001-B</t>
  </si>
  <si>
    <t>MHR0070-ST-0640-001-B</t>
  </si>
  <si>
    <t>MHR0070-ST-0640-002-B</t>
  </si>
  <si>
    <t>MHR0070-ST-0680-002-B</t>
  </si>
  <si>
    <t>MHR0070-ST-1100-001-B</t>
  </si>
  <si>
    <t>MHR0070-ST-1100-002-B</t>
  </si>
  <si>
    <t>MHR0100-ST-0120-001-B</t>
  </si>
  <si>
    <t>MHR0100-ST-0120-002-B</t>
  </si>
  <si>
    <t>MVA0010-ST-0010-001-B</t>
  </si>
  <si>
    <t>MVA0010-ST-0010-002-B</t>
  </si>
  <si>
    <t>MVA0010-ST-0810-002-B</t>
  </si>
  <si>
    <t>MVA0010-ST-0990-001-B</t>
  </si>
  <si>
    <t>MVA0010-ST-0990-002-B</t>
  </si>
  <si>
    <t>MVA0020-ST-0010-001-B</t>
  </si>
  <si>
    <t>MVA0020-ST-0010-002-B</t>
  </si>
  <si>
    <t>MVA0020-ST-0110-002-B</t>
  </si>
  <si>
    <t>MVA0020-ST-0740-001-B</t>
  </si>
  <si>
    <t>MVA0020-ST-0740-002-B</t>
  </si>
  <si>
    <t>MVA0020-ST-0810-001-B</t>
  </si>
  <si>
    <t>MVA0020-ST-0810-002-B</t>
  </si>
  <si>
    <t>MVA0020-ST-0990-001-B</t>
  </si>
  <si>
    <t>MVA0020-ST-0990-002-B</t>
  </si>
  <si>
    <t>MVA0020-ST-1000-002-B</t>
  </si>
  <si>
    <t>MVA0020-ST-1260-002-B</t>
  </si>
  <si>
    <t>MVA0080-ST-0010-001-B</t>
  </si>
  <si>
    <t>MVA0080-ST-0010-002-B</t>
  </si>
  <si>
    <t>MVA0080-ST-0810-002-B</t>
  </si>
  <si>
    <t>MVA0080-ST-0990-001-B</t>
  </si>
  <si>
    <t>MVA0080-ST-0990-002-B</t>
  </si>
  <si>
    <t>MVA0120-ST-0010-002-B</t>
  </si>
  <si>
    <t>MVA0120-ST-0740-002-B</t>
  </si>
  <si>
    <t>MVA0120-ST-1000-002-B</t>
  </si>
  <si>
    <t>MVA0170-ST-0020-001-B</t>
  </si>
  <si>
    <t>MVA0190-ST-0020-001-B</t>
  </si>
  <si>
    <t>MVA0190-ST-0020-002-B</t>
  </si>
  <si>
    <t>MVA0190-ST-0200-001-B</t>
  </si>
  <si>
    <t>MVA0190-ST-0200-002-B</t>
  </si>
  <si>
    <t>MVA0190-ST-0290-001-B</t>
  </si>
  <si>
    <t>MVA0190-ST-0290-002-B</t>
  </si>
  <si>
    <t>MVA0190-ST-0370-001-B</t>
  </si>
  <si>
    <t>MVA0190-ST-0370-002-B</t>
  </si>
  <si>
    <t>MVA0190-ST-0940-001-B</t>
  </si>
  <si>
    <t>MVA0220-ST-0030-001-B</t>
  </si>
  <si>
    <t>MVA0220-ST-0030-002-B</t>
  </si>
  <si>
    <t>MVA0220-ST-0210-001-B</t>
  </si>
  <si>
    <t>MVA0220-ST-0210-002-B</t>
  </si>
  <si>
    <t>MVA0220-ST-0300-001-B</t>
  </si>
  <si>
    <t>MVA0220-ST-0300-002-B</t>
  </si>
  <si>
    <t>MVA0220-ST-0380-002-B</t>
  </si>
  <si>
    <t>HPS0020-ST-0005-001-B</t>
  </si>
  <si>
    <t>HPS0090-ST-0005-001-B</t>
  </si>
  <si>
    <t>HPS0140-ST-0330-001-B</t>
  </si>
  <si>
    <t>FLU0130-ST-0001-001-B</t>
  </si>
  <si>
    <t>HPS0110-TA-0390-001-B</t>
  </si>
  <si>
    <t>MVA0220-ST-0580-001-B</t>
  </si>
  <si>
    <t>MVA0220-ST-0460-001-B</t>
  </si>
  <si>
    <t>MVA0020-ST-0005-001-B</t>
  </si>
  <si>
    <t>MVA0080-ST-0005-001-B</t>
  </si>
  <si>
    <t>FLU0050-ST-0990-001-B</t>
  </si>
  <si>
    <t>FLU0070-ST-0990-001-B</t>
  </si>
  <si>
    <t>HPS0170-ST-0660-001-B</t>
  </si>
  <si>
    <t>LPS0010-ST-0360-001-B</t>
  </si>
  <si>
    <t>MVA0020-ST-0820-001-B</t>
  </si>
  <si>
    <t>INC0110-ST-0990-001-B</t>
  </si>
  <si>
    <t>MVA0190-ST-0450-001-B</t>
  </si>
  <si>
    <t>LPS0050-ST-0320-001-B</t>
  </si>
  <si>
    <t>LPS0020-ST-0360-001-B</t>
  </si>
  <si>
    <t>MHR0070-ST-0330-001-B</t>
  </si>
  <si>
    <t>MVA0220-ST-0380-001-B</t>
  </si>
  <si>
    <t>HPS0110-ST-0005-001-B</t>
  </si>
  <si>
    <t>HPS0250-ST-0840-001-B</t>
  </si>
  <si>
    <t>MVA0220-ST-0420-002-B</t>
  </si>
  <si>
    <t>MVA0220-ST-0460-002-B</t>
  </si>
  <si>
    <t>MVA0220-ST-0540-002-B</t>
  </si>
  <si>
    <t>MVA0220-ST-0580-002-B</t>
  </si>
  <si>
    <t>MVA0220-ST-0790-001-B</t>
  </si>
  <si>
    <t>MVA0220-ST-0950-001-B</t>
  </si>
  <si>
    <t>MVA0220-ST-0950-002-B</t>
  </si>
  <si>
    <t>MVA0250-ST-0300-001-B</t>
  </si>
  <si>
    <t>MVA0260-ST-0190-001-B</t>
  </si>
  <si>
    <t>MVA0260-ST-0190-002-B</t>
  </si>
  <si>
    <t>MVA0260-ST-0250-002-B</t>
  </si>
  <si>
    <t>MVA0260-ST-0340-002-B</t>
  </si>
  <si>
    <t>MVA0260-ST-0700-001-B</t>
  </si>
  <si>
    <t>MVA0290-ST-0120-002-B</t>
  </si>
  <si>
    <t>FLU0350-ST-1620-001-B</t>
  </si>
  <si>
    <t>FLU0350-ST-1620-002-B</t>
  </si>
  <si>
    <t>FLU0350-ST-1630-001-B</t>
  </si>
  <si>
    <t>FLU0350-ST-1630-002-B</t>
  </si>
  <si>
    <t>FLU0350-ST-1640-001-B</t>
  </si>
  <si>
    <t>FLU0350-ST-1640-002-B</t>
  </si>
  <si>
    <t>FLU0350-ST-1650-001-B</t>
  </si>
  <si>
    <t>FLU0350-ST-1650-002-B</t>
  </si>
  <si>
    <t>FLU0350-ST-1660-001-B</t>
  </si>
  <si>
    <t>FLU0350-ST-1660-002-B</t>
  </si>
  <si>
    <t>FLU0350-ST-1670-001-B</t>
  </si>
  <si>
    <t>FLU0350-ST-1670-002-B</t>
  </si>
  <si>
    <t>FLU0350-ST-1680-001-B</t>
  </si>
  <si>
    <t>FLU0350-ST-1680-002-B</t>
  </si>
  <si>
    <t>FLU0350-ST-1690-001-B</t>
  </si>
  <si>
    <t>FLU0350-ST-1690-002-B</t>
  </si>
  <si>
    <t>FLU0350-ST-1700-001-B</t>
  </si>
  <si>
    <t>FLU0350-ST-1700-002-B</t>
  </si>
  <si>
    <t>FLU0350-ST-1710-001-B</t>
  </si>
  <si>
    <t>FLU0350-ST-1710-002-B</t>
  </si>
  <si>
    <t>FLU0350-ST-1720-001-B</t>
  </si>
  <si>
    <t>FLU0350-ST-1720-002-B</t>
  </si>
  <si>
    <t>FLU0350-ST-1730-001-B</t>
  </si>
  <si>
    <t>FLU0350-ST-1730-002-B</t>
  </si>
  <si>
    <t>FLU0360-ST-1740-001-B</t>
  </si>
  <si>
    <t>FLU0360-ST-1740-002-B</t>
  </si>
  <si>
    <t>FLU0360-ST-1750-001-B</t>
  </si>
  <si>
    <t>FLU0360-ST-1750-002-B</t>
  </si>
  <si>
    <t>FLU0360-ST-1760-001-B</t>
  </si>
  <si>
    <t>FLU0360-ST-1760-002-B</t>
  </si>
  <si>
    <t>FLU0360-ST-1770-001-B</t>
  </si>
  <si>
    <t>FLU0360-ST-1770-002-B</t>
  </si>
  <si>
    <t>FLU0360-ST-1780-001-B</t>
  </si>
  <si>
    <t>FLU0360-ST-1780-002-B</t>
  </si>
  <si>
    <t>FLU0360-ST-1790-001-B</t>
  </si>
  <si>
    <t>FLU0360-ST-1790-002-B</t>
  </si>
  <si>
    <t>FLU0360-ST-1800-001-B</t>
  </si>
  <si>
    <t>FLU0360-ST-1800-002-B</t>
  </si>
  <si>
    <t>FLU0360-ST-1810-001-B</t>
  </si>
  <si>
    <t>FLU0360-ST-1810-002-B</t>
  </si>
  <si>
    <t>FLU0360-ST-1820-001-B</t>
  </si>
  <si>
    <t>FLU0360-ST-1820-002-B</t>
  </si>
  <si>
    <t>FLU0360-ST-1830-001-B</t>
  </si>
  <si>
    <t>FLU0360-ST-1830-002-B</t>
  </si>
  <si>
    <t>FLU0360-ST-1840-001-B</t>
  </si>
  <si>
    <t>FLU0360-ST-1840-002-B</t>
  </si>
  <si>
    <t>FLU0360-ST-1850-001-B</t>
  </si>
  <si>
    <t>FLU0360-ST-1850-002-B</t>
  </si>
  <si>
    <t>FLU0370-ST-1860-001-B</t>
  </si>
  <si>
    <t>FLU0370-ST-1860-002-B</t>
  </si>
  <si>
    <t>FLU0370-ST-1870-001-B</t>
  </si>
  <si>
    <t>FLU0370-ST-1870-002-B</t>
  </si>
  <si>
    <t>FLU0370-ST-1880-001-B</t>
  </si>
  <si>
    <t>FLU0370-ST-1880-002-B</t>
  </si>
  <si>
    <t>FLU0370-ST-1890-001-B</t>
  </si>
  <si>
    <t>FLU0370-ST-1900-002-B</t>
  </si>
  <si>
    <t>FLU0370-ST-1910-001-B</t>
  </si>
  <si>
    <t>(Current)</t>
  </si>
  <si>
    <t>Proposed</t>
  </si>
  <si>
    <r>
      <t xml:space="preserve">SLUOS Capital </t>
    </r>
    <r>
      <rPr>
        <b/>
        <sz val="8"/>
        <color indexed="10"/>
        <rFont val="Arial"/>
        <family val="2"/>
      </rPr>
      <t>(Proposed)</t>
    </r>
  </si>
  <si>
    <t>FLU0370-ST-1910-002-B</t>
  </si>
  <si>
    <t>FLU0370-ST-1920-001-B</t>
  </si>
  <si>
    <t>FLU0370-ST-1920-002-B</t>
  </si>
  <si>
    <t>FLU0370-ST-1930-001-B</t>
  </si>
  <si>
    <t>FLU0370-ST-1930-002-B</t>
  </si>
  <si>
    <t>FLU0370-ST-1940-001-B</t>
  </si>
  <si>
    <t>FLU0370-ST-1940-002-B</t>
  </si>
  <si>
    <t>FLU0370-ST-1950-001-B</t>
  </si>
  <si>
    <t>FLU0370-ST-1950-002-B</t>
  </si>
  <si>
    <t>FLU0370-ST-1960-001-B</t>
  </si>
  <si>
    <t>FLU0370-ST-1960-002-B</t>
  </si>
  <si>
    <t>FLU0370-ST-1970-001-B</t>
  </si>
  <si>
    <t>FLU0370-ST-1970-002-B</t>
  </si>
  <si>
    <t>1-Unmetered, CE Funded, CE Maintained</t>
  </si>
  <si>
    <t>2-Unmetered, Funded by Others, CE Maintained</t>
  </si>
  <si>
    <t>Financial Year
($M nominal)</t>
  </si>
  <si>
    <t>2004-05</t>
  </si>
  <si>
    <t>2005-06</t>
  </si>
  <si>
    <t>2006-07</t>
  </si>
  <si>
    <t>2007-08</t>
  </si>
  <si>
    <t>2008-09</t>
  </si>
  <si>
    <t>Opening value of fixed assets</t>
  </si>
  <si>
    <t>Indexation</t>
  </si>
  <si>
    <t>Capex/Additions (net of cap cons)</t>
  </si>
  <si>
    <t>Depreciation before deferral</t>
  </si>
  <si>
    <t>Closing value of fixed assets</t>
  </si>
  <si>
    <t>Return on Capital</t>
  </si>
  <si>
    <t>Average RAB</t>
  </si>
  <si>
    <t>return per light</t>
  </si>
  <si>
    <t>1</t>
  </si>
  <si>
    <t>2</t>
  </si>
  <si>
    <t>3</t>
  </si>
  <si>
    <t>4</t>
  </si>
  <si>
    <t>5</t>
  </si>
  <si>
    <t>6</t>
  </si>
  <si>
    <t>7</t>
  </si>
  <si>
    <t>8</t>
  </si>
  <si>
    <t>9</t>
  </si>
  <si>
    <t>10</t>
  </si>
  <si>
    <t>11</t>
  </si>
  <si>
    <t>12</t>
  </si>
  <si>
    <t>13</t>
  </si>
  <si>
    <t>Asset Life</t>
  </si>
  <si>
    <t>Asset Age</t>
  </si>
  <si>
    <t>Lamp On-costed</t>
  </si>
  <si>
    <t>Ballast / Igniter On-costed</t>
  </si>
  <si>
    <t>Starter / PE Cell On-Costed</t>
  </si>
  <si>
    <t>On-costed</t>
  </si>
  <si>
    <t>Maintenance Related Stock Items</t>
  </si>
  <si>
    <t xml:space="preserve">Region </t>
  </si>
  <si>
    <t xml:space="preserve">PE Cell </t>
  </si>
  <si>
    <t>Control Wire</t>
  </si>
  <si>
    <t>Total Number of Lights (audit)</t>
  </si>
  <si>
    <t>Northern</t>
  </si>
  <si>
    <t>FNC</t>
  </si>
  <si>
    <t>SE</t>
  </si>
  <si>
    <t>Riv</t>
  </si>
  <si>
    <t>SW</t>
  </si>
  <si>
    <t>North  Western</t>
  </si>
  <si>
    <t>MNC</t>
  </si>
  <si>
    <t>Far West Region</t>
  </si>
  <si>
    <t>CW</t>
  </si>
  <si>
    <t>Not available</t>
  </si>
  <si>
    <t>Total on PE Cell</t>
  </si>
  <si>
    <t>These are for Nema based PE cells.The lamp cost is a weighted average from the field service centres of Grafton, Wagga Wagga and Dubbo.</t>
  </si>
  <si>
    <t>Labour Escatator</t>
  </si>
  <si>
    <t>Oncost rates sourced from finance 10/04/2008. rates are for 08/09 financial year</t>
  </si>
  <si>
    <t>Weighted Average Unit Component Cost (with on-costing) inflated to 08/09 dollars</t>
  </si>
  <si>
    <t>Material costs have been inflated to 08-09 dollars</t>
  </si>
  <si>
    <t>MVA0040-ST</t>
  </si>
  <si>
    <t>This spreadsheet contains two types of lookup data:
1. The National Electricity Market Load Tables for Unmetered Connection Points. The lamp codes are generated by Country Energy, not NEMMCO
2. The Mapping of  constructions to unique capital codes.</t>
  </si>
  <si>
    <t>Equivalent / Replacement Construction</t>
  </si>
  <si>
    <t>Lamp Stock</t>
  </si>
  <si>
    <t xml:space="preserve">Note : </t>
  </si>
  <si>
    <t>Fluoro lanterns have Starters, not PE Cells. Costs for ballasts for HPS0210 are not available as they don’t exist in the catalogue inventory. As such, previous data has been used from original spreadsheets created by Allen Philp</t>
  </si>
  <si>
    <t>High Pressure Sodium lamps use an igniter. Other lamps use Ballasts. All costs relate to external igniters.</t>
  </si>
  <si>
    <t>Contains costs for lamps, Balllasts / Igniters and Starters / PE Cells for a subset of lamp types.</t>
  </si>
  <si>
    <t>Bulk Replacement Frequency (Years)</t>
  </si>
  <si>
    <t>Ballast</t>
  </si>
  <si>
    <t>PE Cell</t>
  </si>
  <si>
    <t>Miscelllaneous</t>
  </si>
  <si>
    <t>Lamp Replacement</t>
  </si>
  <si>
    <t>Only ever do 1 of these tasks</t>
  </si>
  <si>
    <t>Lantern (includes testing)</t>
  </si>
  <si>
    <t>Time Estimates for Spot Replacement (minutes)</t>
  </si>
  <si>
    <t>Time Estimates for Bulk Replacement (minutes)</t>
  </si>
  <si>
    <t>once every 10 years</t>
  </si>
  <si>
    <t>Spot Replacement Travel Time (return trip from Field service Centre as well as between lights)</t>
  </si>
  <si>
    <t>Bulk Replacement Travel Time (return trip from Field service Centre as well as between lights)</t>
  </si>
  <si>
    <t>Spot Replacement Traffic Control Cost</t>
  </si>
  <si>
    <t>Bulk Replacement Traffic Control Cost</t>
  </si>
  <si>
    <t>Spot Replacement Plant On-job Cost</t>
  </si>
  <si>
    <t>Bulk Replacement Plant On-job Cost</t>
  </si>
  <si>
    <t>Screw 12G X 40mm Tek H/H (pack)</t>
  </si>
  <si>
    <t>131185</t>
  </si>
  <si>
    <t>Spigot Adaptor 50mm to 32mm Pedestrian</t>
  </si>
  <si>
    <t>60030275</t>
  </si>
  <si>
    <t>Outreach Galv 2X1.5 Mtr S/L</t>
  </si>
  <si>
    <t>64060250</t>
  </si>
  <si>
    <t>Gear Tray  250W S0N GEC PARKWAY</t>
  </si>
  <si>
    <t>64065020</t>
  </si>
  <si>
    <t>Diffuser Suit Sylvania B3000 Lantern</t>
  </si>
  <si>
    <t>This sheet determines a provision to apply to each lamp code for other types of maintenance. 
For the types of stock related to maintenance of streetlights, usage data has been gathered.
A weighted average is then determined to arrive at a provision to take.</t>
  </si>
  <si>
    <t>Streetlight Usage Data (Maintenance)</t>
  </si>
  <si>
    <t>Item Number</t>
  </si>
  <si>
    <t>Unit Cost</t>
  </si>
  <si>
    <t>Cost</t>
  </si>
  <si>
    <t>Total Inflation and Labour escalator per year</t>
  </si>
  <si>
    <t>Date of Extraction : 11/04/2008 data from Peoplesoft for stores issued to Street lighting maintenance projects (project types 11600 and 11601) for the 12 month period ending 31/03/2008</t>
  </si>
  <si>
    <t>per metre</t>
  </si>
  <si>
    <r>
      <t>Note :</t>
    </r>
    <r>
      <rPr>
        <sz val="8"/>
        <rFont val="Arial"/>
        <family val="2"/>
      </rPr>
      <t xml:space="preserve"> This usage data is gathered for the 12 months ending 31/03/2008. Lamp, PE cell, ballast and ignitor stocks are not considered as they have already been considered in Maintenance Costs sheet.</t>
    </r>
  </si>
  <si>
    <t>as per Street light management plan CEPG1023</t>
  </si>
  <si>
    <t>Number of Components</t>
  </si>
  <si>
    <t>For each</t>
  </si>
  <si>
    <t>maintenance visits, one component is used</t>
  </si>
  <si>
    <t>Other Maintenance Provision</t>
  </si>
  <si>
    <t>SLUOS Maintenance</t>
  </si>
  <si>
    <t>Puiblic Lighting Charges</t>
  </si>
  <si>
    <t>Contains the SLUOS Tariff for all defined tariff codes.</t>
  </si>
  <si>
    <t>Charge SLUOS Capital</t>
  </si>
  <si>
    <t>Charge SLUOS Maintenance</t>
  </si>
  <si>
    <t>Y</t>
  </si>
  <si>
    <t>N</t>
  </si>
  <si>
    <t>Percentage of Installations Requiring Traffic Control : Spot Replacement, &lt; 150W)</t>
  </si>
  <si>
    <t>Percentage of Installations Requiring Traffic Control : Bulk Replacement, &lt; 150W)</t>
  </si>
  <si>
    <t>Percentage of Installations Requiring Traffic Control : Spot Replacement, &gt;= 150W)</t>
  </si>
  <si>
    <t>Percentage of Installations Requiring Traffic Control : Bulk Replacement, &gt;= 150W)</t>
  </si>
  <si>
    <t>Spot Replacement Traffic Control Cost &lt; 150W</t>
  </si>
  <si>
    <t>Bulk Replacement Traffic Control Cost &lt; 150W</t>
  </si>
  <si>
    <t>Spot Replacement Traffic Control Cost &gt;= 150W</t>
  </si>
  <si>
    <t>Bulk Replacement Traffic Control Cost &gt;= 150W</t>
  </si>
  <si>
    <t>hours</t>
  </si>
  <si>
    <t>Description</t>
  </si>
  <si>
    <t>A description of each of the sheets is contained below:</t>
  </si>
  <si>
    <t>Worksheet</t>
  </si>
  <si>
    <t>Function</t>
  </si>
  <si>
    <t>Streetlight Tariff Schedule</t>
  </si>
  <si>
    <t xml:space="preserve">For each lantern type, defines the different types of equivalent constructions and their capital codes. </t>
  </si>
  <si>
    <t>Tariff Schedule Lookup Table</t>
  </si>
  <si>
    <t>SLUOS Charge Calculation Workbook</t>
  </si>
  <si>
    <t>Date of Creation</t>
  </si>
  <si>
    <t>Lamp Code</t>
  </si>
  <si>
    <t>Nominal Rating</t>
  </si>
  <si>
    <t>Total Watts</t>
  </si>
  <si>
    <t>LAMP CODE</t>
  </si>
  <si>
    <t>LAMP SIZE</t>
  </si>
  <si>
    <t>LANTERN DESCRIPTION</t>
  </si>
  <si>
    <t>LANTERN TYPE</t>
  </si>
  <si>
    <t>TOTAL LANTERN WATTS</t>
  </si>
  <si>
    <t>CAPITAL CODES REQUIRED TO DETERMINE CAPITAL COMPONENT OF TARIFF</t>
  </si>
  <si>
    <t>NO CAPITAL</t>
  </si>
  <si>
    <t>Maximum per annum/per light</t>
  </si>
  <si>
    <t>SHARED OR NO POLE</t>
  </si>
  <si>
    <t>WOOD POLE</t>
  </si>
  <si>
    <t>STEEL POLE</t>
  </si>
  <si>
    <t>SPOT REPLACEMENT</t>
  </si>
  <si>
    <t>BULK REPLACEMENT</t>
  </si>
  <si>
    <t>Number of devices per pole</t>
  </si>
  <si>
    <t>-S</t>
  </si>
  <si>
    <t>-B</t>
  </si>
  <si>
    <t>MERCURY VAPOUR 80W</t>
  </si>
  <si>
    <t>FLU001-ST</t>
  </si>
  <si>
    <t>Fluorescent 9</t>
  </si>
  <si>
    <t>STREET LIGHT</t>
  </si>
  <si>
    <t>FLU002-ST</t>
  </si>
  <si>
    <t>Fluorescent 11</t>
  </si>
  <si>
    <t>FLU003-ST</t>
  </si>
  <si>
    <t>Fluorescent 13</t>
  </si>
  <si>
    <t>FLU004-ST</t>
  </si>
  <si>
    <t>Fluorescent 15</t>
  </si>
  <si>
    <t>FLU005-ST</t>
  </si>
  <si>
    <t>Fluorescent 20</t>
  </si>
  <si>
    <t>FLU006-ST</t>
  </si>
  <si>
    <t>Fluorescent Twin 20</t>
  </si>
  <si>
    <t>FLU007-ST</t>
  </si>
  <si>
    <t>Fluorescent 3x20</t>
  </si>
  <si>
    <t>FLU008-ST</t>
  </si>
  <si>
    <t>Fluorescent 4x20</t>
  </si>
  <si>
    <t>FLU010-ST</t>
  </si>
  <si>
    <t>Fluorescent 26</t>
  </si>
  <si>
    <t>FLU011-ST</t>
  </si>
  <si>
    <t>2x26</t>
  </si>
  <si>
    <t>Fluorescent 2x26</t>
  </si>
  <si>
    <t>FLU013-ST</t>
  </si>
  <si>
    <t>Fluorescent 40</t>
  </si>
  <si>
    <t>FLU014-ST</t>
  </si>
  <si>
    <t>Fluorescent 2x40</t>
  </si>
  <si>
    <t>FLU015-ST</t>
  </si>
  <si>
    <t>Fluorescent 3x40</t>
  </si>
  <si>
    <t>FLU016-ST</t>
  </si>
  <si>
    <t>Fluorescent 4x40</t>
  </si>
  <si>
    <t>FLU017-ST</t>
  </si>
  <si>
    <t>6x40</t>
  </si>
  <si>
    <t>Fluorescent 6x40</t>
  </si>
  <si>
    <t>FLU018-ST</t>
  </si>
  <si>
    <t>Fluorescent 58</t>
  </si>
  <si>
    <t>FLU019-ST</t>
  </si>
  <si>
    <t>2x58</t>
  </si>
  <si>
    <t>Fluorescent 2x58</t>
  </si>
  <si>
    <t>FLU020-ST</t>
  </si>
  <si>
    <t>4x58</t>
  </si>
  <si>
    <t>Fluorescent 4x58</t>
  </si>
  <si>
    <t>FLU024-ST</t>
  </si>
  <si>
    <t>Fluorescent 80</t>
  </si>
  <si>
    <t>FLU025-ST</t>
  </si>
  <si>
    <t>Fluorescent 2x80</t>
  </si>
  <si>
    <t>FLU026-ST</t>
  </si>
  <si>
    <t>Fluorescent 3x80</t>
  </si>
  <si>
    <t>FLU030-ST</t>
  </si>
  <si>
    <t>2x125</t>
  </si>
  <si>
    <t>Fluorescent 2x125</t>
  </si>
  <si>
    <t>HIGH PRESSURE SODIUM 70W (100)</t>
  </si>
  <si>
    <t>HPS001-ST</t>
  </si>
  <si>
    <t>SLUOS Tariff 2010/2011</t>
  </si>
  <si>
    <t>SLUOS Tariff 2011/2012</t>
  </si>
  <si>
    <t>SLUOS Tariff 2012/2013</t>
  </si>
  <si>
    <t>SLUOS Tariff 2013/2014</t>
  </si>
  <si>
    <t>SLUOS Tariff 2008/2009</t>
  </si>
  <si>
    <t>14</t>
  </si>
  <si>
    <t>15</t>
  </si>
  <si>
    <t>16</t>
  </si>
  <si>
    <t>17</t>
  </si>
  <si>
    <t>Accumulative Inflation rate</t>
  </si>
  <si>
    <t>Accumulative Labour Escatator</t>
  </si>
  <si>
    <t>WACC pre tax real</t>
  </si>
  <si>
    <t>High Pressure Sodium 50</t>
  </si>
  <si>
    <t>HIGH PRESSURE SODIUM 70W TWIN ARC</t>
  </si>
  <si>
    <t>HPS001-TA</t>
  </si>
  <si>
    <t>HPS002-ST</t>
  </si>
  <si>
    <t>High Pressure Sodium 70</t>
  </si>
  <si>
    <t>HPS002-TA</t>
  </si>
  <si>
    <t>HPS007-ST</t>
  </si>
  <si>
    <t>High Pressure Sodium 100</t>
  </si>
  <si>
    <t>HPS007-TA</t>
  </si>
  <si>
    <t>HIGH PRESSURE SODIUM 150W</t>
  </si>
  <si>
    <t>HPS008-ST</t>
  </si>
  <si>
    <t>High Pressure Sodium 120</t>
  </si>
  <si>
    <t>HPS009-ST</t>
  </si>
  <si>
    <t>High Pressure Sodium 150</t>
  </si>
  <si>
    <t>HPS009-TA</t>
  </si>
  <si>
    <t>HIGH PRESSURE SODIUM 250W (210/220)</t>
  </si>
  <si>
    <t>HPS010-ST</t>
  </si>
  <si>
    <t>High Pressure Sodium 220</t>
  </si>
  <si>
    <t>METAL HALIDE/HPS 250W FLOOD (210/220)</t>
  </si>
  <si>
    <t>FLOOD LIGHT</t>
  </si>
  <si>
    <t>HPS011-ST</t>
  </si>
  <si>
    <t>High Pressure Sodium 250</t>
  </si>
  <si>
    <t>HPS011-TA</t>
  </si>
  <si>
    <t>HIGH PRESSURE SODIUM 2X250 W OR 2X400 W FLOOD</t>
  </si>
  <si>
    <t>HPS012-ST</t>
  </si>
  <si>
    <t>2x250</t>
  </si>
  <si>
    <t>High Pressure Sodium 2x250</t>
  </si>
  <si>
    <t>HPS012-TA</t>
  </si>
  <si>
    <t>HIGH PRESSURE SODIUM 400W (310/360)</t>
  </si>
  <si>
    <t>HPS014-ST</t>
  </si>
  <si>
    <t>310 (Retrofit)</t>
  </si>
  <si>
    <t>High Pressure Sodium 310 (Retrofit)</t>
  </si>
  <si>
    <t>HPS016-ST</t>
  </si>
  <si>
    <t>High Pressure Sodium 360</t>
  </si>
  <si>
    <t>METAL HALIDE/HPS 400W FLOOD (310/360)</t>
  </si>
  <si>
    <t>HPS017-ST</t>
  </si>
  <si>
    <t>High Pressure Sodium 400</t>
  </si>
  <si>
    <t>HIGH PRESSURE SODIUM 400 W POST TOP</t>
  </si>
  <si>
    <t>POST TOP</t>
  </si>
  <si>
    <t>HPS017-TA</t>
  </si>
  <si>
    <t>HPS018-ST</t>
  </si>
  <si>
    <t>High Pressure Sodium 2x400</t>
  </si>
  <si>
    <t>HPS018-TA</t>
  </si>
  <si>
    <t>HIGH PRESSURE SODIUM 3X400 W POST TOP</t>
  </si>
  <si>
    <t>High Pressure Sodium 3x400</t>
  </si>
  <si>
    <t>HIGH PRESSURE SODIUM 600W HIGH MAST</t>
  </si>
  <si>
    <t>HPS021-ST</t>
  </si>
  <si>
    <t>High Pressure Sodium 600 (Internal Ignitor)</t>
  </si>
  <si>
    <t>HIGH MAST</t>
  </si>
  <si>
    <t xml:space="preserve">METAL HALIDE 1000W FLOODLIGHT </t>
  </si>
  <si>
    <t>HPS025-ST</t>
  </si>
  <si>
    <t>High Pressure Sodium 1000</t>
  </si>
  <si>
    <t>INC001-ST</t>
  </si>
  <si>
    <t>Incandescent 30</t>
  </si>
  <si>
    <t>INC002-ST</t>
  </si>
  <si>
    <t>Incandescent 40</t>
  </si>
  <si>
    <t>INC003-ST</t>
  </si>
  <si>
    <t>Incandescent 60</t>
  </si>
  <si>
    <t>INC004-ST</t>
  </si>
  <si>
    <t>Incandescent 75</t>
  </si>
  <si>
    <t>INC005-ST</t>
  </si>
  <si>
    <t>Incandescent 100</t>
  </si>
  <si>
    <t>INC007-ST</t>
  </si>
  <si>
    <t>Incandescent 130</t>
  </si>
  <si>
    <t>INC008-ST</t>
  </si>
  <si>
    <t>Incandescent 150</t>
  </si>
  <si>
    <t>INC009-ST</t>
  </si>
  <si>
    <t>Incandescent 200</t>
  </si>
  <si>
    <t>INC010-ST</t>
  </si>
  <si>
    <t>Incandescent 300</t>
  </si>
  <si>
    <t>BULKHEADS ETC</t>
  </si>
  <si>
    <t>INC011-ST</t>
  </si>
  <si>
    <t>Incandescent 500</t>
  </si>
  <si>
    <t>BULKHEAD</t>
  </si>
  <si>
    <t>INC013-ST</t>
  </si>
  <si>
    <t>Incandescent 800</t>
  </si>
  <si>
    <t>INC014-ST</t>
  </si>
  <si>
    <t>Incandescent 1000</t>
  </si>
  <si>
    <t>OBSOLETE</t>
  </si>
  <si>
    <t>Incandescent 1500</t>
  </si>
  <si>
    <t>LPS001-ST</t>
  </si>
  <si>
    <t>Low Pressure Sodium 18</t>
  </si>
  <si>
    <t>LPS002-ST</t>
  </si>
  <si>
    <t>Low Pressure Sodium 35</t>
  </si>
  <si>
    <t>LPS003-ST</t>
  </si>
  <si>
    <t>Low Pressure Sodium 55</t>
  </si>
  <si>
    <t>LPS004-ST</t>
  </si>
  <si>
    <t>Low Pressure Sodium 90/100</t>
  </si>
  <si>
    <t>LPS005-ST</t>
  </si>
  <si>
    <t>Low Pressure Sodium 135</t>
  </si>
  <si>
    <t>LPS006-ST</t>
  </si>
  <si>
    <t>Low Pressure Sodium 150</t>
  </si>
  <si>
    <t>Total Devices (New)</t>
  </si>
  <si>
    <t>LPS008-ST</t>
  </si>
  <si>
    <t>Low Pressure Sodium 180</t>
  </si>
  <si>
    <t>LPS009-ST</t>
  </si>
  <si>
    <t>Low Pressure Sodium 310</t>
  </si>
  <si>
    <t>MHR001-ST</t>
  </si>
  <si>
    <t>Metal Hallide (Reactor Control Gear) 70</t>
  </si>
  <si>
    <t>MHR002-ST</t>
  </si>
  <si>
    <t>Metal Hallide (Reactor Control Gear) 100</t>
  </si>
  <si>
    <t>MHR003-ST</t>
  </si>
  <si>
    <t>Metal Hallide (Reactor Control Gear) 150</t>
  </si>
  <si>
    <t>MHR006-ST</t>
  </si>
  <si>
    <t>Metal Hallide (Reactor Control Gear) 250</t>
  </si>
  <si>
    <t>METAL HALIDE DECORATIVE 250W</t>
  </si>
  <si>
    <t>DECORATIVE</t>
  </si>
  <si>
    <t>MHR007-ST</t>
  </si>
  <si>
    <t>Metal Hallide (Reactor Control Gear) 400</t>
  </si>
  <si>
    <t>MHR009-ST</t>
  </si>
  <si>
    <t>Metal Hallide (Reactor Control Gear) 500</t>
  </si>
  <si>
    <t>MHR010-ST</t>
  </si>
  <si>
    <t>Metal Hallide (Reactor Control Gear) 1000</t>
  </si>
  <si>
    <t>Mercury Vapour 50</t>
  </si>
  <si>
    <t>MVA002-ST</t>
  </si>
  <si>
    <t>Mercury Vapour 80</t>
  </si>
  <si>
    <t>MVA008-ST</t>
  </si>
  <si>
    <t>Mercury Vapour 125</t>
  </si>
  <si>
    <t>MVA012-ST</t>
  </si>
  <si>
    <t>Mercury Vapour 160</t>
  </si>
  <si>
    <t xml:space="preserve">MERCURY VAPOUR 250W </t>
  </si>
  <si>
    <t>MVA017-ST</t>
  </si>
  <si>
    <t>Mercury Vapour 175</t>
  </si>
  <si>
    <t>MVA019-ST</t>
  </si>
  <si>
    <t>Mercury Vapour 250</t>
  </si>
  <si>
    <t>MERCURY VAPOUR 400W</t>
  </si>
  <si>
    <t>MVA022-ST</t>
  </si>
  <si>
    <t>Mercury Vapour 400</t>
  </si>
  <si>
    <t>MVA025-ST</t>
  </si>
  <si>
    <t>Mercury Vapour 500</t>
  </si>
  <si>
    <t>MVA026-ST</t>
  </si>
  <si>
    <t>Mercury Vapour 700</t>
  </si>
  <si>
    <t>MVA029-ST</t>
  </si>
  <si>
    <t>Mercury Vapour 1000</t>
  </si>
  <si>
    <t>July - August, 2007</t>
  </si>
  <si>
    <t>Twin 20</t>
  </si>
  <si>
    <t>3x20</t>
  </si>
  <si>
    <t>4x20</t>
  </si>
  <si>
    <t>Fluorescent 6x20</t>
  </si>
  <si>
    <t>6x20</t>
  </si>
  <si>
    <t>24</t>
  </si>
  <si>
    <t>25</t>
  </si>
  <si>
    <t>26</t>
  </si>
  <si>
    <t>27</t>
  </si>
  <si>
    <t>28</t>
  </si>
  <si>
    <t>HPS0170-TA-0600-001-B</t>
  </si>
  <si>
    <t>Fluorescent 6x36</t>
  </si>
  <si>
    <t>6x36</t>
  </si>
  <si>
    <t>2x40</t>
  </si>
  <si>
    <t>3x40</t>
  </si>
  <si>
    <t>4x40</t>
  </si>
  <si>
    <t>Fluorescent 5x58</t>
  </si>
  <si>
    <t>5x58</t>
  </si>
  <si>
    <t>Fluorescent 65</t>
  </si>
  <si>
    <t>Fluorescent 5x65</t>
  </si>
  <si>
    <t>5x65</t>
  </si>
  <si>
    <t>2x80</t>
  </si>
  <si>
    <t>3x80</t>
  </si>
  <si>
    <t>Fluorescent 4x80</t>
  </si>
  <si>
    <t>4x80</t>
  </si>
  <si>
    <t>Fluorescent 5x80</t>
  </si>
  <si>
    <t>5x80</t>
  </si>
  <si>
    <t>Fluorescent 6x80</t>
  </si>
  <si>
    <t>6x80</t>
  </si>
  <si>
    <t>Fluorescent 176</t>
  </si>
  <si>
    <t>Fluorescent 236</t>
  </si>
  <si>
    <t>High Pressure Sodium 2x70</t>
  </si>
  <si>
    <t>2x70</t>
  </si>
  <si>
    <t>High Pressure Sodium 3x70</t>
  </si>
  <si>
    <t>3x70</t>
  </si>
  <si>
    <t>High Pressure Sodium 4x70</t>
  </si>
  <si>
    <t>4x70</t>
  </si>
  <si>
    <t>High Pressure Sodium 8x70</t>
  </si>
  <si>
    <t>8x70</t>
  </si>
  <si>
    <t>High Pressure Sodium 4x250</t>
  </si>
  <si>
    <t>4x250</t>
  </si>
  <si>
    <t>High Pressure Sodium 2x310</t>
  </si>
  <si>
    <t>2x310</t>
  </si>
  <si>
    <t>2x400</t>
  </si>
  <si>
    <t>3x400</t>
  </si>
  <si>
    <t>High Pressure Sodium 4x400</t>
  </si>
  <si>
    <t>4x400</t>
  </si>
  <si>
    <t>600 (Internal Ignitor)</t>
  </si>
  <si>
    <t>Pole Inspection and Treatment Rate (oncosted)</t>
  </si>
  <si>
    <t>Pole Treatment Cost</t>
  </si>
  <si>
    <t>For Streetlight patrols in a bulk maintenance regime, 1 patrol is incorporated as part of the actual replacement procedure.</t>
  </si>
  <si>
    <t>Subtotal Maintenance Cost - Spot</t>
  </si>
  <si>
    <t>Subtotal Maintenance Cost - Bulk</t>
  </si>
  <si>
    <t>101878</t>
  </si>
  <si>
    <t>Coachscrew M20 X 130mm Galv</t>
  </si>
  <si>
    <t>101900</t>
  </si>
  <si>
    <t>111710</t>
  </si>
  <si>
    <t>Saddle Conduit 16mm Galv</t>
  </si>
  <si>
    <t>131182</t>
  </si>
  <si>
    <t>Spigot Adaptor 32mm to 25mm Pedestrian</t>
  </si>
  <si>
    <t>131187</t>
  </si>
  <si>
    <t>These PE cells are for D2 type cells that are required for the smaller lanterns</t>
  </si>
  <si>
    <t>D2 PE cell</t>
  </si>
  <si>
    <t>Trunion 360 Deg. Sylflood</t>
  </si>
  <si>
    <t>131190</t>
  </si>
  <si>
    <t>Spigot Adaptor 40mm to 25mm Streetlight</t>
  </si>
  <si>
    <t>131195</t>
  </si>
  <si>
    <t>Spigot Adaptor 50mm to 25mm Streetlight</t>
  </si>
  <si>
    <t>131200</t>
  </si>
  <si>
    <t>On-costing Rates</t>
  </si>
  <si>
    <t>Task Estimation</t>
  </si>
  <si>
    <t>once every 5 years</t>
  </si>
  <si>
    <t>Adaptor Bracket Streetlight Outreach 3 Way(Pipe)</t>
  </si>
  <si>
    <t>131201</t>
  </si>
  <si>
    <t>Adaptor Bracket Streetlight Outreach 4 Way(Pipe)</t>
  </si>
  <si>
    <t>200555</t>
  </si>
  <si>
    <t>Fuse Holder C/W 6.5A Inline Cartridge</t>
  </si>
  <si>
    <t>202090</t>
  </si>
  <si>
    <t>Cartridge 6.5A Fuse Hrc Suit In Line Fuse Holder</t>
  </si>
  <si>
    <t>282360</t>
  </si>
  <si>
    <t>Conduit 20mm Corrugated Flexible PVC Medium Duty Grey UV Sta</t>
  </si>
  <si>
    <t>290170</t>
  </si>
  <si>
    <t>Photoelectric S/Light Control D2 Base Only C/W 300mm Leads</t>
  </si>
  <si>
    <t>290346</t>
  </si>
  <si>
    <t>Shade Suit Photo Elec Cell</t>
  </si>
  <si>
    <t>442639</t>
  </si>
  <si>
    <t>Cable 4.0mm 7/0.85 SDI Black Cu</t>
  </si>
  <si>
    <t>44331</t>
  </si>
  <si>
    <t>Silicone Sealant Clear 310gm</t>
  </si>
  <si>
    <t>502890</t>
  </si>
  <si>
    <t>Seal Rubber Suit Optispec Diffuser</t>
  </si>
  <si>
    <t>503218</t>
  </si>
  <si>
    <t>Diffuser Suit Nostalgia Type Lantern</t>
  </si>
  <si>
    <t>503225</t>
  </si>
  <si>
    <t>Bowl Sylvania Urban Glare Shield `</t>
  </si>
  <si>
    <t>Remote BLR = 55.5 (0.15) Remote spot = 16.33 (0.51)</t>
  </si>
  <si>
    <t>Combination of remote/rural - BLR = 62.33 (0.13)  SLR = 18.5 (0.45)</t>
  </si>
  <si>
    <t>Tariff Type 1</t>
  </si>
  <si>
    <t>Tariff Type 2</t>
  </si>
  <si>
    <t>-01-</t>
  </si>
  <si>
    <t>-02-</t>
  </si>
  <si>
    <t>FLU0010-ST-0010-002-S</t>
  </si>
  <si>
    <t>FLU0010-ST-0110-001-S</t>
  </si>
  <si>
    <t>FLU0020-ST-0010-001-S</t>
  </si>
  <si>
    <t>FLU0030-ST-0110-002-S</t>
  </si>
  <si>
    <t>FLU0040-ST-0010-002-S</t>
  </si>
  <si>
    <t>FLU0050-ST-0010-001-S</t>
  </si>
  <si>
    <t>FLU0050-ST-0010-002-S</t>
  </si>
  <si>
    <t>FLU0050-ST-0110-002-S</t>
  </si>
  <si>
    <t>FLU0060-ST-0010-001-S</t>
  </si>
  <si>
    <t>FLU0060-ST-0010-002-S</t>
  </si>
  <si>
    <t>FLU0060-ST-0740-002-S</t>
  </si>
  <si>
    <t>FLU0060-ST-0990-001-S</t>
  </si>
  <si>
    <t>FLU0070-ST-0010-001-S</t>
  </si>
  <si>
    <t>FLU0070-ST-0010-002-S</t>
  </si>
  <si>
    <t>FLU0080-ST-0010-001-S</t>
  </si>
  <si>
    <t>FLU0080-ST-0010-002-S</t>
  </si>
  <si>
    <t>FLU0080-ST-0990-001-S</t>
  </si>
  <si>
    <t>FLU0100-ST-0010-001-S</t>
  </si>
  <si>
    <t>FLU0100-ST-0010-002-S</t>
  </si>
  <si>
    <t>FLU0110-ST-0010-002-S</t>
  </si>
  <si>
    <t>FLU0130-ST-0010-001-S</t>
  </si>
  <si>
    <t>FLU0130-ST-0010-002-S</t>
  </si>
  <si>
    <t>FLU0130-ST-0110-001-S</t>
  </si>
  <si>
    <t>FLU0130-ST-0110-002-S</t>
  </si>
  <si>
    <t>FLU0130-ST-0740-001-S</t>
  </si>
  <si>
    <t>FLU0130-ST-0740-002-S</t>
  </si>
  <si>
    <t>FLU0130-ST-0810-001-S</t>
  </si>
  <si>
    <t>FLU0130-ST-0810-002-S</t>
  </si>
  <si>
    <t>FLU0130-ST-0820-002-S</t>
  </si>
  <si>
    <t>FLU0130-ST-0990-001-S</t>
  </si>
  <si>
    <t>FLU0130-ST-0990-002-S</t>
  </si>
  <si>
    <t>FLU0140-ST-0010-001-S</t>
  </si>
  <si>
    <t>FLU0140-ST-0010-002-S</t>
  </si>
  <si>
    <t>FLU0140-ST-0990-001-S</t>
  </si>
  <si>
    <t>FLU0150-ST-0010-001-S</t>
  </si>
  <si>
    <t>FLU0150-ST-0010-002-S</t>
  </si>
  <si>
    <t>FLU0150-ST-0810-002-S</t>
  </si>
  <si>
    <t>FLU0160-ST-0010-001-S</t>
  </si>
  <si>
    <t>FLU0160-ST-0010-002-S</t>
  </si>
  <si>
    <t>FLU0160-ST-0810-002-S</t>
  </si>
  <si>
    <t>FLU0160-ST-0990-001-S</t>
  </si>
  <si>
    <t>FLU0160-ST-0990-002-S</t>
  </si>
  <si>
    <t>FLU0170-ST-0010-002-S</t>
  </si>
  <si>
    <t>FLU0180-ST-0010-001-S</t>
  </si>
  <si>
    <t>FLU0190-ST-0010-001-S</t>
  </si>
  <si>
    <t>FLU0190-ST-0010-002-S</t>
  </si>
  <si>
    <t>FLU0200-ST-0010-002-S</t>
  </si>
  <si>
    <t>FLU0240-ST-0010-001-S</t>
  </si>
  <si>
    <t>FLU0240-ST-0010-002-S</t>
  </si>
  <si>
    <t>FLU0240-ST-0990-001-S</t>
  </si>
  <si>
    <r>
      <t xml:space="preserve">SLUOS Capital </t>
    </r>
    <r>
      <rPr>
        <sz val="8"/>
        <rFont val="Arial"/>
        <family val="2"/>
      </rPr>
      <t>(Current)</t>
    </r>
  </si>
  <si>
    <r>
      <t xml:space="preserve">SLUOS Tariff 2009/2010 </t>
    </r>
    <r>
      <rPr>
        <sz val="8"/>
        <rFont val="Arial"/>
        <family val="2"/>
      </rPr>
      <t>(Current)</t>
    </r>
  </si>
  <si>
    <t>FLU0240-ST-0990-002-S</t>
  </si>
  <si>
    <t>FLU0240-ST-1000-002-S</t>
  </si>
  <si>
    <t>FLU0240-ST-1260-002-S</t>
  </si>
  <si>
    <t>FLU0250-ST-0010-001-S</t>
  </si>
  <si>
    <t>FLU0250-ST-0010-002-S</t>
  </si>
  <si>
    <t>FLU0260-ST-0010-002-S</t>
  </si>
  <si>
    <t>FLU0270-ST-0010-002-S</t>
  </si>
  <si>
    <t>FLU0300-ST-0010-002-S</t>
  </si>
  <si>
    <t>HPS0010-ST-0040-001-S</t>
  </si>
  <si>
    <t>HPS0010-ST-0040-002-S</t>
  </si>
  <si>
    <t>HPS0010-ST-0090-002-S</t>
  </si>
  <si>
    <t>HPS0010-ST-0350-001-S</t>
  </si>
  <si>
    <t>HPS0010-ST-0350-002-S</t>
  </si>
  <si>
    <t>HPS0010-ST-0360-001-S</t>
  </si>
  <si>
    <t>HPS0010-ST-0360-002-S</t>
  </si>
  <si>
    <t>HPS0010-ST-0750-001-S</t>
  </si>
  <si>
    <t>HPS0010-TA-0090-001-S</t>
  </si>
  <si>
    <t>HPS0010-TA-0090-002-S</t>
  </si>
  <si>
    <t>HPS0010-TA-0140-001-S</t>
  </si>
  <si>
    <t>HPS0010-TA-0170-001-S</t>
  </si>
  <si>
    <t>HPS0010-TA-0170-002-S</t>
  </si>
  <si>
    <t>HPS0010-TA-1180-001-S</t>
  </si>
  <si>
    <t>HPS0010-TA-1200-001-S</t>
  </si>
  <si>
    <t>HPS0020-ST-0040-001-S</t>
  </si>
  <si>
    <t>HPS0020-ST-0040-002-S</t>
  </si>
  <si>
    <t>HPS0020-ST-0170-002-S</t>
  </si>
  <si>
    <t>HPS0020-ST-0350-001-S</t>
  </si>
  <si>
    <t>HPS0020-ST-0350-002-S</t>
  </si>
  <si>
    <t>HPS0020-ST-0360-001-S</t>
  </si>
  <si>
    <t>HPS0020-ST-0360-002-S</t>
  </si>
  <si>
    <t>HPS0020-ST-0730-001-S</t>
  </si>
  <si>
    <t>HPS0020-ST-0730-002-S</t>
  </si>
  <si>
    <t>HPS0020-ST-0750-002-S</t>
  </si>
  <si>
    <t>HPS0020-ST-0880-002-S</t>
  </si>
  <si>
    <t>HPS0020-ST-0890-001-S</t>
  </si>
  <si>
    <t>HPS0020-ST-0890-002-S</t>
  </si>
  <si>
    <t>HPS0020-ST-0910-001-S</t>
  </si>
  <si>
    <t>HPS0020-ST-0910-002-S</t>
  </si>
  <si>
    <t>HPS0020-TA-0090-001-S</t>
  </si>
  <si>
    <t>HPS0020-TA-0090-002-S</t>
  </si>
  <si>
    <t>HPS0020-TA-0140-001-S</t>
  </si>
  <si>
    <t>HPS0020-TA-0140-002-S</t>
  </si>
  <si>
    <t>HPS0020-TA-0170-001-S</t>
  </si>
  <si>
    <t>HPS0020-TA-0170-002-S</t>
  </si>
  <si>
    <t>HPS0070-ST-0040-001-S</t>
  </si>
  <si>
    <t>HPS0070-ST-0040-002-S</t>
  </si>
  <si>
    <t>HPS0070-ST-0350-001-S</t>
  </si>
  <si>
    <t>HPS0070-ST-0360-001-S</t>
  </si>
  <si>
    <t>Inflator</t>
  </si>
  <si>
    <t>Existing Assets</t>
  </si>
  <si>
    <t>New Assets</t>
  </si>
  <si>
    <t>HPS0070-ST-0360-002-S</t>
  </si>
  <si>
    <t>HPS0080-ST-0050-001-S</t>
  </si>
  <si>
    <t>HPS0080-ST-0360-002-S</t>
  </si>
  <si>
    <t>HPS0090-ST-0050-001-S</t>
  </si>
  <si>
    <t>HPS0090-ST-0050-002-S</t>
  </si>
  <si>
    <t>HPS0090-ST-0220-001-S</t>
  </si>
  <si>
    <t>HPS0090-ST-0220-002-S</t>
  </si>
  <si>
    <t>HPS0090-ST-0310-001-S</t>
  </si>
  <si>
    <t>HPS0090-ST-0310-002-S</t>
  </si>
  <si>
    <t>HPS0090-ST-0690-001-S</t>
  </si>
  <si>
    <t>HPS0090-ST-0690-002-S</t>
  </si>
  <si>
    <t>HPS0090-ST-0710-002-S</t>
  </si>
  <si>
    <t>HPS0090-ST-0720-001-S</t>
  </si>
  <si>
    <t>HPS0090-ST-0720-002-S</t>
  </si>
  <si>
    <t>HPS0090-ST-0980-002-S</t>
  </si>
  <si>
    <t>HPS0090-ST-1010-001-S</t>
  </si>
  <si>
    <t>HPS0090-ST-1010-002-S</t>
  </si>
  <si>
    <t>HPS0090-ST-1360-002-S</t>
  </si>
  <si>
    <t>HPS0090-TA-0050-001-S</t>
  </si>
  <si>
    <t>HPS0090-TA-0050-002-S</t>
  </si>
  <si>
    <t>HPS0090-TA-0220-001-S</t>
  </si>
  <si>
    <t>HPS0090-TA-0310-001-S</t>
  </si>
  <si>
    <t>HPS0100-ST-0060-001-S</t>
  </si>
  <si>
    <t>Time equally split between travel and replacement/repair for modelling purposes - allows for 2 persons</t>
  </si>
  <si>
    <t>HPS0100-ST-0060-002-S</t>
  </si>
  <si>
    <t>HPS0100-ST-0230-002-S</t>
  </si>
  <si>
    <t>HPS0100-ST-0320-001-S</t>
  </si>
  <si>
    <t>HPS0100-ST-0320-002-S</t>
  </si>
  <si>
    <t>HPS0100-ST-0390-002-S</t>
  </si>
  <si>
    <t>HPS0100-ST-0430-001-S</t>
  </si>
  <si>
    <t>HPS0110-ST-0060-001-S</t>
  </si>
  <si>
    <t>HPS0110-ST-0060-002-S</t>
  </si>
  <si>
    <t>HPS0110-ST-0230-001-S</t>
  </si>
  <si>
    <t>HPS0110-ST-0230-002-S</t>
  </si>
  <si>
    <t>HPS0110-ST-0320-001-S</t>
  </si>
  <si>
    <t>HPS0110-ST-0320-002-S</t>
  </si>
  <si>
    <t>HPS0110-ST-0390-001-S</t>
  </si>
  <si>
    <t>HPS0110-ST-0390-002-S</t>
  </si>
  <si>
    <t>HPS0110-ST-0430-002-S</t>
  </si>
  <si>
    <t>HPS0110-ST-0470-001-S</t>
  </si>
  <si>
    <t>HPS0110-ST-0470-002-S</t>
  </si>
  <si>
    <t>HPS0110-ST-0550-001-S</t>
  </si>
  <si>
    <t>HPS0110-ST-0550-002-S</t>
  </si>
  <si>
    <t>HPS0110-ST-0590-001-S</t>
  </si>
  <si>
    <t>HPS0110-ST-0590-002-S</t>
  </si>
  <si>
    <t>HPS0110-ST-0610-001-S</t>
  </si>
  <si>
    <t>HPS0110-ST-0610-002-S</t>
  </si>
  <si>
    <t>HPS0110-ST-0650-002-S</t>
  </si>
  <si>
    <t>HPS0110-ST-0760-001-S</t>
  </si>
  <si>
    <t>HPS0110-ST-0760-002-S</t>
  </si>
  <si>
    <t>HPS0110-ST-0930-002-S</t>
  </si>
  <si>
    <t>HPS0110-ST-0960-001-S</t>
  </si>
  <si>
    <t>HPS0110-ST-0960-002-S</t>
  </si>
  <si>
    <t>HPS0110-ST-0970-002-S</t>
  </si>
  <si>
    <t>HPS0110-ST-1070-001-S</t>
  </si>
  <si>
    <t>HPS0110-ST-1070-002-S</t>
  </si>
  <si>
    <t>HPS0110-ST-1120-001-S</t>
  </si>
  <si>
    <t>HPS0110-ST-1120-002-S</t>
  </si>
  <si>
    <t>HPS0110-ST-1160-001-S</t>
  </si>
  <si>
    <t>HPS0110-ST-1330-002-S</t>
  </si>
  <si>
    <t>HPS0110-ST-1340-002-S</t>
  </si>
  <si>
    <t>HPS0110-ST-1380-002-S</t>
  </si>
  <si>
    <t>HPS0110-ST-1450-002-S</t>
  </si>
  <si>
    <t>HPS0110-TA-0060-001-S</t>
  </si>
  <si>
    <t>HPS0110-TA-0060-002-S</t>
  </si>
  <si>
    <t>HPS0110-TA-0230-001-S</t>
  </si>
  <si>
    <t>HPS0110-TA-0320-001-S</t>
  </si>
  <si>
    <t>HPS0110-TA-0320-002-S</t>
  </si>
  <si>
    <t>HPS0110-TA-0470-001-S</t>
  </si>
  <si>
    <t>HPS0110-TA-0590-001-S</t>
  </si>
  <si>
    <t>HPS0110-TA-0590-002-S</t>
  </si>
  <si>
    <t>HPS0110-TA-0960-001-S</t>
  </si>
  <si>
    <t>HPS0110-TA-1120-002-S</t>
  </si>
  <si>
    <t>HPS0120-ST-0860-002-S</t>
  </si>
  <si>
    <t>HPS0120-ST-0870-002-S</t>
  </si>
  <si>
    <t>HPS0140-ST-0070-001-S</t>
  </si>
  <si>
    <t>HPS0140-ST-0070-002-S</t>
  </si>
  <si>
    <t>HPS0140-ST-0240-002-S</t>
  </si>
  <si>
    <t>HPS0140-ST-0330-002-S</t>
  </si>
  <si>
    <t>HPS0140-ST-0400-002-S</t>
  </si>
  <si>
    <t>HPS0140-ST-1030-001-S</t>
  </si>
  <si>
    <t>HPS0160-ST-0070-001-S</t>
  </si>
  <si>
    <t>HPS0160-ST-0070-002-S</t>
  </si>
  <si>
    <t>HPS0160-ST-0240-001-S</t>
  </si>
  <si>
    <t>HPS0160-ST-0240-002-S</t>
  </si>
  <si>
    <t>HPS0160-ST-0330-001-S</t>
  </si>
  <si>
    <t>HPS0160-ST-0330-002-S</t>
  </si>
  <si>
    <t>HPS0160-ST-1020-001-S</t>
  </si>
  <si>
    <t>HPS0160-ST-1030-001-S</t>
  </si>
  <si>
    <t>HPS0170-ST-0070-001-S</t>
  </si>
  <si>
    <t>HPS0170-ST-0070-002-S</t>
  </si>
  <si>
    <t>HPS0170-ST-0240-001-S</t>
  </si>
  <si>
    <t>HPS0170-ST-0240-002-S</t>
  </si>
  <si>
    <t>HPS0170-ST-0270-002-S</t>
  </si>
  <si>
    <t>HPS0170-ST-0330-001-S</t>
  </si>
  <si>
    <t>HPS0170-ST-0330-002-S</t>
  </si>
  <si>
    <t>HPS0170-ST-0400-001-S</t>
  </si>
  <si>
    <t>HPS0170-ST-0400-002-S</t>
  </si>
  <si>
    <t>HPS0170-ST-0440-001-S</t>
  </si>
  <si>
    <t>HPS0170-ST-0440-002-S</t>
  </si>
  <si>
    <t>HPS0170-ST-0480-002-S</t>
  </si>
  <si>
    <t>HPS0170-ST-0560-002-S</t>
  </si>
  <si>
    <t>HPS0170-ST-0600-002-S</t>
  </si>
  <si>
    <t>HPS0170-ST-0620-001-S</t>
  </si>
  <si>
    <t>HPS0170-ST-0620-002-S</t>
  </si>
  <si>
    <t>HPS0170-ST-0660-002-S</t>
  </si>
  <si>
    <t>HPS0170-ST-0770-002-S</t>
  </si>
  <si>
    <t>HPS0170-ST-0900-002-S</t>
  </si>
  <si>
    <t>HPS0170-ST-1030-001-S</t>
  </si>
  <si>
    <t>HPS0170-ST-1030-002-S</t>
  </si>
  <si>
    <t>HPS0170-ST-1100-001-S</t>
  </si>
  <si>
    <t>HPS0170-ST-1100-002-S</t>
  </si>
  <si>
    <t>HPS0170-ST-1130-001-S</t>
  </si>
  <si>
    <t>HPS0170-ST-1170-001-S</t>
  </si>
  <si>
    <t>HPS0170-ST-1170-002-S</t>
  </si>
  <si>
    <t>HPS0170-ST-1250-001-S</t>
  </si>
  <si>
    <t>HPS0170-TA-0070-001-S</t>
  </si>
  <si>
    <t>HPS0180-ST-0860-001-S</t>
  </si>
  <si>
    <t>HPS0180-ST-0870-001-S</t>
  </si>
  <si>
    <t>HPS0180-ST-0870-002-S</t>
  </si>
  <si>
    <t>HPS0210-ST-0250-001-S</t>
  </si>
  <si>
    <t>HPS0250-ST-0120-001-S</t>
  </si>
  <si>
    <t>HPS0250-ST-0120-002-S</t>
  </si>
  <si>
    <t>HPS0250-ST-0850-001-S</t>
  </si>
  <si>
    <t>HPS0250-ST-1050-001-S</t>
  </si>
  <si>
    <t>HPS0250-ST-1050-002-S</t>
  </si>
  <si>
    <t>INC0010-ST-0010-002-S</t>
  </si>
  <si>
    <t>INC0010-ST-0810-001-S</t>
  </si>
  <si>
    <t>INC0020-ST-0010-001-S</t>
  </si>
  <si>
    <t>INC0020-ST-0010-002-S</t>
  </si>
  <si>
    <t>INC0020-ST-0810-001-S</t>
  </si>
  <si>
    <t>INC0020-ST-0830-002-S</t>
  </si>
  <si>
    <t>INC0030-ST-0010-001-S</t>
  </si>
  <si>
    <t>INC0030-ST-0010-002-S</t>
  </si>
  <si>
    <t>INC0040-ST-0010-001-S</t>
  </si>
  <si>
    <t>INC0040-ST-0010-002-S</t>
  </si>
  <si>
    <t>INC0040-ST-0810-001-S</t>
  </si>
  <si>
    <t>INC0040-ST-0990-001-S</t>
  </si>
  <si>
    <t>INC0050-ST-0010-001-S</t>
  </si>
  <si>
    <t>INC0050-ST-0010-002-S</t>
  </si>
  <si>
    <t>INC0050-ST-0110-002-S</t>
  </si>
  <si>
    <t>INC0050-ST-0810-001-S</t>
  </si>
  <si>
    <t>INC0050-ST-0990-001-S</t>
  </si>
  <si>
    <t>INC0070-ST-0740-002-S</t>
  </si>
  <si>
    <t>INC0080-ST-0010-001-S</t>
  </si>
  <si>
    <t>INC0080-ST-0010-002-S</t>
  </si>
  <si>
    <t>INC0080-ST-0110-002-S</t>
  </si>
  <si>
    <t>INC0080-ST-0810-001-S</t>
  </si>
  <si>
    <t>INC0090-ST-0010-001-S</t>
  </si>
  <si>
    <t>INC0090-ST-0010-002-S</t>
  </si>
  <si>
    <t>INC0090-ST-0810-001-S</t>
  </si>
  <si>
    <t>INC0100-ST-0010-001-S</t>
  </si>
  <si>
    <t>INC0100-ST-0010-002-S</t>
  </si>
  <si>
    <t>INC0100-ST-0610-001-S</t>
  </si>
  <si>
    <t>INC0100-ST-0810-001-S</t>
  </si>
  <si>
    <t>INC0100-ST-0990-001-S</t>
  </si>
  <si>
    <t>INC0110-ST-0010-001-S</t>
  </si>
  <si>
    <t>INC0110-ST-0010-002-S</t>
  </si>
  <si>
    <t>INC0110-ST-0110-001-S</t>
  </si>
  <si>
    <t>INC0110-ST-0810-001-S</t>
  </si>
  <si>
    <t>INC0130-ST-0010-001-S</t>
  </si>
  <si>
    <t>INC0140-ST-0680-002-S</t>
  </si>
  <si>
    <t>INC0140-ST-0900-002-S</t>
  </si>
  <si>
    <t>INC0140-ST-1130-002-S</t>
  </si>
  <si>
    <t>INC0160-ST-0640-001-S</t>
  </si>
  <si>
    <t>INC0160-ST-0640-002-S</t>
  </si>
  <si>
    <t>INC0160-ST-1170-002-S</t>
  </si>
  <si>
    <t>LPS0010-ST-0040-001-S</t>
  </si>
  <si>
    <t>LPS0010-ST-0350-001-S</t>
  </si>
  <si>
    <t>LPS0010-ST-0350-002-S</t>
  </si>
  <si>
    <t>LPS0020-ST-0040-001-S</t>
  </si>
  <si>
    <t>LPS0020-ST-0040-002-S</t>
  </si>
  <si>
    <t>LPS0030-ST-0040-001-S</t>
  </si>
  <si>
    <t>Assuming write down of existing assets over 10 years</t>
  </si>
  <si>
    <t>Write down period</t>
  </si>
  <si>
    <t>Return on</t>
  </si>
  <si>
    <t>2014-15</t>
  </si>
  <si>
    <t>2015-16</t>
  </si>
  <si>
    <t>2016-17</t>
  </si>
  <si>
    <t>2017-18</t>
  </si>
  <si>
    <t>2018-19</t>
  </si>
  <si>
    <t>RegDeprec</t>
  </si>
  <si>
    <t>LPS0030-ST-0040-002-S</t>
  </si>
  <si>
    <t>LPS0030-ST-0360-001-S</t>
  </si>
  <si>
    <t>LPS0040-ST-0050-001-S</t>
  </si>
  <si>
    <t>LPS0040-ST-0050-002-S</t>
  </si>
  <si>
    <t>LPS0040-ST-0060-001-S</t>
  </si>
  <si>
    <t>LPS0040-ST-0220-001-S</t>
  </si>
  <si>
    <t>LPS0040-ST-0310-001-S</t>
  </si>
  <si>
    <t>LPS0050-ST-0060-001-S</t>
  </si>
  <si>
    <t>LPS0050-ST-0060-002-S</t>
  </si>
  <si>
    <t>LPS0050-ST-0230-001-S</t>
  </si>
  <si>
    <t>LPS0050-ST-0230-002-S</t>
  </si>
  <si>
    <t>LPS0060-ST-0060-002-S</t>
  </si>
  <si>
    <t>LPS0060-ST-0230-002-S</t>
  </si>
  <si>
    <t>LPS0060-ST-0320-002-S</t>
  </si>
  <si>
    <t>LPS0080-ST-0070-001-S</t>
  </si>
  <si>
    <t>LPS0080-ST-0230-001-S</t>
  </si>
  <si>
    <t>LPS0080-ST-0240-001-S</t>
  </si>
  <si>
    <t>LPS0090-ST-0070-002-S</t>
  </si>
  <si>
    <t>MHR0010-ST-0040-002-S</t>
  </si>
  <si>
    <t>MHR0010-ST-0360-002-S</t>
  </si>
  <si>
    <t>MHR0030-ST-0050-002-S</t>
  </si>
  <si>
    <t>MHR0030-ST-0310-002-S</t>
  </si>
  <si>
    <t>MHR0060-ST-0060-002-S</t>
  </si>
  <si>
    <t>MHR0060-ST-0320-001-S</t>
  </si>
  <si>
    <t>MHR0060-ST-0320-002-S</t>
  </si>
  <si>
    <t>MHR0060-ST-0390-002-S</t>
  </si>
  <si>
    <t>MHR0060-ST-0430-002-S</t>
  </si>
  <si>
    <t>MHR0060-ST-0610-001-S</t>
  </si>
  <si>
    <t>MHR0060-ST-0610-002-S</t>
  </si>
  <si>
    <t>MHR0060-ST-0960-002-S</t>
  </si>
  <si>
    <t>MHR0060-ST-1120-002-S</t>
  </si>
  <si>
    <t>MHR0060-ST-1270-002-S</t>
  </si>
  <si>
    <t>MHR0060-ST-1280-002-S</t>
  </si>
  <si>
    <t>MHR0060-ST-1290-002-S</t>
  </si>
  <si>
    <t>MHR0070-ST-0070-001-S</t>
  </si>
  <si>
    <t>MHR0070-ST-0070-002-S</t>
  </si>
  <si>
    <t>MHR0070-ST-0620-001-S</t>
  </si>
  <si>
    <t>MHR0070-ST-0640-001-S</t>
  </si>
  <si>
    <t>MHR0070-ST-0640-002-S</t>
  </si>
  <si>
    <t>MHR0070-ST-0680-002-S</t>
  </si>
  <si>
    <t>MHR0070-ST-1100-001-S</t>
  </si>
  <si>
    <t>MHR0070-ST-1100-002-S</t>
  </si>
  <si>
    <t>MHR0100-ST-0120-001-S</t>
  </si>
  <si>
    <t>MHR0100-ST-0120-002-S</t>
  </si>
  <si>
    <t>MVA0010-ST-0010-001-S</t>
  </si>
  <si>
    <t>MVA0010-ST-0010-002-S</t>
  </si>
  <si>
    <t>MVA0010-ST-0810-002-S</t>
  </si>
  <si>
    <t>MVA0010-ST-0990-001-S</t>
  </si>
  <si>
    <t xml:space="preserve">Updated BLR to 4 years for 150W, 250W and 400W HPS, compact fluorescent and fluorescent lamps </t>
  </si>
  <si>
    <t>MVA0010-ST-0990-002-S</t>
  </si>
  <si>
    <t>MVA0020-ST-0010-001-S</t>
  </si>
  <si>
    <t>MVA0020-ST-0010-002-S</t>
  </si>
  <si>
    <t>MVA0020-ST-0110-002-S</t>
  </si>
  <si>
    <t>MVA0020-ST-0740-001-S</t>
  </si>
  <si>
    <t>MVA0020-ST-0740-002-S</t>
  </si>
  <si>
    <t>MVA0020-ST-0810-001-S</t>
  </si>
  <si>
    <t>MVA0020-ST-0810-002-S</t>
  </si>
  <si>
    <t>MVA0020-ST-0990-001-S</t>
  </si>
  <si>
    <t>MVA0020-ST-0990-002-S</t>
  </si>
  <si>
    <t>MVA0020-ST-1000-002-S</t>
  </si>
  <si>
    <t>MVA0020-ST-1260-002-S</t>
  </si>
  <si>
    <t>MVA0080-ST-0010-001-S</t>
  </si>
  <si>
    <t>MVA0080-ST-0010-002-S</t>
  </si>
  <si>
    <t>MVA0080-ST-0810-002-S</t>
  </si>
  <si>
    <t>MVA0080-ST-0990-001-S</t>
  </si>
  <si>
    <t>MVA0080-ST-0990-002-S</t>
  </si>
  <si>
    <t>MVA0120-ST-0010-002-S</t>
  </si>
  <si>
    <t>MVA0120-ST-0740-002-S</t>
  </si>
  <si>
    <t>MVA0120-ST-1000-002-S</t>
  </si>
  <si>
    <t>MVA0170-ST-0020-001-S</t>
  </si>
  <si>
    <t>MVA0190-ST-0020-001-S</t>
  </si>
  <si>
    <t>MVA0190-ST-0020-002-S</t>
  </si>
  <si>
    <t>MVA0190-ST-0200-001-S</t>
  </si>
  <si>
    <t>MVA0190-ST-0200-002-S</t>
  </si>
  <si>
    <t>MVA0190-ST-0290-001-S</t>
  </si>
  <si>
    <t>MVA0190-ST-0290-002-S</t>
  </si>
  <si>
    <t>MVA0190-ST-0370-001-S</t>
  </si>
  <si>
    <t>MVA0190-ST-0370-002-S</t>
  </si>
  <si>
    <t>MVA0190-ST-0940-001-S</t>
  </si>
  <si>
    <t>MVA0220-ST-0030-001-S</t>
  </si>
  <si>
    <t>MVA0220-ST-0030-002-S</t>
  </si>
  <si>
    <t>MVA0220-ST-0210-001-S</t>
  </si>
  <si>
    <t>MVA0220-ST-0210-002-S</t>
  </si>
  <si>
    <t>MVA0220-ST-0300-001-S</t>
  </si>
  <si>
    <t>MVA0220-ST-0300-002-S</t>
  </si>
  <si>
    <t>MVA0220-ST-0380-002-S</t>
  </si>
  <si>
    <t>MVA0220-ST-0420-002-S</t>
  </si>
  <si>
    <t>MVA0220-ST-0460-002-S</t>
  </si>
  <si>
    <t>MVA0220-ST-0540-002-S</t>
  </si>
  <si>
    <t>MVA0220-ST-0580-002-S</t>
  </si>
  <si>
    <t>MVA0220-ST-0790-001-S</t>
  </si>
  <si>
    <t>MVA0220-ST-0950-001-S</t>
  </si>
  <si>
    <t>MVA0220-ST-0950-002-S</t>
  </si>
  <si>
    <t>MVA0250-ST-0300-001-S</t>
  </si>
  <si>
    <t>MVA0260-ST-0190-001-S</t>
  </si>
  <si>
    <t>MVA0260-ST-0190-002-S</t>
  </si>
  <si>
    <t>MVA0260-ST-0250-002-S</t>
  </si>
  <si>
    <t xml:space="preserve">Maintenance </t>
  </si>
  <si>
    <t>MVA0260-ST-0340-002-S</t>
  </si>
  <si>
    <t>MVA0260-ST-0700-001-S</t>
  </si>
  <si>
    <t>MVA0290-ST-0120-002-S</t>
  </si>
  <si>
    <t>FLU0350-ST-1620-001-S</t>
  </si>
  <si>
    <t>FLU0350-ST-1620-002-S</t>
  </si>
  <si>
    <t>FLU0350-ST-1630-001-S</t>
  </si>
  <si>
    <t>FLU0350-ST-1630-002-S</t>
  </si>
  <si>
    <t>FLU0350-ST-1640-001-S</t>
  </si>
  <si>
    <t>FLU0350-ST-1640-002-S</t>
  </si>
  <si>
    <t>FLU0350-ST-1650-001-S</t>
  </si>
  <si>
    <t>FLU0350-ST-1650-002-S</t>
  </si>
  <si>
    <t>FLU0350-ST-1660-001-S</t>
  </si>
  <si>
    <t>FLU0350-ST-1660-002-S</t>
  </si>
  <si>
    <t>FLU0350-ST-1670-001-S</t>
  </si>
  <si>
    <t>FLU0350-ST-1670-002-S</t>
  </si>
  <si>
    <t>FLU0350-ST-1680-001-S</t>
  </si>
  <si>
    <t>FLU0350-ST-1680-002-S</t>
  </si>
  <si>
    <t>FLU0350-ST-1690-001-S</t>
  </si>
  <si>
    <t>FLU0350-ST-1690-002-S</t>
  </si>
  <si>
    <t>FLU0350-ST-1700-001-S</t>
  </si>
  <si>
    <t>FLU0350-ST-1700-002-S</t>
  </si>
  <si>
    <t>FLU0350-ST-1710-001-S</t>
  </si>
  <si>
    <t>FLU0350-ST-1710-002-S</t>
  </si>
  <si>
    <t>FLU0350-ST-1720-001-S</t>
  </si>
  <si>
    <t>FLU0350-ST-1720-002-S</t>
  </si>
  <si>
    <t>FLU0350-ST-1730-001-S</t>
  </si>
  <si>
    <t>FLU0350-ST-1730-002-S</t>
  </si>
  <si>
    <t>FLU0360-ST-1740-001-S</t>
  </si>
  <si>
    <t>FLU0360-ST-1740-002-S</t>
  </si>
  <si>
    <t>FLU0360-ST-1750-001-S</t>
  </si>
  <si>
    <t>FLU0360-ST-1750-002-S</t>
  </si>
  <si>
    <t>FLU0360-ST-1760-001-S</t>
  </si>
  <si>
    <t>FLU0360-ST-1760-002-S</t>
  </si>
  <si>
    <t>FLU0360-ST-1770-001-S</t>
  </si>
  <si>
    <t>FLU0360-ST-1770-002-S</t>
  </si>
  <si>
    <t>FLU0360-ST-1780-001-S</t>
  </si>
  <si>
    <t>FLU0360-ST-1780-002-S</t>
  </si>
  <si>
    <t>FLU0360-ST-1790-001-S</t>
  </si>
  <si>
    <t>FLU0360-ST-1790-002-S</t>
  </si>
  <si>
    <t>FLU0360-ST-1800-001-S</t>
  </si>
  <si>
    <t>FLU0360-ST-1800-002-S</t>
  </si>
  <si>
    <t>FLU0360-ST-1810-001-S</t>
  </si>
  <si>
    <t>FLU0360-ST-1810-002-S</t>
  </si>
  <si>
    <t>FLU0360-ST-1820-001-S</t>
  </si>
  <si>
    <t>FLU0360-ST-1820-002-S</t>
  </si>
  <si>
    <t>FLU0360-ST-1830-001-S</t>
  </si>
  <si>
    <t>FLU0360-ST-1830-002-S</t>
  </si>
  <si>
    <t>FLU0360-ST-1840-001-S</t>
  </si>
  <si>
    <t>FLU0360-ST-1840-002-S</t>
  </si>
  <si>
    <t>FLU0360-ST-1850-001-S</t>
  </si>
  <si>
    <t>FLU0360-ST-1850-002-S</t>
  </si>
  <si>
    <t>FLU0370-ST-1860-001-S</t>
  </si>
  <si>
    <t>FLU0370-ST-1860-002-S</t>
  </si>
  <si>
    <t>60007000</t>
  </si>
  <si>
    <t>Spigot Adaptor S/L Outreach 45 Deg</t>
  </si>
  <si>
    <t>61010055</t>
  </si>
  <si>
    <t>Plug Shorting For Nema Pe Cell Base</t>
  </si>
  <si>
    <t>61010060</t>
  </si>
  <si>
    <t>Control Base for NEMA PE Cell Suits Rexel Lanterns</t>
  </si>
  <si>
    <t>64030004</t>
  </si>
  <si>
    <t>Guard Wire Sylvania B3000 Luminaire</t>
  </si>
  <si>
    <t>64030005</t>
  </si>
  <si>
    <t>Guard Wire Sylvania Urban Luminaire</t>
  </si>
  <si>
    <t>64030011</t>
  </si>
  <si>
    <t>Shroud Full No Guard Philips Tempo</t>
  </si>
  <si>
    <t>64030020</t>
  </si>
  <si>
    <t>Guard Mesh For Sentry Floodlight</t>
  </si>
  <si>
    <t>64030025</t>
  </si>
  <si>
    <t>Shieldtop 25 Degrees fro Sentry Floodlight</t>
  </si>
  <si>
    <t>64030036</t>
  </si>
  <si>
    <t>Shield Side 35 Degrees for Sentry Floodlight</t>
  </si>
  <si>
    <t>64040081</t>
  </si>
  <si>
    <t>Diffuser Ec80 Suit Gough  Lantern</t>
  </si>
  <si>
    <t>64040082</t>
  </si>
  <si>
    <t>Diffuser Bowl Sylvania Urban 80 W</t>
  </si>
  <si>
    <t>64040090</t>
  </si>
  <si>
    <t>Diffuser Bowl Glare Reducing Roadster Max 250W</t>
  </si>
  <si>
    <t>64065000</t>
  </si>
  <si>
    <t>Diffuser Toughened Acrylic Bowl To</t>
  </si>
  <si>
    <t>64065005</t>
  </si>
  <si>
    <t>Diffuser 250W Sonpe Gec Optispan</t>
  </si>
  <si>
    <t>64065010</t>
  </si>
  <si>
    <t>Diffuser Acrylic Bowl Gec Optispec</t>
  </si>
  <si>
    <t>785855</t>
  </si>
  <si>
    <t>Relay Contact To Suit Lcr-212</t>
  </si>
  <si>
    <t>Grand Total</t>
  </si>
  <si>
    <t>Item</t>
  </si>
  <si>
    <t>Pole Inspection Frequency</t>
  </si>
  <si>
    <t>years</t>
  </si>
  <si>
    <t>COMPACT FLUORESCENT 42W</t>
  </si>
  <si>
    <t>Total Number of Dedicated steel streetlight poles as determined from WASP(31-10-2007)</t>
  </si>
  <si>
    <t>Total Number of Dedicated wood streetlight poles as determined from WASP (31-10-2007)</t>
  </si>
  <si>
    <t>FLU0360</t>
  </si>
  <si>
    <t>FLU0370</t>
  </si>
  <si>
    <t>These prices are for the Starters that are required for these Fluro lights, not for PE cells themselves. Country Energy's existing fluoresecent lights are controlled by Control wires and therefore no PE cell is required.</t>
  </si>
  <si>
    <t>No Ballast or igniter nor PE cell are required for this installation. All of these installs will be on control wires so no PE cell required.</t>
  </si>
  <si>
    <t>Cost of PE cells are the same as for the other flood lights ie $25.42. We don't have a cost for the ballasts as they aren’t in the cat inventory. We may have purched these some time but not in any number so wasn't added to the inventory. Have procurred a price for the 1000w lanterns from manufacture</t>
  </si>
  <si>
    <t>Remarks</t>
  </si>
  <si>
    <t>These PE cells are for D2 type cells that are required for the smaller lanterns.</t>
  </si>
  <si>
    <t>These are for Nema based PE cells.</t>
  </si>
  <si>
    <t>These are for Button type PE cells that are used for all flood lighting. Same is for 1000w flood light below</t>
  </si>
  <si>
    <t>Compact Fluorescent 1x42</t>
  </si>
  <si>
    <t>T5 2x14W</t>
  </si>
  <si>
    <t>T5 2x24W</t>
  </si>
  <si>
    <t>2x14</t>
  </si>
  <si>
    <t>2x24</t>
  </si>
  <si>
    <t>FLU0360-ST</t>
  </si>
  <si>
    <t>FLU0370-ST</t>
  </si>
  <si>
    <t>High Pressure Sodium 2x600</t>
  </si>
  <si>
    <t>2x600</t>
  </si>
  <si>
    <t>High Pressure Sodium 4x600</t>
  </si>
  <si>
    <t>4x600</t>
  </si>
  <si>
    <t>High Pressure Sodium 6x600</t>
  </si>
  <si>
    <t>6x600</t>
  </si>
  <si>
    <t>High Pressure Sodium 4x1000</t>
  </si>
  <si>
    <t>4x1000</t>
  </si>
  <si>
    <t>Incandescent 3x100</t>
  </si>
  <si>
    <t>3x100</t>
  </si>
  <si>
    <t>Incandescent 750</t>
  </si>
  <si>
    <t>Incandescent 1440</t>
  </si>
  <si>
    <t>Incandescent 2880</t>
  </si>
  <si>
    <t>90/100</t>
  </si>
  <si>
    <t>Low Pressure Sodium 160</t>
  </si>
  <si>
    <t>Metal Hallide (Constant Control Gear) 150</t>
  </si>
  <si>
    <t>Metal Hallide (Constant Control Gear) 250</t>
  </si>
  <si>
    <t>Metal Hallide (Constant Control Gear) 400</t>
  </si>
  <si>
    <t>Metal Hallide (Reactor Control Gear) 4x150</t>
  </si>
  <si>
    <t>4x150</t>
  </si>
  <si>
    <t>Metal Hallide (Reactor Control Gear) 175</t>
  </si>
  <si>
    <t>Metal Hallide (Reactor Control Gear) 2x400</t>
  </si>
  <si>
    <t>Metal Hallide (Reactor Control Gear) 1500</t>
  </si>
  <si>
    <t>Metal Hallide (Reactor Control Gear) 2000</t>
  </si>
  <si>
    <t>Metal Hallide (Reactor Control Gear) 3745</t>
  </si>
  <si>
    <t>Mercury Vapour 2x80</t>
  </si>
  <si>
    <t>Mercury Vapour 3x80</t>
  </si>
  <si>
    <t>Mercury Vapour 4x80</t>
  </si>
  <si>
    <t>Mercury Vapour 6x80</t>
  </si>
  <si>
    <t>Mercury Vapour 7x80</t>
  </si>
  <si>
    <t>7x80</t>
  </si>
  <si>
    <t>This spreadhseet provides basic costing and estimates for the following types of maintenance issues:
1. Traffic Control
2. Labour &amp; Plant
3. Patrols
4. Pole Maintenance</t>
  </si>
  <si>
    <t>Lamp Type</t>
  </si>
  <si>
    <t>Ballast / Igniter Cost</t>
  </si>
  <si>
    <t>This sheet conatins the summary SLUOS Tariff Information per Tariff Code.</t>
  </si>
  <si>
    <t>Mercury Vapour 2x125</t>
  </si>
  <si>
    <t>Mercury Vapour 3x125</t>
  </si>
  <si>
    <t>3x125</t>
  </si>
  <si>
    <t>Mercury Vapour 6x125</t>
  </si>
  <si>
    <t>6x125</t>
  </si>
  <si>
    <t>Mercury Vapour 2x160</t>
  </si>
  <si>
    <t>2x160</t>
  </si>
  <si>
    <t>Mercury Vapour 3x160</t>
  </si>
  <si>
    <t>3x160</t>
  </si>
  <si>
    <t>Mercury Vapour 6x160</t>
  </si>
  <si>
    <t>6x160</t>
  </si>
  <si>
    <t>Mercury Vapour 9x160</t>
  </si>
  <si>
    <t>9x160</t>
  </si>
  <si>
    <t>Mercury Vapour 2x175</t>
  </si>
  <si>
    <t>2x175</t>
  </si>
  <si>
    <t>Mercury Vapour 2x250</t>
  </si>
  <si>
    <t>Mercury Vapour 3x250</t>
  </si>
  <si>
    <t>3x250</t>
  </si>
  <si>
    <t>Mercury Vapour 2x400</t>
  </si>
  <si>
    <t>Mercury Vapour 3x400</t>
  </si>
  <si>
    <t>Mercury Vapour 2x700</t>
  </si>
  <si>
    <t>2x700</t>
  </si>
  <si>
    <t>Mercury Vapour 800</t>
  </si>
  <si>
    <t>Mercury Vapour 4x1000</t>
  </si>
  <si>
    <t>Mercury Vapour 6x1000</t>
  </si>
  <si>
    <t>6x1000</t>
  </si>
  <si>
    <t>Mercury Vapour 1625</t>
  </si>
  <si>
    <t>EXISTING</t>
  </si>
  <si>
    <t>FLU0010-ST-0990-001-B</t>
  </si>
  <si>
    <t>FLU0010-ST-0990-002-B</t>
  </si>
  <si>
    <t>FLU0050-ST-0740-001-B</t>
  </si>
  <si>
    <t>FLU0050-ST-0810-002-B</t>
  </si>
  <si>
    <t>FLU0050-ST-0990-002-B</t>
  </si>
  <si>
    <t>FLU0050-ST-1000-001-B</t>
  </si>
  <si>
    <t>FLU0050-ST-1260-002-B</t>
  </si>
  <si>
    <t>FLU0050-ST-1500-002-B</t>
  </si>
  <si>
    <t>FLU0060-ST-0740-001-B</t>
  </si>
  <si>
    <t>FLU0060-ST-0810-001-B</t>
  </si>
  <si>
    <t>FLU0060-ST-0810-002-B</t>
  </si>
  <si>
    <t>FLU0060-ST-0830-002-B</t>
  </si>
  <si>
    <t>FLU0060-ST-0990-002-B</t>
  </si>
  <si>
    <t>FLU0060-ST-1000-002-B</t>
  </si>
  <si>
    <t>FLU0060-ST-1260-002-B</t>
  </si>
  <si>
    <t>FLU0060-ST-1500-002-B</t>
  </si>
  <si>
    <t>FLU0070-ST-0990-002-B</t>
  </si>
  <si>
    <t>FLU0070-ST-1000-002-B</t>
  </si>
  <si>
    <t>FLU0080-ST-0990-002-B</t>
  </si>
  <si>
    <t>FLU0100-ST-0990-002-B</t>
  </si>
  <si>
    <t>FLU0100-ST-1000-002-B</t>
  </si>
  <si>
    <t>FLU0120-ST-0990-002-B</t>
  </si>
  <si>
    <t>FLU0130-ST-1000-001-B</t>
  </si>
  <si>
    <t>FLU0130-ST-1000-002-B</t>
  </si>
  <si>
    <t>FLU0130-ST-1260-001-B</t>
  </si>
  <si>
    <t>FLU0140-ST-0740-002-B</t>
  </si>
  <si>
    <t>FLU0140-ST-0810-001-B</t>
  </si>
  <si>
    <t>FLU0140-ST-0810-002-B</t>
  </si>
  <si>
    <t>FLU0140-ST-0820-002-B</t>
  </si>
  <si>
    <t>FLU0140-ST-0830-002-B</t>
  </si>
  <si>
    <t>FLU0140-ST-0990-002-B</t>
  </si>
  <si>
    <t>FLU0140-ST-1260-002-B</t>
  </si>
  <si>
    <t>FLU0150-ST-0990-002-B</t>
  </si>
  <si>
    <t>FLU0150-ST-1000-002-B</t>
  </si>
  <si>
    <t>FLU0160-ST-0830-002-B</t>
  </si>
  <si>
    <t>FLU0160-ST-1000-002-B</t>
  </si>
  <si>
    <t>FLU0220-ST-0990-002-B</t>
  </si>
  <si>
    <t>FLU0240-ST-0810-002-B</t>
  </si>
  <si>
    <t>HPS0010-ST-0730-002-B</t>
  </si>
  <si>
    <t>HPS0010-ST-0890-002-B</t>
  </si>
  <si>
    <t>HPS0010-ST-0910-002-B</t>
  </si>
  <si>
    <t>HPS0010-TA-0140-002-B</t>
  </si>
  <si>
    <t>HPS0010-TA-1210-001-B</t>
  </si>
  <si>
    <t>HPS0020-ST-0750-001-B</t>
  </si>
  <si>
    <t>HPS0070-ST-0350-002-B</t>
  </si>
  <si>
    <t>HPS0070-ST-0730-001-B</t>
  </si>
  <si>
    <t>HPS0070-ST-0730-002-B</t>
  </si>
  <si>
    <t>HPS0080-ST-0050-002-B</t>
  </si>
  <si>
    <t>HPS0080-ST-0220-002-B</t>
  </si>
  <si>
    <t>HPS0080-ST-0310-002-B</t>
  </si>
  <si>
    <t>HPS0090-ST-0710-001-B</t>
  </si>
  <si>
    <t>HPS0090-ST-0980-001-B</t>
  </si>
  <si>
    <t>HPS0090-ST-1360-001-B</t>
  </si>
  <si>
    <t>HPS0090-ST-1370-002-B</t>
  </si>
  <si>
    <t>HPS0090-TA-0220-002-B</t>
  </si>
  <si>
    <t>HPS0090-TA-0310-002-B</t>
  </si>
  <si>
    <t>HPS0090-TA-0690-001-B</t>
  </si>
  <si>
    <t>HPS0090-TA-1010-001-B</t>
  </si>
  <si>
    <t>HPS0090-TA-1370-001-B</t>
  </si>
  <si>
    <t>HPS0100-ST-0230-001-B</t>
  </si>
  <si>
    <t>HPS0100-ST-0610-001-B</t>
  </si>
  <si>
    <t>HPS0100-ST-0610-002-B</t>
  </si>
  <si>
    <t>HPS0100-ST-0760-001-B</t>
  </si>
  <si>
    <t>HPS0100-ST-0930-002-B</t>
  </si>
  <si>
    <t>HPS0100-ST-1020-002-B</t>
  </si>
  <si>
    <t>HPS0100-ST-1070-001-B</t>
  </si>
  <si>
    <t>HPS0100-ST-1070-002-B</t>
  </si>
  <si>
    <t>HPS0100-ST-1120-002-B</t>
  </si>
  <si>
    <t>HPS0100-ST-1160-002-B</t>
  </si>
  <si>
    <t>HPS0110-ST-0510-002-B</t>
  </si>
  <si>
    <t>HPS0110-ST-0930-001-B</t>
  </si>
  <si>
    <t>HPS0110-ST-1020-002-B</t>
  </si>
  <si>
    <t>HPS0110-ST-1140-002-B</t>
  </si>
  <si>
    <t>HPS0110-ST-1160-002-B</t>
  </si>
  <si>
    <t>HPS0110-ST-1450-001-B</t>
  </si>
  <si>
    <t>HPS0110-TA-0230-002-B</t>
  </si>
  <si>
    <t>HPS0110-TA-1070-002-B</t>
  </si>
  <si>
    <t>HPS0110-TA-1120-001-B</t>
  </si>
  <si>
    <t>HPS0110-TA-1450-001-B</t>
  </si>
  <si>
    <t>HPS0120-ST-1490-002-B</t>
  </si>
  <si>
    <t>HPS0140-ST-0240-001-B</t>
  </si>
  <si>
    <t>HPS0140-ST-0400-001-B</t>
  </si>
  <si>
    <t>HPS0160-ST-0400-002-B</t>
  </si>
  <si>
    <t>HPS0160-ST-0620-001-B</t>
  </si>
  <si>
    <t>HPS0160-ST-0620-002-B</t>
  </si>
  <si>
    <t>HPS0160-ST-0770-001-B</t>
  </si>
  <si>
    <t>HPS0160-ST-1130-002-B</t>
  </si>
  <si>
    <t>HPS0160-ST-1170-002-B</t>
  </si>
  <si>
    <t>HPS0170-ST-0480-001-B</t>
  </si>
  <si>
    <t>HPS0170-ST-0560-001-B</t>
  </si>
  <si>
    <t>HPS0170-ST-0600-001-B</t>
  </si>
  <si>
    <t>HPS0170-ST-0770-001-B</t>
  </si>
  <si>
    <t>HPS0170-ST-0900-001-B</t>
  </si>
  <si>
    <t>HPS0170-ST-1060-002-B</t>
  </si>
  <si>
    <t>HPS0170-ST-1080-001-B</t>
  </si>
  <si>
    <t>HPS0170-ST-1080-002-B</t>
  </si>
  <si>
    <t>HPS0170-ST-1130-002-B</t>
  </si>
  <si>
    <t>HPS0170-TA-0240-001-B</t>
  </si>
  <si>
    <t>HPS0170-TA-0330-001-B</t>
  </si>
  <si>
    <t>HPS0170-TA-0400-001-B</t>
  </si>
  <si>
    <t>HPS0170-TA-0600-002-B</t>
  </si>
  <si>
    <t>HPS0170-TA-1080-001-B</t>
  </si>
  <si>
    <t>HPS0180-ST-1490-001-B</t>
  </si>
  <si>
    <t>HPS0190-ST-1470-001-B</t>
  </si>
  <si>
    <t>HPS0190-ST-1470-002-B</t>
  </si>
  <si>
    <t>HPS0210-ST-0190-001-B</t>
  </si>
  <si>
    <t>INC0010-ST-0990-002-B</t>
  </si>
  <si>
    <t>INC0030-ST-0810-002-B</t>
  </si>
  <si>
    <t>INC0030-ST-0820-002-B</t>
  </si>
  <si>
    <t>INC0030-ST-0990-002-B</t>
  </si>
  <si>
    <t>INC0050-ST-0810-002-B</t>
  </si>
  <si>
    <t>INC0050-ST-0990-002-B</t>
  </si>
  <si>
    <t>INC0080-ST-0820-002-B</t>
  </si>
  <si>
    <t>INC0080-ST-1000-002-B</t>
  </si>
  <si>
    <t>INC0100-ST-0740-002-B</t>
  </si>
  <si>
    <t>INC0160-ST-0620-001-B</t>
  </si>
  <si>
    <t>INC0160-ST-0620-002-B</t>
  </si>
  <si>
    <t>LPS0030-ST-0350-001-B</t>
  </si>
  <si>
    <t>LPS0030-ST-0350-002-B</t>
  </si>
  <si>
    <t>LPS0030-ST-0360-002-B</t>
  </si>
  <si>
    <t>LPS0030-ST-0890-001-B</t>
  </si>
  <si>
    <t>LPS0030-ST-0890-002-B</t>
  </si>
  <si>
    <t>LPS0040-ST-0220-002-B</t>
  </si>
  <si>
    <t>LPS0040-ST-0310-002-B</t>
  </si>
  <si>
    <t>LPS0050-ST-0320-002-B</t>
  </si>
  <si>
    <t>LPS0060-ST-0060-001-B</t>
  </si>
  <si>
    <t>LPS0060-ST-0230-001-B</t>
  </si>
  <si>
    <t>LPS0060-ST-0320-001-B</t>
  </si>
  <si>
    <t>LPS0060-ST-0390-002-B</t>
  </si>
  <si>
    <t>LPS0060-ST-0470-002-B</t>
  </si>
  <si>
    <t>LPS0060-ST-0590-002-B</t>
  </si>
  <si>
    <t>LPS0060-ST-0960-002-B</t>
  </si>
  <si>
    <t>LPS0080-ST-0060-001-B</t>
  </si>
  <si>
    <t>LPS0080-ST-0060-002-B</t>
  </si>
  <si>
    <t>MHR0010-ST-0730-002-B</t>
  </si>
  <si>
    <t>MHR0020-ST-0730-001-B</t>
  </si>
  <si>
    <t>MHR0030-ST-0220-002-B</t>
  </si>
  <si>
    <t>MHR0030-ST-0690-002-B</t>
  </si>
  <si>
    <t>MHR0030-ST-0710-002-B</t>
  </si>
  <si>
    <t>MHR0060-ST-0060-001-B</t>
  </si>
  <si>
    <t>MHR0060-ST-0590-002-B</t>
  </si>
  <si>
    <t>MHR0060-ST-0650-002-B</t>
  </si>
  <si>
    <t>MHR0060-ST-1070-001-B</t>
  </si>
  <si>
    <t>MHR0060-ST-1070-002-B</t>
  </si>
  <si>
    <t>MHR0060-ST-1120-001-B</t>
  </si>
  <si>
    <t>MHR0060-ST-1160-002-B</t>
  </si>
  <si>
    <t>MHR0070-ST-0060-001-B</t>
  </si>
  <si>
    <t>MHR0070-ST-0060-002-B</t>
  </si>
  <si>
    <t>MHR0070-ST-0270-001-B</t>
  </si>
  <si>
    <t>MHR0070-ST-0320-001-B</t>
  </si>
  <si>
    <t>MHR0070-ST-0320-002-B</t>
  </si>
  <si>
    <t>MHR0070-ST-0390-002-B</t>
  </si>
  <si>
    <t>MHR0070-ST-0470-002-B</t>
  </si>
  <si>
    <t>MHR0070-ST-0620-002-B</t>
  </si>
  <si>
    <t>MHR0070-ST-0660-001-B</t>
  </si>
  <si>
    <t>MHR0070-ST-0660-002-B</t>
  </si>
  <si>
    <t>MHR0070-ST-1080-001-B</t>
  </si>
  <si>
    <t>MHR0070-ST-1080-002-B</t>
  </si>
  <si>
    <t>MHR0070-ST-1130-001-B</t>
  </si>
  <si>
    <t>MHR0070-ST-1170-001-B</t>
  </si>
  <si>
    <t>MHR0070-ST-1170-002-B</t>
  </si>
  <si>
    <t>MHR0110-ST-0120-002-B</t>
  </si>
  <si>
    <t>MVA0010-ST-0740-001-B</t>
  </si>
  <si>
    <t>MVA0010-ST-0740-002-B</t>
  </si>
  <si>
    <t>MVA0010-ST-0810-001-B</t>
  </si>
  <si>
    <t>MVA0010-ST-1000-002-B</t>
  </si>
  <si>
    <t>MVA0010-ST-1260-002-B</t>
  </si>
  <si>
    <t>MVA0020-ST-0820-002-B</t>
  </si>
  <si>
    <t>MVA0020-ST-0830-002-B</t>
  </si>
  <si>
    <t>MVA0020-ST-1000-001-B</t>
  </si>
  <si>
    <t>MVA0020-ST-1260-001-B</t>
  </si>
  <si>
    <t>MVA0020-ST-1460-002-B</t>
  </si>
  <si>
    <t>MVA0020-ST-1500-002-B</t>
  </si>
  <si>
    <t>MVA0080-ST-0740-002-B</t>
  </si>
  <si>
    <t>MVA0080-ST-0810-001-B</t>
  </si>
  <si>
    <t>MVA0080-ST-0820-001-B</t>
  </si>
  <si>
    <t>MVA0080-ST-1000-001-B</t>
  </si>
  <si>
    <t>MVA0080-ST-1000-002-B</t>
  </si>
  <si>
    <t>MVA0170-ST-0290-002-B</t>
  </si>
  <si>
    <t>MVA0190-ST-0450-002-B</t>
  </si>
  <si>
    <t>MVA0190-ST-0570-002-B</t>
  </si>
  <si>
    <t>MVA0190-ST-0780-001-B</t>
  </si>
  <si>
    <t>MVA0190-ST-0780-002-B</t>
  </si>
  <si>
    <t>MVA0190-ST-0940-002-B</t>
  </si>
  <si>
    <t>MVA0220-ST-0540-001-B</t>
  </si>
  <si>
    <t>MVA0220-ST-0790-002-B</t>
  </si>
  <si>
    <t>MVA0290-ST-1040-002-B</t>
  </si>
  <si>
    <t>PROPOSED</t>
  </si>
  <si>
    <t>MAINT SPOT COST</t>
  </si>
  <si>
    <t>MAINT BULK COST</t>
  </si>
  <si>
    <t>TOTAL</t>
  </si>
  <si>
    <t>SPOT</t>
  </si>
  <si>
    <t>SPOT- LAMP ONLY</t>
  </si>
  <si>
    <t>NA</t>
  </si>
  <si>
    <t>HPS010-TA</t>
  </si>
  <si>
    <t>HPS016-TA</t>
  </si>
  <si>
    <t>40%/3%</t>
  </si>
  <si>
    <t>25%/3.5%</t>
  </si>
  <si>
    <t>SAVING</t>
  </si>
  <si>
    <t>33%/2.8%</t>
  </si>
  <si>
    <t>90% INITIAL</t>
  </si>
  <si>
    <t>ON BULK COST</t>
  </si>
  <si>
    <t>ON SPOT COST</t>
  </si>
  <si>
    <t>95% INITIAL</t>
  </si>
  <si>
    <t>-4% SPACING</t>
  </si>
  <si>
    <t>-2% SPACING</t>
  </si>
  <si>
    <t>COUNTRY ENERGY</t>
  </si>
  <si>
    <t>CAPITAL COMPONENTS FOR STREET LIGHTING USE OF SYSTEM TARIFFS (Maximum Prices per annum/per light)</t>
  </si>
  <si>
    <t>Capital Code</t>
  </si>
  <si>
    <t>Minimum Hours for Controller</t>
  </si>
  <si>
    <t>FLU0010-ST</t>
  </si>
  <si>
    <t>FLU0020-ST</t>
  </si>
  <si>
    <t>FLU0030-ST</t>
  </si>
  <si>
    <t>Total Capital Charge</t>
  </si>
  <si>
    <t>Total Devices</t>
  </si>
  <si>
    <t>Total Install Cost</t>
  </si>
  <si>
    <t>Rate per Instal $</t>
  </si>
  <si>
    <t>FLU0040-ST</t>
  </si>
  <si>
    <t>FLU0050-ST</t>
  </si>
  <si>
    <t>FLU0060-ST</t>
  </si>
  <si>
    <t>FLU0070-ST</t>
  </si>
  <si>
    <t>FLU0080-ST</t>
  </si>
  <si>
    <t>FLU0100-ST</t>
  </si>
  <si>
    <t>FLU0110-ST</t>
  </si>
  <si>
    <t>FLU0130-ST</t>
  </si>
  <si>
    <t>FLU0140-ST</t>
  </si>
  <si>
    <t>FLU0150-ST</t>
  </si>
  <si>
    <t>FLU0160-ST</t>
  </si>
  <si>
    <t>FLU0170-ST</t>
  </si>
  <si>
    <t>FLU0180-ST</t>
  </si>
  <si>
    <t>FLU0190-ST</t>
  </si>
  <si>
    <t>FLU0200-ST</t>
  </si>
  <si>
    <t>FLU0240-ST</t>
  </si>
  <si>
    <t>FLU0250-ST</t>
  </si>
  <si>
    <t>FLU0260-ST</t>
  </si>
  <si>
    <t>FLU0300-ST</t>
  </si>
  <si>
    <t>HPS0010-ST</t>
  </si>
  <si>
    <t>HPS0010-TA</t>
  </si>
  <si>
    <t>HPS0020-ST</t>
  </si>
  <si>
    <t>HPS0020-TA</t>
  </si>
  <si>
    <t>HPS0070-ST</t>
  </si>
  <si>
    <t>HPS0070-TA</t>
  </si>
  <si>
    <t>HPS0080-ST</t>
  </si>
  <si>
    <t>HPS0090-ST</t>
  </si>
  <si>
    <t>HPS0090-TA</t>
  </si>
  <si>
    <t>HPS0100-ST</t>
  </si>
  <si>
    <t>HPS0110-ST</t>
  </si>
  <si>
    <t>HPS0110-TA</t>
  </si>
  <si>
    <t>HPS0120-ST</t>
  </si>
  <si>
    <t>HPS0120-TA</t>
  </si>
  <si>
    <t>HPS0140-ST</t>
  </si>
  <si>
    <t>HPS0160-ST</t>
  </si>
  <si>
    <t>HPS0170-ST</t>
  </si>
  <si>
    <t>HPS0170-TA</t>
  </si>
  <si>
    <t>HPS0180-ST</t>
  </si>
  <si>
    <t>HPS0180-TA</t>
  </si>
  <si>
    <t>HPS0190-ST</t>
  </si>
  <si>
    <t>HPS0210-ST</t>
  </si>
  <si>
    <t>HPS0250-ST</t>
  </si>
  <si>
    <t>INC0010-ST</t>
  </si>
  <si>
    <t>INC0020-ST</t>
  </si>
  <si>
    <t>INC0030-ST</t>
  </si>
  <si>
    <t>INC0040-ST</t>
  </si>
  <si>
    <t>INC0050-ST</t>
  </si>
  <si>
    <t>INC0070-ST</t>
  </si>
  <si>
    <t>INC0080-ST</t>
  </si>
  <si>
    <t>INC0090-ST</t>
  </si>
  <si>
    <t>INC0100-ST</t>
  </si>
  <si>
    <t>INC0110-ST</t>
  </si>
  <si>
    <t>INC0130-ST</t>
  </si>
  <si>
    <t>INC0140-ST</t>
  </si>
  <si>
    <t>INC0160-ST</t>
  </si>
  <si>
    <t>LPS0010-ST</t>
  </si>
  <si>
    <t>LPS0020-ST</t>
  </si>
  <si>
    <t>LPS0030-ST</t>
  </si>
  <si>
    <t>LPS0040-ST</t>
  </si>
  <si>
    <t>LPS0050-ST</t>
  </si>
  <si>
    <t>LPS0060-ST</t>
  </si>
  <si>
    <t>LPS0080-ST</t>
  </si>
  <si>
    <t>LPS0090-ST</t>
  </si>
  <si>
    <t>MHR0010-ST</t>
  </si>
  <si>
    <t>MHR0020-ST</t>
  </si>
  <si>
    <t>MHR0030-ST</t>
  </si>
  <si>
    <t>MHR0060-ST</t>
  </si>
  <si>
    <t>MHR0070-ST</t>
  </si>
  <si>
    <t>MHR0090-ST</t>
  </si>
  <si>
    <t>MHR0100-ST</t>
  </si>
  <si>
    <t>MVA0010-ST</t>
  </si>
  <si>
    <t>MVA0020-ST</t>
  </si>
  <si>
    <t>MVA0080-ST</t>
  </si>
  <si>
    <t>MVA0120-ST</t>
  </si>
  <si>
    <t>MVA0170-ST</t>
  </si>
  <si>
    <t>MVA0190-ST</t>
  </si>
  <si>
    <t>MVA0220-ST</t>
  </si>
  <si>
    <t>MVA0250-ST</t>
  </si>
  <si>
    <r>
      <t xml:space="preserve">SLUOS Tariff 2011/2012 </t>
    </r>
    <r>
      <rPr>
        <b/>
        <sz val="8"/>
        <color indexed="10"/>
        <rFont val="Arial"/>
        <family val="2"/>
      </rPr>
      <t>(Proposed *)</t>
    </r>
  </si>
  <si>
    <t>Updated</t>
  </si>
  <si>
    <t>April - May, 2014</t>
  </si>
  <si>
    <t>This Excel workbook defines the procedure by which Streetlight Use of System (SLUOS) Charges (both Capital and Maintenance charges) are calculated for Essential Energy. Using documented assumptions based on Essential Energy's network and business practices, SLUOS Charges for the various streetlight types are determined. The outputs of this spreadsheet (the capital and maintenance charges) are used in preparation of the yearly streetlight tariff proposal.
The spreadsheet is linked with the SLUOS Construction Charge Calculation Model.
Note that all cells marked with aqua colour are cells available for datya input. The data entered into these cells has an effect on the final capital and maintenance costs.</t>
  </si>
  <si>
    <t>This table records the cost of lamps, ballast / igniters and PE Cells for different types of lanterns.
The lamp types are taken from WASP and the prices are taken from stores and are average prices
across the different Depots.</t>
  </si>
  <si>
    <r>
      <t xml:space="preserve">SLUOS Tariff 2014/2015 </t>
    </r>
    <r>
      <rPr>
        <b/>
        <sz val="8"/>
        <color indexed="10"/>
        <rFont val="Arial"/>
        <family val="2"/>
      </rPr>
      <t>(Proposed *)</t>
    </r>
  </si>
  <si>
    <t>Asset Remaining life</t>
  </si>
  <si>
    <t>Total Capital Charge per device</t>
  </si>
  <si>
    <t>Totals</t>
  </si>
  <si>
    <t>Total Capital Charge per device (10 year RAB)</t>
  </si>
  <si>
    <t>Variance 5 year RAB v 10 year RAB  $</t>
  </si>
  <si>
    <t>Variance 5 year RAB v 10 year RAB  %</t>
  </si>
  <si>
    <t>Year of Calculation</t>
  </si>
  <si>
    <t>Assuming write down of existing assets over 4 years</t>
  </si>
  <si>
    <t xml:space="preserve">Total Devices </t>
  </si>
  <si>
    <t>Indexation factor</t>
  </si>
  <si>
    <t>Real depreciation</t>
  </si>
  <si>
    <t>Nominal depreciation</t>
  </si>
  <si>
    <t>Return on capital</t>
  </si>
  <si>
    <t>Total capital cost - Nominal</t>
  </si>
  <si>
    <t>Total capital cost - Real</t>
  </si>
  <si>
    <t>Use the closing 2013-14 value (which is the opening 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</si>
</sst>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Red]\-&quot;$&quot;#,##0"/>
    <numFmt numFmtId="7" formatCode="&quot;$&quot;#,##0.00;\-&quot;$&quot;#,##0.00"/>
    <numFmt numFmtId="44" formatCode="_-&quot;$&quot;* #,##0.00_-;\-&quot;$&quot;* #,##0.00_-;_-&quot;$&quot;* &quot;-&quot;??_-;_-@_-"/>
    <numFmt numFmtId="43" formatCode="_-* #,##0.00_-;\-* #,##0.00_-;_-* &quot;-&quot;??_-;_-@_-"/>
    <numFmt numFmtId="164" formatCode="0.0%"/>
    <numFmt numFmtId="165" formatCode="&quot;$&quot;#,##0.00"/>
    <numFmt numFmtId="166" formatCode="#,##0_ ;\-#,##0\ "/>
    <numFmt numFmtId="167" formatCode="_-&quot;$&quot;* #,##0_-;\-&quot;$&quot;* #,##0_-;_-&quot;$&quot;* &quot;-&quot;??_-;_-@_-"/>
    <numFmt numFmtId="168" formatCode="0.0000%"/>
    <numFmt numFmtId="169" formatCode="&quot;$&quot;#,##0"/>
    <numFmt numFmtId="170" formatCode="_-* #,##0_-;\-* #,##0_-;_-* &quot;-&quot;??_-;_-@_-"/>
    <numFmt numFmtId="171" formatCode="0.000"/>
    <numFmt numFmtId="172" formatCode="_-* #,##0.000_-;\-* #,##0.000_-;_-* &quot;-&quot;??_-;_-@_-"/>
    <numFmt numFmtId="173" formatCode="0.0"/>
    <numFmt numFmtId="174" formatCode="0.000%"/>
  </numFmts>
  <fonts count="55" x14ac:knownFonts="1">
    <font>
      <sz val="10"/>
      <name val="Arial"/>
    </font>
    <font>
      <sz val="10"/>
      <name val="Arial"/>
      <family val="2"/>
    </font>
    <font>
      <sz val="8"/>
      <name val="Arial"/>
      <family val="2"/>
    </font>
    <font>
      <b/>
      <sz val="10"/>
      <name val="Arial"/>
      <family val="2"/>
    </font>
    <font>
      <sz val="10"/>
      <name val="Arial"/>
      <family val="2"/>
    </font>
    <font>
      <sz val="20"/>
      <name val="Arial"/>
      <family val="2"/>
    </font>
    <font>
      <b/>
      <u/>
      <sz val="8"/>
      <name val="Arial"/>
      <family val="2"/>
    </font>
    <font>
      <b/>
      <sz val="12"/>
      <color indexed="9"/>
      <name val="Arial"/>
      <family val="2"/>
    </font>
    <font>
      <b/>
      <sz val="12"/>
      <color indexed="13"/>
      <name val="Arial"/>
      <family val="2"/>
    </font>
    <font>
      <sz val="8"/>
      <name val="Arial"/>
      <family val="2"/>
    </font>
    <font>
      <b/>
      <sz val="8"/>
      <name val="Arial"/>
      <family val="2"/>
    </font>
    <font>
      <i/>
      <sz val="8"/>
      <name val="Arial"/>
      <family val="2"/>
    </font>
    <font>
      <sz val="20"/>
      <name val="Arial"/>
      <family val="2"/>
    </font>
    <font>
      <b/>
      <sz val="8"/>
      <name val="Arial"/>
      <family val="2"/>
    </font>
    <font>
      <b/>
      <sz val="10"/>
      <color indexed="9"/>
      <name val="Arial"/>
      <family val="2"/>
    </font>
    <font>
      <sz val="8"/>
      <color indexed="10"/>
      <name val="Arial"/>
      <family val="2"/>
    </font>
    <font>
      <b/>
      <sz val="8"/>
      <color indexed="9"/>
      <name val="Arial"/>
      <family val="2"/>
    </font>
    <font>
      <sz val="8"/>
      <color indexed="9"/>
      <name val="Arial"/>
      <family val="2"/>
    </font>
    <font>
      <sz val="8"/>
      <color indexed="10"/>
      <name val="Arial"/>
      <family val="2"/>
    </font>
    <font>
      <b/>
      <sz val="8"/>
      <color indexed="10"/>
      <name val="Arial"/>
      <family val="2"/>
    </font>
    <font>
      <sz val="10"/>
      <name val="Arial Unicode MS"/>
      <family val="2"/>
    </font>
    <font>
      <u/>
      <sz val="8"/>
      <name val="Arial"/>
      <family val="2"/>
    </font>
    <font>
      <sz val="8"/>
      <name val="Arial Unicode MS"/>
      <family val="2"/>
    </font>
    <font>
      <u/>
      <sz val="8"/>
      <name val="Arial"/>
      <family val="2"/>
    </font>
    <font>
      <sz val="10"/>
      <name val="Arial"/>
      <family val="2"/>
    </font>
    <font>
      <b/>
      <i/>
      <sz val="8"/>
      <name val="Arial"/>
      <family val="2"/>
    </font>
    <font>
      <sz val="8"/>
      <color indexed="8"/>
      <name val="Arial"/>
      <family val="2"/>
    </font>
    <font>
      <sz val="10"/>
      <color indexed="8"/>
      <name val="Arial"/>
      <family val="2"/>
    </font>
    <font>
      <b/>
      <sz val="10"/>
      <color indexed="8"/>
      <name val="Arial"/>
      <family val="2"/>
    </font>
    <font>
      <sz val="8"/>
      <color indexed="81"/>
      <name val="Tahoma"/>
      <family val="2"/>
    </font>
    <font>
      <b/>
      <sz val="8"/>
      <color indexed="81"/>
      <name val="Tahoma"/>
      <family val="2"/>
    </font>
    <font>
      <b/>
      <sz val="12"/>
      <name val="Franklin Gothic Book"/>
      <family val="2"/>
    </font>
    <font>
      <b/>
      <sz val="10"/>
      <color indexed="10"/>
      <name val="Arial"/>
      <family val="2"/>
    </font>
    <font>
      <b/>
      <sz val="8"/>
      <color indexed="10"/>
      <name val="Arial"/>
      <family val="2"/>
    </font>
    <font>
      <b/>
      <sz val="8"/>
      <color indexed="12"/>
      <name val="Arial"/>
      <family val="2"/>
    </font>
    <font>
      <sz val="8"/>
      <color indexed="8"/>
      <name val="Tahoma"/>
      <family val="2"/>
    </font>
    <font>
      <sz val="10"/>
      <name val="Courier"/>
      <family val="3"/>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s>
  <fills count="48">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27"/>
        <bgColor indexed="64"/>
      </patternFill>
    </fill>
    <fill>
      <patternFill patternType="solid">
        <fgColor indexed="45"/>
        <bgColor indexed="64"/>
      </patternFill>
    </fill>
    <fill>
      <patternFill patternType="solid">
        <fgColor indexed="47"/>
        <bgColor indexed="64"/>
      </patternFill>
    </fill>
    <fill>
      <patternFill patternType="solid">
        <fgColor indexed="13"/>
        <bgColor indexed="64"/>
      </patternFill>
    </fill>
    <fill>
      <patternFill patternType="solid">
        <fgColor indexed="43"/>
        <bgColor indexed="64"/>
      </patternFill>
    </fill>
    <fill>
      <patternFill patternType="solid">
        <fgColor indexed="22"/>
        <bgColor indexed="64"/>
      </patternFill>
    </fill>
    <fill>
      <patternFill patternType="solid">
        <fgColor indexed="50"/>
        <bgColor indexed="0"/>
      </patternFill>
    </fill>
    <fill>
      <patternFill patternType="solid">
        <fgColor indexed="50"/>
        <bgColor indexed="64"/>
      </patternFill>
    </fill>
    <fill>
      <patternFill patternType="solid">
        <fgColor indexed="44"/>
        <bgColor indexed="64"/>
      </patternFill>
    </fill>
    <fill>
      <patternFill patternType="solid">
        <fgColor indexed="15"/>
        <bgColor indexed="64"/>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8" tint="0.59999389629810485"/>
        <bgColor indexed="64"/>
      </patternFill>
    </fill>
    <fill>
      <patternFill patternType="solid">
        <fgColor rgb="FFFFFF00"/>
        <bgColor indexed="64"/>
      </patternFill>
    </fill>
  </fills>
  <borders count="61">
    <border>
      <left/>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64"/>
      </top>
      <bottom style="hair">
        <color indexed="64"/>
      </bottom>
      <diagonal/>
    </border>
    <border>
      <left style="thin">
        <color indexed="22"/>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hair">
        <color indexed="64"/>
      </top>
      <bottom style="hair">
        <color indexed="64"/>
      </bottom>
      <diagonal/>
    </border>
    <border>
      <left style="thin">
        <color indexed="22"/>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2"/>
      </left>
      <right style="thin">
        <color indexed="22"/>
      </right>
      <top style="hair">
        <color indexed="64"/>
      </top>
      <bottom style="thin">
        <color indexed="64"/>
      </bottom>
      <diagonal/>
    </border>
    <border>
      <left style="thin">
        <color indexed="22"/>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ck">
        <color indexed="10"/>
      </left>
      <right style="thick">
        <color indexed="10"/>
      </right>
      <top style="thick">
        <color indexed="10"/>
      </top>
      <bottom style="thick">
        <color indexed="10"/>
      </bottom>
      <diagonal/>
    </border>
    <border>
      <left style="medium">
        <color indexed="10"/>
      </left>
      <right style="medium">
        <color indexed="10"/>
      </right>
      <top style="medium">
        <color indexed="10"/>
      </top>
      <bottom style="medium">
        <color indexed="1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ck">
        <color indexed="10"/>
      </right>
      <top style="thin">
        <color indexed="64"/>
      </top>
      <bottom style="thin">
        <color indexed="64"/>
      </bottom>
      <diagonal/>
    </border>
    <border>
      <left style="thick">
        <color indexed="10"/>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thick">
        <color indexed="10"/>
      </top>
      <bottom/>
      <diagonal/>
    </border>
    <border>
      <left style="medium">
        <color rgb="FFFF0000"/>
      </left>
      <right style="thin">
        <color indexed="64"/>
      </right>
      <top style="medium">
        <color rgb="FFFF0000"/>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s>
  <cellStyleXfs count="92">
    <xf numFmtId="0" fontId="0" fillId="0" borderId="0"/>
    <xf numFmtId="0" fontId="37" fillId="15"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9" fillId="39" borderId="0" applyNumberFormat="0" applyBorder="0" applyAlignment="0" applyProtection="0"/>
    <xf numFmtId="0" fontId="40" fillId="40" borderId="45" applyNumberFormat="0" applyAlignment="0" applyProtection="0"/>
    <xf numFmtId="0" fontId="41" fillId="41" borderId="46" applyNumberFormat="0" applyAlignment="0" applyProtection="0"/>
    <xf numFmtId="43" fontId="1"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43" fillId="0" borderId="0" applyNumberFormat="0" applyFill="0" applyBorder="0" applyAlignment="0" applyProtection="0"/>
    <xf numFmtId="0" fontId="44" fillId="42" borderId="0" applyNumberFormat="0" applyBorder="0" applyAlignment="0" applyProtection="0"/>
    <xf numFmtId="0" fontId="45" fillId="0" borderId="47" applyNumberFormat="0" applyFill="0" applyAlignment="0" applyProtection="0"/>
    <xf numFmtId="0" fontId="46" fillId="0" borderId="48" applyNumberFormat="0" applyFill="0" applyAlignment="0" applyProtection="0"/>
    <xf numFmtId="0" fontId="47" fillId="0" borderId="49" applyNumberFormat="0" applyFill="0" applyAlignment="0" applyProtection="0"/>
    <xf numFmtId="0" fontId="47" fillId="0" borderId="0" applyNumberFormat="0" applyFill="0" applyBorder="0" applyAlignment="0" applyProtection="0"/>
    <xf numFmtId="0" fontId="48" fillId="43" borderId="45" applyNumberFormat="0" applyAlignment="0" applyProtection="0"/>
    <xf numFmtId="0" fontId="49" fillId="0" borderId="50" applyNumberFormat="0" applyFill="0" applyAlignment="0" applyProtection="0"/>
    <xf numFmtId="0" fontId="50" fillId="44" borderId="0" applyNumberFormat="0" applyBorder="0" applyAlignment="0" applyProtection="0"/>
    <xf numFmtId="0" fontId="37" fillId="0" borderId="0"/>
    <xf numFmtId="0" fontId="36" fillId="0" borderId="0"/>
    <xf numFmtId="0" fontId="42" fillId="0" borderId="0"/>
    <xf numFmtId="0" fontId="42" fillId="0" borderId="0"/>
    <xf numFmtId="0" fontId="4" fillId="0" borderId="0"/>
    <xf numFmtId="0" fontId="4" fillId="0" borderId="0"/>
    <xf numFmtId="0" fontId="27" fillId="0" borderId="0"/>
    <xf numFmtId="0" fontId="20" fillId="0" borderId="0"/>
    <xf numFmtId="0" fontId="37" fillId="45" borderId="51" applyNumberFormat="0" applyFont="0" applyAlignment="0" applyProtection="0"/>
    <xf numFmtId="0" fontId="51" fillId="40" borderId="52" applyNumberFormat="0" applyAlignment="0" applyProtection="0"/>
    <xf numFmtId="9" fontId="1"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2" fillId="0" borderId="0" applyNumberFormat="0" applyFill="0" applyBorder="0" applyAlignment="0" applyProtection="0"/>
    <xf numFmtId="0" fontId="53" fillId="0" borderId="53" applyNumberFormat="0" applyFill="0" applyAlignment="0" applyProtection="0"/>
    <xf numFmtId="0" fontId="54" fillId="0" borderId="0" applyNumberFormat="0" applyFill="0" applyBorder="0" applyAlignment="0" applyProtection="0"/>
  </cellStyleXfs>
  <cellXfs count="580">
    <xf numFmtId="0" fontId="0" fillId="0" borderId="0" xfId="0"/>
    <xf numFmtId="0" fontId="0" fillId="0" borderId="0" xfId="0" applyAlignment="1">
      <alignment horizontal="right"/>
    </xf>
    <xf numFmtId="9" fontId="1" fillId="0" borderId="0" xfId="78" applyNumberFormat="1"/>
    <xf numFmtId="10" fontId="1" fillId="0" borderId="0" xfId="78" applyNumberFormat="1"/>
    <xf numFmtId="164" fontId="1" fillId="0" borderId="0" xfId="78" applyNumberFormat="1"/>
    <xf numFmtId="0" fontId="5" fillId="0" borderId="0" xfId="0" applyFont="1"/>
    <xf numFmtId="0" fontId="2" fillId="0" borderId="0" xfId="0" applyFont="1"/>
    <xf numFmtId="0" fontId="2" fillId="0" borderId="0" xfId="0" applyFont="1" applyAlignment="1">
      <alignment wrapText="1"/>
    </xf>
    <xf numFmtId="0" fontId="6" fillId="0" borderId="0" xfId="0" applyFont="1"/>
    <xf numFmtId="0" fontId="2" fillId="0" borderId="2" xfId="0" applyFont="1" applyBorder="1" applyAlignment="1">
      <alignment wrapText="1"/>
    </xf>
    <xf numFmtId="0" fontId="2" fillId="0" borderId="3" xfId="0" applyFont="1" applyBorder="1" applyAlignment="1">
      <alignment wrapText="1"/>
    </xf>
    <xf numFmtId="0" fontId="2" fillId="0" borderId="4" xfId="0" applyFont="1" applyBorder="1" applyAlignment="1">
      <alignment wrapText="1"/>
    </xf>
    <xf numFmtId="0" fontId="2" fillId="0" borderId="5" xfId="0" applyFont="1" applyBorder="1" applyAlignment="1">
      <alignment wrapText="1"/>
    </xf>
    <xf numFmtId="0" fontId="2" fillId="2" borderId="6" xfId="0" applyFont="1" applyFill="1" applyBorder="1"/>
    <xf numFmtId="0" fontId="2" fillId="2" borderId="7" xfId="0" applyFont="1" applyFill="1" applyBorder="1"/>
    <xf numFmtId="0" fontId="2" fillId="0" borderId="0" xfId="0" applyFont="1" applyAlignment="1"/>
    <xf numFmtId="17" fontId="2" fillId="0" borderId="0" xfId="0" applyNumberFormat="1" applyFont="1"/>
    <xf numFmtId="0" fontId="6" fillId="0" borderId="0" xfId="0" applyFont="1" applyAlignment="1">
      <alignment wrapText="1"/>
    </xf>
    <xf numFmtId="0" fontId="2" fillId="0" borderId="0" xfId="0" applyFont="1" applyBorder="1" applyAlignment="1">
      <alignment wrapText="1"/>
    </xf>
    <xf numFmtId="0" fontId="2" fillId="0" borderId="8" xfId="0" applyFont="1" applyBorder="1" applyAlignment="1">
      <alignment wrapText="1"/>
    </xf>
    <xf numFmtId="0" fontId="2" fillId="2" borderId="6" xfId="0" applyFont="1" applyFill="1" applyBorder="1" applyAlignment="1">
      <alignment wrapText="1"/>
    </xf>
    <xf numFmtId="0" fontId="2" fillId="2" borderId="9" xfId="0" applyFont="1" applyFill="1" applyBorder="1" applyAlignment="1">
      <alignment wrapText="1"/>
    </xf>
    <xf numFmtId="0" fontId="2" fillId="2" borderId="7" xfId="0" applyFont="1" applyFill="1" applyBorder="1" applyAlignment="1">
      <alignment wrapText="1"/>
    </xf>
    <xf numFmtId="0" fontId="2" fillId="0" borderId="0" xfId="0" applyFont="1" applyFill="1" applyBorder="1" applyAlignment="1">
      <alignment wrapText="1"/>
    </xf>
    <xf numFmtId="0" fontId="2" fillId="0" borderId="10" xfId="0" applyFont="1" applyBorder="1" applyAlignment="1">
      <alignment wrapText="1"/>
    </xf>
    <xf numFmtId="0" fontId="0" fillId="0" borderId="0" xfId="0" applyAlignment="1">
      <alignment wrapText="1"/>
    </xf>
    <xf numFmtId="0" fontId="9" fillId="0" borderId="0" xfId="0" applyFont="1"/>
    <xf numFmtId="4" fontId="10" fillId="2" borderId="11" xfId="0" applyNumberFormat="1" applyFont="1" applyFill="1" applyBorder="1" applyAlignment="1">
      <alignment horizontal="center" wrapText="1"/>
    </xf>
    <xf numFmtId="4" fontId="10" fillId="2" borderId="10" xfId="0" applyNumberFormat="1" applyFont="1" applyFill="1" applyBorder="1" applyAlignment="1">
      <alignment horizontal="center" wrapText="1"/>
    </xf>
    <xf numFmtId="4" fontId="10" fillId="2" borderId="12" xfId="0" applyNumberFormat="1" applyFont="1" applyFill="1" applyBorder="1" applyAlignment="1">
      <alignment horizontal="center"/>
    </xf>
    <xf numFmtId="0" fontId="10" fillId="2" borderId="13" xfId="0" applyFont="1" applyFill="1" applyBorder="1" applyAlignment="1">
      <alignment horizontal="center"/>
    </xf>
    <xf numFmtId="0" fontId="2" fillId="0" borderId="9" xfId="0" applyFont="1" applyBorder="1"/>
    <xf numFmtId="0" fontId="2" fillId="0" borderId="9" xfId="0" applyFont="1" applyBorder="1" applyAlignment="1">
      <alignment horizontal="right"/>
    </xf>
    <xf numFmtId="44" fontId="2" fillId="0" borderId="0" xfId="47" applyFont="1" applyAlignment="1">
      <alignment horizontal="center"/>
    </xf>
    <xf numFmtId="0" fontId="9" fillId="0" borderId="0" xfId="0" applyFont="1" applyFill="1" applyBorder="1" applyAlignment="1">
      <alignment horizontal="right"/>
    </xf>
    <xf numFmtId="0" fontId="2" fillId="0" borderId="0" xfId="0" applyFont="1" applyAlignment="1">
      <alignment horizontal="right"/>
    </xf>
    <xf numFmtId="0" fontId="2" fillId="0" borderId="0" xfId="0" applyFont="1" applyBorder="1"/>
    <xf numFmtId="3" fontId="2" fillId="0" borderId="0" xfId="47" applyNumberFormat="1" applyFont="1"/>
    <xf numFmtId="0" fontId="2" fillId="0" borderId="0" xfId="0" applyFont="1" applyFill="1"/>
    <xf numFmtId="0" fontId="2" fillId="0" borderId="0" xfId="0" applyFont="1" applyFill="1" applyAlignment="1">
      <alignment horizontal="right"/>
    </xf>
    <xf numFmtId="49" fontId="2" fillId="0" borderId="0" xfId="0" applyNumberFormat="1" applyFont="1"/>
    <xf numFmtId="0" fontId="2" fillId="0" borderId="0" xfId="0" applyFont="1" applyFill="1" applyBorder="1"/>
    <xf numFmtId="0" fontId="0" fillId="0" borderId="0" xfId="0" applyAlignment="1"/>
    <xf numFmtId="0" fontId="2" fillId="0" borderId="0" xfId="0" applyFont="1" applyFill="1" applyAlignment="1">
      <alignment wrapText="1"/>
    </xf>
    <xf numFmtId="0" fontId="2" fillId="3" borderId="0" xfId="0" applyFont="1" applyFill="1" applyAlignment="1">
      <alignment wrapText="1"/>
    </xf>
    <xf numFmtId="165" fontId="2" fillId="0" borderId="0" xfId="0" applyNumberFormat="1" applyFont="1" applyFill="1" applyAlignment="1">
      <alignment wrapText="1"/>
    </xf>
    <xf numFmtId="0" fontId="2" fillId="4" borderId="0" xfId="0" applyFont="1" applyFill="1" applyAlignment="1">
      <alignment wrapText="1"/>
    </xf>
    <xf numFmtId="165" fontId="2" fillId="4" borderId="0" xfId="0" applyNumberFormat="1" applyFont="1" applyFill="1" applyAlignment="1">
      <alignment wrapText="1"/>
    </xf>
    <xf numFmtId="165" fontId="2" fillId="0" borderId="0" xfId="0" applyNumberFormat="1" applyFont="1" applyAlignment="1">
      <alignment wrapText="1"/>
    </xf>
    <xf numFmtId="4" fontId="2" fillId="0" borderId="0" xfId="0" applyNumberFormat="1" applyFont="1" applyAlignment="1">
      <alignment wrapText="1"/>
    </xf>
    <xf numFmtId="0" fontId="11" fillId="0" borderId="0" xfId="0" applyFont="1" applyAlignment="1">
      <alignment wrapText="1"/>
    </xf>
    <xf numFmtId="0" fontId="10" fillId="0" borderId="0" xfId="0" applyFont="1" applyAlignment="1">
      <alignment wrapText="1"/>
    </xf>
    <xf numFmtId="165" fontId="6" fillId="0" borderId="0" xfId="0" applyNumberFormat="1" applyFont="1" applyAlignment="1">
      <alignment wrapText="1"/>
    </xf>
    <xf numFmtId="44" fontId="2" fillId="0" borderId="0" xfId="0" applyNumberFormat="1" applyFont="1" applyFill="1" applyBorder="1" applyAlignment="1">
      <alignment wrapText="1"/>
    </xf>
    <xf numFmtId="9" fontId="2" fillId="4" borderId="0" xfId="0" applyNumberFormat="1" applyFont="1" applyFill="1" applyAlignment="1">
      <alignment wrapText="1"/>
    </xf>
    <xf numFmtId="1" fontId="2" fillId="4" borderId="0" xfId="0" applyNumberFormat="1" applyFont="1" applyFill="1" applyAlignment="1">
      <alignment wrapText="1"/>
    </xf>
    <xf numFmtId="0" fontId="3" fillId="0" borderId="0" xfId="0" applyFont="1" applyAlignment="1">
      <alignment wrapText="1"/>
    </xf>
    <xf numFmtId="10" fontId="3" fillId="0" borderId="0" xfId="78" applyNumberFormat="1" applyFont="1" applyAlignment="1">
      <alignment wrapText="1"/>
    </xf>
    <xf numFmtId="164" fontId="3" fillId="0" borderId="0" xfId="78" applyNumberFormat="1" applyFont="1" applyAlignment="1">
      <alignment wrapText="1"/>
    </xf>
    <xf numFmtId="43" fontId="0" fillId="0" borderId="0" xfId="0" applyNumberFormat="1" applyAlignment="1">
      <alignment wrapText="1"/>
    </xf>
    <xf numFmtId="0" fontId="3" fillId="0" borderId="0" xfId="0" applyFont="1" applyAlignment="1">
      <alignment horizontal="center" wrapText="1"/>
    </xf>
    <xf numFmtId="0" fontId="9" fillId="0" borderId="0" xfId="0" applyFont="1" applyAlignment="1">
      <alignment wrapText="1"/>
    </xf>
    <xf numFmtId="4" fontId="13" fillId="2" borderId="10" xfId="0" applyNumberFormat="1" applyFont="1" applyFill="1" applyBorder="1" applyAlignment="1">
      <alignment horizontal="center"/>
    </xf>
    <xf numFmtId="1" fontId="2" fillId="0" borderId="0" xfId="0" applyNumberFormat="1" applyFont="1" applyFill="1" applyAlignment="1">
      <alignment wrapText="1"/>
    </xf>
    <xf numFmtId="44" fontId="2" fillId="0" borderId="0" xfId="0" applyNumberFormat="1" applyFont="1" applyAlignment="1">
      <alignment wrapText="1"/>
    </xf>
    <xf numFmtId="7" fontId="6" fillId="0" borderId="0" xfId="0" applyNumberFormat="1" applyFont="1" applyAlignment="1">
      <alignment wrapText="1"/>
    </xf>
    <xf numFmtId="0" fontId="5" fillId="0" borderId="0" xfId="0" applyFont="1" applyAlignment="1">
      <alignment wrapText="1"/>
    </xf>
    <xf numFmtId="44" fontId="9" fillId="0" borderId="0" xfId="47" applyFont="1" applyFill="1" applyBorder="1" applyAlignment="1">
      <alignment horizontal="right"/>
    </xf>
    <xf numFmtId="0" fontId="7" fillId="0" borderId="0" xfId="0" applyFont="1" applyFill="1" applyAlignment="1">
      <alignment horizontal="center" vertical="center"/>
    </xf>
    <xf numFmtId="0" fontId="0" fillId="0" borderId="0" xfId="0" applyFill="1" applyAlignment="1">
      <alignment horizontal="center"/>
    </xf>
    <xf numFmtId="9" fontId="2" fillId="0" borderId="0" xfId="0" applyNumberFormat="1" applyFont="1" applyFill="1" applyAlignment="1">
      <alignment wrapText="1"/>
    </xf>
    <xf numFmtId="3" fontId="2" fillId="4" borderId="0" xfId="0" applyNumberFormat="1" applyFont="1" applyFill="1" applyAlignment="1">
      <alignment wrapText="1"/>
    </xf>
    <xf numFmtId="0" fontId="15" fillId="0" borderId="0" xfId="0" applyFont="1" applyAlignment="1">
      <alignment wrapText="1"/>
    </xf>
    <xf numFmtId="0" fontId="15" fillId="0" borderId="0" xfId="0" applyFont="1" applyFill="1" applyAlignment="1">
      <alignment wrapText="1"/>
    </xf>
    <xf numFmtId="0" fontId="4" fillId="0" borderId="0" xfId="0" applyFont="1" applyAlignment="1">
      <alignment wrapText="1"/>
    </xf>
    <xf numFmtId="9" fontId="16" fillId="0" borderId="0" xfId="78" applyNumberFormat="1" applyFont="1" applyFill="1" applyAlignment="1">
      <alignment horizontal="center" vertical="center" wrapText="1"/>
    </xf>
    <xf numFmtId="10" fontId="10" fillId="0" borderId="0" xfId="78" applyNumberFormat="1" applyFont="1" applyAlignment="1">
      <alignment wrapText="1"/>
    </xf>
    <xf numFmtId="164" fontId="10" fillId="0" borderId="0" xfId="78" applyNumberFormat="1" applyFont="1" applyAlignment="1">
      <alignment wrapText="1"/>
    </xf>
    <xf numFmtId="0" fontId="10" fillId="0" borderId="0" xfId="0" applyFont="1" applyAlignment="1">
      <alignment horizontal="center" wrapText="1"/>
    </xf>
    <xf numFmtId="0" fontId="9" fillId="0" borderId="0" xfId="0" applyFont="1" applyAlignment="1"/>
    <xf numFmtId="0" fontId="6" fillId="0" borderId="0" xfId="0" applyFont="1" applyAlignment="1"/>
    <xf numFmtId="0" fontId="10" fillId="0" borderId="0" xfId="0" applyFont="1" applyAlignment="1"/>
    <xf numFmtId="9" fontId="16" fillId="0" borderId="0" xfId="78" applyNumberFormat="1" applyFont="1" applyFill="1" applyAlignment="1">
      <alignment horizontal="center" vertical="center"/>
    </xf>
    <xf numFmtId="10" fontId="10" fillId="0" borderId="0" xfId="78" applyNumberFormat="1" applyFont="1" applyAlignment="1"/>
    <xf numFmtId="164" fontId="10" fillId="0" borderId="0" xfId="78" applyNumberFormat="1" applyFont="1" applyAlignment="1"/>
    <xf numFmtId="0" fontId="10" fillId="0" borderId="0" xfId="0" applyFont="1" applyAlignment="1">
      <alignment horizontal="center"/>
    </xf>
    <xf numFmtId="9" fontId="17" fillId="0" borderId="0" xfId="78" applyNumberFormat="1" applyFont="1" applyFill="1" applyAlignment="1">
      <alignment horizontal="center" vertical="center"/>
    </xf>
    <xf numFmtId="10" fontId="9" fillId="0" borderId="0" xfId="78" applyNumberFormat="1" applyFont="1" applyAlignment="1"/>
    <xf numFmtId="164" fontId="9" fillId="0" borderId="0" xfId="78" applyNumberFormat="1" applyFont="1" applyAlignment="1"/>
    <xf numFmtId="0" fontId="9" fillId="0" borderId="0" xfId="0" applyFont="1" applyAlignment="1">
      <alignment horizontal="center"/>
    </xf>
    <xf numFmtId="0" fontId="18" fillId="0" borderId="0" xfId="0" applyFont="1" applyAlignment="1"/>
    <xf numFmtId="0" fontId="19" fillId="0" borderId="0" xfId="0" applyFont="1" applyAlignment="1"/>
    <xf numFmtId="9" fontId="18" fillId="0" borderId="0" xfId="78" applyNumberFormat="1" applyFont="1" applyFill="1" applyAlignment="1">
      <alignment horizontal="center" vertical="center"/>
    </xf>
    <xf numFmtId="0" fontId="10" fillId="2" borderId="9" xfId="0" applyFont="1" applyFill="1" applyBorder="1" applyAlignment="1">
      <alignment wrapText="1"/>
    </xf>
    <xf numFmtId="0" fontId="10" fillId="2" borderId="0" xfId="0" applyFont="1" applyFill="1" applyBorder="1" applyAlignment="1">
      <alignment wrapText="1"/>
    </xf>
    <xf numFmtId="0" fontId="10" fillId="2" borderId="2" xfId="0" applyFont="1" applyFill="1" applyBorder="1" applyAlignment="1">
      <alignment wrapText="1"/>
    </xf>
    <xf numFmtId="0" fontId="10" fillId="2" borderId="3" xfId="0" applyFont="1" applyFill="1" applyBorder="1" applyAlignment="1">
      <alignment wrapText="1"/>
    </xf>
    <xf numFmtId="0" fontId="10" fillId="2" borderId="7" xfId="0" applyFont="1" applyFill="1" applyBorder="1" applyAlignment="1">
      <alignment wrapText="1"/>
    </xf>
    <xf numFmtId="0" fontId="9" fillId="0" borderId="2" xfId="0" applyFont="1" applyFill="1" applyBorder="1" applyAlignment="1">
      <alignment wrapText="1"/>
    </xf>
    <xf numFmtId="0" fontId="9" fillId="0" borderId="0" xfId="0" applyFont="1" applyFill="1" applyBorder="1" applyAlignment="1">
      <alignment horizontal="right" wrapText="1"/>
    </xf>
    <xf numFmtId="0" fontId="9" fillId="0" borderId="0" xfId="0" applyFont="1" applyFill="1" applyBorder="1" applyAlignment="1">
      <alignment wrapText="1"/>
    </xf>
    <xf numFmtId="0" fontId="9" fillId="4" borderId="0" xfId="0" applyFont="1" applyFill="1" applyBorder="1" applyAlignment="1">
      <alignment wrapText="1"/>
    </xf>
    <xf numFmtId="9" fontId="9" fillId="4" borderId="0" xfId="78" applyNumberFormat="1" applyFont="1" applyFill="1" applyBorder="1" applyAlignment="1">
      <alignment wrapText="1"/>
    </xf>
    <xf numFmtId="10" fontId="9" fillId="0" borderId="0" xfId="78" applyNumberFormat="1" applyFont="1" applyFill="1" applyBorder="1" applyAlignment="1">
      <alignment wrapText="1"/>
    </xf>
    <xf numFmtId="44" fontId="9" fillId="0" borderId="0" xfId="47" applyFont="1" applyBorder="1" applyAlignment="1">
      <alignment wrapText="1"/>
    </xf>
    <xf numFmtId="44" fontId="9" fillId="0" borderId="0" xfId="47" applyFont="1" applyFill="1" applyBorder="1" applyAlignment="1">
      <alignment wrapText="1"/>
    </xf>
    <xf numFmtId="0" fontId="9" fillId="0" borderId="4" xfId="0" applyFont="1" applyFill="1" applyBorder="1" applyAlignment="1">
      <alignment wrapText="1"/>
    </xf>
    <xf numFmtId="0" fontId="9" fillId="0" borderId="8" xfId="0" applyFont="1" applyFill="1" applyBorder="1" applyAlignment="1">
      <alignment horizontal="right" wrapText="1"/>
    </xf>
    <xf numFmtId="0" fontId="9" fillId="0" borderId="8" xfId="0" applyFont="1" applyFill="1" applyBorder="1" applyAlignment="1">
      <alignment wrapText="1"/>
    </xf>
    <xf numFmtId="0" fontId="9" fillId="4" borderId="8" xfId="0" applyFont="1" applyFill="1" applyBorder="1" applyAlignment="1">
      <alignment wrapText="1"/>
    </xf>
    <xf numFmtId="9" fontId="9" fillId="4" borderId="8" xfId="78" applyNumberFormat="1" applyFont="1" applyFill="1" applyBorder="1" applyAlignment="1">
      <alignment wrapText="1"/>
    </xf>
    <xf numFmtId="10" fontId="9" fillId="0" borderId="8" xfId="78" applyNumberFormat="1" applyFont="1" applyFill="1" applyBorder="1" applyAlignment="1">
      <alignment wrapText="1"/>
    </xf>
    <xf numFmtId="44" fontId="9" fillId="0" borderId="8" xfId="47" applyFont="1" applyBorder="1" applyAlignment="1">
      <alignment wrapText="1"/>
    </xf>
    <xf numFmtId="44" fontId="9" fillId="0" borderId="8" xfId="47" applyFont="1" applyFill="1" applyBorder="1" applyAlignment="1">
      <alignment wrapText="1"/>
    </xf>
    <xf numFmtId="0" fontId="9" fillId="0" borderId="0" xfId="0" applyFont="1" applyFill="1" applyAlignment="1">
      <alignment wrapText="1"/>
    </xf>
    <xf numFmtId="0" fontId="9" fillId="0" borderId="0" xfId="0" applyFont="1" applyAlignment="1">
      <alignment horizontal="right" wrapText="1"/>
    </xf>
    <xf numFmtId="9" fontId="9" fillId="0" borderId="0" xfId="78" applyNumberFormat="1" applyFont="1" applyAlignment="1">
      <alignment wrapText="1"/>
    </xf>
    <xf numFmtId="10" fontId="9" fillId="0" borderId="0" xfId="78" applyNumberFormat="1" applyFont="1" applyAlignment="1">
      <alignment wrapText="1"/>
    </xf>
    <xf numFmtId="164" fontId="9" fillId="0" borderId="0" xfId="78" applyNumberFormat="1" applyFont="1" applyAlignment="1">
      <alignment wrapText="1"/>
    </xf>
    <xf numFmtId="0" fontId="9" fillId="0" borderId="0" xfId="0" applyFont="1" applyAlignment="1">
      <alignment horizontal="right"/>
    </xf>
    <xf numFmtId="9" fontId="9" fillId="0" borderId="0" xfId="78" applyNumberFormat="1" applyFont="1"/>
    <xf numFmtId="10" fontId="9" fillId="0" borderId="0" xfId="78" applyNumberFormat="1" applyFont="1"/>
    <xf numFmtId="164" fontId="9" fillId="0" borderId="0" xfId="78" applyNumberFormat="1" applyFont="1"/>
    <xf numFmtId="165" fontId="2" fillId="0" borderId="0" xfId="0" applyNumberFormat="1" applyFont="1" applyBorder="1" applyAlignment="1">
      <alignment wrapText="1"/>
    </xf>
    <xf numFmtId="0" fontId="2" fillId="0" borderId="2" xfId="0" applyFont="1" applyFill="1" applyBorder="1" applyAlignment="1">
      <alignment wrapText="1"/>
    </xf>
    <xf numFmtId="0" fontId="2" fillId="2" borderId="14" xfId="0" applyFont="1" applyFill="1" applyBorder="1" applyAlignment="1">
      <alignment wrapText="1"/>
    </xf>
    <xf numFmtId="0" fontId="2" fillId="2" borderId="15" xfId="0" applyFont="1" applyFill="1" applyBorder="1" applyAlignment="1">
      <alignment wrapText="1"/>
    </xf>
    <xf numFmtId="7" fontId="9" fillId="0" borderId="0" xfId="47" applyNumberFormat="1" applyFont="1" applyBorder="1" applyAlignment="1">
      <alignment wrapText="1"/>
    </xf>
    <xf numFmtId="43" fontId="9" fillId="0" borderId="0" xfId="0" applyNumberFormat="1" applyFont="1" applyFill="1" applyAlignment="1">
      <alignment wrapText="1"/>
    </xf>
    <xf numFmtId="43" fontId="9" fillId="0" borderId="0" xfId="0" applyNumberFormat="1" applyFont="1" applyAlignment="1">
      <alignment wrapText="1"/>
    </xf>
    <xf numFmtId="7" fontId="9" fillId="0" borderId="8" xfId="47" applyNumberFormat="1" applyFont="1" applyBorder="1" applyAlignment="1">
      <alignment wrapText="1"/>
    </xf>
    <xf numFmtId="44" fontId="9" fillId="5" borderId="0" xfId="47" applyFont="1" applyFill="1" applyBorder="1" applyAlignment="1">
      <alignment wrapText="1"/>
    </xf>
    <xf numFmtId="44" fontId="9" fillId="5" borderId="8" xfId="47" applyFont="1" applyFill="1" applyBorder="1" applyAlignment="1">
      <alignment wrapText="1"/>
    </xf>
    <xf numFmtId="44" fontId="9" fillId="6" borderId="0" xfId="47" applyFont="1" applyFill="1" applyBorder="1" applyAlignment="1">
      <alignment wrapText="1"/>
    </xf>
    <xf numFmtId="44" fontId="9" fillId="3" borderId="0" xfId="47" applyFont="1" applyFill="1" applyBorder="1" applyAlignment="1">
      <alignment wrapText="1"/>
    </xf>
    <xf numFmtId="44" fontId="9" fillId="3" borderId="8" xfId="47" applyFont="1" applyFill="1" applyBorder="1" applyAlignment="1">
      <alignment wrapText="1"/>
    </xf>
    <xf numFmtId="44" fontId="9" fillId="2" borderId="0" xfId="47" applyFont="1" applyFill="1" applyBorder="1" applyAlignment="1">
      <alignment wrapText="1"/>
    </xf>
    <xf numFmtId="44" fontId="9" fillId="2" borderId="8" xfId="47" applyFont="1" applyFill="1" applyBorder="1" applyAlignment="1">
      <alignment wrapText="1"/>
    </xf>
    <xf numFmtId="44" fontId="9" fillId="7" borderId="0" xfId="47" applyFont="1" applyFill="1" applyBorder="1" applyAlignment="1">
      <alignment wrapText="1"/>
    </xf>
    <xf numFmtId="0" fontId="9" fillId="0" borderId="0" xfId="0" applyFont="1" applyFill="1" applyAlignment="1">
      <alignment horizontal="center" wrapText="1"/>
    </xf>
    <xf numFmtId="44" fontId="9" fillId="7" borderId="8" xfId="47" applyFont="1" applyFill="1" applyBorder="1" applyAlignment="1">
      <alignment wrapText="1"/>
    </xf>
    <xf numFmtId="7" fontId="2" fillId="0" borderId="0" xfId="47" applyNumberFormat="1" applyFont="1" applyBorder="1" applyAlignment="1">
      <alignment wrapText="1"/>
    </xf>
    <xf numFmtId="44" fontId="2" fillId="0" borderId="0" xfId="47" applyFont="1" applyBorder="1" applyAlignment="1">
      <alignment wrapText="1"/>
    </xf>
    <xf numFmtId="44" fontId="2" fillId="0" borderId="3" xfId="47" applyFont="1" applyBorder="1" applyAlignment="1">
      <alignment wrapText="1"/>
    </xf>
    <xf numFmtId="9" fontId="7" fillId="0" borderId="0" xfId="78" applyNumberFormat="1" applyFont="1" applyFill="1" applyAlignment="1">
      <alignment horizontal="center" vertical="center" wrapText="1"/>
    </xf>
    <xf numFmtId="0" fontId="9" fillId="0" borderId="8" xfId="0" applyFont="1" applyBorder="1" applyAlignment="1">
      <alignment wrapText="1"/>
    </xf>
    <xf numFmtId="0" fontId="9" fillId="0" borderId="3" xfId="0" applyFont="1" applyBorder="1" applyAlignment="1">
      <alignment wrapText="1"/>
    </xf>
    <xf numFmtId="49" fontId="2" fillId="0" borderId="0" xfId="0" applyNumberFormat="1" applyFont="1" applyAlignment="1">
      <alignment wrapText="1"/>
    </xf>
    <xf numFmtId="0" fontId="9" fillId="0" borderId="0" xfId="0" applyNumberFormat="1" applyFont="1" applyBorder="1"/>
    <xf numFmtId="0" fontId="9" fillId="0" borderId="3" xfId="0" applyNumberFormat="1" applyFont="1" applyBorder="1"/>
    <xf numFmtId="0" fontId="9" fillId="0" borderId="0" xfId="0" applyNumberFormat="1" applyFont="1" applyFill="1" applyBorder="1"/>
    <xf numFmtId="0" fontId="9" fillId="0" borderId="3" xfId="0" applyNumberFormat="1" applyFont="1" applyFill="1" applyBorder="1"/>
    <xf numFmtId="0" fontId="9" fillId="0" borderId="0" xfId="0" applyNumberFormat="1" applyFont="1" applyBorder="1" applyAlignment="1">
      <alignment wrapText="1"/>
    </xf>
    <xf numFmtId="0" fontId="9" fillId="0" borderId="3" xfId="0" applyNumberFormat="1" applyFont="1" applyBorder="1" applyAlignment="1">
      <alignment wrapText="1"/>
    </xf>
    <xf numFmtId="0" fontId="9" fillId="0" borderId="0" xfId="0" applyFont="1" applyBorder="1" applyAlignment="1">
      <alignment wrapText="1"/>
    </xf>
    <xf numFmtId="0" fontId="9" fillId="2" borderId="6" xfId="0" applyNumberFormat="1" applyFont="1" applyFill="1" applyBorder="1" applyAlignment="1">
      <alignment wrapText="1"/>
    </xf>
    <xf numFmtId="0" fontId="9" fillId="2" borderId="9" xfId="0" applyNumberFormat="1" applyFont="1" applyFill="1" applyBorder="1" applyAlignment="1">
      <alignment wrapText="1"/>
    </xf>
    <xf numFmtId="0" fontId="9" fillId="2" borderId="7" xfId="0" applyNumberFormat="1" applyFont="1" applyFill="1" applyBorder="1" applyAlignment="1">
      <alignment wrapText="1"/>
    </xf>
    <xf numFmtId="1" fontId="2" fillId="0" borderId="4" xfId="0" applyNumberFormat="1" applyFont="1" applyBorder="1" applyAlignment="1">
      <alignment wrapText="1"/>
    </xf>
    <xf numFmtId="0" fontId="2" fillId="0" borderId="2" xfId="0" applyFont="1" applyFill="1" applyBorder="1"/>
    <xf numFmtId="0" fontId="2" fillId="0" borderId="0" xfId="0" applyNumberFormat="1" applyFont="1" applyBorder="1" applyAlignment="1">
      <alignment wrapText="1"/>
    </xf>
    <xf numFmtId="165" fontId="2" fillId="0" borderId="3" xfId="0" applyNumberFormat="1" applyFont="1" applyBorder="1" applyAlignment="1">
      <alignment wrapText="1"/>
    </xf>
    <xf numFmtId="44" fontId="2" fillId="0" borderId="8" xfId="47" applyFont="1" applyBorder="1" applyAlignment="1">
      <alignment wrapText="1"/>
    </xf>
    <xf numFmtId="44" fontId="2" fillId="0" borderId="5" xfId="47" applyFont="1" applyBorder="1" applyAlignment="1">
      <alignment wrapText="1"/>
    </xf>
    <xf numFmtId="0" fontId="2" fillId="0" borderId="6" xfId="0" applyFont="1" applyBorder="1" applyAlignment="1">
      <alignment wrapText="1"/>
    </xf>
    <xf numFmtId="44" fontId="2" fillId="0" borderId="9" xfId="47" applyFont="1" applyBorder="1"/>
    <xf numFmtId="44" fontId="2" fillId="0" borderId="7" xfId="47" applyFont="1" applyBorder="1"/>
    <xf numFmtId="44" fontId="2" fillId="0" borderId="0" xfId="47" applyFont="1" applyBorder="1"/>
    <xf numFmtId="44" fontId="2" fillId="0" borderId="3" xfId="47" applyFont="1" applyBorder="1"/>
    <xf numFmtId="165" fontId="9" fillId="0" borderId="0" xfId="0" applyNumberFormat="1" applyFont="1" applyFill="1" applyBorder="1" applyAlignment="1">
      <alignment wrapText="1"/>
    </xf>
    <xf numFmtId="6" fontId="2" fillId="0" borderId="0" xfId="0" applyNumberFormat="1" applyFont="1" applyFill="1" applyAlignment="1">
      <alignment wrapText="1"/>
    </xf>
    <xf numFmtId="44" fontId="2" fillId="0" borderId="0" xfId="47" applyFont="1" applyFill="1" applyBorder="1"/>
    <xf numFmtId="0" fontId="9" fillId="0" borderId="10" xfId="0" applyFont="1" applyBorder="1" applyAlignment="1">
      <alignment wrapText="1"/>
    </xf>
    <xf numFmtId="44" fontId="2" fillId="0" borderId="0" xfId="0" applyNumberFormat="1" applyFont="1" applyBorder="1" applyAlignment="1">
      <alignment wrapText="1"/>
    </xf>
    <xf numFmtId="44" fontId="2" fillId="0" borderId="3" xfId="0" applyNumberFormat="1" applyFont="1" applyBorder="1" applyAlignment="1">
      <alignment wrapText="1"/>
    </xf>
    <xf numFmtId="44" fontId="2" fillId="0" borderId="8" xfId="0" applyNumberFormat="1" applyFont="1" applyBorder="1" applyAlignment="1">
      <alignment wrapText="1"/>
    </xf>
    <xf numFmtId="0" fontId="2" fillId="2" borderId="13" xfId="0" applyFont="1" applyFill="1" applyBorder="1" applyAlignment="1">
      <alignment horizontal="center" wrapText="1"/>
    </xf>
    <xf numFmtId="0" fontId="9" fillId="0" borderId="9" xfId="0" applyFont="1" applyFill="1" applyBorder="1" applyAlignment="1">
      <alignment wrapText="1"/>
    </xf>
    <xf numFmtId="9" fontId="9" fillId="4" borderId="9" xfId="78" applyNumberFormat="1" applyFont="1" applyFill="1" applyBorder="1" applyAlignment="1">
      <alignment wrapText="1"/>
    </xf>
    <xf numFmtId="10" fontId="9" fillId="0" borderId="9" xfId="78" applyNumberFormat="1" applyFont="1" applyFill="1" applyBorder="1" applyAlignment="1">
      <alignment wrapText="1"/>
    </xf>
    <xf numFmtId="44" fontId="9" fillId="0" borderId="9" xfId="47" applyFont="1" applyBorder="1" applyAlignment="1">
      <alignment wrapText="1"/>
    </xf>
    <xf numFmtId="44" fontId="9" fillId="0" borderId="9" xfId="47" applyFont="1" applyFill="1" applyBorder="1" applyAlignment="1">
      <alignment wrapText="1"/>
    </xf>
    <xf numFmtId="44" fontId="9" fillId="7" borderId="9" xfId="47" applyFont="1" applyFill="1" applyBorder="1" applyAlignment="1">
      <alignment wrapText="1"/>
    </xf>
    <xf numFmtId="7" fontId="9" fillId="0" borderId="9" xfId="47" applyNumberFormat="1" applyFont="1" applyBorder="1" applyAlignment="1">
      <alignment wrapText="1"/>
    </xf>
    <xf numFmtId="0" fontId="9" fillId="0" borderId="6" xfId="0" applyFont="1" applyFill="1" applyBorder="1" applyAlignment="1">
      <alignment wrapText="1"/>
    </xf>
    <xf numFmtId="0" fontId="2" fillId="0" borderId="3" xfId="0" applyFont="1" applyFill="1" applyBorder="1" applyAlignment="1">
      <alignment wrapText="1"/>
    </xf>
    <xf numFmtId="0" fontId="2" fillId="0" borderId="4" xfId="0" applyFont="1" applyFill="1" applyBorder="1" applyAlignment="1">
      <alignment wrapText="1"/>
    </xf>
    <xf numFmtId="0" fontId="2" fillId="0" borderId="8" xfId="0" applyFont="1" applyFill="1" applyBorder="1" applyAlignment="1">
      <alignment wrapText="1"/>
    </xf>
    <xf numFmtId="0" fontId="2" fillId="0" borderId="5" xfId="0" applyFont="1" applyFill="1" applyBorder="1" applyAlignment="1">
      <alignment wrapText="1"/>
    </xf>
    <xf numFmtId="0" fontId="9" fillId="0" borderId="12" xfId="0" applyFont="1" applyBorder="1" applyAlignment="1">
      <alignment wrapText="1"/>
    </xf>
    <xf numFmtId="44" fontId="9" fillId="0" borderId="6" xfId="47" applyFont="1" applyBorder="1" applyAlignment="1">
      <alignment wrapText="1"/>
    </xf>
    <xf numFmtId="44" fontId="9" fillId="0" borderId="7" xfId="47" applyFont="1" applyFill="1" applyBorder="1" applyAlignment="1">
      <alignment wrapText="1"/>
    </xf>
    <xf numFmtId="44" fontId="9" fillId="0" borderId="2" xfId="47" applyFont="1" applyBorder="1" applyAlignment="1">
      <alignment wrapText="1"/>
    </xf>
    <xf numFmtId="44" fontId="9" fillId="0" borderId="3" xfId="47" applyFont="1" applyFill="1" applyBorder="1" applyAlignment="1">
      <alignment wrapText="1"/>
    </xf>
    <xf numFmtId="44" fontId="9" fillId="0" borderId="4" xfId="47" applyFont="1" applyBorder="1" applyAlignment="1">
      <alignment wrapText="1"/>
    </xf>
    <xf numFmtId="44" fontId="9" fillId="0" borderId="5" xfId="47" applyFont="1" applyFill="1" applyBorder="1" applyAlignment="1">
      <alignment wrapText="1"/>
    </xf>
    <xf numFmtId="2" fontId="2" fillId="3" borderId="0" xfId="0" applyNumberFormat="1" applyFont="1" applyFill="1" applyAlignment="1">
      <alignment wrapText="1"/>
    </xf>
    <xf numFmtId="0" fontId="2" fillId="0" borderId="0" xfId="0" applyFont="1" applyBorder="1" applyAlignment="1">
      <alignment horizontal="right"/>
    </xf>
    <xf numFmtId="0" fontId="2" fillId="0" borderId="9" xfId="0" applyFont="1" applyBorder="1" applyAlignment="1">
      <alignment horizontal="left"/>
    </xf>
    <xf numFmtId="0" fontId="2" fillId="0" borderId="0" xfId="0" applyFont="1" applyBorder="1" applyAlignment="1">
      <alignment horizontal="left"/>
    </xf>
    <xf numFmtId="0" fontId="10" fillId="2" borderId="6" xfId="0" applyFont="1" applyFill="1" applyBorder="1" applyAlignment="1">
      <alignment wrapText="1"/>
    </xf>
    <xf numFmtId="44" fontId="2" fillId="0" borderId="8" xfId="0" applyNumberFormat="1" applyFont="1" applyFill="1" applyBorder="1" applyAlignment="1">
      <alignment wrapText="1"/>
    </xf>
    <xf numFmtId="44" fontId="9" fillId="4" borderId="4" xfId="47" applyFont="1" applyFill="1" applyBorder="1" applyAlignment="1">
      <alignment wrapText="1"/>
    </xf>
    <xf numFmtId="44" fontId="9" fillId="4" borderId="2" xfId="47" applyFont="1" applyFill="1" applyBorder="1" applyAlignment="1">
      <alignment wrapText="1"/>
    </xf>
    <xf numFmtId="44" fontId="9" fillId="4" borderId="6" xfId="47" applyFont="1" applyFill="1" applyBorder="1" applyAlignment="1">
      <alignment wrapText="1"/>
    </xf>
    <xf numFmtId="0" fontId="10" fillId="2" borderId="14" xfId="0" applyFont="1" applyFill="1" applyBorder="1" applyAlignment="1">
      <alignment wrapText="1"/>
    </xf>
    <xf numFmtId="0" fontId="10" fillId="2" borderId="15" xfId="0" applyFont="1" applyFill="1" applyBorder="1" applyAlignment="1">
      <alignment wrapText="1"/>
    </xf>
    <xf numFmtId="0" fontId="10" fillId="2" borderId="16" xfId="0" applyFont="1" applyFill="1" applyBorder="1" applyAlignment="1">
      <alignment wrapText="1"/>
    </xf>
    <xf numFmtId="0" fontId="21" fillId="0" borderId="0" xfId="0" applyFont="1" applyFill="1" applyBorder="1" applyAlignment="1">
      <alignment wrapText="1"/>
    </xf>
    <xf numFmtId="49" fontId="22" fillId="0" borderId="0" xfId="75" applyNumberFormat="1" applyFont="1" applyBorder="1" applyAlignment="1">
      <alignment wrapText="1"/>
    </xf>
    <xf numFmtId="6" fontId="10" fillId="2" borderId="9" xfId="0" applyNumberFormat="1" applyFont="1" applyFill="1" applyBorder="1" applyAlignment="1">
      <alignment wrapText="1"/>
    </xf>
    <xf numFmtId="0" fontId="2" fillId="2" borderId="13" xfId="0" applyFont="1" applyFill="1" applyBorder="1" applyAlignment="1">
      <alignment wrapText="1"/>
    </xf>
    <xf numFmtId="0" fontId="24" fillId="0" borderId="0" xfId="0" applyFont="1" applyAlignment="1">
      <alignment wrapText="1"/>
    </xf>
    <xf numFmtId="0" fontId="10" fillId="0" borderId="0" xfId="0" applyFont="1" applyFill="1" applyBorder="1" applyAlignment="1">
      <alignment wrapText="1"/>
    </xf>
    <xf numFmtId="44" fontId="2" fillId="2" borderId="13" xfId="0" applyNumberFormat="1" applyFont="1" applyFill="1" applyBorder="1" applyAlignment="1">
      <alignment wrapText="1"/>
    </xf>
    <xf numFmtId="166" fontId="2" fillId="0" borderId="0" xfId="0" applyNumberFormat="1" applyFont="1" applyAlignment="1">
      <alignment wrapText="1"/>
    </xf>
    <xf numFmtId="44" fontId="6" fillId="0" borderId="0" xfId="0" applyNumberFormat="1" applyFont="1" applyAlignment="1">
      <alignment wrapText="1"/>
    </xf>
    <xf numFmtId="49" fontId="22" fillId="0" borderId="2" xfId="75" applyNumberFormat="1" applyFont="1" applyBorder="1" applyAlignment="1">
      <alignment wrapText="1"/>
    </xf>
    <xf numFmtId="0" fontId="22" fillId="0" borderId="2" xfId="75" applyFont="1" applyBorder="1" applyAlignment="1">
      <alignment wrapText="1"/>
    </xf>
    <xf numFmtId="0" fontId="2" fillId="2" borderId="15" xfId="0" applyNumberFormat="1" applyFont="1" applyFill="1" applyBorder="1" applyAlignment="1">
      <alignment wrapText="1"/>
    </xf>
    <xf numFmtId="0" fontId="2" fillId="2" borderId="16" xfId="0" applyNumberFormat="1" applyFont="1" applyFill="1" applyBorder="1" applyAlignment="1">
      <alignment wrapText="1"/>
    </xf>
    <xf numFmtId="0" fontId="7" fillId="0" borderId="0" xfId="0" applyFont="1" applyFill="1" applyAlignment="1">
      <alignment horizontal="center" vertical="center" wrapText="1"/>
    </xf>
    <xf numFmtId="0" fontId="9" fillId="3" borderId="0" xfId="0" applyFont="1" applyFill="1" applyAlignment="1">
      <alignment wrapText="1"/>
    </xf>
    <xf numFmtId="44" fontId="9" fillId="0" borderId="0" xfId="0" applyNumberFormat="1" applyFont="1" applyAlignment="1">
      <alignment wrapText="1"/>
    </xf>
    <xf numFmtId="0" fontId="10" fillId="2" borderId="13" xfId="0" applyFont="1" applyFill="1" applyBorder="1" applyAlignment="1">
      <alignment wrapText="1"/>
    </xf>
    <xf numFmtId="44" fontId="2" fillId="0" borderId="5" xfId="0" applyNumberFormat="1" applyFont="1" applyFill="1" applyBorder="1" applyAlignment="1">
      <alignment wrapText="1"/>
    </xf>
    <xf numFmtId="9" fontId="2" fillId="0" borderId="0" xfId="0" applyNumberFormat="1" applyFont="1" applyFill="1" applyBorder="1"/>
    <xf numFmtId="0" fontId="2" fillId="0" borderId="0" xfId="0" applyFont="1" applyFill="1" applyBorder="1" applyAlignment="1">
      <alignment horizontal="center"/>
    </xf>
    <xf numFmtId="0" fontId="9" fillId="0" borderId="0" xfId="0" applyFont="1" applyFill="1" applyBorder="1" applyAlignment="1">
      <alignment horizontal="center"/>
    </xf>
    <xf numFmtId="44" fontId="2" fillId="0" borderId="5" xfId="47" applyFont="1" applyBorder="1"/>
    <xf numFmtId="0" fontId="9" fillId="2" borderId="14" xfId="0" applyFont="1" applyFill="1" applyBorder="1" applyAlignment="1">
      <alignment wrapText="1"/>
    </xf>
    <xf numFmtId="0" fontId="9" fillId="2" borderId="16" xfId="0" applyFont="1" applyFill="1" applyBorder="1" applyAlignment="1">
      <alignment wrapText="1"/>
    </xf>
    <xf numFmtId="0" fontId="2" fillId="3" borderId="0" xfId="0" applyFont="1" applyFill="1"/>
    <xf numFmtId="0" fontId="2" fillId="3" borderId="8" xfId="0" applyFont="1" applyFill="1" applyBorder="1"/>
    <xf numFmtId="44" fontId="2" fillId="0" borderId="3" xfId="0" applyNumberFormat="1" applyFont="1" applyFill="1" applyBorder="1" applyAlignment="1">
      <alignment wrapText="1"/>
    </xf>
    <xf numFmtId="44" fontId="9" fillId="4" borderId="0" xfId="47" applyFont="1" applyFill="1" applyBorder="1" applyAlignment="1">
      <alignment wrapText="1"/>
    </xf>
    <xf numFmtId="44" fontId="9" fillId="4" borderId="8" xfId="47" applyFont="1" applyFill="1" applyBorder="1" applyAlignment="1">
      <alignment wrapText="1"/>
    </xf>
    <xf numFmtId="0" fontId="2" fillId="0" borderId="0" xfId="0" applyFont="1" applyBorder="1" applyAlignment="1">
      <alignment horizontal="right" wrapText="1"/>
    </xf>
    <xf numFmtId="10" fontId="2" fillId="4" borderId="0" xfId="0" applyNumberFormat="1" applyFont="1" applyFill="1" applyAlignment="1">
      <alignment wrapText="1"/>
    </xf>
    <xf numFmtId="0" fontId="25" fillId="0" borderId="0" xfId="0" applyFont="1" applyAlignment="1">
      <alignment wrapText="1"/>
    </xf>
    <xf numFmtId="44" fontId="9" fillId="8" borderId="0" xfId="47" applyFont="1" applyFill="1" applyBorder="1" applyAlignment="1">
      <alignment wrapText="1"/>
    </xf>
    <xf numFmtId="168" fontId="2" fillId="4" borderId="0" xfId="0" applyNumberFormat="1" applyFont="1" applyFill="1" applyAlignment="1">
      <alignment wrapText="1"/>
    </xf>
    <xf numFmtId="0" fontId="2" fillId="0" borderId="0" xfId="0" applyFont="1" applyFill="1" applyBorder="1" applyAlignment="1"/>
    <xf numFmtId="0" fontId="26" fillId="0" borderId="17" xfId="0" applyFont="1" applyFill="1" applyBorder="1" applyAlignment="1">
      <alignment wrapText="1"/>
    </xf>
    <xf numFmtId="1" fontId="2" fillId="0" borderId="18" xfId="0" applyNumberFormat="1" applyFont="1" applyBorder="1" applyAlignment="1">
      <alignment horizontal="left"/>
    </xf>
    <xf numFmtId="0" fontId="2" fillId="0" borderId="19" xfId="0" applyFont="1" applyBorder="1" applyAlignment="1">
      <alignment wrapText="1"/>
    </xf>
    <xf numFmtId="0" fontId="2" fillId="0" borderId="19" xfId="0" applyNumberFormat="1" applyFont="1" applyBorder="1" applyAlignment="1">
      <alignment wrapText="1"/>
    </xf>
    <xf numFmtId="44" fontId="2" fillId="0" borderId="20" xfId="0" applyNumberFormat="1" applyFont="1" applyBorder="1" applyAlignment="1">
      <alignment wrapText="1"/>
    </xf>
    <xf numFmtId="0" fontId="26" fillId="0" borderId="21" xfId="0" applyFont="1" applyFill="1" applyBorder="1" applyAlignment="1">
      <alignment wrapText="1"/>
    </xf>
    <xf numFmtId="1" fontId="2" fillId="0" borderId="22" xfId="0" applyNumberFormat="1" applyFont="1" applyBorder="1" applyAlignment="1">
      <alignment horizontal="left"/>
    </xf>
    <xf numFmtId="0" fontId="2" fillId="0" borderId="23" xfId="0" applyFont="1" applyBorder="1" applyAlignment="1">
      <alignment wrapText="1"/>
    </xf>
    <xf numFmtId="0" fontId="2" fillId="0" borderId="23" xfId="0" applyNumberFormat="1" applyFont="1" applyBorder="1" applyAlignment="1">
      <alignment wrapText="1"/>
    </xf>
    <xf numFmtId="44" fontId="2" fillId="0" borderId="24" xfId="0" applyNumberFormat="1" applyFont="1" applyBorder="1" applyAlignment="1">
      <alignment wrapText="1"/>
    </xf>
    <xf numFmtId="0" fontId="26" fillId="0" borderId="25" xfId="0" applyFont="1" applyFill="1" applyBorder="1" applyAlignment="1">
      <alignment wrapText="1"/>
    </xf>
    <xf numFmtId="1" fontId="2" fillId="0" borderId="26" xfId="0" applyNumberFormat="1" applyFont="1" applyBorder="1" applyAlignment="1">
      <alignment horizontal="left"/>
    </xf>
    <xf numFmtId="0" fontId="2" fillId="0" borderId="27" xfId="0" applyFont="1" applyBorder="1" applyAlignment="1">
      <alignment wrapText="1"/>
    </xf>
    <xf numFmtId="0" fontId="2" fillId="0" borderId="27" xfId="0" applyNumberFormat="1" applyFont="1" applyBorder="1" applyAlignment="1">
      <alignment wrapText="1"/>
    </xf>
    <xf numFmtId="44" fontId="2" fillId="0" borderId="28" xfId="0" applyNumberFormat="1" applyFont="1" applyBorder="1" applyAlignment="1">
      <alignment wrapText="1"/>
    </xf>
    <xf numFmtId="0" fontId="25" fillId="0" borderId="0" xfId="0" applyFont="1" applyBorder="1" applyAlignment="1">
      <alignment wrapText="1"/>
    </xf>
    <xf numFmtId="0" fontId="9" fillId="0" borderId="10" xfId="0" applyFont="1" applyFill="1" applyBorder="1" applyAlignment="1">
      <alignment wrapText="1"/>
    </xf>
    <xf numFmtId="0" fontId="2" fillId="0" borderId="10" xfId="0" applyFont="1" applyFill="1" applyBorder="1" applyAlignment="1">
      <alignment wrapText="1"/>
    </xf>
    <xf numFmtId="44" fontId="9" fillId="8" borderId="8" xfId="47" applyFont="1" applyFill="1" applyBorder="1" applyAlignment="1">
      <alignment wrapText="1"/>
    </xf>
    <xf numFmtId="0" fontId="15" fillId="0" borderId="0" xfId="0" applyFont="1" applyAlignment="1">
      <alignment horizontal="left"/>
    </xf>
    <xf numFmtId="0" fontId="2" fillId="0" borderId="20" xfId="0" applyFont="1" applyBorder="1" applyAlignment="1">
      <alignment wrapText="1"/>
    </xf>
    <xf numFmtId="0" fontId="2" fillId="0" borderId="28" xfId="0" applyFont="1" applyBorder="1" applyAlignment="1">
      <alignment wrapText="1"/>
    </xf>
    <xf numFmtId="0" fontId="2" fillId="2" borderId="16" xfId="0" applyFont="1" applyFill="1" applyBorder="1" applyAlignment="1">
      <alignment horizontal="center" wrapText="1"/>
    </xf>
    <xf numFmtId="0" fontId="9" fillId="0" borderId="13" xfId="0" applyFont="1" applyBorder="1" applyAlignment="1">
      <alignment wrapText="1"/>
    </xf>
    <xf numFmtId="165" fontId="2" fillId="0" borderId="13" xfId="0" applyNumberFormat="1" applyFont="1" applyFill="1" applyBorder="1" applyAlignment="1">
      <alignment wrapText="1"/>
    </xf>
    <xf numFmtId="0" fontId="10" fillId="0" borderId="13" xfId="0" applyFont="1" applyFill="1" applyBorder="1" applyAlignment="1">
      <alignment wrapText="1"/>
    </xf>
    <xf numFmtId="0" fontId="25" fillId="0" borderId="0" xfId="0" applyFont="1" applyFill="1" applyAlignment="1">
      <alignment wrapText="1"/>
    </xf>
    <xf numFmtId="0" fontId="6" fillId="0" borderId="0" xfId="0" applyFont="1" applyFill="1" applyAlignment="1">
      <alignment wrapText="1"/>
    </xf>
    <xf numFmtId="165" fontId="6" fillId="0" borderId="0" xfId="0" applyNumberFormat="1" applyFont="1" applyFill="1" applyAlignment="1">
      <alignment wrapText="1"/>
    </xf>
    <xf numFmtId="49" fontId="13" fillId="2" borderId="13" xfId="0" applyNumberFormat="1" applyFont="1" applyFill="1" applyBorder="1" applyAlignment="1">
      <alignment horizontal="center"/>
    </xf>
    <xf numFmtId="1" fontId="2" fillId="0" borderId="2" xfId="0" applyNumberFormat="1" applyFont="1" applyFill="1" applyBorder="1" applyAlignment="1">
      <alignment wrapText="1"/>
    </xf>
    <xf numFmtId="1" fontId="2" fillId="0" borderId="9" xfId="0" applyNumberFormat="1" applyFont="1" applyFill="1" applyBorder="1" applyAlignment="1">
      <alignment wrapText="1"/>
    </xf>
    <xf numFmtId="0" fontId="2" fillId="0" borderId="9" xfId="0" applyFont="1" applyFill="1" applyBorder="1" applyAlignment="1">
      <alignment wrapText="1"/>
    </xf>
    <xf numFmtId="1" fontId="2" fillId="0" borderId="0" xfId="0" applyNumberFormat="1" applyFont="1" applyFill="1" applyBorder="1" applyAlignment="1">
      <alignment wrapText="1"/>
    </xf>
    <xf numFmtId="0" fontId="3" fillId="9" borderId="13" xfId="0" applyFont="1" applyFill="1" applyBorder="1" applyAlignment="1">
      <alignment wrapText="1"/>
    </xf>
    <xf numFmtId="0" fontId="3" fillId="9" borderId="13" xfId="0" applyFont="1" applyFill="1" applyBorder="1" applyAlignment="1">
      <alignment horizontal="center"/>
    </xf>
    <xf numFmtId="0" fontId="0" fillId="0" borderId="20" xfId="0" applyBorder="1" applyAlignment="1">
      <alignment vertical="center" wrapText="1"/>
    </xf>
    <xf numFmtId="0" fontId="0" fillId="0" borderId="24" xfId="0" applyBorder="1" applyAlignment="1">
      <alignment vertical="center" wrapText="1"/>
    </xf>
    <xf numFmtId="0" fontId="3" fillId="0" borderId="28" xfId="0" applyFont="1" applyBorder="1" applyAlignment="1">
      <alignment vertical="center" wrapText="1"/>
    </xf>
    <xf numFmtId="173" fontId="0" fillId="0" borderId="20" xfId="0" applyNumberFormat="1" applyBorder="1" applyAlignment="1">
      <alignment horizontal="center" vertical="center"/>
    </xf>
    <xf numFmtId="2" fontId="0" fillId="0" borderId="24" xfId="0" applyNumberFormat="1" applyBorder="1" applyAlignment="1">
      <alignment horizontal="center" vertical="center"/>
    </xf>
    <xf numFmtId="173" fontId="3" fillId="0" borderId="28" xfId="0" applyNumberFormat="1" applyFont="1" applyBorder="1" applyAlignment="1">
      <alignment horizontal="center" vertical="center"/>
    </xf>
    <xf numFmtId="169" fontId="0" fillId="0" borderId="20" xfId="0" applyNumberFormat="1" applyBorder="1"/>
    <xf numFmtId="165" fontId="0" fillId="0" borderId="20" xfId="0" applyNumberFormat="1" applyBorder="1"/>
    <xf numFmtId="165" fontId="0" fillId="0" borderId="24" xfId="0" applyNumberFormat="1" applyBorder="1"/>
    <xf numFmtId="165" fontId="0" fillId="0" borderId="28" xfId="0" applyNumberFormat="1" applyBorder="1"/>
    <xf numFmtId="3" fontId="27" fillId="0" borderId="20" xfId="0" applyNumberFormat="1" applyFont="1" applyFill="1" applyBorder="1" applyAlignment="1">
      <alignment horizontal="right" wrapText="1"/>
    </xf>
    <xf numFmtId="3" fontId="27" fillId="0" borderId="24" xfId="0" applyNumberFormat="1" applyFont="1" applyFill="1" applyBorder="1" applyAlignment="1">
      <alignment horizontal="right" wrapText="1"/>
    </xf>
    <xf numFmtId="3" fontId="27" fillId="0" borderId="28" xfId="0" applyNumberFormat="1" applyFont="1" applyFill="1" applyBorder="1" applyAlignment="1">
      <alignment horizontal="right" wrapText="1"/>
    </xf>
    <xf numFmtId="3" fontId="0" fillId="0" borderId="0" xfId="0" applyNumberFormat="1"/>
    <xf numFmtId="0" fontId="3" fillId="0" borderId="0" xfId="0" applyFont="1" applyBorder="1" applyAlignment="1">
      <alignment vertical="center" wrapText="1"/>
    </xf>
    <xf numFmtId="173" fontId="3" fillId="0" borderId="0" xfId="0" applyNumberFormat="1" applyFont="1" applyBorder="1" applyAlignment="1">
      <alignment horizontal="center" vertical="center"/>
    </xf>
    <xf numFmtId="0" fontId="3" fillId="8" borderId="13" xfId="0" applyFont="1" applyFill="1" applyBorder="1" applyAlignment="1">
      <alignment horizontal="center"/>
    </xf>
    <xf numFmtId="173" fontId="0" fillId="8" borderId="20" xfId="0" applyNumberFormat="1" applyFill="1" applyBorder="1" applyAlignment="1">
      <alignment horizontal="center" vertical="center"/>
    </xf>
    <xf numFmtId="173" fontId="3" fillId="8" borderId="28" xfId="0" applyNumberFormat="1" applyFont="1" applyFill="1" applyBorder="1" applyAlignment="1">
      <alignment horizontal="center" vertical="center"/>
    </xf>
    <xf numFmtId="2" fontId="0" fillId="8" borderId="24" xfId="0" applyNumberFormat="1" applyFill="1" applyBorder="1" applyAlignment="1">
      <alignment horizontal="center" vertical="center"/>
    </xf>
    <xf numFmtId="10" fontId="0" fillId="0" borderId="0" xfId="0" applyNumberFormat="1"/>
    <xf numFmtId="0" fontId="0" fillId="9" borderId="0" xfId="0" applyFill="1"/>
    <xf numFmtId="0" fontId="0" fillId="8" borderId="0" xfId="0" applyFill="1"/>
    <xf numFmtId="164" fontId="0" fillId="0" borderId="0" xfId="78" applyNumberFormat="1" applyFont="1"/>
    <xf numFmtId="171" fontId="0" fillId="0" borderId="0" xfId="0" applyNumberFormat="1"/>
    <xf numFmtId="43" fontId="0" fillId="0" borderId="0" xfId="36" applyNumberFormat="1" applyFont="1"/>
    <xf numFmtId="172" fontId="0" fillId="0" borderId="0" xfId="0" applyNumberFormat="1"/>
    <xf numFmtId="169" fontId="0" fillId="0" borderId="20" xfId="0" applyNumberFormat="1" applyFill="1" applyBorder="1"/>
    <xf numFmtId="169" fontId="0" fillId="0" borderId="24" xfId="0" applyNumberFormat="1" applyFill="1" applyBorder="1"/>
    <xf numFmtId="169" fontId="0" fillId="0" borderId="28" xfId="0" applyNumberFormat="1" applyFill="1" applyBorder="1"/>
    <xf numFmtId="0" fontId="3" fillId="7" borderId="13" xfId="0" applyFont="1" applyFill="1" applyBorder="1" applyAlignment="1">
      <alignment horizontal="center"/>
    </xf>
    <xf numFmtId="173" fontId="0" fillId="7" borderId="20" xfId="0" applyNumberFormat="1" applyFill="1" applyBorder="1" applyAlignment="1">
      <alignment horizontal="center" vertical="center"/>
    </xf>
    <xf numFmtId="2" fontId="0" fillId="7" borderId="24" xfId="0" applyNumberFormat="1" applyFill="1" applyBorder="1" applyAlignment="1">
      <alignment horizontal="center" vertical="center"/>
    </xf>
    <xf numFmtId="173" fontId="3" fillId="7" borderId="28" xfId="0" applyNumberFormat="1" applyFont="1" applyFill="1" applyBorder="1" applyAlignment="1">
      <alignment horizontal="center" vertical="center"/>
    </xf>
    <xf numFmtId="0" fontId="31" fillId="0" borderId="0" xfId="0" applyFont="1"/>
    <xf numFmtId="170" fontId="0" fillId="3" borderId="28" xfId="36" applyNumberFormat="1" applyFont="1" applyFill="1" applyBorder="1"/>
    <xf numFmtId="1" fontId="4" fillId="0" borderId="13" xfId="0" applyNumberFormat="1" applyFont="1" applyFill="1" applyBorder="1" applyAlignment="1">
      <alignment horizontal="center" vertical="center"/>
    </xf>
    <xf numFmtId="1" fontId="4" fillId="7" borderId="13" xfId="0" applyNumberFormat="1" applyFont="1" applyFill="1" applyBorder="1" applyAlignment="1">
      <alignment horizontal="center" vertical="center"/>
    </xf>
    <xf numFmtId="173" fontId="4" fillId="0" borderId="14" xfId="0" applyNumberFormat="1" applyFont="1" applyFill="1" applyBorder="1" applyAlignment="1">
      <alignment horizontal="left" vertical="center"/>
    </xf>
    <xf numFmtId="0" fontId="0" fillId="0" borderId="14" xfId="0" applyBorder="1"/>
    <xf numFmtId="0" fontId="0" fillId="0" borderId="16" xfId="0" applyBorder="1"/>
    <xf numFmtId="0" fontId="27" fillId="0" borderId="0" xfId="74"/>
    <xf numFmtId="169" fontId="27" fillId="0" borderId="0" xfId="74" applyNumberFormat="1"/>
    <xf numFmtId="1" fontId="13" fillId="0" borderId="20" xfId="0" applyNumberFormat="1" applyFont="1" applyFill="1" applyBorder="1" applyAlignment="1">
      <alignment horizontal="center"/>
    </xf>
    <xf numFmtId="44" fontId="2" fillId="0" borderId="20" xfId="0" applyNumberFormat="1" applyFont="1" applyFill="1" applyBorder="1"/>
    <xf numFmtId="1" fontId="13" fillId="0" borderId="24" xfId="0" applyNumberFormat="1" applyFont="1" applyFill="1" applyBorder="1" applyAlignment="1">
      <alignment horizontal="center"/>
    </xf>
    <xf numFmtId="44" fontId="2" fillId="0" borderId="24" xfId="0" applyNumberFormat="1" applyFont="1" applyFill="1" applyBorder="1"/>
    <xf numFmtId="1" fontId="13" fillId="0" borderId="24" xfId="36" applyNumberFormat="1" applyFont="1" applyFill="1" applyBorder="1" applyAlignment="1">
      <alignment horizontal="center"/>
    </xf>
    <xf numFmtId="1" fontId="10" fillId="0" borderId="24" xfId="0" applyNumberFormat="1" applyFont="1" applyFill="1" applyBorder="1" applyAlignment="1">
      <alignment horizontal="center"/>
    </xf>
    <xf numFmtId="1" fontId="10" fillId="0" borderId="28" xfId="0" applyNumberFormat="1" applyFont="1" applyFill="1" applyBorder="1" applyAlignment="1">
      <alignment horizontal="center"/>
    </xf>
    <xf numFmtId="44" fontId="2" fillId="0" borderId="28" xfId="0" applyNumberFormat="1" applyFont="1" applyFill="1" applyBorder="1"/>
    <xf numFmtId="44" fontId="2" fillId="0" borderId="0" xfId="0" applyNumberFormat="1" applyFont="1" applyFill="1" applyBorder="1"/>
    <xf numFmtId="0" fontId="14" fillId="10" borderId="13" xfId="74" applyFont="1" applyFill="1" applyBorder="1" applyAlignment="1">
      <alignment horizontal="center" vertical="center" wrapText="1"/>
    </xf>
    <xf numFmtId="0" fontId="14" fillId="11" borderId="13" xfId="74" applyFont="1" applyFill="1" applyBorder="1" applyAlignment="1">
      <alignment horizontal="center" vertical="center" wrapText="1"/>
    </xf>
    <xf numFmtId="0" fontId="0" fillId="2" borderId="13" xfId="0" applyFill="1" applyBorder="1"/>
    <xf numFmtId="169" fontId="0" fillId="2" borderId="13" xfId="0" applyNumberFormat="1" applyFill="1" applyBorder="1"/>
    <xf numFmtId="165" fontId="0" fillId="2" borderId="13" xfId="0" applyNumberFormat="1" applyFill="1" applyBorder="1"/>
    <xf numFmtId="169" fontId="0" fillId="7" borderId="13" xfId="0" applyNumberFormat="1" applyFill="1" applyBorder="1"/>
    <xf numFmtId="169" fontId="27" fillId="0" borderId="20" xfId="74" applyNumberFormat="1" applyBorder="1"/>
    <xf numFmtId="169" fontId="27" fillId="0" borderId="24" xfId="74" applyNumberFormat="1" applyBorder="1"/>
    <xf numFmtId="169" fontId="0" fillId="0" borderId="24" xfId="0" applyNumberFormat="1" applyBorder="1"/>
    <xf numFmtId="169" fontId="27" fillId="0" borderId="28" xfId="74" applyNumberFormat="1" applyBorder="1"/>
    <xf numFmtId="169" fontId="0" fillId="0" borderId="28" xfId="0" applyNumberFormat="1" applyBorder="1"/>
    <xf numFmtId="0" fontId="28" fillId="0" borderId="20" xfId="0" applyFont="1" applyFill="1" applyBorder="1" applyAlignment="1">
      <alignment horizontal="center" wrapText="1"/>
    </xf>
    <xf numFmtId="0" fontId="28" fillId="0" borderId="24" xfId="0" applyFont="1" applyFill="1" applyBorder="1" applyAlignment="1">
      <alignment horizontal="center" wrapText="1"/>
    </xf>
    <xf numFmtId="0" fontId="28" fillId="0" borderId="28" xfId="0" applyFont="1" applyFill="1" applyBorder="1" applyAlignment="1">
      <alignment horizontal="center" wrapText="1"/>
    </xf>
    <xf numFmtId="165" fontId="3" fillId="0" borderId="20" xfId="0" applyNumberFormat="1" applyFont="1" applyBorder="1"/>
    <xf numFmtId="165" fontId="3" fillId="0" borderId="24" xfId="0" applyNumberFormat="1" applyFont="1" applyBorder="1"/>
    <xf numFmtId="165" fontId="3" fillId="0" borderId="28" xfId="0" applyNumberFormat="1" applyFont="1" applyBorder="1"/>
    <xf numFmtId="169" fontId="0" fillId="0" borderId="0" xfId="0" applyNumberFormat="1"/>
    <xf numFmtId="169" fontId="0" fillId="0" borderId="10" xfId="0" applyNumberFormat="1" applyFill="1" applyBorder="1"/>
    <xf numFmtId="165" fontId="0" fillId="0" borderId="10" xfId="0" applyNumberFormat="1" applyFill="1" applyBorder="1"/>
    <xf numFmtId="0" fontId="0" fillId="12" borderId="14" xfId="0" applyFill="1" applyBorder="1" applyAlignment="1">
      <alignment horizontal="left"/>
    </xf>
    <xf numFmtId="0" fontId="0" fillId="12" borderId="16" xfId="0" applyFill="1" applyBorder="1"/>
    <xf numFmtId="0" fontId="10" fillId="3" borderId="16" xfId="0" applyFont="1" applyFill="1" applyBorder="1" applyAlignment="1">
      <alignment horizontal="center" wrapText="1"/>
    </xf>
    <xf numFmtId="0" fontId="2" fillId="0" borderId="24" xfId="0" applyFont="1" applyBorder="1" applyAlignment="1">
      <alignment wrapText="1"/>
    </xf>
    <xf numFmtId="0" fontId="10" fillId="13" borderId="0" xfId="0" applyFont="1" applyFill="1" applyAlignment="1"/>
    <xf numFmtId="168" fontId="2" fillId="13" borderId="30" xfId="0" applyNumberFormat="1" applyFont="1" applyFill="1" applyBorder="1" applyAlignment="1">
      <alignment wrapText="1"/>
    </xf>
    <xf numFmtId="2" fontId="2" fillId="13" borderId="31" xfId="0" applyNumberFormat="1" applyFont="1" applyFill="1" applyBorder="1" applyAlignment="1">
      <alignment wrapText="1"/>
    </xf>
    <xf numFmtId="0" fontId="2" fillId="13" borderId="31" xfId="0" applyFont="1" applyFill="1" applyBorder="1" applyAlignment="1">
      <alignment wrapText="1"/>
    </xf>
    <xf numFmtId="10" fontId="0" fillId="13" borderId="13" xfId="0" applyNumberFormat="1" applyFill="1" applyBorder="1" applyAlignment="1">
      <alignment horizontal="center"/>
    </xf>
    <xf numFmtId="0" fontId="15" fillId="0" borderId="0" xfId="0" applyFont="1" applyAlignment="1"/>
    <xf numFmtId="165" fontId="2" fillId="13" borderId="0" xfId="0" applyNumberFormat="1" applyFont="1" applyFill="1" applyBorder="1" applyAlignment="1">
      <alignment wrapText="1"/>
    </xf>
    <xf numFmtId="0" fontId="19" fillId="0" borderId="0" xfId="0" applyFont="1" applyAlignment="1">
      <alignment wrapText="1"/>
    </xf>
    <xf numFmtId="0" fontId="2" fillId="0" borderId="13" xfId="0" applyFont="1" applyBorder="1" applyAlignment="1">
      <alignment wrapText="1"/>
    </xf>
    <xf numFmtId="0" fontId="18" fillId="0" borderId="0" xfId="0" applyFont="1" applyAlignment="1">
      <alignment wrapText="1"/>
    </xf>
    <xf numFmtId="44" fontId="0" fillId="0" borderId="0" xfId="47" applyFont="1"/>
    <xf numFmtId="0" fontId="3" fillId="0" borderId="0" xfId="0" applyFont="1"/>
    <xf numFmtId="44" fontId="3" fillId="0" borderId="0" xfId="47" applyFont="1"/>
    <xf numFmtId="4" fontId="33" fillId="2" borderId="10" xfId="0" applyNumberFormat="1" applyFont="1" applyFill="1" applyBorder="1" applyAlignment="1">
      <alignment horizontal="center"/>
    </xf>
    <xf numFmtId="0" fontId="2" fillId="5" borderId="0" xfId="0" applyFont="1" applyFill="1" applyBorder="1"/>
    <xf numFmtId="0" fontId="2" fillId="5" borderId="0" xfId="0" applyFont="1" applyFill="1" applyBorder="1" applyAlignment="1">
      <alignment wrapText="1"/>
    </xf>
    <xf numFmtId="0" fontId="2" fillId="5" borderId="0" xfId="0" applyNumberFormat="1" applyFont="1" applyFill="1" applyBorder="1" applyAlignment="1">
      <alignment wrapText="1"/>
    </xf>
    <xf numFmtId="165" fontId="2" fillId="5" borderId="0" xfId="0" applyNumberFormat="1" applyFont="1" applyFill="1" applyBorder="1" applyAlignment="1">
      <alignment wrapText="1"/>
    </xf>
    <xf numFmtId="0" fontId="0" fillId="5" borderId="0" xfId="0" applyFill="1"/>
    <xf numFmtId="165" fontId="2" fillId="0" borderId="0" xfId="0" applyNumberFormat="1" applyFont="1" applyFill="1" applyBorder="1" applyAlignment="1">
      <alignment wrapText="1"/>
    </xf>
    <xf numFmtId="0" fontId="2" fillId="0" borderId="0" xfId="0" applyNumberFormat="1" applyFont="1" applyFill="1" applyBorder="1" applyAlignment="1">
      <alignment wrapText="1"/>
    </xf>
    <xf numFmtId="0" fontId="24" fillId="0" borderId="0" xfId="0" applyFont="1" applyFill="1"/>
    <xf numFmtId="0" fontId="13" fillId="0" borderId="8" xfId="0" applyFont="1" applyFill="1" applyBorder="1" applyAlignment="1">
      <alignment vertical="center" wrapText="1"/>
    </xf>
    <xf numFmtId="3" fontId="27" fillId="0" borderId="0" xfId="0" applyNumberFormat="1" applyFont="1" applyFill="1" applyBorder="1" applyAlignment="1">
      <alignment horizontal="right" wrapText="1"/>
    </xf>
    <xf numFmtId="169" fontId="27" fillId="0" borderId="0" xfId="74" applyNumberFormat="1" applyBorder="1"/>
    <xf numFmtId="169" fontId="0" fillId="0" borderId="0" xfId="0" applyNumberFormat="1" applyBorder="1"/>
    <xf numFmtId="165" fontId="0" fillId="0" borderId="0" xfId="0" applyNumberFormat="1" applyBorder="1"/>
    <xf numFmtId="0" fontId="2" fillId="14" borderId="0" xfId="0" applyFont="1" applyFill="1"/>
    <xf numFmtId="0" fontId="2" fillId="14" borderId="0" xfId="0" applyFont="1" applyFill="1" applyBorder="1" applyAlignment="1">
      <alignment wrapText="1"/>
    </xf>
    <xf numFmtId="0" fontId="2" fillId="14" borderId="0" xfId="0" applyNumberFormat="1" applyFont="1" applyFill="1" applyBorder="1" applyAlignment="1">
      <alignment wrapText="1"/>
    </xf>
    <xf numFmtId="165" fontId="2" fillId="14" borderId="0" xfId="0" applyNumberFormat="1" applyFont="1" applyFill="1" applyBorder="1" applyAlignment="1">
      <alignment wrapText="1"/>
    </xf>
    <xf numFmtId="0" fontId="0" fillId="14" borderId="0" xfId="0" applyFill="1"/>
    <xf numFmtId="4" fontId="13" fillId="2" borderId="13" xfId="0" applyNumberFormat="1" applyFont="1" applyFill="1" applyBorder="1" applyAlignment="1">
      <alignment horizontal="center"/>
    </xf>
    <xf numFmtId="4" fontId="33" fillId="2" borderId="13" xfId="0" applyNumberFormat="1" applyFont="1" applyFill="1" applyBorder="1" applyAlignment="1">
      <alignment horizontal="center"/>
    </xf>
    <xf numFmtId="44" fontId="2" fillId="0" borderId="13" xfId="0" applyNumberFormat="1" applyFont="1" applyFill="1" applyBorder="1"/>
    <xf numFmtId="1" fontId="10" fillId="0" borderId="0" xfId="0" applyNumberFormat="1" applyFont="1" applyFill="1" applyBorder="1" applyAlignment="1">
      <alignment horizontal="center"/>
    </xf>
    <xf numFmtId="0" fontId="13" fillId="0" borderId="0" xfId="0" applyFont="1" applyFill="1" applyBorder="1" applyAlignment="1"/>
    <xf numFmtId="4" fontId="13" fillId="2" borderId="32" xfId="0" applyNumberFormat="1" applyFont="1" applyFill="1" applyBorder="1" applyAlignment="1">
      <alignment horizontal="center"/>
    </xf>
    <xf numFmtId="1" fontId="13" fillId="0" borderId="33" xfId="0" applyNumberFormat="1" applyFont="1" applyFill="1" applyBorder="1" applyAlignment="1">
      <alignment horizontal="center"/>
    </xf>
    <xf numFmtId="44" fontId="2" fillId="0" borderId="32" xfId="0" applyNumberFormat="1" applyFont="1" applyFill="1" applyBorder="1"/>
    <xf numFmtId="1" fontId="13" fillId="0" borderId="33" xfId="36" applyNumberFormat="1" applyFont="1" applyFill="1" applyBorder="1" applyAlignment="1">
      <alignment horizontal="center"/>
    </xf>
    <xf numFmtId="1" fontId="10" fillId="0" borderId="33" xfId="0" applyNumberFormat="1" applyFont="1" applyFill="1" applyBorder="1" applyAlignment="1">
      <alignment horizontal="center"/>
    </xf>
    <xf numFmtId="1" fontId="10" fillId="0" borderId="34" xfId="0" applyNumberFormat="1" applyFont="1" applyFill="1" applyBorder="1" applyAlignment="1">
      <alignment horizontal="center"/>
    </xf>
    <xf numFmtId="44" fontId="2" fillId="0" borderId="35" xfId="0" applyNumberFormat="1" applyFont="1" applyFill="1" applyBorder="1"/>
    <xf numFmtId="44" fontId="2" fillId="0" borderId="36" xfId="0" applyNumberFormat="1" applyFont="1" applyFill="1" applyBorder="1"/>
    <xf numFmtId="1" fontId="13" fillId="0" borderId="37" xfId="0" applyNumberFormat="1" applyFont="1" applyFill="1" applyBorder="1" applyAlignment="1">
      <alignment horizontal="center"/>
    </xf>
    <xf numFmtId="44" fontId="2" fillId="0" borderId="12" xfId="0" applyNumberFormat="1" applyFont="1" applyFill="1" applyBorder="1"/>
    <xf numFmtId="44" fontId="2" fillId="0" borderId="38" xfId="0" applyNumberFormat="1" applyFont="1" applyFill="1" applyBorder="1"/>
    <xf numFmtId="49" fontId="13" fillId="2" borderId="35" xfId="0" applyNumberFormat="1" applyFont="1" applyFill="1" applyBorder="1" applyAlignment="1">
      <alignment horizontal="center"/>
    </xf>
    <xf numFmtId="49" fontId="13" fillId="2" borderId="36" xfId="0" applyNumberFormat="1" applyFont="1" applyFill="1" applyBorder="1" applyAlignment="1">
      <alignment horizontal="center"/>
    </xf>
    <xf numFmtId="165" fontId="2" fillId="8" borderId="10" xfId="0" applyNumberFormat="1" applyFont="1" applyFill="1" applyBorder="1" applyAlignment="1">
      <alignment wrapText="1"/>
    </xf>
    <xf numFmtId="165" fontId="2" fillId="9" borderId="10" xfId="0" applyNumberFormat="1" applyFont="1" applyFill="1" applyBorder="1" applyAlignment="1">
      <alignment wrapText="1"/>
    </xf>
    <xf numFmtId="0" fontId="10" fillId="3" borderId="15" xfId="0" applyFont="1" applyFill="1" applyBorder="1" applyAlignment="1">
      <alignment horizontal="center" wrapText="1"/>
    </xf>
    <xf numFmtId="0" fontId="10" fillId="3" borderId="30" xfId="0" applyFont="1" applyFill="1" applyBorder="1" applyAlignment="1">
      <alignment horizontal="center" wrapText="1"/>
    </xf>
    <xf numFmtId="0" fontId="0" fillId="0" borderId="0" xfId="0" applyFill="1"/>
    <xf numFmtId="165" fontId="2" fillId="0" borderId="3" xfId="0" applyNumberFormat="1" applyFont="1" applyFill="1" applyBorder="1" applyAlignment="1">
      <alignment wrapText="1"/>
    </xf>
    <xf numFmtId="165" fontId="2" fillId="0" borderId="10" xfId="0" applyNumberFormat="1" applyFont="1" applyFill="1" applyBorder="1" applyAlignment="1">
      <alignment wrapText="1"/>
    </xf>
    <xf numFmtId="49" fontId="35" fillId="9" borderId="1" xfId="0" applyNumberFormat="1" applyFont="1" applyFill="1" applyBorder="1" applyAlignment="1">
      <alignment vertical="top" wrapText="1"/>
    </xf>
    <xf numFmtId="0" fontId="2" fillId="9" borderId="0" xfId="0" applyFont="1" applyFill="1" applyBorder="1" applyAlignment="1">
      <alignment wrapText="1"/>
    </xf>
    <xf numFmtId="0" fontId="2" fillId="9" borderId="0" xfId="0" applyNumberFormat="1" applyFont="1" applyFill="1" applyBorder="1" applyAlignment="1">
      <alignment wrapText="1"/>
    </xf>
    <xf numFmtId="165" fontId="2" fillId="9" borderId="0" xfId="0" applyNumberFormat="1" applyFont="1" applyFill="1" applyBorder="1" applyAlignment="1">
      <alignment wrapText="1"/>
    </xf>
    <xf numFmtId="165" fontId="2" fillId="9" borderId="3" xfId="0" applyNumberFormat="1" applyFont="1" applyFill="1" applyBorder="1" applyAlignment="1">
      <alignment wrapText="1"/>
    </xf>
    <xf numFmtId="16" fontId="10" fillId="3" borderId="11" xfId="0" applyNumberFormat="1" applyFont="1" applyFill="1" applyBorder="1" applyAlignment="1">
      <alignment horizontal="center" wrapText="1"/>
    </xf>
    <xf numFmtId="10" fontId="2" fillId="13" borderId="10" xfId="0" applyNumberFormat="1" applyFont="1" applyFill="1" applyBorder="1" applyAlignment="1">
      <alignment wrapText="1"/>
    </xf>
    <xf numFmtId="10" fontId="2" fillId="13" borderId="12" xfId="0" applyNumberFormat="1" applyFont="1" applyFill="1" applyBorder="1" applyAlignment="1">
      <alignment wrapText="1"/>
    </xf>
    <xf numFmtId="0" fontId="0" fillId="13" borderId="11" xfId="0" applyFill="1" applyBorder="1"/>
    <xf numFmtId="10" fontId="2" fillId="13" borderId="13" xfId="88" applyNumberFormat="1" applyFont="1" applyFill="1" applyBorder="1" applyAlignment="1">
      <alignment wrapText="1"/>
    </xf>
    <xf numFmtId="10" fontId="2" fillId="0" borderId="12" xfId="0" applyNumberFormat="1" applyFont="1" applyFill="1" applyBorder="1" applyAlignment="1">
      <alignment wrapText="1"/>
    </xf>
    <xf numFmtId="10" fontId="2" fillId="0" borderId="28" xfId="0" applyNumberFormat="1" applyFont="1" applyFill="1" applyBorder="1" applyAlignment="1">
      <alignment wrapText="1"/>
    </xf>
    <xf numFmtId="10" fontId="2" fillId="0" borderId="39" xfId="0" applyNumberFormat="1" applyFont="1" applyFill="1" applyBorder="1" applyAlignment="1">
      <alignment wrapText="1"/>
    </xf>
    <xf numFmtId="10" fontId="2" fillId="0" borderId="29" xfId="0" applyNumberFormat="1" applyFont="1" applyFill="1" applyBorder="1" applyAlignment="1">
      <alignment wrapText="1"/>
    </xf>
    <xf numFmtId="10" fontId="2" fillId="0" borderId="10" xfId="0" applyNumberFormat="1" applyFont="1" applyFill="1" applyBorder="1" applyAlignment="1">
      <alignment wrapText="1"/>
    </xf>
    <xf numFmtId="10" fontId="2" fillId="0" borderId="24" xfId="0" applyNumberFormat="1" applyFont="1" applyFill="1" applyBorder="1" applyAlignment="1">
      <alignment wrapText="1"/>
    </xf>
    <xf numFmtId="10" fontId="2" fillId="0" borderId="19" xfId="0" applyNumberFormat="1" applyFont="1" applyFill="1" applyBorder="1" applyAlignment="1">
      <alignment wrapText="1"/>
    </xf>
    <xf numFmtId="10" fontId="2" fillId="0" borderId="20" xfId="0" applyNumberFormat="1" applyFont="1" applyFill="1" applyBorder="1" applyAlignment="1">
      <alignment wrapText="1"/>
    </xf>
    <xf numFmtId="0" fontId="0" fillId="0" borderId="10" xfId="0" applyFill="1" applyBorder="1"/>
    <xf numFmtId="0" fontId="0" fillId="0" borderId="13" xfId="0" applyFill="1" applyBorder="1"/>
    <xf numFmtId="16" fontId="10" fillId="0" borderId="9" xfId="0" applyNumberFormat="1" applyFont="1" applyFill="1" applyBorder="1" applyAlignment="1">
      <alignment horizontal="center" wrapText="1"/>
    </xf>
    <xf numFmtId="16" fontId="10" fillId="0" borderId="13" xfId="0" applyNumberFormat="1" applyFont="1" applyFill="1" applyBorder="1" applyAlignment="1">
      <alignment horizontal="center" wrapText="1"/>
    </xf>
    <xf numFmtId="16" fontId="10" fillId="0" borderId="6" xfId="0" applyNumberFormat="1" applyFont="1" applyFill="1" applyBorder="1" applyAlignment="1">
      <alignment horizontal="center" wrapText="1"/>
    </xf>
    <xf numFmtId="16" fontId="10" fillId="0" borderId="11" xfId="0" applyNumberFormat="1" applyFont="1" applyFill="1" applyBorder="1" applyAlignment="1">
      <alignment horizontal="center" wrapText="1"/>
    </xf>
    <xf numFmtId="16" fontId="10" fillId="0" borderId="8" xfId="0" applyNumberFormat="1" applyFont="1" applyFill="1" applyBorder="1" applyAlignment="1">
      <alignment horizontal="center" wrapText="1"/>
    </xf>
    <xf numFmtId="165" fontId="2" fillId="8" borderId="54" xfId="0" applyNumberFormat="1" applyFont="1" applyFill="1" applyBorder="1" applyAlignment="1">
      <alignment wrapText="1"/>
    </xf>
    <xf numFmtId="165" fontId="2" fillId="8" borderId="55" xfId="0" applyNumberFormat="1" applyFont="1" applyFill="1" applyBorder="1" applyAlignment="1">
      <alignment wrapText="1"/>
    </xf>
    <xf numFmtId="165" fontId="2" fillId="8" borderId="56" xfId="0" applyNumberFormat="1" applyFont="1" applyFill="1" applyBorder="1" applyAlignment="1">
      <alignment wrapText="1"/>
    </xf>
    <xf numFmtId="165" fontId="2" fillId="9" borderId="2" xfId="0" applyNumberFormat="1" applyFont="1" applyFill="1" applyBorder="1" applyAlignment="1">
      <alignment wrapText="1"/>
    </xf>
    <xf numFmtId="165" fontId="2" fillId="0" borderId="2" xfId="0" applyNumberFormat="1" applyFont="1" applyFill="1" applyBorder="1" applyAlignment="1">
      <alignment wrapText="1"/>
    </xf>
    <xf numFmtId="165" fontId="2" fillId="8" borderId="2" xfId="0" applyNumberFormat="1" applyFont="1" applyFill="1" applyBorder="1" applyAlignment="1">
      <alignment wrapText="1"/>
    </xf>
    <xf numFmtId="10" fontId="2" fillId="0" borderId="0" xfId="0" applyNumberFormat="1" applyFont="1" applyFill="1" applyAlignment="1">
      <alignment wrapText="1"/>
    </xf>
    <xf numFmtId="0" fontId="10" fillId="3" borderId="40" xfId="0" applyFont="1" applyFill="1" applyBorder="1" applyAlignment="1">
      <alignment horizontal="center" wrapText="1"/>
    </xf>
    <xf numFmtId="16" fontId="10" fillId="0" borderId="0" xfId="0" applyNumberFormat="1" applyFont="1" applyFill="1" applyBorder="1" applyAlignment="1">
      <alignment horizontal="center" wrapText="1"/>
    </xf>
    <xf numFmtId="0" fontId="0" fillId="0" borderId="0" xfId="0" applyFill="1" applyBorder="1"/>
    <xf numFmtId="10" fontId="2" fillId="0" borderId="0" xfId="0" applyNumberFormat="1" applyFont="1" applyFill="1" applyBorder="1" applyAlignment="1">
      <alignment wrapText="1"/>
    </xf>
    <xf numFmtId="10" fontId="2" fillId="13" borderId="57" xfId="0" applyNumberFormat="1" applyFont="1" applyFill="1" applyBorder="1" applyAlignment="1">
      <alignment wrapText="1"/>
    </xf>
    <xf numFmtId="0" fontId="10" fillId="0" borderId="41" xfId="0" applyFont="1" applyFill="1" applyBorder="1" applyAlignment="1">
      <alignment horizontal="center" wrapText="1"/>
    </xf>
    <xf numFmtId="0" fontId="10" fillId="0" borderId="13" xfId="0" applyFont="1" applyFill="1" applyBorder="1" applyAlignment="1">
      <alignment horizontal="center" wrapText="1"/>
    </xf>
    <xf numFmtId="10" fontId="9" fillId="4" borderId="0" xfId="78" applyNumberFormat="1" applyFont="1" applyFill="1" applyBorder="1" applyAlignment="1">
      <alignment wrapText="1"/>
    </xf>
    <xf numFmtId="10" fontId="9" fillId="4" borderId="9" xfId="78" applyNumberFormat="1" applyFont="1" applyFill="1" applyBorder="1" applyAlignment="1">
      <alignment wrapText="1"/>
    </xf>
    <xf numFmtId="165" fontId="28" fillId="0" borderId="0" xfId="0" applyNumberFormat="1" applyFont="1" applyFill="1" applyBorder="1" applyAlignment="1">
      <alignment horizontal="center" wrapText="1"/>
    </xf>
    <xf numFmtId="169" fontId="0" fillId="0" borderId="0" xfId="0" applyNumberFormat="1" applyFill="1" applyBorder="1"/>
    <xf numFmtId="165" fontId="0" fillId="0" borderId="0" xfId="0" applyNumberFormat="1" applyFill="1" applyBorder="1"/>
    <xf numFmtId="173" fontId="3" fillId="0" borderId="0" xfId="0" applyNumberFormat="1" applyFont="1" applyFill="1" applyBorder="1" applyAlignment="1">
      <alignment horizontal="center" vertical="center"/>
    </xf>
    <xf numFmtId="173" fontId="32" fillId="0" borderId="0" xfId="0" applyNumberFormat="1" applyFont="1" applyFill="1" applyBorder="1" applyAlignment="1">
      <alignment horizontal="center" vertical="center"/>
    </xf>
    <xf numFmtId="173" fontId="4" fillId="0" borderId="58" xfId="0" applyNumberFormat="1" applyFont="1" applyFill="1" applyBorder="1" applyAlignment="1">
      <alignment horizontal="left" vertical="center"/>
    </xf>
    <xf numFmtId="0" fontId="28" fillId="0" borderId="13" xfId="0" applyFont="1" applyFill="1" applyBorder="1" applyAlignment="1">
      <alignment horizontal="center" wrapText="1"/>
    </xf>
    <xf numFmtId="3" fontId="27" fillId="0" borderId="13" xfId="0" applyNumberFormat="1" applyFont="1" applyFill="1" applyBorder="1" applyAlignment="1">
      <alignment horizontal="right" wrapText="1"/>
    </xf>
    <xf numFmtId="44" fontId="27" fillId="0" borderId="13" xfId="47" applyFont="1" applyFill="1" applyBorder="1"/>
    <xf numFmtId="44" fontId="0" fillId="0" borderId="13" xfId="47" applyFont="1" applyFill="1" applyBorder="1"/>
    <xf numFmtId="44" fontId="3" fillId="0" borderId="13" xfId="47" applyFont="1" applyFill="1" applyBorder="1"/>
    <xf numFmtId="167" fontId="0" fillId="0" borderId="13" xfId="47" applyNumberFormat="1" applyFont="1" applyFill="1" applyBorder="1"/>
    <xf numFmtId="167" fontId="3" fillId="0" borderId="13" xfId="0" applyNumberFormat="1" applyFont="1" applyBorder="1"/>
    <xf numFmtId="170" fontId="3" fillId="0" borderId="13" xfId="36" applyNumberFormat="1" applyFont="1" applyBorder="1"/>
    <xf numFmtId="0" fontId="0" fillId="0" borderId="59" xfId="0" applyFill="1" applyBorder="1" applyAlignment="1">
      <alignment horizontal="left"/>
    </xf>
    <xf numFmtId="0" fontId="0" fillId="0" borderId="33" xfId="0" applyFill="1" applyBorder="1"/>
    <xf numFmtId="0" fontId="0" fillId="0" borderId="34" xfId="0" applyFill="1" applyBorder="1"/>
    <xf numFmtId="1" fontId="3" fillId="46" borderId="44" xfId="0" applyNumberFormat="1" applyFont="1" applyFill="1" applyBorder="1" applyAlignment="1">
      <alignment horizontal="left" vertical="center"/>
    </xf>
    <xf numFmtId="10" fontId="3" fillId="46" borderId="32" xfId="0" applyNumberFormat="1" applyFont="1" applyFill="1" applyBorder="1" applyAlignment="1">
      <alignment horizontal="left"/>
    </xf>
    <xf numFmtId="169" fontId="3" fillId="46" borderId="32" xfId="0" applyNumberFormat="1" applyFont="1" applyFill="1" applyBorder="1" applyAlignment="1">
      <alignment horizontal="left"/>
    </xf>
    <xf numFmtId="9" fontId="3" fillId="46" borderId="36" xfId="78" applyFont="1" applyFill="1" applyBorder="1" applyAlignment="1">
      <alignment horizontal="left"/>
    </xf>
    <xf numFmtId="173" fontId="3" fillId="0" borderId="0" xfId="0" applyNumberFormat="1" applyFont="1" applyFill="1" applyBorder="1" applyAlignment="1">
      <alignment vertical="center"/>
    </xf>
    <xf numFmtId="2" fontId="0" fillId="0" borderId="13" xfId="47" applyNumberFormat="1" applyFont="1" applyFill="1" applyBorder="1"/>
    <xf numFmtId="44" fontId="0" fillId="0" borderId="0" xfId="0" applyNumberFormat="1"/>
    <xf numFmtId="44" fontId="1" fillId="0" borderId="13" xfId="47" applyFont="1" applyFill="1" applyBorder="1"/>
    <xf numFmtId="44" fontId="3" fillId="0" borderId="12" xfId="47" applyFont="1" applyFill="1" applyBorder="1"/>
    <xf numFmtId="9" fontId="0" fillId="0" borderId="13" xfId="78" applyFont="1" applyBorder="1"/>
    <xf numFmtId="44" fontId="1" fillId="0" borderId="13" xfId="47" applyFont="1" applyBorder="1"/>
    <xf numFmtId="173" fontId="1" fillId="0" borderId="58" xfId="0" applyNumberFormat="1" applyFont="1" applyFill="1" applyBorder="1" applyAlignment="1">
      <alignment horizontal="left" vertical="center"/>
    </xf>
    <xf numFmtId="0" fontId="3" fillId="0" borderId="0" xfId="0" applyFont="1" applyFill="1" applyBorder="1" applyAlignment="1">
      <alignment vertical="center" wrapText="1"/>
    </xf>
    <xf numFmtId="173" fontId="3" fillId="0" borderId="0" xfId="0" applyNumberFormat="1" applyFont="1" applyFill="1" applyBorder="1" applyAlignment="1">
      <alignment vertical="center"/>
    </xf>
    <xf numFmtId="10" fontId="3" fillId="46" borderId="36" xfId="78" applyNumberFormat="1" applyFont="1" applyFill="1" applyBorder="1" applyAlignment="1">
      <alignment horizontal="left"/>
    </xf>
    <xf numFmtId="174" fontId="0" fillId="0" borderId="0" xfId="78" applyNumberFormat="1" applyFont="1"/>
    <xf numFmtId="172" fontId="0" fillId="0" borderId="0" xfId="36" applyNumberFormat="1" applyFont="1"/>
    <xf numFmtId="2" fontId="0" fillId="0" borderId="0" xfId="0" applyNumberFormat="1"/>
    <xf numFmtId="43" fontId="0" fillId="0" borderId="0" xfId="0" applyNumberFormat="1"/>
    <xf numFmtId="169" fontId="0" fillId="0" borderId="0" xfId="0" applyNumberFormat="1" applyFill="1" applyBorder="1" applyAlignment="1">
      <alignment horizontal="right"/>
    </xf>
    <xf numFmtId="44" fontId="0" fillId="47" borderId="13" xfId="47" applyFont="1" applyFill="1" applyBorder="1"/>
    <xf numFmtId="167" fontId="0" fillId="47" borderId="13" xfId="47" applyNumberFormat="1" applyFont="1" applyFill="1" applyBorder="1"/>
    <xf numFmtId="10" fontId="3" fillId="0" borderId="0" xfId="78" applyNumberFormat="1" applyFont="1" applyFill="1" applyBorder="1" applyAlignment="1">
      <alignment horizontal="left"/>
    </xf>
    <xf numFmtId="0" fontId="2" fillId="0" borderId="0" xfId="0" applyFont="1" applyAlignment="1">
      <alignment wrapText="1"/>
    </xf>
    <xf numFmtId="0" fontId="0" fillId="0" borderId="0" xfId="0" applyAlignment="1">
      <alignment wrapText="1"/>
    </xf>
    <xf numFmtId="0" fontId="10" fillId="2" borderId="11"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0" fontId="9" fillId="0" borderId="0" xfId="0" applyFont="1" applyFill="1" applyBorder="1" applyAlignment="1">
      <alignment horizontal="center"/>
    </xf>
    <xf numFmtId="0" fontId="2" fillId="2" borderId="10" xfId="0" applyFont="1" applyFill="1" applyBorder="1" applyAlignment="1">
      <alignment horizontal="center"/>
    </xf>
    <xf numFmtId="0" fontId="10" fillId="2" borderId="11" xfId="0" applyFont="1" applyFill="1" applyBorder="1" applyAlignment="1">
      <alignment horizontal="center" wrapText="1"/>
    </xf>
    <xf numFmtId="0" fontId="10" fillId="2" borderId="10" xfId="0" applyFont="1" applyFill="1" applyBorder="1" applyAlignment="1">
      <alignment horizontal="center" wrapText="1"/>
    </xf>
    <xf numFmtId="0" fontId="10" fillId="2" borderId="12" xfId="0" applyFont="1" applyFill="1" applyBorder="1" applyAlignment="1">
      <alignment horizontal="center" wrapText="1"/>
    </xf>
    <xf numFmtId="4" fontId="10" fillId="2" borderId="14" xfId="0" applyNumberFormat="1" applyFont="1" applyFill="1" applyBorder="1" applyAlignment="1">
      <alignment horizontal="center" vertical="center" wrapText="1"/>
    </xf>
    <xf numFmtId="4" fontId="10" fillId="2" borderId="16" xfId="0" applyNumberFormat="1" applyFont="1" applyFill="1" applyBorder="1" applyAlignment="1">
      <alignment horizontal="center" vertical="center" wrapText="1"/>
    </xf>
    <xf numFmtId="0" fontId="10" fillId="2" borderId="14" xfId="0" applyFont="1" applyFill="1" applyBorder="1" applyAlignment="1">
      <alignment horizontal="center"/>
    </xf>
    <xf numFmtId="0" fontId="10" fillId="2" borderId="15" xfId="0" applyFont="1" applyFill="1" applyBorder="1" applyAlignment="1">
      <alignment horizontal="center"/>
    </xf>
    <xf numFmtId="0" fontId="10" fillId="2" borderId="16" xfId="0" applyFont="1" applyFill="1" applyBorder="1" applyAlignment="1">
      <alignment horizontal="center"/>
    </xf>
    <xf numFmtId="0" fontId="10" fillId="2" borderId="11" xfId="0" applyFont="1" applyFill="1" applyBorder="1" applyAlignment="1">
      <alignment horizontal="center"/>
    </xf>
    <xf numFmtId="0" fontId="2" fillId="2" borderId="4" xfId="0" applyFont="1" applyFill="1" applyBorder="1" applyAlignment="1">
      <alignment horizontal="center"/>
    </xf>
    <xf numFmtId="0" fontId="2" fillId="2" borderId="8" xfId="0" applyFont="1" applyFill="1" applyBorder="1" applyAlignment="1">
      <alignment horizontal="center"/>
    </xf>
    <xf numFmtId="0" fontId="2" fillId="2" borderId="5" xfId="0" applyFont="1" applyFill="1" applyBorder="1" applyAlignment="1">
      <alignment horizontal="center"/>
    </xf>
    <xf numFmtId="0" fontId="2" fillId="0" borderId="0" xfId="0" applyNumberFormat="1" applyFont="1" applyAlignment="1">
      <alignment wrapText="1"/>
    </xf>
    <xf numFmtId="0" fontId="7" fillId="0" borderId="0" xfId="0" applyFont="1" applyFill="1" applyAlignment="1">
      <alignment horizontal="center" vertical="center" wrapText="1"/>
    </xf>
    <xf numFmtId="0" fontId="8" fillId="0" borderId="0" xfId="0" applyFont="1" applyFill="1" applyAlignment="1">
      <alignment horizontal="center" vertical="center" wrapText="1"/>
    </xf>
    <xf numFmtId="0" fontId="9" fillId="0" borderId="10" xfId="0" applyFont="1" applyBorder="1" applyAlignment="1">
      <alignment wrapText="1"/>
    </xf>
    <xf numFmtId="0" fontId="7" fillId="0" borderId="0" xfId="0" applyFont="1" applyFill="1" applyAlignment="1">
      <alignment horizontal="center" vertical="center"/>
    </xf>
    <xf numFmtId="0" fontId="10" fillId="2" borderId="0" xfId="0" applyFont="1" applyFill="1" applyBorder="1" applyAlignment="1">
      <alignment wrapText="1"/>
    </xf>
    <xf numFmtId="0" fontId="9" fillId="0" borderId="8" xfId="0" applyFont="1" applyBorder="1" applyAlignment="1">
      <alignment wrapText="1"/>
    </xf>
    <xf numFmtId="0" fontId="10" fillId="2" borderId="6" xfId="0" applyFont="1" applyFill="1" applyBorder="1" applyAlignment="1">
      <alignment horizontal="center" wrapText="1"/>
    </xf>
    <xf numFmtId="0" fontId="10" fillId="2" borderId="9" xfId="0" applyFont="1" applyFill="1" applyBorder="1" applyAlignment="1">
      <alignment horizontal="center" wrapText="1"/>
    </xf>
    <xf numFmtId="0" fontId="10" fillId="2" borderId="7" xfId="0" applyFont="1" applyFill="1" applyBorder="1" applyAlignment="1">
      <alignment horizontal="center" wrapText="1"/>
    </xf>
    <xf numFmtId="0" fontId="10" fillId="2" borderId="7" xfId="0" applyFont="1" applyFill="1" applyBorder="1" applyAlignment="1">
      <alignment wrapText="1"/>
    </xf>
    <xf numFmtId="0" fontId="9" fillId="0" borderId="3" xfId="0" applyFont="1" applyBorder="1" applyAlignment="1">
      <alignment wrapText="1"/>
    </xf>
    <xf numFmtId="0" fontId="10" fillId="2" borderId="9" xfId="0" applyFont="1" applyFill="1" applyBorder="1" applyAlignment="1">
      <alignment wrapText="1"/>
    </xf>
    <xf numFmtId="0" fontId="9" fillId="0" borderId="0" xfId="0" applyFont="1" applyAlignment="1">
      <alignment wrapText="1"/>
    </xf>
    <xf numFmtId="9" fontId="7" fillId="0" borderId="0" xfId="78" applyNumberFormat="1" applyFont="1" applyFill="1" applyAlignment="1">
      <alignment horizontal="center" vertical="center" wrapText="1"/>
    </xf>
    <xf numFmtId="0" fontId="10" fillId="2" borderId="6" xfId="0" applyFont="1" applyFill="1" applyBorder="1" applyAlignment="1">
      <alignment wrapText="1"/>
    </xf>
    <xf numFmtId="0" fontId="9" fillId="0" borderId="2" xfId="0" applyFont="1" applyBorder="1" applyAlignment="1">
      <alignment wrapText="1"/>
    </xf>
    <xf numFmtId="0" fontId="0" fillId="0" borderId="8" xfId="0" applyBorder="1" applyAlignment="1">
      <alignment wrapText="1"/>
    </xf>
    <xf numFmtId="0" fontId="10" fillId="2" borderId="2" xfId="0" applyFont="1" applyFill="1" applyBorder="1" applyAlignment="1">
      <alignment horizontal="center" wrapText="1"/>
    </xf>
    <xf numFmtId="0" fontId="10" fillId="2" borderId="0" xfId="0" applyFont="1" applyFill="1" applyBorder="1" applyAlignment="1">
      <alignment horizontal="center" wrapText="1"/>
    </xf>
    <xf numFmtId="0" fontId="10" fillId="2" borderId="3" xfId="0" applyFont="1" applyFill="1" applyBorder="1" applyAlignment="1">
      <alignment horizontal="center" wrapText="1"/>
    </xf>
    <xf numFmtId="0" fontId="12" fillId="0" borderId="0" xfId="0" applyFont="1" applyAlignment="1">
      <alignment wrapText="1"/>
    </xf>
    <xf numFmtId="0" fontId="6" fillId="0" borderId="0" xfId="0" applyFont="1" applyAlignment="1">
      <alignment wrapText="1"/>
    </xf>
    <xf numFmtId="9" fontId="10" fillId="2" borderId="9" xfId="78" applyNumberFormat="1" applyFont="1" applyFill="1" applyBorder="1" applyAlignment="1">
      <alignment horizontal="center" wrapText="1"/>
    </xf>
    <xf numFmtId="0" fontId="10" fillId="2" borderId="2" xfId="0" applyFont="1" applyFill="1" applyBorder="1" applyAlignment="1">
      <alignment wrapText="1"/>
    </xf>
    <xf numFmtId="0" fontId="9" fillId="0" borderId="4" xfId="0" applyFont="1" applyBorder="1" applyAlignment="1">
      <alignment wrapText="1"/>
    </xf>
    <xf numFmtId="0" fontId="10" fillId="2" borderId="3" xfId="0" applyFont="1" applyFill="1" applyBorder="1" applyAlignment="1">
      <alignment wrapText="1"/>
    </xf>
    <xf numFmtId="0" fontId="9" fillId="0" borderId="5" xfId="0" applyFont="1" applyBorder="1" applyAlignment="1">
      <alignment wrapText="1"/>
    </xf>
    <xf numFmtId="0" fontId="10" fillId="0" borderId="0" xfId="0" applyFont="1" applyAlignment="1">
      <alignment wrapText="1"/>
    </xf>
    <xf numFmtId="0" fontId="0" fillId="0" borderId="0" xfId="0" applyAlignment="1"/>
    <xf numFmtId="164" fontId="10" fillId="2" borderId="7" xfId="78" applyNumberFormat="1" applyFont="1" applyFill="1" applyBorder="1" applyAlignment="1">
      <alignment wrapText="1"/>
    </xf>
    <xf numFmtId="10" fontId="10" fillId="2" borderId="9" xfId="78" applyNumberFormat="1" applyFont="1" applyFill="1" applyBorder="1" applyAlignment="1">
      <alignment wrapText="1"/>
    </xf>
    <xf numFmtId="0" fontId="14" fillId="0" borderId="0" xfId="0" applyFont="1" applyFill="1" applyAlignment="1">
      <alignment horizontal="center" vertical="center"/>
    </xf>
    <xf numFmtId="0" fontId="2" fillId="0" borderId="0" xfId="0" applyFont="1" applyFill="1" applyAlignment="1">
      <alignment wrapText="1"/>
    </xf>
    <xf numFmtId="0" fontId="0" fillId="0" borderId="0" xfId="0" applyFill="1" applyAlignment="1">
      <alignment wrapText="1"/>
    </xf>
    <xf numFmtId="0" fontId="2" fillId="8" borderId="0" xfId="0" applyFont="1" applyFill="1" applyAlignment="1">
      <alignment horizontal="center" vertical="center" wrapText="1"/>
    </xf>
    <xf numFmtId="0" fontId="10" fillId="0" borderId="0" xfId="0" applyFont="1" applyFill="1" applyBorder="1" applyAlignment="1">
      <alignment wrapText="1"/>
    </xf>
    <xf numFmtId="0" fontId="24" fillId="0" borderId="0" xfId="0" applyFont="1" applyAlignment="1">
      <alignment wrapText="1"/>
    </xf>
    <xf numFmtId="0" fontId="5" fillId="0" borderId="0" xfId="0" applyFont="1" applyAlignment="1">
      <alignment wrapText="1"/>
    </xf>
    <xf numFmtId="0" fontId="23" fillId="0" borderId="8" xfId="0" applyFont="1" applyBorder="1" applyAlignment="1">
      <alignment wrapText="1"/>
    </xf>
    <xf numFmtId="0" fontId="6" fillId="0" borderId="0" xfId="0" applyFont="1" applyFill="1" applyBorder="1" applyAlignment="1">
      <alignment wrapText="1"/>
    </xf>
    <xf numFmtId="0" fontId="3" fillId="0" borderId="0" xfId="0" applyFont="1" applyAlignment="1">
      <alignment wrapText="1"/>
    </xf>
    <xf numFmtId="173" fontId="3" fillId="0" borderId="0" xfId="0" applyNumberFormat="1" applyFont="1" applyFill="1" applyBorder="1" applyAlignment="1">
      <alignment vertical="center"/>
    </xf>
    <xf numFmtId="0" fontId="0" fillId="0" borderId="60" xfId="0" applyBorder="1" applyAlignment="1">
      <alignment horizontal="center" wrapText="1"/>
    </xf>
    <xf numFmtId="0" fontId="0" fillId="0" borderId="0" xfId="0" applyBorder="1" applyAlignment="1">
      <alignment horizontal="center" wrapText="1"/>
    </xf>
    <xf numFmtId="173" fontId="3" fillId="0" borderId="20" xfId="0" applyNumberFormat="1" applyFont="1" applyFill="1" applyBorder="1" applyAlignment="1">
      <alignment vertical="center"/>
    </xf>
    <xf numFmtId="173" fontId="3" fillId="0" borderId="24" xfId="0" applyNumberFormat="1" applyFont="1" applyFill="1" applyBorder="1" applyAlignment="1">
      <alignment vertical="center"/>
    </xf>
    <xf numFmtId="173" fontId="3" fillId="0" borderId="28" xfId="0" applyNumberFormat="1" applyFont="1" applyFill="1" applyBorder="1" applyAlignment="1">
      <alignment vertical="center"/>
    </xf>
    <xf numFmtId="0" fontId="10" fillId="0" borderId="0" xfId="0" applyFont="1" applyFill="1" applyAlignment="1">
      <alignment horizontal="center"/>
    </xf>
    <xf numFmtId="0" fontId="13" fillId="2" borderId="6" xfId="0" applyFont="1" applyFill="1" applyBorder="1" applyAlignment="1">
      <alignment horizontal="center"/>
    </xf>
    <xf numFmtId="0" fontId="13" fillId="2" borderId="9" xfId="0" applyFont="1" applyFill="1" applyBorder="1" applyAlignment="1">
      <alignment horizontal="center"/>
    </xf>
    <xf numFmtId="0" fontId="13" fillId="2" borderId="7" xfId="0" applyFont="1" applyFill="1" applyBorder="1" applyAlignment="1">
      <alignment horizontal="center"/>
    </xf>
    <xf numFmtId="0" fontId="13" fillId="2" borderId="4" xfId="0" applyFont="1" applyFill="1" applyBorder="1" applyAlignment="1">
      <alignment horizontal="center" wrapText="1"/>
    </xf>
    <xf numFmtId="0" fontId="13" fillId="2" borderId="8" xfId="0" applyFont="1" applyFill="1" applyBorder="1" applyAlignment="1">
      <alignment horizontal="center" wrapText="1"/>
    </xf>
    <xf numFmtId="0" fontId="13" fillId="2" borderId="5" xfId="0" applyFont="1" applyFill="1" applyBorder="1" applyAlignment="1">
      <alignment horizontal="center" wrapText="1"/>
    </xf>
    <xf numFmtId="0" fontId="13" fillId="2" borderId="13" xfId="0" applyFont="1" applyFill="1" applyBorder="1" applyAlignment="1">
      <alignment horizontal="center" vertical="center" wrapText="1"/>
    </xf>
    <xf numFmtId="0" fontId="13" fillId="2" borderId="13" xfId="0" applyFont="1" applyFill="1" applyBorder="1" applyAlignment="1">
      <alignment horizontal="center"/>
    </xf>
    <xf numFmtId="0" fontId="13" fillId="2" borderId="33" xfId="0" applyFont="1" applyFill="1" applyBorder="1" applyAlignment="1">
      <alignment horizontal="center" vertical="center"/>
    </xf>
    <xf numFmtId="0" fontId="13" fillId="2" borderId="34" xfId="0" applyFont="1" applyFill="1" applyBorder="1" applyAlignment="1">
      <alignment horizontal="center" vertical="center"/>
    </xf>
    <xf numFmtId="0" fontId="13" fillId="2" borderId="42" xfId="0" applyFont="1" applyFill="1" applyBorder="1" applyAlignment="1">
      <alignment horizontal="center"/>
    </xf>
    <xf numFmtId="0" fontId="13" fillId="2" borderId="43" xfId="0" applyFont="1" applyFill="1" applyBorder="1" applyAlignment="1">
      <alignment horizontal="center"/>
    </xf>
    <xf numFmtId="0" fontId="13" fillId="2" borderId="44" xfId="0" applyFont="1" applyFill="1" applyBorder="1" applyAlignment="1">
      <alignment horizontal="center"/>
    </xf>
    <xf numFmtId="0" fontId="13" fillId="2" borderId="33" xfId="0" applyFont="1" applyFill="1" applyBorder="1" applyAlignment="1">
      <alignment horizontal="center" wrapText="1"/>
    </xf>
    <xf numFmtId="0" fontId="13" fillId="2" borderId="13" xfId="0" applyFont="1" applyFill="1" applyBorder="1" applyAlignment="1">
      <alignment horizontal="center" wrapText="1"/>
    </xf>
    <xf numFmtId="0" fontId="13" fillId="2" borderId="32" xfId="0" applyFont="1" applyFill="1" applyBorder="1" applyAlignment="1">
      <alignment horizontal="center" wrapText="1"/>
    </xf>
    <xf numFmtId="0" fontId="13" fillId="2" borderId="11"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2" xfId="0" applyFont="1" applyFill="1" applyBorder="1" applyAlignment="1">
      <alignment horizontal="center" vertical="center"/>
    </xf>
  </cellXfs>
  <cellStyles count="92">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6" xfId="10" builtinId="50" customBuiltin="1"/>
    <cellStyle name="40% - Accent1" xfId="11" builtinId="31" customBuiltin="1"/>
    <cellStyle name="40% - Accent2" xfId="12" builtinId="35" customBuiltin="1"/>
    <cellStyle name="40% - Accent3" xfId="13" builtinId="39" customBuiltin="1"/>
    <cellStyle name="40% - Accent3 2" xfId="14"/>
    <cellStyle name="40% - Accent4" xfId="15" builtinId="43" customBuiltin="1"/>
    <cellStyle name="40% - Accent5" xfId="16" builtinId="47" customBuiltin="1"/>
    <cellStyle name="40% - Accent6" xfId="17" builtinId="51" customBuiltin="1"/>
    <cellStyle name="60% - Accent1" xfId="18" builtinId="32" customBuiltin="1"/>
    <cellStyle name="60% - Accent2" xfId="19" builtinId="36" customBuiltin="1"/>
    <cellStyle name="60% - Accent3" xfId="20" builtinId="40" customBuiltin="1"/>
    <cellStyle name="60% - Accent3 2" xfId="21"/>
    <cellStyle name="60% - Accent4" xfId="22" builtinId="44" customBuiltin="1"/>
    <cellStyle name="60% - Accent4 2" xfId="23"/>
    <cellStyle name="60% - Accent5" xfId="24" builtinId="48" customBuiltin="1"/>
    <cellStyle name="60% - Accent6" xfId="25" builtinId="52" customBuiltin="1"/>
    <cellStyle name="60% - Accent6 2" xfId="26"/>
    <cellStyle name="Accent1" xfId="27" builtinId="29" customBuiltin="1"/>
    <cellStyle name="Accent2" xfId="28" builtinId="33" customBuiltin="1"/>
    <cellStyle name="Accent3" xfId="29" builtinId="37" customBuiltin="1"/>
    <cellStyle name="Accent4" xfId="30" builtinId="41" customBuiltin="1"/>
    <cellStyle name="Accent5" xfId="31" builtinId="45" customBuiltin="1"/>
    <cellStyle name="Accent6" xfId="32" builtinId="49" customBuiltin="1"/>
    <cellStyle name="Bad" xfId="33" builtinId="27" customBuiltin="1"/>
    <cellStyle name="Calculation" xfId="34" builtinId="22" customBuiltin="1"/>
    <cellStyle name="Check Cell" xfId="35" builtinId="23" customBuiltin="1"/>
    <cellStyle name="Comma" xfId="36" builtinId="3"/>
    <cellStyle name="Comma 2" xfId="37"/>
    <cellStyle name="Comma 2 2" xfId="38"/>
    <cellStyle name="Comma 2 3" xfId="39"/>
    <cellStyle name="Comma 2 4" xfId="40"/>
    <cellStyle name="Comma 3" xfId="41"/>
    <cellStyle name="Comma 3 2" xfId="42"/>
    <cellStyle name="Comma 3 3" xfId="43"/>
    <cellStyle name="Comma 4" xfId="44"/>
    <cellStyle name="Comma 5" xfId="45"/>
    <cellStyle name="Comma 6" xfId="46"/>
    <cellStyle name="Currency" xfId="47" builtinId="4"/>
    <cellStyle name="Currency 2" xfId="48"/>
    <cellStyle name="Currency 3" xfId="49"/>
    <cellStyle name="Currency 3 2" xfId="50"/>
    <cellStyle name="Currency 3 3" xfId="51"/>
    <cellStyle name="Currency 3 4" xfId="52"/>
    <cellStyle name="Currency 4" xfId="53"/>
    <cellStyle name="Currency 4 2" xfId="54"/>
    <cellStyle name="Currency 4 3" xfId="55"/>
    <cellStyle name="Currency 5" xfId="56"/>
    <cellStyle name="Currency 6" xfId="57"/>
    <cellStyle name="Currency 7" xfId="58"/>
    <cellStyle name="Explanatory Text" xfId="59" builtinId="53" customBuiltin="1"/>
    <cellStyle name="Good" xfId="60" builtinId="26" customBuiltin="1"/>
    <cellStyle name="Heading 1" xfId="61" builtinId="16" customBuiltin="1"/>
    <cellStyle name="Heading 2" xfId="62" builtinId="17" customBuiltin="1"/>
    <cellStyle name="Heading 3" xfId="63" builtinId="18" customBuiltin="1"/>
    <cellStyle name="Heading 4" xfId="64" builtinId="19" customBuiltin="1"/>
    <cellStyle name="Input" xfId="65" builtinId="20" customBuiltin="1"/>
    <cellStyle name="Linked Cell" xfId="66" builtinId="24" customBuiltin="1"/>
    <cellStyle name="Neutral" xfId="67" builtinId="28" customBuiltin="1"/>
    <cellStyle name="Normal" xfId="0" builtinId="0"/>
    <cellStyle name="Normal 2" xfId="68"/>
    <cellStyle name="Normal 2 2" xfId="69"/>
    <cellStyle name="Normal 3" xfId="70"/>
    <cellStyle name="Normal 3 2" xfId="71"/>
    <cellStyle name="Normal 3 3" xfId="72"/>
    <cellStyle name="Normal 6" xfId="73"/>
    <cellStyle name="Normal_qryTotalLightsByCapitalCode" xfId="74"/>
    <cellStyle name="Normal_Sheet1" xfId="75"/>
    <cellStyle name="Note 2" xfId="76"/>
    <cellStyle name="Output" xfId="77" builtinId="21" customBuiltin="1"/>
    <cellStyle name="Percent" xfId="78" builtinId="5"/>
    <cellStyle name="Percent 2" xfId="79"/>
    <cellStyle name="Percent 2 2" xfId="80"/>
    <cellStyle name="Percent 2 3" xfId="81"/>
    <cellStyle name="Percent 2 4" xfId="82"/>
    <cellStyle name="Percent 3" xfId="83"/>
    <cellStyle name="Percent 3 2" xfId="84"/>
    <cellStyle name="Percent 3 3" xfId="85"/>
    <cellStyle name="Percent 4" xfId="86"/>
    <cellStyle name="Percent 5" xfId="87"/>
    <cellStyle name="Percent 6" xfId="88"/>
    <cellStyle name="Title" xfId="89" builtinId="15" customBuiltin="1"/>
    <cellStyle name="Total" xfId="90" builtinId="25" customBuiltin="1"/>
    <cellStyle name="Warning Text" xfId="9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949073781507647"/>
          <c:y val="3.178477690288714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4522312060167492"/>
          <c:y val="0.16381437649752695"/>
          <c:w val="0.56369470579865533"/>
          <c:h val="0.65525750599010779"/>
        </c:manualLayout>
      </c:layout>
      <c:barChart>
        <c:barDir val="col"/>
        <c:grouping val="clustered"/>
        <c:varyColors val="0"/>
        <c:ser>
          <c:idx val="0"/>
          <c:order val="0"/>
          <c:tx>
            <c:strRef>
              <c:f>'Public Lighting Charges'!$K$15</c:f>
              <c:strCache>
                <c:ptCount val="1"/>
                <c:pt idx="0">
                  <c:v>Total Inflation and Labour escalator per year</c:v>
                </c:pt>
              </c:strCache>
            </c:strRef>
          </c:tx>
          <c:spPr>
            <a:solidFill>
              <a:srgbClr val="9999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trendline>
            <c:spPr>
              <a:ln w="25400">
                <a:solidFill>
                  <a:srgbClr val="000000"/>
                </a:solidFill>
                <a:prstDash val="solid"/>
              </a:ln>
            </c:spPr>
            <c:trendlineType val="power"/>
            <c:dispRSqr val="0"/>
            <c:dispEq val="0"/>
          </c:trendline>
          <c:cat>
            <c:strRef>
              <c:f>'Public Lighting Charges'!$L$9:$R$9</c:f>
              <c:strCache>
                <c:ptCount val="7"/>
                <c:pt idx="0">
                  <c:v>2008-09</c:v>
                </c:pt>
                <c:pt idx="1">
                  <c:v>2009-10</c:v>
                </c:pt>
                <c:pt idx="2">
                  <c:v>2010-11</c:v>
                </c:pt>
                <c:pt idx="3">
                  <c:v>2011-12</c:v>
                </c:pt>
                <c:pt idx="4">
                  <c:v>2012-13</c:v>
                </c:pt>
                <c:pt idx="5">
                  <c:v>2013-14</c:v>
                </c:pt>
                <c:pt idx="6">
                  <c:v>2014-15</c:v>
                </c:pt>
              </c:strCache>
            </c:strRef>
          </c:cat>
          <c:val>
            <c:numRef>
              <c:f>'Public Lighting Charges'!$L$15:$R$15</c:f>
              <c:numCache>
                <c:formatCode>0.00%</c:formatCode>
                <c:ptCount val="7"/>
                <c:pt idx="0">
                  <c:v>4.3499999999999997E-2</c:v>
                </c:pt>
                <c:pt idx="1">
                  <c:v>5.015E-2</c:v>
                </c:pt>
                <c:pt idx="2">
                  <c:v>6.0749999999999998E-2</c:v>
                </c:pt>
                <c:pt idx="3">
                  <c:v>5.2500000000000005E-2</c:v>
                </c:pt>
                <c:pt idx="4">
                  <c:v>5.0900000000000001E-2</c:v>
                </c:pt>
                <c:pt idx="5">
                  <c:v>2.3600000000000003E-2</c:v>
                </c:pt>
                <c:pt idx="6">
                  <c:v>1.0933889962913246E-2</c:v>
                </c:pt>
              </c:numCache>
            </c:numRef>
          </c:val>
        </c:ser>
        <c:dLbls>
          <c:showLegendKey val="0"/>
          <c:showVal val="0"/>
          <c:showCatName val="0"/>
          <c:showSerName val="0"/>
          <c:showPercent val="0"/>
          <c:showBubbleSize val="0"/>
        </c:dLbls>
        <c:gapWidth val="150"/>
        <c:axId val="324019328"/>
        <c:axId val="324020864"/>
      </c:barChart>
      <c:catAx>
        <c:axId val="324019328"/>
        <c:scaling>
          <c:orientation val="minMax"/>
        </c:scaling>
        <c:delete val="0"/>
        <c:axPos val="b"/>
        <c:majorGridlines>
          <c:spPr>
            <a:ln w="3175">
              <a:solidFill>
                <a:srgbClr val="000000"/>
              </a:solidFill>
              <a:prstDash val="solid"/>
            </a:ln>
          </c:spPr>
        </c:majorGridlines>
        <c:numFmt formatCode="d\-mmm"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4020864"/>
        <c:crosses val="autoZero"/>
        <c:auto val="1"/>
        <c:lblAlgn val="ctr"/>
        <c:lblOffset val="100"/>
        <c:tickLblSkip val="1"/>
        <c:tickMarkSkip val="1"/>
        <c:noMultiLvlLbl val="0"/>
      </c:catAx>
      <c:valAx>
        <c:axId val="32402086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4019328"/>
        <c:crosses val="autoZero"/>
        <c:crossBetween val="between"/>
      </c:valAx>
      <c:spPr>
        <a:solidFill>
          <a:srgbClr val="C0C0C0"/>
        </a:solidFill>
        <a:ln w="12700">
          <a:solidFill>
            <a:srgbClr val="808080"/>
          </a:solidFill>
          <a:prstDash val="solid"/>
        </a:ln>
      </c:spPr>
    </c:plotArea>
    <c:legend>
      <c:legendPos val="r"/>
      <c:layout>
        <c:manualLayout>
          <c:xMode val="edge"/>
          <c:yMode val="edge"/>
          <c:x val="0.82006445823485541"/>
          <c:y val="0.11980464941882264"/>
          <c:w val="0.17197457059440602"/>
          <c:h val="0.7457221597300337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9525</xdr:rowOff>
    </xdr:from>
    <xdr:to>
      <xdr:col>4</xdr:col>
      <xdr:colOff>219075</xdr:colOff>
      <xdr:row>3</xdr:row>
      <xdr:rowOff>85725</xdr:rowOff>
    </xdr:to>
    <xdr:pic>
      <xdr:nvPicPr>
        <xdr:cNvPr id="1333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952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609600</xdr:colOff>
      <xdr:row>0</xdr:row>
      <xdr:rowOff>38100</xdr:rowOff>
    </xdr:from>
    <xdr:to>
      <xdr:col>4</xdr:col>
      <xdr:colOff>9525</xdr:colOff>
      <xdr:row>4</xdr:row>
      <xdr:rowOff>28575</xdr:rowOff>
    </xdr:to>
    <xdr:pic>
      <xdr:nvPicPr>
        <xdr:cNvPr id="1231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0" y="38100"/>
          <a:ext cx="18859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2647950</xdr:colOff>
      <xdr:row>0</xdr:row>
      <xdr:rowOff>28575</xdr:rowOff>
    </xdr:from>
    <xdr:to>
      <xdr:col>7</xdr:col>
      <xdr:colOff>9525</xdr:colOff>
      <xdr:row>3</xdr:row>
      <xdr:rowOff>104775</xdr:rowOff>
    </xdr:to>
    <xdr:pic>
      <xdr:nvPicPr>
        <xdr:cNvPr id="1129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638175</xdr:colOff>
      <xdr:row>0</xdr:row>
      <xdr:rowOff>28575</xdr:rowOff>
    </xdr:from>
    <xdr:to>
      <xdr:col>7</xdr:col>
      <xdr:colOff>685800</xdr:colOff>
      <xdr:row>3</xdr:row>
      <xdr:rowOff>104775</xdr:rowOff>
    </xdr:to>
    <xdr:pic>
      <xdr:nvPicPr>
        <xdr:cNvPr id="821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857250</xdr:colOff>
      <xdr:row>0</xdr:row>
      <xdr:rowOff>19050</xdr:rowOff>
    </xdr:from>
    <xdr:to>
      <xdr:col>9</xdr:col>
      <xdr:colOff>1133475</xdr:colOff>
      <xdr:row>2</xdr:row>
      <xdr:rowOff>123825</xdr:rowOff>
    </xdr:to>
    <xdr:pic>
      <xdr:nvPicPr>
        <xdr:cNvPr id="3179" name="Picture 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67550" y="19050"/>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1685925</xdr:colOff>
      <xdr:row>0</xdr:row>
      <xdr:rowOff>28575</xdr:rowOff>
    </xdr:from>
    <xdr:to>
      <xdr:col>6</xdr:col>
      <xdr:colOff>600075</xdr:colOff>
      <xdr:row>3</xdr:row>
      <xdr:rowOff>104775</xdr:rowOff>
    </xdr:to>
    <xdr:pic>
      <xdr:nvPicPr>
        <xdr:cNvPr id="208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885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1295400</xdr:colOff>
      <xdr:row>0</xdr:row>
      <xdr:rowOff>28575</xdr:rowOff>
    </xdr:from>
    <xdr:to>
      <xdr:col>4</xdr:col>
      <xdr:colOff>9525</xdr:colOff>
      <xdr:row>3</xdr:row>
      <xdr:rowOff>104775</xdr:rowOff>
    </xdr:to>
    <xdr:pic>
      <xdr:nvPicPr>
        <xdr:cNvPr id="924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247650</xdr:colOff>
      <xdr:row>0</xdr:row>
      <xdr:rowOff>19050</xdr:rowOff>
    </xdr:from>
    <xdr:to>
      <xdr:col>7</xdr:col>
      <xdr:colOff>9525</xdr:colOff>
      <xdr:row>3</xdr:row>
      <xdr:rowOff>85725</xdr:rowOff>
    </xdr:to>
    <xdr:pic>
      <xdr:nvPicPr>
        <xdr:cNvPr id="1026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19050"/>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390525</xdr:colOff>
      <xdr:row>5</xdr:row>
      <xdr:rowOff>114300</xdr:rowOff>
    </xdr:from>
    <xdr:to>
      <xdr:col>26</xdr:col>
      <xdr:colOff>266700</xdr:colOff>
      <xdr:row>14</xdr:row>
      <xdr:rowOff>466725</xdr:rowOff>
    </xdr:to>
    <xdr:graphicFrame macro="">
      <xdr:nvGraphicFramePr>
        <xdr:cNvPr id="1156"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0</xdr:row>
      <xdr:rowOff>19050</xdr:rowOff>
    </xdr:from>
    <xdr:to>
      <xdr:col>7</xdr:col>
      <xdr:colOff>0</xdr:colOff>
      <xdr:row>3</xdr:row>
      <xdr:rowOff>95250</xdr:rowOff>
    </xdr:to>
    <xdr:pic>
      <xdr:nvPicPr>
        <xdr:cNvPr id="1157" name="Picture 7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3775" y="19050"/>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teams.ce.countryenergy.com.au/sites/AER/Revised%20Prop/Attachments%20Schedule%20and%20Documents/Attachment%209.2%20Public%20lighting%20models/Rates%20and%20Escalators%20for%20Streetlighting%20201405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etworks\Streetlighting\Administration\Street%20Light%20Projects\AER\4%20-%20Revised%20modelling%205%20March%202009\SLUOS%20Construction%20Charge%20Calculation%20Model%20v1.14%20-%20Annuit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teams.ce.countryenergy.com.au/sites/AER/Revised%20Prop/Attachments%20Schedule%20and%20Documents/Attachment%209.2%20Public%20lighting%20models/Streetlighting%20income%20estimate_2015-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ort-fs01\users$\Coy1-Fin\Reg_Affairs\2009%20Determination\Draft%20Decision\AER%20draft%20decision%20for%20CE%20-%20RF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fs01\users$\Coy1-Fin\Reg_Affairs\2009%20Determination\Revised%20submission%20160109\Cost%20Escalation%20Data_CEG%20revi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abrya\Local%20Settings\Temp\wz1a51\SLUOS%20Calculation%20Workbook%20v1.14%20-%20Annuit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etworks\Streetlighting\Administration\Street%20Light%20Projects\AER\4%20-%20Revised%20modelling%205%20March%202009\SLUOS%20Calculation%20Workbook%20v1.15%20-%20R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
          <cell r="F11">
            <v>38.26</v>
          </cell>
        </row>
        <row r="30">
          <cell r="E30">
            <v>7.088498265136875E-2</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ock"/>
      <sheetName val="Assembly"/>
      <sheetName val="Non WASP Assembly"/>
      <sheetName val="Pole Cost Model"/>
      <sheetName val="Design Model"/>
      <sheetName val="Traffic Control"/>
      <sheetName val="Labour &amp; Plant"/>
      <sheetName val="Assembled Costs"/>
      <sheetName val="SLUOS Capital Charge"/>
      <sheetName val="SLUOS Construction Charge Calcu"/>
    </sheetNames>
    <definedNames>
      <definedName name="age_of_network" refersTo="='SLUOS Capital Charge'!$B$8"/>
    </definedNames>
    <sheetDataSet>
      <sheetData sheetId="0"/>
      <sheetData sheetId="1"/>
      <sheetData sheetId="2"/>
      <sheetData sheetId="3"/>
      <sheetData sheetId="4"/>
      <sheetData sheetId="5"/>
      <sheetData sheetId="6"/>
      <sheetData sheetId="7"/>
      <sheetData sheetId="8"/>
      <sheetData sheetId="9" refreshError="1">
        <row r="8">
          <cell r="B8">
            <v>10</v>
          </cell>
        </row>
        <row r="14">
          <cell r="D14">
            <v>1</v>
          </cell>
        </row>
        <row r="15">
          <cell r="D15">
            <v>5</v>
          </cell>
          <cell r="E15" t="str">
            <v>COMPMV80W</v>
          </cell>
        </row>
        <row r="16">
          <cell r="D16">
            <v>10</v>
          </cell>
          <cell r="E16" t="str">
            <v>COMPMV80W</v>
          </cell>
          <cell r="F16">
            <v>527.52153271999998</v>
          </cell>
        </row>
        <row r="17">
          <cell r="D17">
            <v>20</v>
          </cell>
          <cell r="E17" t="str">
            <v>REPMV250WHPS150W</v>
          </cell>
          <cell r="F17">
            <v>993.61161271999981</v>
          </cell>
        </row>
        <row r="18">
          <cell r="D18">
            <v>30</v>
          </cell>
          <cell r="E18" t="str">
            <v>REPMV400WHPS250W</v>
          </cell>
          <cell r="F18">
            <v>997.93650231999982</v>
          </cell>
        </row>
        <row r="19">
          <cell r="D19">
            <v>40</v>
          </cell>
          <cell r="E19" t="str">
            <v>COMPHPS70W</v>
          </cell>
          <cell r="F19">
            <v>565.07913271999996</v>
          </cell>
        </row>
        <row r="20">
          <cell r="D20">
            <v>50</v>
          </cell>
          <cell r="E20" t="str">
            <v>COMPHPS150W</v>
          </cell>
          <cell r="F20">
            <v>978.60489271999984</v>
          </cell>
        </row>
        <row r="21">
          <cell r="D21">
            <v>60</v>
          </cell>
          <cell r="E21" t="str">
            <v>COMPHPS250W</v>
          </cell>
          <cell r="F21">
            <v>982.52848311999992</v>
          </cell>
        </row>
        <row r="22">
          <cell r="D22">
            <v>70</v>
          </cell>
          <cell r="E22" t="str">
            <v>7206.05.21</v>
          </cell>
          <cell r="F22">
            <v>1093.9916447199998</v>
          </cell>
        </row>
        <row r="23">
          <cell r="D23">
            <v>80</v>
          </cell>
          <cell r="E23" t="str">
            <v>7107.09.30</v>
          </cell>
          <cell r="F23">
            <v>598.07627522000007</v>
          </cell>
        </row>
        <row r="24">
          <cell r="D24">
            <v>90</v>
          </cell>
          <cell r="E24" t="str">
            <v>7107.09.30</v>
          </cell>
          <cell r="F24">
            <v>598.07627522000007</v>
          </cell>
        </row>
        <row r="25">
          <cell r="D25">
            <v>100</v>
          </cell>
          <cell r="E25" t="str">
            <v>7206.05.3</v>
          </cell>
          <cell r="F25">
            <v>562.87433271999998</v>
          </cell>
        </row>
        <row r="26">
          <cell r="D26">
            <v>110</v>
          </cell>
          <cell r="E26" t="str">
            <v>BULKHEAD</v>
          </cell>
          <cell r="F26">
            <v>250.425946616</v>
          </cell>
        </row>
        <row r="27">
          <cell r="D27">
            <v>120</v>
          </cell>
          <cell r="E27" t="str">
            <v>7107.09.50</v>
          </cell>
          <cell r="F27">
            <v>1845.18472122</v>
          </cell>
        </row>
        <row r="28">
          <cell r="D28">
            <v>130</v>
          </cell>
          <cell r="E28" t="str">
            <v>7107.09.30</v>
          </cell>
          <cell r="F28">
            <v>1634.5029204125976</v>
          </cell>
        </row>
        <row r="29">
          <cell r="D29">
            <v>140</v>
          </cell>
          <cell r="E29" t="str">
            <v>7107.09.30</v>
          </cell>
          <cell r="F29">
            <v>1634.5029204125976</v>
          </cell>
        </row>
        <row r="30">
          <cell r="D30">
            <v>150</v>
          </cell>
          <cell r="E30" t="str">
            <v>7206.05.3</v>
          </cell>
          <cell r="F30">
            <v>1599.3009779125975</v>
          </cell>
        </row>
        <row r="31">
          <cell r="D31">
            <v>170</v>
          </cell>
          <cell r="E31" t="str">
            <v>7107.09.30</v>
          </cell>
          <cell r="F31">
            <v>2707.5058821247544</v>
          </cell>
        </row>
        <row r="32">
          <cell r="D32">
            <v>170</v>
          </cell>
          <cell r="E32" t="str">
            <v>7107.09.30</v>
          </cell>
          <cell r="F32">
            <v>2707.5058821247544</v>
          </cell>
        </row>
        <row r="33">
          <cell r="D33">
            <v>180</v>
          </cell>
          <cell r="E33" t="str">
            <v>7206.05.3</v>
          </cell>
          <cell r="F33">
            <v>2672.3039396247545</v>
          </cell>
        </row>
        <row r="34">
          <cell r="D34">
            <v>190</v>
          </cell>
          <cell r="E34" t="str">
            <v>HPS600HM</v>
          </cell>
          <cell r="F34">
            <v>4217.7541464159995</v>
          </cell>
        </row>
        <row r="35">
          <cell r="D35">
            <v>200</v>
          </cell>
          <cell r="E35" t="str">
            <v>REPMV250WHPS150W</v>
          </cell>
          <cell r="F35">
            <v>2030.0382579125974</v>
          </cell>
        </row>
        <row r="36">
          <cell r="D36">
            <v>210</v>
          </cell>
          <cell r="E36" t="str">
            <v>REPMV400WHPS250W</v>
          </cell>
          <cell r="F36">
            <v>2034.3631475125974</v>
          </cell>
        </row>
        <row r="37">
          <cell r="D37">
            <v>220</v>
          </cell>
          <cell r="E37" t="str">
            <v>COMPHPS150W</v>
          </cell>
          <cell r="F37">
            <v>2015.0315379125973</v>
          </cell>
        </row>
        <row r="38">
          <cell r="D38">
            <v>230</v>
          </cell>
          <cell r="E38" t="str">
            <v>COMPHPS250W</v>
          </cell>
          <cell r="F38">
            <v>2018.9551283125975</v>
          </cell>
        </row>
        <row r="39">
          <cell r="D39">
            <v>240</v>
          </cell>
          <cell r="E39" t="str">
            <v>7206.05.21</v>
          </cell>
          <cell r="F39">
            <v>2130.4182899125972</v>
          </cell>
        </row>
        <row r="40">
          <cell r="D40">
            <v>250</v>
          </cell>
          <cell r="E40" t="str">
            <v>HPS600HM</v>
          </cell>
          <cell r="F40">
            <v>5254.1807916085972</v>
          </cell>
        </row>
        <row r="41">
          <cell r="D41">
            <v>260</v>
          </cell>
          <cell r="E41" t="str">
            <v>7206.05.26</v>
          </cell>
          <cell r="F41">
            <v>5503.9736603866186</v>
          </cell>
        </row>
        <row r="42">
          <cell r="D42">
            <v>270</v>
          </cell>
          <cell r="E42" t="str">
            <v>7206.05.26</v>
          </cell>
          <cell r="F42">
            <v>6122.1980569466186</v>
          </cell>
        </row>
        <row r="43">
          <cell r="D43">
            <v>280</v>
          </cell>
          <cell r="E43" t="str">
            <v>7206.05.26</v>
          </cell>
          <cell r="F43">
            <v>6740.4224535066187</v>
          </cell>
        </row>
        <row r="44">
          <cell r="D44">
            <v>290</v>
          </cell>
          <cell r="E44" t="str">
            <v>REPMV250WHPS150W</v>
          </cell>
          <cell r="F44">
            <v>2833.5715236247543</v>
          </cell>
        </row>
        <row r="45">
          <cell r="D45">
            <v>300</v>
          </cell>
          <cell r="E45" t="str">
            <v>REPMV400WHPS250W</v>
          </cell>
          <cell r="F45">
            <v>2837.8964132247543</v>
          </cell>
        </row>
        <row r="46">
          <cell r="D46">
            <v>310</v>
          </cell>
          <cell r="E46" t="str">
            <v>COMPHPS150W</v>
          </cell>
          <cell r="F46">
            <v>2818.5648036247544</v>
          </cell>
        </row>
        <row r="47">
          <cell r="D47">
            <v>320</v>
          </cell>
          <cell r="E47" t="str">
            <v>COMPHPS250W</v>
          </cell>
          <cell r="F47">
            <v>2822.4883940247546</v>
          </cell>
        </row>
        <row r="48">
          <cell r="D48">
            <v>330</v>
          </cell>
          <cell r="E48" t="str">
            <v>7206.05.21</v>
          </cell>
          <cell r="F48">
            <v>2933.9515556247543</v>
          </cell>
        </row>
        <row r="49">
          <cell r="D49">
            <v>340</v>
          </cell>
          <cell r="E49" t="str">
            <v>HPS600HM</v>
          </cell>
          <cell r="F49">
            <v>6057.7140573207544</v>
          </cell>
        </row>
        <row r="50">
          <cell r="D50">
            <v>350</v>
          </cell>
          <cell r="E50" t="str">
            <v>COMPHPS70W</v>
          </cell>
          <cell r="F50">
            <v>1601.5057779125975</v>
          </cell>
        </row>
        <row r="51">
          <cell r="D51">
            <v>360</v>
          </cell>
          <cell r="E51" t="str">
            <v>COMPHPS70W</v>
          </cell>
          <cell r="F51">
            <v>2674.5087396247545</v>
          </cell>
        </row>
        <row r="52">
          <cell r="D52">
            <v>370</v>
          </cell>
          <cell r="E52" t="str">
            <v>REPMV250WHPS150W</v>
          </cell>
          <cell r="F52">
            <v>3233.9470881847546</v>
          </cell>
        </row>
        <row r="53">
          <cell r="D53">
            <v>380</v>
          </cell>
          <cell r="E53" t="str">
            <v>REPMV400WHPS250W</v>
          </cell>
          <cell r="F53">
            <v>3242.5968673847547</v>
          </cell>
        </row>
        <row r="54">
          <cell r="D54">
            <v>390</v>
          </cell>
          <cell r="E54" t="str">
            <v>COMPHPS250W</v>
          </cell>
          <cell r="F54">
            <v>3211.7808289847544</v>
          </cell>
        </row>
        <row r="55">
          <cell r="D55">
            <v>400</v>
          </cell>
          <cell r="E55" t="str">
            <v>7206.05.21</v>
          </cell>
          <cell r="F55">
            <v>3434.7071521847547</v>
          </cell>
        </row>
        <row r="56">
          <cell r="D56">
            <v>410</v>
          </cell>
          <cell r="E56" t="str">
            <v>REPMV250WHPS150W</v>
          </cell>
          <cell r="F56">
            <v>3634.3226527447541</v>
          </cell>
        </row>
        <row r="57">
          <cell r="D57">
            <v>420</v>
          </cell>
          <cell r="E57" t="str">
            <v>REPMV400WHPS250W</v>
          </cell>
          <cell r="F57">
            <v>3647.2973215447546</v>
          </cell>
        </row>
        <row r="58">
          <cell r="D58">
            <v>430</v>
          </cell>
          <cell r="E58" t="str">
            <v>COMPHPS250W</v>
          </cell>
          <cell r="F58">
            <v>3601.0732639447542</v>
          </cell>
        </row>
        <row r="59">
          <cell r="D59">
            <v>440</v>
          </cell>
          <cell r="E59" t="str">
            <v>7206.05.21</v>
          </cell>
          <cell r="F59">
            <v>3935.4627487447542</v>
          </cell>
        </row>
        <row r="60">
          <cell r="D60">
            <v>450</v>
          </cell>
          <cell r="E60" t="str">
            <v>REPMV250WHPS150W</v>
          </cell>
          <cell r="F60">
            <v>4034.6982173047545</v>
          </cell>
        </row>
        <row r="61">
          <cell r="D61">
            <v>460</v>
          </cell>
          <cell r="E61" t="str">
            <v>REPMV400WHPS250W</v>
          </cell>
          <cell r="F61">
            <v>4051.9977757047545</v>
          </cell>
        </row>
        <row r="62">
          <cell r="D62">
            <v>470</v>
          </cell>
          <cell r="E62" t="str">
            <v>COMPHPS250W</v>
          </cell>
          <cell r="F62">
            <v>3990.3656989047545</v>
          </cell>
        </row>
        <row r="63">
          <cell r="D63">
            <v>480</v>
          </cell>
          <cell r="E63" t="str">
            <v>7206.05.21</v>
          </cell>
          <cell r="F63">
            <v>4436.2183453047546</v>
          </cell>
        </row>
        <row r="64">
          <cell r="D64">
            <v>490</v>
          </cell>
          <cell r="E64" t="str">
            <v>REPMV250WHPS150W</v>
          </cell>
          <cell r="F64">
            <v>5068.2759963866183</v>
          </cell>
        </row>
        <row r="65">
          <cell r="D65">
            <v>500</v>
          </cell>
          <cell r="E65" t="str">
            <v>REPMV400WHPS250W</v>
          </cell>
          <cell r="F65">
            <v>5076.9257755866183</v>
          </cell>
        </row>
        <row r="66">
          <cell r="D66">
            <v>510</v>
          </cell>
          <cell r="E66" t="str">
            <v>COMPHPS250W</v>
          </cell>
          <cell r="F66">
            <v>5046.109737186619</v>
          </cell>
        </row>
        <row r="67">
          <cell r="D67">
            <v>520</v>
          </cell>
          <cell r="E67" t="str">
            <v>7206.05.21</v>
          </cell>
          <cell r="F67">
            <v>5269.0360603866184</v>
          </cell>
        </row>
        <row r="68">
          <cell r="D68">
            <v>530</v>
          </cell>
          <cell r="E68" t="str">
            <v>REPMV250WHPS150W</v>
          </cell>
          <cell r="F68">
            <v>5468.6515609466187</v>
          </cell>
        </row>
        <row r="69">
          <cell r="D69">
            <v>540</v>
          </cell>
          <cell r="E69" t="str">
            <v>REPMV400WHPS250W</v>
          </cell>
          <cell r="F69">
            <v>5481.6262297466183</v>
          </cell>
        </row>
        <row r="70">
          <cell r="D70">
            <v>550</v>
          </cell>
          <cell r="E70" t="str">
            <v>COMPHPS250W</v>
          </cell>
          <cell r="F70">
            <v>5435.4021721466188</v>
          </cell>
        </row>
        <row r="71">
          <cell r="D71">
            <v>560</v>
          </cell>
          <cell r="E71" t="str">
            <v>7206.05.21</v>
          </cell>
          <cell r="F71">
            <v>5769.7916569466188</v>
          </cell>
        </row>
        <row r="72">
          <cell r="D72">
            <v>570</v>
          </cell>
          <cell r="E72" t="str">
            <v>REPMV250WHPS150W</v>
          </cell>
          <cell r="F72">
            <v>5869.0271255066182</v>
          </cell>
        </row>
        <row r="73">
          <cell r="D73">
            <v>580</v>
          </cell>
          <cell r="E73" t="str">
            <v>REPMV400WHPS250W</v>
          </cell>
          <cell r="F73">
            <v>5886.3266839066182</v>
          </cell>
        </row>
        <row r="74">
          <cell r="D74">
            <v>590</v>
          </cell>
          <cell r="E74" t="str">
            <v>COMPHPS250W</v>
          </cell>
          <cell r="F74">
            <v>5824.6946071066186</v>
          </cell>
        </row>
        <row r="75">
          <cell r="D75">
            <v>600</v>
          </cell>
          <cell r="E75" t="str">
            <v>7206.05.21</v>
          </cell>
          <cell r="F75">
            <v>6270.5472535066183</v>
          </cell>
        </row>
        <row r="76">
          <cell r="D76">
            <v>610</v>
          </cell>
          <cell r="E76" t="str">
            <v>7206.05.18</v>
          </cell>
          <cell r="F76">
            <v>1137.7567647199999</v>
          </cell>
        </row>
        <row r="77">
          <cell r="D77">
            <v>620</v>
          </cell>
          <cell r="E77" t="str">
            <v>7206.05.28</v>
          </cell>
          <cell r="F77">
            <v>1053.36623672</v>
          </cell>
        </row>
        <row r="78">
          <cell r="D78">
            <v>630</v>
          </cell>
          <cell r="E78" t="str">
            <v>7206.05.18</v>
          </cell>
          <cell r="F78">
            <v>1137.7567647199999</v>
          </cell>
        </row>
        <row r="79">
          <cell r="D79">
            <v>640</v>
          </cell>
          <cell r="E79" t="str">
            <v>7206.05.28</v>
          </cell>
          <cell r="F79">
            <v>1053.36623672</v>
          </cell>
        </row>
        <row r="80">
          <cell r="D80">
            <v>650</v>
          </cell>
          <cell r="E80" t="str">
            <v>7206.05.26</v>
          </cell>
          <cell r="F80">
            <v>1829.68484128</v>
          </cell>
        </row>
        <row r="81">
          <cell r="D81">
            <v>660</v>
          </cell>
          <cell r="E81" t="str">
            <v>7206.05.28</v>
          </cell>
          <cell r="F81">
            <v>1513.49642528</v>
          </cell>
        </row>
        <row r="82">
          <cell r="D82">
            <v>670</v>
          </cell>
          <cell r="E82" t="str">
            <v>7206.05.18</v>
          </cell>
          <cell r="F82">
            <v>1682.2774812799998</v>
          </cell>
        </row>
        <row r="83">
          <cell r="D83">
            <v>680</v>
          </cell>
          <cell r="E83" t="str">
            <v>7206.05.28</v>
          </cell>
          <cell r="F83">
            <v>1513.49642528</v>
          </cell>
        </row>
        <row r="84">
          <cell r="D84">
            <v>690</v>
          </cell>
          <cell r="E84" t="str">
            <v>COMPHPS150W</v>
          </cell>
          <cell r="F84">
            <v>3203.9336481847545</v>
          </cell>
        </row>
        <row r="85">
          <cell r="D85">
            <v>700</v>
          </cell>
          <cell r="E85" t="str">
            <v>HPS600HM</v>
          </cell>
          <cell r="F85">
            <v>8878.6988898645977</v>
          </cell>
        </row>
        <row r="86">
          <cell r="D86">
            <v>710</v>
          </cell>
          <cell r="E86" t="str">
            <v>COMPHPS150W</v>
          </cell>
          <cell r="F86">
            <v>3589.3024927447541</v>
          </cell>
        </row>
        <row r="87">
          <cell r="D87">
            <v>720</v>
          </cell>
          <cell r="E87" t="str">
            <v>COMPHPS150W</v>
          </cell>
          <cell r="F87">
            <v>3974.6713373047542</v>
          </cell>
        </row>
        <row r="88">
          <cell r="D88">
            <v>730</v>
          </cell>
          <cell r="E88" t="str">
            <v>COMPHPS70W</v>
          </cell>
          <cell r="F88">
            <v>2915.8215201847547</v>
          </cell>
        </row>
        <row r="89">
          <cell r="D89">
            <v>740</v>
          </cell>
          <cell r="E89" t="str">
            <v>COMPMV80W</v>
          </cell>
          <cell r="F89">
            <v>731.27671327999997</v>
          </cell>
        </row>
        <row r="90">
          <cell r="D90">
            <v>750</v>
          </cell>
          <cell r="E90" t="str">
            <v>COMPHPS70W</v>
          </cell>
          <cell r="F90">
            <v>1047.7046938400001</v>
          </cell>
        </row>
        <row r="91">
          <cell r="D91">
            <v>760</v>
          </cell>
          <cell r="E91" t="str">
            <v>COMPHPS250W</v>
          </cell>
          <cell r="F91">
            <v>2408.2475632725973</v>
          </cell>
        </row>
        <row r="92">
          <cell r="D92">
            <v>770</v>
          </cell>
          <cell r="E92" t="str">
            <v>7206.05.21</v>
          </cell>
          <cell r="F92">
            <v>2631.1738864725976</v>
          </cell>
        </row>
        <row r="93">
          <cell r="D93">
            <v>780</v>
          </cell>
          <cell r="E93" t="str">
            <v>REPMV250WHPS150W</v>
          </cell>
          <cell r="F93">
            <v>2430.4138224725975</v>
          </cell>
        </row>
        <row r="94">
          <cell r="D94">
            <v>790</v>
          </cell>
          <cell r="E94" t="str">
            <v>REPMV400WHPS250W</v>
          </cell>
          <cell r="F94">
            <v>2439.0636016725975</v>
          </cell>
        </row>
        <row r="95">
          <cell r="D95">
            <v>800</v>
          </cell>
          <cell r="E95" t="str">
            <v>HPS600HM</v>
          </cell>
          <cell r="F95">
            <v>26014.633456802621</v>
          </cell>
        </row>
        <row r="96">
          <cell r="D96">
            <v>810</v>
          </cell>
          <cell r="E96" t="str">
            <v>COMPMV80W</v>
          </cell>
          <cell r="F96">
            <v>1563.9481779125977</v>
          </cell>
        </row>
        <row r="97">
          <cell r="D97">
            <v>820</v>
          </cell>
          <cell r="E97" t="str">
            <v>COMPMV80W</v>
          </cell>
          <cell r="F97">
            <v>935.03189384000007</v>
          </cell>
        </row>
        <row r="98">
          <cell r="D98">
            <v>830</v>
          </cell>
          <cell r="E98" t="str">
            <v>COMPMV80W</v>
          </cell>
          <cell r="F98">
            <v>1138.7870744000002</v>
          </cell>
        </row>
        <row r="99">
          <cell r="D99">
            <v>840</v>
          </cell>
          <cell r="E99" t="str">
            <v>7206.05.26</v>
          </cell>
          <cell r="F99">
            <v>6122.1980569466186</v>
          </cell>
        </row>
        <row r="100">
          <cell r="D100">
            <v>850</v>
          </cell>
          <cell r="E100" t="str">
            <v>7206.05.26</v>
          </cell>
          <cell r="F100">
            <v>5503.9736603866186</v>
          </cell>
        </row>
        <row r="101">
          <cell r="D101">
            <v>860</v>
          </cell>
          <cell r="E101" t="str">
            <v>7206.05.26</v>
          </cell>
          <cell r="F101">
            <v>6122.1980569466186</v>
          </cell>
        </row>
        <row r="102">
          <cell r="D102">
            <v>870</v>
          </cell>
          <cell r="E102" t="str">
            <v>7206.05.26</v>
          </cell>
          <cell r="F102">
            <v>6740.4224535066187</v>
          </cell>
        </row>
        <row r="103">
          <cell r="D103">
            <v>880</v>
          </cell>
          <cell r="E103" t="str">
            <v>COMPHPS70W</v>
          </cell>
          <cell r="F103">
            <v>3398.4470813047546</v>
          </cell>
        </row>
        <row r="104">
          <cell r="D104">
            <v>890</v>
          </cell>
          <cell r="E104" t="str">
            <v>COMPHPS70W</v>
          </cell>
          <cell r="F104">
            <v>806.39191328000004</v>
          </cell>
        </row>
        <row r="105">
          <cell r="D105">
            <v>900</v>
          </cell>
          <cell r="E105" t="str">
            <v>7206.05.26</v>
          </cell>
          <cell r="F105">
            <v>2866.1114864725978</v>
          </cell>
        </row>
        <row r="106">
          <cell r="D106">
            <v>910</v>
          </cell>
          <cell r="E106" t="str">
            <v>COMPHPS70W</v>
          </cell>
          <cell r="F106">
            <v>1842.8185584725975</v>
          </cell>
        </row>
        <row r="107">
          <cell r="D107">
            <v>920</v>
          </cell>
          <cell r="E107" t="str">
            <v>COMPHPS70W</v>
          </cell>
          <cell r="F107">
            <v>1289.0174744000001</v>
          </cell>
        </row>
        <row r="108">
          <cell r="D108">
            <v>930</v>
          </cell>
          <cell r="E108" t="str">
            <v>COMPHPS250W</v>
          </cell>
          <cell r="F108">
            <v>2797.5399982325971</v>
          </cell>
        </row>
        <row r="109">
          <cell r="D109">
            <v>940</v>
          </cell>
          <cell r="E109" t="str">
            <v>REPMV250WHPS150W</v>
          </cell>
          <cell r="F109">
            <v>1393.9871772799997</v>
          </cell>
        </row>
        <row r="110">
          <cell r="D110">
            <v>950</v>
          </cell>
          <cell r="E110" t="str">
            <v>REPMV400WHPS250W</v>
          </cell>
          <cell r="F110">
            <v>1402.6369564799998</v>
          </cell>
        </row>
        <row r="111">
          <cell r="D111">
            <v>960</v>
          </cell>
          <cell r="E111" t="str">
            <v>COMPHPS250W</v>
          </cell>
          <cell r="F111">
            <v>1371.82091808</v>
          </cell>
        </row>
        <row r="112">
          <cell r="D112">
            <v>970</v>
          </cell>
          <cell r="E112" t="str">
            <v>COMPHPS250W</v>
          </cell>
          <cell r="F112">
            <v>2150.405788</v>
          </cell>
        </row>
        <row r="113">
          <cell r="D113">
            <v>980</v>
          </cell>
          <cell r="E113" t="str">
            <v>COMPHPS150W</v>
          </cell>
          <cell r="F113">
            <v>2400.4003824725974</v>
          </cell>
        </row>
        <row r="114">
          <cell r="D114">
            <v>990</v>
          </cell>
          <cell r="E114" t="str">
            <v>COMPMV80W</v>
          </cell>
          <cell r="F114">
            <v>2636.9511396247544</v>
          </cell>
        </row>
        <row r="115">
          <cell r="D115">
            <v>1000</v>
          </cell>
          <cell r="E115" t="str">
            <v>COMPMV80W</v>
          </cell>
          <cell r="F115">
            <v>2840.7063201847545</v>
          </cell>
        </row>
        <row r="116">
          <cell r="D116">
            <v>1010</v>
          </cell>
          <cell r="E116" t="str">
            <v>COMPHPS150W</v>
          </cell>
          <cell r="F116">
            <v>1363.9737372799998</v>
          </cell>
        </row>
        <row r="117">
          <cell r="D117">
            <v>1020</v>
          </cell>
          <cell r="E117" t="str">
            <v>COMPHPS250W</v>
          </cell>
          <cell r="F117">
            <v>1761.1133530399998</v>
          </cell>
        </row>
        <row r="118">
          <cell r="D118">
            <v>1030</v>
          </cell>
          <cell r="E118" t="str">
            <v>7206.05.21</v>
          </cell>
          <cell r="F118">
            <v>1594.7472412799998</v>
          </cell>
        </row>
        <row r="119">
          <cell r="D119">
            <v>1040</v>
          </cell>
          <cell r="E119" t="str">
            <v>7206.05.26</v>
          </cell>
          <cell r="F119">
            <v>1829.68484128</v>
          </cell>
        </row>
        <row r="120">
          <cell r="D120">
            <v>1050</v>
          </cell>
          <cell r="E120" t="str">
            <v>7206.05.26</v>
          </cell>
          <cell r="F120">
            <v>6740.4224535066187</v>
          </cell>
        </row>
        <row r="121">
          <cell r="D121">
            <v>1060</v>
          </cell>
          <cell r="E121" t="str">
            <v>7206.05.21</v>
          </cell>
          <cell r="F121">
            <v>3632.6850795925975</v>
          </cell>
        </row>
        <row r="122">
          <cell r="D122">
            <v>1070</v>
          </cell>
          <cell r="E122" t="str">
            <v>7206.05.18</v>
          </cell>
          <cell r="F122">
            <v>2174.1834099125972</v>
          </cell>
        </row>
        <row r="123">
          <cell r="D123">
            <v>1080</v>
          </cell>
          <cell r="E123" t="str">
            <v>7206.05.26</v>
          </cell>
          <cell r="F123">
            <v>2247.8870899125977</v>
          </cell>
        </row>
        <row r="124">
          <cell r="D124">
            <v>1070</v>
          </cell>
          <cell r="E124" t="str">
            <v>7206.05.18</v>
          </cell>
          <cell r="F124">
            <v>2174.1834099125972</v>
          </cell>
        </row>
        <row r="125">
          <cell r="D125">
            <v>1100</v>
          </cell>
          <cell r="E125" t="str">
            <v>7206.05.26</v>
          </cell>
          <cell r="F125">
            <v>2247.8870899125977</v>
          </cell>
        </row>
        <row r="126">
          <cell r="D126">
            <v>1110</v>
          </cell>
          <cell r="E126" t="str">
            <v>7107.09.50</v>
          </cell>
          <cell r="F126">
            <v>2881.6113664125978</v>
          </cell>
        </row>
        <row r="127">
          <cell r="D127">
            <v>1120</v>
          </cell>
          <cell r="E127" t="str">
            <v>7206.05.18</v>
          </cell>
          <cell r="F127">
            <v>2977.7166756247543</v>
          </cell>
        </row>
        <row r="128">
          <cell r="D128">
            <v>1130</v>
          </cell>
          <cell r="E128" t="str">
            <v>7206.05.26</v>
          </cell>
          <cell r="F128">
            <v>3669.6447521847549</v>
          </cell>
        </row>
        <row r="129">
          <cell r="D129">
            <v>1140</v>
          </cell>
          <cell r="E129" t="str">
            <v>7206.05.18</v>
          </cell>
          <cell r="F129">
            <v>3522.2373921847548</v>
          </cell>
        </row>
        <row r="130">
          <cell r="D130">
            <v>1150</v>
          </cell>
          <cell r="E130" t="str">
            <v>7206.05.18</v>
          </cell>
          <cell r="F130">
            <v>4066.7581087447543</v>
          </cell>
        </row>
        <row r="131">
          <cell r="D131">
            <v>1160</v>
          </cell>
          <cell r="E131" t="str">
            <v>7206.05.18</v>
          </cell>
          <cell r="F131">
            <v>2718.7041264725976</v>
          </cell>
        </row>
        <row r="132">
          <cell r="D132">
            <v>1170</v>
          </cell>
          <cell r="E132" t="str">
            <v>7206.05.26</v>
          </cell>
          <cell r="F132">
            <v>3051.4203556247548</v>
          </cell>
        </row>
        <row r="133">
          <cell r="D133">
            <v>1180</v>
          </cell>
          <cell r="E133" t="str">
            <v>7107.09.30</v>
          </cell>
          <cell r="F133">
            <v>872.38619828000014</v>
          </cell>
        </row>
        <row r="134">
          <cell r="D134">
            <v>1190</v>
          </cell>
          <cell r="E134" t="str">
            <v>7107.09.30</v>
          </cell>
          <cell r="F134">
            <v>1146.69612134</v>
          </cell>
        </row>
        <row r="135">
          <cell r="D135">
            <v>1200</v>
          </cell>
          <cell r="E135" t="str">
            <v>7107.09.30</v>
          </cell>
          <cell r="F135">
            <v>1421.0060444000001</v>
          </cell>
        </row>
        <row r="136">
          <cell r="D136">
            <v>1210</v>
          </cell>
          <cell r="E136" t="str">
            <v>7107.09.30</v>
          </cell>
          <cell r="F136">
            <v>1908.8128434725977</v>
          </cell>
        </row>
        <row r="137">
          <cell r="D137">
            <v>1220</v>
          </cell>
          <cell r="E137" t="str">
            <v>7107.09.30</v>
          </cell>
          <cell r="F137">
            <v>2981.8158051847545</v>
          </cell>
        </row>
        <row r="138">
          <cell r="D138">
            <v>1230</v>
          </cell>
          <cell r="E138" t="str">
            <v>7107.09.30</v>
          </cell>
          <cell r="F138">
            <v>3256.1257282447546</v>
          </cell>
        </row>
        <row r="139">
          <cell r="D139">
            <v>1240</v>
          </cell>
          <cell r="E139" t="str">
            <v>7107.09.30</v>
          </cell>
          <cell r="F139">
            <v>3530.4356513047546</v>
          </cell>
        </row>
        <row r="140">
          <cell r="D140">
            <v>1250</v>
          </cell>
          <cell r="E140" t="str">
            <v>7206.05.26</v>
          </cell>
          <cell r="F140">
            <v>3484.3358830325978</v>
          </cell>
        </row>
        <row r="141">
          <cell r="D141">
            <v>1260</v>
          </cell>
          <cell r="E141" t="str">
            <v>COMPMV80W</v>
          </cell>
          <cell r="F141">
            <v>1767.7033584725975</v>
          </cell>
        </row>
        <row r="142">
          <cell r="D142">
            <v>1270</v>
          </cell>
          <cell r="E142" t="str">
            <v>7206.05.15</v>
          </cell>
          <cell r="F142">
            <v>3417.2685476247543</v>
          </cell>
        </row>
        <row r="143">
          <cell r="D143">
            <v>1280</v>
          </cell>
          <cell r="E143" t="str">
            <v>7206.05.15</v>
          </cell>
          <cell r="F143">
            <v>4401.3411361847548</v>
          </cell>
        </row>
        <row r="144">
          <cell r="D144">
            <v>1290</v>
          </cell>
          <cell r="E144" t="str">
            <v>7206.05.15</v>
          </cell>
          <cell r="F144">
            <v>6369.4863133047547</v>
          </cell>
        </row>
        <row r="145">
          <cell r="D145">
            <v>1300</v>
          </cell>
          <cell r="E145" t="str">
            <v>7206.05.15</v>
          </cell>
          <cell r="F145">
            <v>3417.2685476247543</v>
          </cell>
        </row>
        <row r="146">
          <cell r="D146">
            <v>1310</v>
          </cell>
          <cell r="E146" t="str">
            <v>7206.05.15</v>
          </cell>
          <cell r="F146">
            <v>4401.3411361847548</v>
          </cell>
        </row>
        <row r="147">
          <cell r="D147">
            <v>1320</v>
          </cell>
          <cell r="E147" t="str">
            <v>7206.05.15</v>
          </cell>
          <cell r="F147">
            <v>6369.4863133047547</v>
          </cell>
        </row>
        <row r="148">
          <cell r="D148">
            <v>1330</v>
          </cell>
          <cell r="E148" t="str">
            <v>7206.05.15</v>
          </cell>
          <cell r="F148">
            <v>3417.2685476247543</v>
          </cell>
        </row>
        <row r="149">
          <cell r="D149">
            <v>1340</v>
          </cell>
          <cell r="E149" t="str">
            <v>7206.05.15</v>
          </cell>
          <cell r="F149">
            <v>4401.3411361847548</v>
          </cell>
        </row>
        <row r="150">
          <cell r="D150">
            <v>1350</v>
          </cell>
          <cell r="E150" t="str">
            <v>7206.05.15</v>
          </cell>
          <cell r="F150">
            <v>6369.4863133047547</v>
          </cell>
        </row>
        <row r="151">
          <cell r="D151">
            <v>1360</v>
          </cell>
          <cell r="E151" t="str">
            <v>COMPHPS150W</v>
          </cell>
          <cell r="F151">
            <v>5423.6314009466187</v>
          </cell>
        </row>
        <row r="152">
          <cell r="D152">
            <v>1370</v>
          </cell>
          <cell r="E152" t="str">
            <v>COMPHPS150W</v>
          </cell>
          <cell r="F152">
            <v>5809.0002455066187</v>
          </cell>
        </row>
        <row r="153">
          <cell r="D153">
            <v>1380</v>
          </cell>
          <cell r="E153" t="str">
            <v>7206.05.18</v>
          </cell>
          <cell r="F153">
            <v>5901.0870169466189</v>
          </cell>
        </row>
        <row r="154">
          <cell r="D154">
            <v>1450</v>
          </cell>
          <cell r="E154" t="str">
            <v>7206.05.18</v>
          </cell>
          <cell r="F154">
            <v>6445.6077335066184</v>
          </cell>
        </row>
        <row r="155">
          <cell r="D155">
            <v>1460</v>
          </cell>
          <cell r="E155" t="str">
            <v>7206.05.1</v>
          </cell>
          <cell r="F155">
            <v>3036.7003807447545</v>
          </cell>
        </row>
        <row r="156">
          <cell r="D156">
            <v>1470</v>
          </cell>
          <cell r="E156" t="str">
            <v>GECEnviroflood</v>
          </cell>
          <cell r="F156">
            <v>6536.6223503586189</v>
          </cell>
        </row>
        <row r="157">
          <cell r="D157">
            <v>1480</v>
          </cell>
          <cell r="E157" t="str">
            <v>GECEnviroflood</v>
          </cell>
          <cell r="F157">
            <v>6536.6223503586189</v>
          </cell>
        </row>
        <row r="158">
          <cell r="D158">
            <v>1490</v>
          </cell>
          <cell r="E158" t="str">
            <v>7206.05.26</v>
          </cell>
          <cell r="F158">
            <v>5503.9736603866186</v>
          </cell>
        </row>
        <row r="159">
          <cell r="D159">
            <v>1500</v>
          </cell>
          <cell r="E159" t="str">
            <v>COMPMV80W</v>
          </cell>
          <cell r="F159">
            <v>3248.2166813047547</v>
          </cell>
        </row>
        <row r="160">
          <cell r="D160">
            <v>1600</v>
          </cell>
          <cell r="E160" t="str">
            <v>7206.08.1</v>
          </cell>
          <cell r="F160">
            <v>3641.624899624755</v>
          </cell>
        </row>
        <row r="161">
          <cell r="D161">
            <v>1610</v>
          </cell>
          <cell r="E161" t="str">
            <v>7206.09.1</v>
          </cell>
          <cell r="F161">
            <v>2909.3540390647545</v>
          </cell>
        </row>
        <row r="162">
          <cell r="D162">
            <v>7080</v>
          </cell>
          <cell r="E162" t="str">
            <v>CFL42</v>
          </cell>
          <cell r="F162">
            <v>587.55721272000005</v>
          </cell>
        </row>
        <row r="163">
          <cell r="D163">
            <v>7130</v>
          </cell>
          <cell r="E163" t="str">
            <v>CFL42</v>
          </cell>
          <cell r="F163">
            <v>1623.9838579125976</v>
          </cell>
        </row>
        <row r="164">
          <cell r="D164">
            <v>7160</v>
          </cell>
          <cell r="E164" t="str">
            <v>CFL42</v>
          </cell>
          <cell r="F164">
            <v>2696.9868196247544</v>
          </cell>
        </row>
        <row r="165">
          <cell r="D165">
            <v>7090</v>
          </cell>
          <cell r="E165" t="str">
            <v>CFL42</v>
          </cell>
          <cell r="F165">
            <v>587.55721272000005</v>
          </cell>
        </row>
        <row r="166">
          <cell r="D166">
            <v>7140</v>
          </cell>
          <cell r="E166" t="str">
            <v>CFL42</v>
          </cell>
          <cell r="F166">
            <v>1623.9838579125976</v>
          </cell>
        </row>
        <row r="167">
          <cell r="D167">
            <v>7170</v>
          </cell>
          <cell r="E167" t="str">
            <v>CFL42</v>
          </cell>
          <cell r="F167">
            <v>2696.9868196247544</v>
          </cell>
        </row>
        <row r="168">
          <cell r="D168">
            <v>8090</v>
          </cell>
          <cell r="E168" t="str">
            <v>RexelOptispanMinor</v>
          </cell>
          <cell r="F168">
            <v>701.44122789200014</v>
          </cell>
        </row>
        <row r="169">
          <cell r="D169">
            <v>8140</v>
          </cell>
          <cell r="E169" t="str">
            <v>RexelOptispanMinor</v>
          </cell>
          <cell r="F169">
            <v>1737.8678730845977</v>
          </cell>
        </row>
        <row r="170">
          <cell r="D170">
            <v>8170</v>
          </cell>
          <cell r="E170" t="str">
            <v>RexelOptispanMinor</v>
          </cell>
          <cell r="F170">
            <v>2810.8708347967545</v>
          </cell>
        </row>
        <row r="171">
          <cell r="D171">
            <v>1390</v>
          </cell>
          <cell r="E171" t="str">
            <v>COMPMV80W</v>
          </cell>
          <cell r="F171">
            <v>527.52153271999998</v>
          </cell>
        </row>
        <row r="172">
          <cell r="D172">
            <v>1395</v>
          </cell>
          <cell r="E172" t="str">
            <v>COMPMV80W</v>
          </cell>
          <cell r="F172">
            <v>731.27671327999997</v>
          </cell>
        </row>
        <row r="173">
          <cell r="D173">
            <v>1400</v>
          </cell>
          <cell r="E173" t="str">
            <v>COMPMV80W</v>
          </cell>
          <cell r="F173">
            <v>527.52153271999998</v>
          </cell>
        </row>
        <row r="174">
          <cell r="D174">
            <v>1410</v>
          </cell>
          <cell r="E174" t="str">
            <v>COMPMV80W</v>
          </cell>
          <cell r="F174">
            <v>1563.9481779125977</v>
          </cell>
        </row>
        <row r="175">
          <cell r="D175">
            <v>1420</v>
          </cell>
          <cell r="E175" t="str">
            <v>COMPMV80W</v>
          </cell>
          <cell r="F175">
            <v>1563.9481779125977</v>
          </cell>
        </row>
        <row r="176">
          <cell r="D176">
            <v>1430</v>
          </cell>
          <cell r="E176" t="str">
            <v>COMPMV80W</v>
          </cell>
          <cell r="F176">
            <v>2636.9511396247544</v>
          </cell>
        </row>
        <row r="177">
          <cell r="D177">
            <v>1440</v>
          </cell>
          <cell r="E177" t="str">
            <v>COMPMV80W</v>
          </cell>
          <cell r="F177">
            <v>2636.9511396247544</v>
          </cell>
        </row>
        <row r="178">
          <cell r="D178">
            <v>1445</v>
          </cell>
          <cell r="E178" t="str">
            <v>COMPMV80W</v>
          </cell>
          <cell r="F178">
            <v>2840.7063201847545</v>
          </cell>
        </row>
        <row r="179">
          <cell r="D179">
            <v>1510</v>
          </cell>
          <cell r="E179" t="str">
            <v>COMPMV80W</v>
          </cell>
          <cell r="F179">
            <v>3044.4615007447546</v>
          </cell>
        </row>
        <row r="180">
          <cell r="D180">
            <v>1520</v>
          </cell>
          <cell r="E180" t="str">
            <v>COMPMV80W</v>
          </cell>
          <cell r="F180">
            <v>3248.2166813047547</v>
          </cell>
        </row>
        <row r="181">
          <cell r="D181">
            <v>1530</v>
          </cell>
          <cell r="E181" t="str">
            <v>COMPMV80W</v>
          </cell>
          <cell r="F181">
            <v>731.27671327999997</v>
          </cell>
        </row>
        <row r="182">
          <cell r="D182">
            <v>1620</v>
          </cell>
          <cell r="E182" t="str">
            <v>CFL42</v>
          </cell>
          <cell r="F182">
            <v>587.55721272000005</v>
          </cell>
        </row>
        <row r="183">
          <cell r="D183">
            <v>1630</v>
          </cell>
          <cell r="E183" t="str">
            <v>CFL42</v>
          </cell>
          <cell r="F183">
            <v>851.34807328000011</v>
          </cell>
        </row>
        <row r="184">
          <cell r="D184">
            <v>1640</v>
          </cell>
          <cell r="E184" t="str">
            <v>CFL42</v>
          </cell>
          <cell r="F184">
            <v>1115.1389338399999</v>
          </cell>
        </row>
        <row r="185">
          <cell r="D185">
            <v>1650</v>
          </cell>
          <cell r="E185" t="str">
            <v>CFL42</v>
          </cell>
          <cell r="F185">
            <v>1378.9297944</v>
          </cell>
        </row>
        <row r="186">
          <cell r="D186">
            <v>1660</v>
          </cell>
          <cell r="E186" t="str">
            <v>CFL42</v>
          </cell>
          <cell r="F186">
            <v>1623.9838579125976</v>
          </cell>
        </row>
        <row r="187">
          <cell r="D187">
            <v>1670</v>
          </cell>
          <cell r="E187" t="str">
            <v>CFL42</v>
          </cell>
          <cell r="F187">
            <v>1887.7747184725977</v>
          </cell>
        </row>
        <row r="188">
          <cell r="D188">
            <v>1680</v>
          </cell>
          <cell r="E188" t="str">
            <v>CFL42</v>
          </cell>
          <cell r="F188">
            <v>2151.5655790325973</v>
          </cell>
        </row>
        <row r="189">
          <cell r="D189">
            <v>1690</v>
          </cell>
          <cell r="E189" t="str">
            <v>CFL42</v>
          </cell>
          <cell r="F189">
            <v>2415.3564395925978</v>
          </cell>
        </row>
        <row r="190">
          <cell r="D190">
            <v>1700</v>
          </cell>
          <cell r="E190" t="str">
            <v>CFL42</v>
          </cell>
          <cell r="F190">
            <v>2696.9868196247544</v>
          </cell>
        </row>
        <row r="191">
          <cell r="D191">
            <v>1710</v>
          </cell>
          <cell r="E191" t="str">
            <v>CFL42</v>
          </cell>
          <cell r="F191">
            <v>2960.7776801847544</v>
          </cell>
        </row>
        <row r="192">
          <cell r="D192">
            <v>1720</v>
          </cell>
          <cell r="E192" t="str">
            <v>CFL42</v>
          </cell>
          <cell r="F192">
            <v>3224.5685407447545</v>
          </cell>
        </row>
        <row r="193">
          <cell r="D193">
            <v>1730</v>
          </cell>
          <cell r="E193" t="str">
            <v>CFL42</v>
          </cell>
          <cell r="F193">
            <v>3488.3594013047546</v>
          </cell>
        </row>
        <row r="194">
          <cell r="D194">
            <v>1740</v>
          </cell>
          <cell r="E194" t="str">
            <v>T5_2x14W</v>
          </cell>
          <cell r="F194">
            <v>709.79721271999995</v>
          </cell>
        </row>
        <row r="195">
          <cell r="D195">
            <v>1750</v>
          </cell>
          <cell r="E195" t="str">
            <v>T5_2x14W</v>
          </cell>
          <cell r="F195">
            <v>1095.8280732799999</v>
          </cell>
        </row>
        <row r="196">
          <cell r="D196">
            <v>1760</v>
          </cell>
          <cell r="E196" t="str">
            <v>T5_2x14W</v>
          </cell>
          <cell r="F196">
            <v>1481.85893384</v>
          </cell>
        </row>
        <row r="197">
          <cell r="D197">
            <v>1770</v>
          </cell>
          <cell r="E197" t="str">
            <v>T5_2x14W</v>
          </cell>
          <cell r="F197">
            <v>1867.8897943999998</v>
          </cell>
        </row>
        <row r="198">
          <cell r="D198">
            <v>1780</v>
          </cell>
          <cell r="E198" t="str">
            <v>T5_2x14W</v>
          </cell>
          <cell r="F198">
            <v>1746.2238579125974</v>
          </cell>
        </row>
        <row r="199">
          <cell r="D199">
            <v>1790</v>
          </cell>
          <cell r="E199" t="str">
            <v>T5_2x14W</v>
          </cell>
          <cell r="F199">
            <v>2132.2547184725972</v>
          </cell>
        </row>
        <row r="200">
          <cell r="D200">
            <v>1800</v>
          </cell>
          <cell r="E200" t="str">
            <v>T5_2x14W</v>
          </cell>
          <cell r="F200">
            <v>2518.2855790325975</v>
          </cell>
        </row>
        <row r="201">
          <cell r="D201">
            <v>1810</v>
          </cell>
          <cell r="E201" t="str">
            <v>T5_2x14W</v>
          </cell>
          <cell r="F201">
            <v>2904.3164395925974</v>
          </cell>
        </row>
        <row r="202">
          <cell r="D202">
            <v>1820</v>
          </cell>
          <cell r="E202" t="str">
            <v>T5_2x14W</v>
          </cell>
          <cell r="F202">
            <v>2819.2268196247546</v>
          </cell>
        </row>
        <row r="203">
          <cell r="D203">
            <v>1830</v>
          </cell>
          <cell r="E203" t="str">
            <v>T5_2x14W</v>
          </cell>
          <cell r="F203">
            <v>3205.2576801847545</v>
          </cell>
        </row>
        <row r="204">
          <cell r="D204">
            <v>1840</v>
          </cell>
          <cell r="E204" t="str">
            <v>T5_2x14W</v>
          </cell>
          <cell r="F204">
            <v>3591.2885407447548</v>
          </cell>
        </row>
        <row r="205">
          <cell r="D205">
            <v>1850</v>
          </cell>
          <cell r="E205" t="str">
            <v>T5_2x14W</v>
          </cell>
          <cell r="F205">
            <v>3977.3194013047541</v>
          </cell>
        </row>
        <row r="206">
          <cell r="D206">
            <v>1860</v>
          </cell>
          <cell r="E206" t="str">
            <v>T5_2x24W</v>
          </cell>
          <cell r="F206">
            <v>755.36521272000005</v>
          </cell>
        </row>
        <row r="207">
          <cell r="D207">
            <v>1870</v>
          </cell>
          <cell r="E207" t="str">
            <v>T5_2x24W</v>
          </cell>
          <cell r="F207">
            <v>1186.9640732800001</v>
          </cell>
        </row>
        <row r="208">
          <cell r="D208">
            <v>1880</v>
          </cell>
          <cell r="E208" t="str">
            <v>T5_2x24W</v>
          </cell>
          <cell r="F208">
            <v>1618.5629338399999</v>
          </cell>
        </row>
        <row r="209">
          <cell r="D209">
            <v>1890</v>
          </cell>
          <cell r="E209" t="str">
            <v>T5_2x24W</v>
          </cell>
          <cell r="F209">
            <v>2050.1617944</v>
          </cell>
        </row>
        <row r="210">
          <cell r="D210">
            <v>1900</v>
          </cell>
          <cell r="E210" t="str">
            <v>T5_2x24W</v>
          </cell>
          <cell r="F210">
            <v>1791.7918579125976</v>
          </cell>
        </row>
        <row r="211">
          <cell r="D211">
            <v>1910</v>
          </cell>
          <cell r="E211" t="str">
            <v>T5_2x24W</v>
          </cell>
          <cell r="F211">
            <v>2223.3907184725977</v>
          </cell>
        </row>
        <row r="212">
          <cell r="D212">
            <v>1920</v>
          </cell>
          <cell r="E212" t="str">
            <v>T5_2x24W</v>
          </cell>
          <cell r="F212">
            <v>2654.9895790325972</v>
          </cell>
        </row>
        <row r="213">
          <cell r="D213">
            <v>1930</v>
          </cell>
          <cell r="E213" t="str">
            <v>T5_2x24W</v>
          </cell>
          <cell r="F213">
            <v>3086.5884395925978</v>
          </cell>
        </row>
        <row r="214">
          <cell r="D214">
            <v>1940</v>
          </cell>
          <cell r="E214" t="str">
            <v>T5_2x24W</v>
          </cell>
          <cell r="F214">
            <v>2864.7948196247544</v>
          </cell>
        </row>
        <row r="215">
          <cell r="D215">
            <v>1950</v>
          </cell>
          <cell r="E215" t="str">
            <v>T5_2x24W</v>
          </cell>
          <cell r="F215">
            <v>3296.3936801847544</v>
          </cell>
        </row>
        <row r="216">
          <cell r="D216">
            <v>1960</v>
          </cell>
          <cell r="E216" t="str">
            <v>T5_2x24W</v>
          </cell>
          <cell r="F216">
            <v>3727.9925407447545</v>
          </cell>
        </row>
        <row r="217">
          <cell r="D217">
            <v>1970</v>
          </cell>
          <cell r="E217" t="str">
            <v>T5_2x24W</v>
          </cell>
          <cell r="F217">
            <v>4159.591401304755</v>
          </cell>
        </row>
        <row r="218">
          <cell r="D218">
            <v>8180</v>
          </cell>
        </row>
        <row r="219">
          <cell r="D219">
            <v>8190</v>
          </cell>
        </row>
        <row r="220">
          <cell r="D220">
            <v>8200</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1"/>
      <sheetName val="16-04-2014 billing"/>
    </sheetNames>
    <sheetDataSet>
      <sheetData sheetId="0"/>
      <sheetData sheetId="1"/>
      <sheetData sheetId="2">
        <row r="1">
          <cell r="A1" t="str">
            <v>Count of assets on T1</v>
          </cell>
          <cell r="B1">
            <v>0</v>
          </cell>
        </row>
        <row r="3">
          <cell r="A3" t="str">
            <v>Charge Type2</v>
          </cell>
          <cell r="B3" t="str">
            <v>001</v>
          </cell>
        </row>
        <row r="4">
          <cell r="A4">
            <v>0</v>
          </cell>
          <cell r="B4">
            <v>0</v>
          </cell>
        </row>
        <row r="5">
          <cell r="A5" t="str">
            <v>Row Labels</v>
          </cell>
          <cell r="B5" t="str">
            <v>Sum of Count STL</v>
          </cell>
        </row>
        <row r="6">
          <cell r="A6">
            <v>10</v>
          </cell>
          <cell r="B6">
            <v>7990</v>
          </cell>
        </row>
        <row r="7">
          <cell r="A7">
            <v>20</v>
          </cell>
          <cell r="B7">
            <v>235</v>
          </cell>
        </row>
        <row r="8">
          <cell r="A8">
            <v>30</v>
          </cell>
          <cell r="B8">
            <v>144</v>
          </cell>
        </row>
        <row r="9">
          <cell r="A9">
            <v>40</v>
          </cell>
          <cell r="B9">
            <v>3906</v>
          </cell>
        </row>
        <row r="10">
          <cell r="A10">
            <v>50</v>
          </cell>
          <cell r="B10">
            <v>1329</v>
          </cell>
        </row>
        <row r="11">
          <cell r="A11">
            <v>60</v>
          </cell>
          <cell r="B11">
            <v>2403</v>
          </cell>
        </row>
        <row r="12">
          <cell r="A12">
            <v>70</v>
          </cell>
          <cell r="B12">
            <v>132</v>
          </cell>
        </row>
        <row r="13">
          <cell r="A13">
            <v>90</v>
          </cell>
          <cell r="B13">
            <v>1230</v>
          </cell>
        </row>
        <row r="14">
          <cell r="A14">
            <v>120</v>
          </cell>
          <cell r="B14">
            <v>4</v>
          </cell>
        </row>
        <row r="15">
          <cell r="A15">
            <v>140</v>
          </cell>
          <cell r="B15">
            <v>246</v>
          </cell>
        </row>
        <row r="16">
          <cell r="A16">
            <v>170</v>
          </cell>
          <cell r="B16">
            <v>685</v>
          </cell>
        </row>
        <row r="17">
          <cell r="A17">
            <v>200</v>
          </cell>
          <cell r="B17">
            <v>63</v>
          </cell>
        </row>
        <row r="18">
          <cell r="A18">
            <v>210</v>
          </cell>
          <cell r="B18">
            <v>52</v>
          </cell>
        </row>
        <row r="19">
          <cell r="A19">
            <v>220</v>
          </cell>
          <cell r="B19">
            <v>415</v>
          </cell>
        </row>
        <row r="20">
          <cell r="A20">
            <v>230</v>
          </cell>
          <cell r="B20">
            <v>1038</v>
          </cell>
        </row>
        <row r="21">
          <cell r="A21">
            <v>240</v>
          </cell>
          <cell r="B21">
            <v>32</v>
          </cell>
        </row>
        <row r="22">
          <cell r="A22">
            <v>290</v>
          </cell>
          <cell r="B22">
            <v>124</v>
          </cell>
        </row>
        <row r="23">
          <cell r="A23">
            <v>300</v>
          </cell>
          <cell r="B23">
            <v>127</v>
          </cell>
        </row>
        <row r="24">
          <cell r="A24">
            <v>310</v>
          </cell>
          <cell r="B24">
            <v>550</v>
          </cell>
        </row>
        <row r="25">
          <cell r="A25">
            <v>320</v>
          </cell>
          <cell r="B25">
            <v>1431</v>
          </cell>
        </row>
        <row r="26">
          <cell r="A26">
            <v>330</v>
          </cell>
          <cell r="B26">
            <v>101</v>
          </cell>
        </row>
        <row r="27">
          <cell r="A27">
            <v>350</v>
          </cell>
          <cell r="B27">
            <v>182</v>
          </cell>
        </row>
        <row r="28">
          <cell r="A28">
            <v>360</v>
          </cell>
          <cell r="B28">
            <v>894</v>
          </cell>
        </row>
        <row r="29">
          <cell r="A29">
            <v>370</v>
          </cell>
          <cell r="B29">
            <v>6</v>
          </cell>
        </row>
        <row r="30">
          <cell r="A30">
            <v>380</v>
          </cell>
          <cell r="B30">
            <v>10</v>
          </cell>
        </row>
        <row r="31">
          <cell r="A31">
            <v>390</v>
          </cell>
          <cell r="B31">
            <v>97</v>
          </cell>
        </row>
        <row r="32">
          <cell r="A32">
            <v>400</v>
          </cell>
          <cell r="B32">
            <v>12</v>
          </cell>
        </row>
        <row r="33">
          <cell r="A33">
            <v>430</v>
          </cell>
          <cell r="B33">
            <v>15</v>
          </cell>
        </row>
        <row r="34">
          <cell r="A34">
            <v>470</v>
          </cell>
          <cell r="B34">
            <v>8</v>
          </cell>
        </row>
        <row r="35">
          <cell r="A35">
            <v>550</v>
          </cell>
          <cell r="B35">
            <v>22</v>
          </cell>
        </row>
        <row r="36">
          <cell r="A36">
            <v>590</v>
          </cell>
          <cell r="B36">
            <v>177</v>
          </cell>
        </row>
        <row r="37">
          <cell r="A37">
            <v>600</v>
          </cell>
          <cell r="B37">
            <v>14</v>
          </cell>
        </row>
        <row r="38">
          <cell r="A38">
            <v>610</v>
          </cell>
          <cell r="B38">
            <v>91</v>
          </cell>
        </row>
        <row r="39">
          <cell r="A39">
            <v>620</v>
          </cell>
          <cell r="B39">
            <v>76</v>
          </cell>
        </row>
        <row r="40">
          <cell r="A40">
            <v>660</v>
          </cell>
          <cell r="B40">
            <v>4</v>
          </cell>
        </row>
        <row r="41">
          <cell r="A41">
            <v>690</v>
          </cell>
          <cell r="B41">
            <v>65</v>
          </cell>
        </row>
        <row r="42">
          <cell r="A42">
            <v>710</v>
          </cell>
          <cell r="B42">
            <v>3</v>
          </cell>
        </row>
        <row r="43">
          <cell r="A43">
            <v>730</v>
          </cell>
          <cell r="B43">
            <v>51</v>
          </cell>
        </row>
        <row r="44">
          <cell r="A44">
            <v>740</v>
          </cell>
          <cell r="B44">
            <v>51</v>
          </cell>
        </row>
        <row r="45">
          <cell r="A45">
            <v>750</v>
          </cell>
          <cell r="B45">
            <v>3</v>
          </cell>
        </row>
        <row r="46">
          <cell r="A46">
            <v>760</v>
          </cell>
          <cell r="B46">
            <v>9</v>
          </cell>
        </row>
        <row r="47">
          <cell r="A47">
            <v>770</v>
          </cell>
          <cell r="B47">
            <v>5</v>
          </cell>
        </row>
        <row r="48">
          <cell r="A48">
            <v>810</v>
          </cell>
          <cell r="B48">
            <v>398</v>
          </cell>
        </row>
        <row r="49">
          <cell r="A49">
            <v>820</v>
          </cell>
          <cell r="B49">
            <v>2</v>
          </cell>
        </row>
        <row r="50">
          <cell r="A50">
            <v>840</v>
          </cell>
          <cell r="B50">
            <v>8</v>
          </cell>
        </row>
        <row r="51">
          <cell r="A51">
            <v>850</v>
          </cell>
          <cell r="B51">
            <v>2</v>
          </cell>
        </row>
        <row r="52">
          <cell r="A52">
            <v>860</v>
          </cell>
          <cell r="B52">
            <v>9</v>
          </cell>
        </row>
        <row r="53">
          <cell r="A53">
            <v>870</v>
          </cell>
          <cell r="B53">
            <v>16</v>
          </cell>
        </row>
        <row r="54">
          <cell r="A54">
            <v>890</v>
          </cell>
          <cell r="B54">
            <v>101</v>
          </cell>
        </row>
        <row r="55">
          <cell r="A55">
            <v>900</v>
          </cell>
          <cell r="B55">
            <v>8</v>
          </cell>
        </row>
        <row r="56">
          <cell r="A56">
            <v>910</v>
          </cell>
          <cell r="B56">
            <v>2</v>
          </cell>
        </row>
        <row r="57">
          <cell r="A57">
            <v>930</v>
          </cell>
          <cell r="B57">
            <v>5</v>
          </cell>
        </row>
        <row r="58">
          <cell r="A58">
            <v>940</v>
          </cell>
          <cell r="B58">
            <v>5</v>
          </cell>
        </row>
        <row r="59">
          <cell r="A59">
            <v>950</v>
          </cell>
          <cell r="B59">
            <v>27</v>
          </cell>
        </row>
        <row r="60">
          <cell r="A60">
            <v>960</v>
          </cell>
          <cell r="B60">
            <v>57</v>
          </cell>
        </row>
        <row r="61">
          <cell r="A61">
            <v>980</v>
          </cell>
          <cell r="B61">
            <v>12</v>
          </cell>
        </row>
        <row r="62">
          <cell r="A62">
            <v>990</v>
          </cell>
          <cell r="B62">
            <v>1306</v>
          </cell>
        </row>
        <row r="63">
          <cell r="A63">
            <v>1000</v>
          </cell>
          <cell r="B63">
            <v>56</v>
          </cell>
        </row>
        <row r="64">
          <cell r="A64">
            <v>1010</v>
          </cell>
          <cell r="B64">
            <v>32</v>
          </cell>
        </row>
        <row r="65">
          <cell r="A65">
            <v>1030</v>
          </cell>
          <cell r="B65">
            <v>4</v>
          </cell>
        </row>
        <row r="66">
          <cell r="A66">
            <v>1050</v>
          </cell>
          <cell r="B66">
            <v>4</v>
          </cell>
        </row>
        <row r="67">
          <cell r="A67">
            <v>1070</v>
          </cell>
          <cell r="B67">
            <v>31</v>
          </cell>
        </row>
        <row r="68">
          <cell r="A68">
            <v>1080</v>
          </cell>
          <cell r="B68">
            <v>38</v>
          </cell>
        </row>
        <row r="69">
          <cell r="A69">
            <v>1120</v>
          </cell>
          <cell r="B69">
            <v>40</v>
          </cell>
        </row>
        <row r="70">
          <cell r="A70">
            <v>1130</v>
          </cell>
          <cell r="B70">
            <v>20</v>
          </cell>
        </row>
        <row r="71">
          <cell r="A71">
            <v>1160</v>
          </cell>
          <cell r="B71">
            <v>9</v>
          </cell>
        </row>
        <row r="72">
          <cell r="A72">
            <v>1170</v>
          </cell>
          <cell r="B72">
            <v>30</v>
          </cell>
        </row>
        <row r="73">
          <cell r="A73">
            <v>1210</v>
          </cell>
          <cell r="B73">
            <v>2</v>
          </cell>
        </row>
        <row r="74">
          <cell r="A74">
            <v>1250</v>
          </cell>
          <cell r="B74">
            <v>3</v>
          </cell>
        </row>
        <row r="75">
          <cell r="A75">
            <v>1260</v>
          </cell>
          <cell r="B75">
            <v>6</v>
          </cell>
        </row>
        <row r="76">
          <cell r="A76">
            <v>1360</v>
          </cell>
          <cell r="B76">
            <v>6</v>
          </cell>
        </row>
        <row r="77">
          <cell r="A77">
            <v>1370</v>
          </cell>
          <cell r="B77">
            <v>4</v>
          </cell>
        </row>
        <row r="78">
          <cell r="A78">
            <v>1450</v>
          </cell>
          <cell r="B78">
            <v>17</v>
          </cell>
        </row>
        <row r="79">
          <cell r="A79">
            <v>1490</v>
          </cell>
          <cell r="B79">
            <v>8</v>
          </cell>
        </row>
        <row r="80">
          <cell r="A80">
            <v>1620</v>
          </cell>
          <cell r="B80">
            <v>673</v>
          </cell>
        </row>
        <row r="81">
          <cell r="A81" t="str">
            <v>Grand Total</v>
          </cell>
          <cell r="B81">
            <v>26973</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WIP reallocation"/>
      <sheetName val="Input"/>
      <sheetName val="Adjustment for previous period"/>
      <sheetName val="Actual RAB roll forward"/>
      <sheetName val="Total actual RAB roll forward"/>
      <sheetName val="Tax value roll forward"/>
    </sheetNames>
    <sheetDataSet>
      <sheetData sheetId="0"/>
      <sheetData sheetId="1"/>
      <sheetData sheetId="2">
        <row r="127">
          <cell r="H127">
            <v>2.343612334801759E-2</v>
          </cell>
          <cell r="I127">
            <v>2.6687327823691431E-2</v>
          </cell>
          <cell r="J127">
            <v>3.53848733858797E-2</v>
          </cell>
          <cell r="K127">
            <v>2.3323615160349753E-2</v>
          </cell>
          <cell r="L127">
            <v>0.03</v>
          </cell>
        </row>
      </sheetData>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Forecast Components"/>
      <sheetName val="Input Cost Escalators"/>
      <sheetName val="Revised Cost Esc &amp; Weightings"/>
      <sheetName val="Vendor Spend"/>
    </sheetNames>
    <sheetDataSet>
      <sheetData sheetId="0" refreshError="1"/>
      <sheetData sheetId="1" refreshError="1">
        <row r="14">
          <cell r="H14">
            <v>3.2500000000000001E-2</v>
          </cell>
          <cell r="I14">
            <v>2.5000000000000001E-2</v>
          </cell>
          <cell r="J14">
            <v>2.5000000000000001E-2</v>
          </cell>
          <cell r="K14">
            <v>2.5000000000000001E-2</v>
          </cell>
          <cell r="L14">
            <v>2.5000000000000001E-2</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reetlight Tariff Schedule"/>
      <sheetName val="Tariff Schedule Lookup Table"/>
      <sheetName val="Lamp Stock"/>
      <sheetName val="Maintenance Costs"/>
      <sheetName val="Maintenance Model"/>
      <sheetName val="Other Maintenance"/>
      <sheetName val="Capital Code Schedules"/>
      <sheetName val="Public Lighting Charges"/>
    </sheetNames>
    <sheetDataSet>
      <sheetData sheetId="0"/>
      <sheetData sheetId="1"/>
      <sheetData sheetId="2"/>
      <sheetData sheetId="3"/>
      <sheetData sheetId="4"/>
      <sheetData sheetId="5"/>
      <sheetData sheetId="6"/>
      <sheetData sheetId="7"/>
      <sheetData sheetId="8" refreshError="1">
        <row r="12">
          <cell r="L12">
            <v>0</v>
          </cell>
        </row>
        <row r="13">
          <cell r="L13">
            <v>0</v>
          </cell>
        </row>
        <row r="14">
          <cell r="L14">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reetlight Tariff Schedule"/>
      <sheetName val="Tariff Schedule Lookup Table"/>
      <sheetName val="Lamp Stock"/>
      <sheetName val="Maintenance Costs"/>
      <sheetName val="Maintenance Model"/>
      <sheetName val="Other Maintenance"/>
      <sheetName val="RAB Calculations 10yr"/>
      <sheetName val="RAB Calculations 15yr"/>
      <sheetName val="Capital Code Schedules"/>
      <sheetName val="Public Lighting Charges"/>
    </sheetNames>
    <sheetDataSet>
      <sheetData sheetId="0" refreshError="1"/>
      <sheetData sheetId="1" refreshError="1"/>
      <sheetData sheetId="2" refreshError="1">
        <row r="7">
          <cell r="I7" t="str">
            <v>Capital Code</v>
          </cell>
          <cell r="J7" t="str">
            <v>Equivalent / Replacement Construction</v>
          </cell>
          <cell r="K7" t="str">
            <v>Dedicated Pole Type</v>
          </cell>
          <cell r="L7" t="str">
            <v>Number of lights</v>
          </cell>
        </row>
        <row r="8">
          <cell r="A8" t="str">
            <v>FLU0010</v>
          </cell>
          <cell r="B8" t="str">
            <v>Fluorescent 9</v>
          </cell>
          <cell r="C8">
            <v>9</v>
          </cell>
          <cell r="D8">
            <v>9</v>
          </cell>
          <cell r="F8" t="str">
            <v>NO CAPITALNO CAPITAL</v>
          </cell>
          <cell r="G8">
            <v>1</v>
          </cell>
          <cell r="I8">
            <v>1</v>
          </cell>
          <cell r="J8" t="str">
            <v>NO CAPITAL</v>
          </cell>
          <cell r="K8" t="str">
            <v>NO CAPITAL</v>
          </cell>
          <cell r="L8">
            <v>1</v>
          </cell>
        </row>
        <row r="9">
          <cell r="A9" t="str">
            <v>FLU0020</v>
          </cell>
          <cell r="B9" t="str">
            <v>Fluorescent 11</v>
          </cell>
          <cell r="C9">
            <v>11</v>
          </cell>
          <cell r="D9">
            <v>11</v>
          </cell>
          <cell r="F9" t="str">
            <v>MAINTENANCE COMPONENTNO CAPITAL</v>
          </cell>
          <cell r="G9">
            <v>5</v>
          </cell>
          <cell r="I9">
            <v>5</v>
          </cell>
          <cell r="J9" t="str">
            <v>MAINTENANCE COMPONENT</v>
          </cell>
          <cell r="K9" t="str">
            <v>NO CAPITAL</v>
          </cell>
          <cell r="L9">
            <v>1</v>
          </cell>
        </row>
        <row r="10">
          <cell r="A10" t="str">
            <v>FLU0030</v>
          </cell>
          <cell r="B10" t="str">
            <v>Fluorescent 13</v>
          </cell>
          <cell r="C10">
            <v>13</v>
          </cell>
          <cell r="D10">
            <v>13</v>
          </cell>
          <cell r="F10" t="str">
            <v>MERCURY VAPOUR 80WSHARED OR NO POLE1</v>
          </cell>
          <cell r="G10">
            <v>10</v>
          </cell>
          <cell r="I10">
            <v>10</v>
          </cell>
          <cell r="J10" t="str">
            <v>MERCURY VAPOUR 80W</v>
          </cell>
          <cell r="K10" t="str">
            <v>SHARED OR NO POLE</v>
          </cell>
          <cell r="L10">
            <v>1</v>
          </cell>
        </row>
        <row r="11">
          <cell r="A11" t="str">
            <v>FLU0040</v>
          </cell>
          <cell r="B11" t="str">
            <v>Fluorescent 15</v>
          </cell>
          <cell r="C11">
            <v>15</v>
          </cell>
          <cell r="D11">
            <v>15</v>
          </cell>
          <cell r="F11" t="str">
            <v>MERCURY VAPOUR 250W SHARED OR NO POLE1</v>
          </cell>
          <cell r="G11">
            <v>20</v>
          </cell>
          <cell r="I11">
            <v>20</v>
          </cell>
          <cell r="J11" t="str">
            <v xml:space="preserve">MERCURY VAPOUR 250W </v>
          </cell>
          <cell r="K11" t="str">
            <v>SHARED OR NO POLE</v>
          </cell>
          <cell r="L11">
            <v>1</v>
          </cell>
        </row>
        <row r="12">
          <cell r="A12" t="str">
            <v>FLU0050</v>
          </cell>
          <cell r="B12" t="str">
            <v>Fluorescent 20</v>
          </cell>
          <cell r="C12">
            <v>20</v>
          </cell>
          <cell r="D12">
            <v>29</v>
          </cell>
          <cell r="F12" t="str">
            <v>MERCURY VAPOUR 400WSHARED OR NO POLE1</v>
          </cell>
          <cell r="G12">
            <v>30</v>
          </cell>
          <cell r="I12">
            <v>30</v>
          </cell>
          <cell r="J12" t="str">
            <v>MERCURY VAPOUR 400W</v>
          </cell>
          <cell r="K12" t="str">
            <v>SHARED OR NO POLE</v>
          </cell>
          <cell r="L12">
            <v>1</v>
          </cell>
        </row>
        <row r="13">
          <cell r="A13" t="str">
            <v>FLU0060</v>
          </cell>
          <cell r="B13" t="str">
            <v>Fluorescent Twin 20</v>
          </cell>
          <cell r="C13" t="str">
            <v>Twin 20</v>
          </cell>
          <cell r="D13">
            <v>50</v>
          </cell>
          <cell r="F13" t="str">
            <v>HIGH PRESSURE SODIUM 70W (100)SHARED OR NO POLE1</v>
          </cell>
          <cell r="G13">
            <v>40</v>
          </cell>
          <cell r="I13">
            <v>40</v>
          </cell>
          <cell r="J13" t="str">
            <v>HIGH PRESSURE SODIUM 70W (100)</v>
          </cell>
          <cell r="K13" t="str">
            <v>SHARED OR NO POLE</v>
          </cell>
          <cell r="L13">
            <v>1</v>
          </cell>
        </row>
        <row r="14">
          <cell r="A14" t="str">
            <v>FLU0070</v>
          </cell>
          <cell r="B14" t="str">
            <v>Fluorescent 3x20</v>
          </cell>
          <cell r="C14" t="str">
            <v>3x20</v>
          </cell>
          <cell r="D14">
            <v>77</v>
          </cell>
          <cell r="F14" t="str">
            <v>HIGH PRESSURE SODIUM 150WSHARED OR NO POLE1</v>
          </cell>
          <cell r="G14">
            <v>50</v>
          </cell>
          <cell r="I14">
            <v>50</v>
          </cell>
          <cell r="J14" t="str">
            <v>HIGH PRESSURE SODIUM 150W</v>
          </cell>
          <cell r="K14" t="str">
            <v>SHARED OR NO POLE</v>
          </cell>
          <cell r="L14">
            <v>1</v>
          </cell>
        </row>
        <row r="15">
          <cell r="A15" t="str">
            <v>FLU0080</v>
          </cell>
          <cell r="B15" t="str">
            <v>Fluorescent 4x20</v>
          </cell>
          <cell r="C15" t="str">
            <v>4x20</v>
          </cell>
          <cell r="D15">
            <v>100</v>
          </cell>
          <cell r="F15" t="str">
            <v>HIGH PRESSURE SODIUM 250W (210/220)SHARED OR NO POLE1</v>
          </cell>
          <cell r="G15">
            <v>60</v>
          </cell>
          <cell r="I15">
            <v>60</v>
          </cell>
          <cell r="J15" t="str">
            <v>HIGH PRESSURE SODIUM 250W (210/220)</v>
          </cell>
          <cell r="K15" t="str">
            <v>SHARED OR NO POLE</v>
          </cell>
          <cell r="L15">
            <v>1</v>
          </cell>
        </row>
        <row r="16">
          <cell r="A16" t="str">
            <v>FLU0090</v>
          </cell>
          <cell r="B16" t="str">
            <v>Fluorescent 6x20</v>
          </cell>
          <cell r="C16" t="str">
            <v>6x20</v>
          </cell>
          <cell r="D16">
            <v>150</v>
          </cell>
          <cell r="F16" t="str">
            <v>HIGH PRESSURE SODIUM 400W (310/360)SHARED OR NO POLE1</v>
          </cell>
          <cell r="G16">
            <v>70</v>
          </cell>
          <cell r="I16">
            <v>70</v>
          </cell>
          <cell r="J16" t="str">
            <v>HIGH PRESSURE SODIUM 400W (310/360)</v>
          </cell>
          <cell r="K16" t="str">
            <v>SHARED OR NO POLE</v>
          </cell>
          <cell r="L16">
            <v>1</v>
          </cell>
        </row>
        <row r="17">
          <cell r="A17" t="str">
            <v>FLU0100</v>
          </cell>
          <cell r="B17" t="str">
            <v>Fluorescent 26</v>
          </cell>
          <cell r="C17">
            <v>26</v>
          </cell>
          <cell r="D17">
            <v>32</v>
          </cell>
          <cell r="F17" t="str">
            <v>HIGH PRESSURE SODIUM 50W TWIN ARCSHARED OR NO POLE1</v>
          </cell>
          <cell r="G17">
            <v>80</v>
          </cell>
          <cell r="I17">
            <v>80</v>
          </cell>
          <cell r="J17" t="str">
            <v>HIGH PRESSURE SODIUM 50W TWIN ARC</v>
          </cell>
          <cell r="K17" t="str">
            <v>SHARED OR NO POLE</v>
          </cell>
          <cell r="L17">
            <v>1</v>
          </cell>
        </row>
        <row r="18">
          <cell r="A18" t="str">
            <v>FLU0110</v>
          </cell>
          <cell r="B18" t="str">
            <v>Fluorescent 2x26</v>
          </cell>
          <cell r="C18" t="str">
            <v>2x26</v>
          </cell>
          <cell r="D18">
            <v>64</v>
          </cell>
          <cell r="F18" t="str">
            <v>HIGH PRESSURE SODIUM 70W TWIN ARCSHARED OR NO POLE1</v>
          </cell>
          <cell r="G18">
            <v>90</v>
          </cell>
          <cell r="I18">
            <v>90</v>
          </cell>
          <cell r="J18" t="str">
            <v>HIGH PRESSURE SODIUM 70W TWIN ARC</v>
          </cell>
          <cell r="K18" t="str">
            <v>SHARED OR NO POLE</v>
          </cell>
          <cell r="L18">
            <v>1</v>
          </cell>
        </row>
        <row r="19">
          <cell r="A19" t="str">
            <v>FLU0120</v>
          </cell>
          <cell r="B19" t="str">
            <v>Fluorescent 6x36</v>
          </cell>
          <cell r="C19" t="str">
            <v>6x36</v>
          </cell>
          <cell r="D19">
            <v>192</v>
          </cell>
          <cell r="F19" t="str">
            <v>35W LOW PRESSURE SODIUMSHARED OR NO POLE1</v>
          </cell>
          <cell r="G19">
            <v>100</v>
          </cell>
          <cell r="I19">
            <v>100</v>
          </cell>
          <cell r="J19" t="str">
            <v>35W LOW PRESSURE SODIUM</v>
          </cell>
          <cell r="K19" t="str">
            <v>SHARED OR NO POLE</v>
          </cell>
          <cell r="L19">
            <v>1</v>
          </cell>
        </row>
        <row r="20">
          <cell r="A20" t="str">
            <v>FLU0130</v>
          </cell>
          <cell r="B20" t="str">
            <v>Fluorescent 40</v>
          </cell>
          <cell r="C20">
            <v>40</v>
          </cell>
          <cell r="D20">
            <v>50</v>
          </cell>
          <cell r="F20" t="str">
            <v>BULKHEADS ETC1</v>
          </cell>
          <cell r="G20">
            <v>110</v>
          </cell>
          <cell r="I20">
            <v>110</v>
          </cell>
          <cell r="J20" t="str">
            <v>BULKHEADS ETC</v>
          </cell>
          <cell r="L20">
            <v>1</v>
          </cell>
        </row>
        <row r="21">
          <cell r="A21" t="str">
            <v>FLU0140</v>
          </cell>
          <cell r="B21" t="str">
            <v>Fluorescent 2x40</v>
          </cell>
          <cell r="C21" t="str">
            <v>2x40</v>
          </cell>
          <cell r="D21">
            <v>100</v>
          </cell>
          <cell r="F21" t="str">
            <v>METAL HALIDE 1000W FLOODLIGHT SHARED OR NO POLE1</v>
          </cell>
          <cell r="G21">
            <v>120</v>
          </cell>
          <cell r="I21">
            <v>120</v>
          </cell>
          <cell r="J21" t="str">
            <v xml:space="preserve">METAL HALIDE 1000W FLOODLIGHT </v>
          </cell>
          <cell r="K21" t="str">
            <v>SHARED OR NO POLE</v>
          </cell>
          <cell r="L21">
            <v>1</v>
          </cell>
        </row>
        <row r="22">
          <cell r="A22" t="str">
            <v>FLU0150</v>
          </cell>
          <cell r="B22" t="str">
            <v>Fluorescent 3x40</v>
          </cell>
          <cell r="C22" t="str">
            <v>3x40</v>
          </cell>
          <cell r="D22">
            <v>150</v>
          </cell>
          <cell r="F22" t="str">
            <v>HIGH PRESSURE SODIUM 50W TWIN ARCWOOD POLE1</v>
          </cell>
          <cell r="G22">
            <v>140</v>
          </cell>
          <cell r="I22">
            <v>140</v>
          </cell>
          <cell r="J22" t="str">
            <v>HIGH PRESSURE SODIUM 50W TWIN ARC</v>
          </cell>
          <cell r="K22" t="str">
            <v>WOOD POLE</v>
          </cell>
          <cell r="L22">
            <v>1</v>
          </cell>
        </row>
        <row r="23">
          <cell r="A23" t="str">
            <v>FLU0160</v>
          </cell>
          <cell r="B23" t="str">
            <v>Fluorescent 4x40</v>
          </cell>
          <cell r="C23" t="str">
            <v>4x40</v>
          </cell>
          <cell r="D23">
            <v>200</v>
          </cell>
          <cell r="F23" t="str">
            <v>HIGH PRESSURE SODIUM 70W TWIN ARCWOOD POLE1</v>
          </cell>
          <cell r="G23">
            <v>140</v>
          </cell>
          <cell r="I23">
            <v>140</v>
          </cell>
          <cell r="J23" t="str">
            <v>HIGH PRESSURE SODIUM 70W TWIN ARC</v>
          </cell>
          <cell r="K23" t="str">
            <v>WOOD POLE</v>
          </cell>
          <cell r="L23">
            <v>1</v>
          </cell>
        </row>
        <row r="24">
          <cell r="A24" t="str">
            <v>FLU0170</v>
          </cell>
          <cell r="B24" t="str">
            <v>Fluorescent 6x40</v>
          </cell>
          <cell r="C24" t="str">
            <v>6x40</v>
          </cell>
          <cell r="D24">
            <v>300</v>
          </cell>
          <cell r="F24" t="str">
            <v>35W LOW PRESSURE SODIUMWOOD POLE1</v>
          </cell>
          <cell r="G24">
            <v>150</v>
          </cell>
          <cell r="I24">
            <v>150</v>
          </cell>
          <cell r="J24" t="str">
            <v>35W LOW PRESSURE SODIUM</v>
          </cell>
          <cell r="K24" t="str">
            <v>WOOD POLE</v>
          </cell>
          <cell r="L24">
            <v>1</v>
          </cell>
        </row>
        <row r="25">
          <cell r="A25" t="str">
            <v>FLU0180</v>
          </cell>
          <cell r="B25" t="str">
            <v>Fluorescent 58</v>
          </cell>
          <cell r="C25">
            <v>58</v>
          </cell>
          <cell r="D25">
            <v>72</v>
          </cell>
          <cell r="F25" t="str">
            <v>HIGH PRESSURE SODIUM 50W TWIN ARCSTEEL POLE1</v>
          </cell>
          <cell r="G25">
            <v>170</v>
          </cell>
          <cell r="I25">
            <v>170</v>
          </cell>
          <cell r="J25" t="str">
            <v>HIGH PRESSURE SODIUM 50W TWIN ARC</v>
          </cell>
          <cell r="K25" t="str">
            <v>STEEL POLE</v>
          </cell>
          <cell r="L25">
            <v>1</v>
          </cell>
        </row>
        <row r="26">
          <cell r="A26" t="str">
            <v>FLU0190</v>
          </cell>
          <cell r="B26" t="str">
            <v>Fluorescent 2x58</v>
          </cell>
          <cell r="C26" t="str">
            <v>2x58</v>
          </cell>
          <cell r="D26">
            <v>144</v>
          </cell>
          <cell r="F26" t="str">
            <v>HIGH PRESSURE SODIUM 70W TWIN ARCSTEEL POLE1</v>
          </cell>
          <cell r="G26">
            <v>170</v>
          </cell>
          <cell r="I26">
            <v>170</v>
          </cell>
          <cell r="J26" t="str">
            <v>HIGH PRESSURE SODIUM 70W TWIN ARC</v>
          </cell>
          <cell r="K26" t="str">
            <v>STEEL POLE</v>
          </cell>
          <cell r="L26">
            <v>1</v>
          </cell>
        </row>
        <row r="27">
          <cell r="A27" t="str">
            <v>FLU0200</v>
          </cell>
          <cell r="B27" t="str">
            <v>Fluorescent 4x58</v>
          </cell>
          <cell r="C27" t="str">
            <v>4x58</v>
          </cell>
          <cell r="D27">
            <v>288</v>
          </cell>
          <cell r="F27" t="str">
            <v>35W LOW PRESSURE SODIUMSTEEL POLE1</v>
          </cell>
          <cell r="G27">
            <v>180</v>
          </cell>
          <cell r="I27">
            <v>180</v>
          </cell>
          <cell r="J27" t="str">
            <v>35W LOW PRESSURE SODIUM</v>
          </cell>
          <cell r="K27" t="str">
            <v>STEEL POLE</v>
          </cell>
          <cell r="L27">
            <v>1</v>
          </cell>
        </row>
        <row r="28">
          <cell r="A28" t="str">
            <v>FLU0210</v>
          </cell>
          <cell r="B28" t="str">
            <v>Fluorescent 5x58</v>
          </cell>
          <cell r="C28" t="str">
            <v>5x58</v>
          </cell>
          <cell r="D28">
            <v>360</v>
          </cell>
          <cell r="F28" t="str">
            <v>HIGH PRESSURE SODIUM 600W HIGH MASTSHARED OR NO POLE1</v>
          </cell>
          <cell r="G28">
            <v>190</v>
          </cell>
          <cell r="I28">
            <v>190</v>
          </cell>
          <cell r="J28" t="str">
            <v>HIGH PRESSURE SODIUM 600W HIGH MAST</v>
          </cell>
          <cell r="K28" t="str">
            <v>SHARED OR NO POLE</v>
          </cell>
          <cell r="L28">
            <v>1</v>
          </cell>
        </row>
        <row r="29">
          <cell r="A29" t="str">
            <v>FLU0220</v>
          </cell>
          <cell r="B29" t="str">
            <v>Fluorescent 65</v>
          </cell>
          <cell r="C29">
            <v>65</v>
          </cell>
          <cell r="D29">
            <v>81</v>
          </cell>
          <cell r="F29" t="str">
            <v>MERCURY VAPOUR 250W WOOD POLE1</v>
          </cell>
          <cell r="G29">
            <v>200</v>
          </cell>
          <cell r="I29">
            <v>200</v>
          </cell>
          <cell r="J29" t="str">
            <v xml:space="preserve">MERCURY VAPOUR 250W </v>
          </cell>
          <cell r="K29" t="str">
            <v>WOOD POLE</v>
          </cell>
          <cell r="L29">
            <v>1</v>
          </cell>
        </row>
        <row r="30">
          <cell r="A30" t="str">
            <v>FLU0230</v>
          </cell>
          <cell r="B30" t="str">
            <v>Fluorescent 5x65</v>
          </cell>
          <cell r="C30" t="str">
            <v>5x65</v>
          </cell>
          <cell r="D30">
            <v>405</v>
          </cell>
          <cell r="F30" t="str">
            <v>MERCURY VAPOUR 400WWOOD POLE1</v>
          </cell>
          <cell r="G30">
            <v>210</v>
          </cell>
          <cell r="I30">
            <v>210</v>
          </cell>
          <cell r="J30" t="str">
            <v>MERCURY VAPOUR 400W</v>
          </cell>
          <cell r="K30" t="str">
            <v>WOOD POLE</v>
          </cell>
          <cell r="L30">
            <v>1</v>
          </cell>
        </row>
        <row r="31">
          <cell r="A31" t="str">
            <v>FLU0240</v>
          </cell>
          <cell r="B31" t="str">
            <v>Fluorescent 80</v>
          </cell>
          <cell r="C31">
            <v>80</v>
          </cell>
          <cell r="D31">
            <v>90</v>
          </cell>
          <cell r="F31" t="str">
            <v>HIGH PRESSURE SODIUM 150WWOOD POLE1</v>
          </cell>
          <cell r="G31">
            <v>220</v>
          </cell>
          <cell r="I31">
            <v>220</v>
          </cell>
          <cell r="J31" t="str">
            <v>HIGH PRESSURE SODIUM 150W</v>
          </cell>
          <cell r="K31" t="str">
            <v>WOOD POLE</v>
          </cell>
          <cell r="L31">
            <v>1</v>
          </cell>
        </row>
        <row r="32">
          <cell r="A32" t="str">
            <v>FLU0250</v>
          </cell>
          <cell r="B32" t="str">
            <v>Fluorescent 2x80</v>
          </cell>
          <cell r="C32" t="str">
            <v>2x80</v>
          </cell>
          <cell r="D32">
            <v>180</v>
          </cell>
          <cell r="F32" t="str">
            <v>HIGH PRESSURE SODIUM 250W (210/220)WOOD POLE1</v>
          </cell>
          <cell r="G32">
            <v>230</v>
          </cell>
          <cell r="I32">
            <v>230</v>
          </cell>
          <cell r="J32" t="str">
            <v>HIGH PRESSURE SODIUM 250W (210/220)</v>
          </cell>
          <cell r="K32" t="str">
            <v>WOOD POLE</v>
          </cell>
          <cell r="L32">
            <v>1</v>
          </cell>
        </row>
        <row r="33">
          <cell r="A33" t="str">
            <v>FLU0260</v>
          </cell>
          <cell r="B33" t="str">
            <v>Fluorescent 3x80</v>
          </cell>
          <cell r="C33" t="str">
            <v>3x80</v>
          </cell>
          <cell r="D33">
            <v>270</v>
          </cell>
          <cell r="F33" t="str">
            <v>HIGH PRESSURE SODIUM 400W (310/360)WOOD POLE1</v>
          </cell>
          <cell r="G33">
            <v>240</v>
          </cell>
          <cell r="I33">
            <v>240</v>
          </cell>
          <cell r="J33" t="str">
            <v>HIGH PRESSURE SODIUM 400W (310/360)</v>
          </cell>
          <cell r="K33" t="str">
            <v>WOOD POLE</v>
          </cell>
          <cell r="L33">
            <v>1</v>
          </cell>
        </row>
        <row r="34">
          <cell r="A34" t="str">
            <v>FLU0270</v>
          </cell>
          <cell r="B34" t="str">
            <v>Fluorescent 4x80</v>
          </cell>
          <cell r="C34" t="str">
            <v>4x80</v>
          </cell>
          <cell r="D34">
            <v>360</v>
          </cell>
          <cell r="F34" t="str">
            <v>HIGH PRESSURE SODIUM 600W HIGH MASTWOOD POLE1</v>
          </cell>
          <cell r="G34">
            <v>250</v>
          </cell>
          <cell r="I34">
            <v>250</v>
          </cell>
          <cell r="J34" t="str">
            <v>HIGH PRESSURE SODIUM 600W HIGH MAST</v>
          </cell>
          <cell r="K34" t="str">
            <v>WOOD POLE</v>
          </cell>
          <cell r="L34">
            <v>1</v>
          </cell>
        </row>
        <row r="35">
          <cell r="A35" t="str">
            <v>FLU0280</v>
          </cell>
          <cell r="B35" t="str">
            <v>Fluorescent 5x80</v>
          </cell>
          <cell r="C35" t="str">
            <v>5x80</v>
          </cell>
          <cell r="D35">
            <v>450</v>
          </cell>
          <cell r="F35" t="str">
            <v>METAL HALIDE/HPS 400W FLOOD (310/360)R/BOUT COLUMN2</v>
          </cell>
          <cell r="G35">
            <v>260</v>
          </cell>
          <cell r="I35">
            <v>260</v>
          </cell>
          <cell r="J35" t="str">
            <v>METAL HALIDE/HPS 400W FLOOD (310/360)</v>
          </cell>
          <cell r="K35" t="str">
            <v>R/BOUT COLUMN</v>
          </cell>
          <cell r="L35">
            <v>2</v>
          </cell>
        </row>
        <row r="36">
          <cell r="A36" t="str">
            <v>FLU0290</v>
          </cell>
          <cell r="B36" t="str">
            <v>Fluorescent 6x80</v>
          </cell>
          <cell r="C36" t="str">
            <v>6x80</v>
          </cell>
          <cell r="D36">
            <v>540</v>
          </cell>
          <cell r="F36" t="str">
            <v>METAL HALIDE/HPS 400W FLOOD (310/360)R/BOUT COLUMN3</v>
          </cell>
          <cell r="G36">
            <v>270</v>
          </cell>
          <cell r="I36">
            <v>270</v>
          </cell>
          <cell r="J36" t="str">
            <v>METAL HALIDE/HPS 400W FLOOD (310/360)</v>
          </cell>
          <cell r="K36" t="str">
            <v>R/BOUT COLUMN</v>
          </cell>
          <cell r="L36">
            <v>3</v>
          </cell>
        </row>
        <row r="37">
          <cell r="A37" t="str">
            <v>FLU0300</v>
          </cell>
          <cell r="B37" t="str">
            <v>Fluorescent 2x125</v>
          </cell>
          <cell r="C37" t="str">
            <v>2x125</v>
          </cell>
          <cell r="D37">
            <v>280</v>
          </cell>
          <cell r="F37" t="str">
            <v>METAL HALIDE/HPS 400W FLOOD (310/360)R/BOUT COLUMN4</v>
          </cell>
          <cell r="G37">
            <v>280</v>
          </cell>
          <cell r="I37">
            <v>280</v>
          </cell>
          <cell r="J37" t="str">
            <v>METAL HALIDE/HPS 400W FLOOD (310/360)</v>
          </cell>
          <cell r="K37" t="str">
            <v>R/BOUT COLUMN</v>
          </cell>
          <cell r="L37">
            <v>4</v>
          </cell>
        </row>
        <row r="38">
          <cell r="A38" t="str">
            <v>FLU0310</v>
          </cell>
          <cell r="B38" t="str">
            <v>Fluorescent 176</v>
          </cell>
          <cell r="C38">
            <v>176</v>
          </cell>
          <cell r="D38">
            <v>200</v>
          </cell>
          <cell r="F38" t="str">
            <v>MERCURY VAPOUR 250W STEEL POLE1</v>
          </cell>
          <cell r="G38">
            <v>290</v>
          </cell>
          <cell r="I38">
            <v>290</v>
          </cell>
          <cell r="J38" t="str">
            <v xml:space="preserve">MERCURY VAPOUR 250W </v>
          </cell>
          <cell r="K38" t="str">
            <v>STEEL POLE</v>
          </cell>
          <cell r="L38">
            <v>1</v>
          </cell>
        </row>
        <row r="39">
          <cell r="A39" t="str">
            <v>FLU0320</v>
          </cell>
          <cell r="B39" t="str">
            <v>Fluorescent 236</v>
          </cell>
          <cell r="C39">
            <v>236</v>
          </cell>
          <cell r="D39">
            <v>275</v>
          </cell>
          <cell r="F39" t="str">
            <v>MERCURY VAPOUR 400WSTEEL POLE1</v>
          </cell>
          <cell r="G39">
            <v>300</v>
          </cell>
          <cell r="I39">
            <v>300</v>
          </cell>
          <cell r="J39" t="str">
            <v>MERCURY VAPOUR 400W</v>
          </cell>
          <cell r="K39" t="str">
            <v>STEEL POLE</v>
          </cell>
          <cell r="L39">
            <v>1</v>
          </cell>
        </row>
        <row r="40">
          <cell r="A40" t="str">
            <v>HPS0010</v>
          </cell>
          <cell r="B40" t="str">
            <v>High Pressure Sodium 50</v>
          </cell>
          <cell r="C40">
            <v>50</v>
          </cell>
          <cell r="D40">
            <v>60</v>
          </cell>
          <cell r="F40" t="str">
            <v>HIGH PRESSURE SODIUM 150WSTEEL POLE1</v>
          </cell>
          <cell r="G40">
            <v>310</v>
          </cell>
          <cell r="I40">
            <v>310</v>
          </cell>
          <cell r="J40" t="str">
            <v>HIGH PRESSURE SODIUM 150W</v>
          </cell>
          <cell r="K40" t="str">
            <v>STEEL POLE</v>
          </cell>
          <cell r="L40">
            <v>1</v>
          </cell>
        </row>
        <row r="41">
          <cell r="A41" t="str">
            <v>HPS0020</v>
          </cell>
          <cell r="B41" t="str">
            <v>High Pressure Sodium 70</v>
          </cell>
          <cell r="C41">
            <v>70</v>
          </cell>
          <cell r="D41">
            <v>86</v>
          </cell>
          <cell r="F41" t="str">
            <v>HIGH PRESSURE SODIUM 250W (210/220)STEEL POLE1</v>
          </cell>
          <cell r="G41">
            <v>320</v>
          </cell>
          <cell r="I41">
            <v>320</v>
          </cell>
          <cell r="J41" t="str">
            <v>HIGH PRESSURE SODIUM 250W (210/220)</v>
          </cell>
          <cell r="K41" t="str">
            <v>STEEL POLE</v>
          </cell>
          <cell r="L41">
            <v>1</v>
          </cell>
        </row>
        <row r="42">
          <cell r="A42" t="str">
            <v>HPS0030</v>
          </cell>
          <cell r="B42" t="str">
            <v>High Pressure Sodium 2x70</v>
          </cell>
          <cell r="C42" t="str">
            <v>2x70</v>
          </cell>
          <cell r="D42">
            <v>172</v>
          </cell>
          <cell r="F42" t="str">
            <v>HIGH PRESSURE SODIUM 400W (310/360)STEEL POLE1</v>
          </cell>
          <cell r="G42">
            <v>330</v>
          </cell>
          <cell r="I42">
            <v>330</v>
          </cell>
          <cell r="J42" t="str">
            <v>HIGH PRESSURE SODIUM 400W (310/360)</v>
          </cell>
          <cell r="K42" t="str">
            <v>STEEL POLE</v>
          </cell>
          <cell r="L42">
            <v>1</v>
          </cell>
        </row>
        <row r="43">
          <cell r="A43" t="str">
            <v>HPS0040</v>
          </cell>
          <cell r="B43" t="str">
            <v>High Pressure Sodium 3x70</v>
          </cell>
          <cell r="C43" t="str">
            <v>3x70</v>
          </cell>
          <cell r="D43">
            <v>258</v>
          </cell>
          <cell r="F43" t="str">
            <v>HIGH PRESSURE SODIUM 600W HIGH MASTSTEEL POLE1</v>
          </cell>
          <cell r="G43">
            <v>340</v>
          </cell>
          <cell r="I43">
            <v>340</v>
          </cell>
          <cell r="J43" t="str">
            <v>HIGH PRESSURE SODIUM 600W HIGH MAST</v>
          </cell>
          <cell r="K43" t="str">
            <v>STEEL POLE</v>
          </cell>
          <cell r="L43">
            <v>1</v>
          </cell>
        </row>
        <row r="44">
          <cell r="A44" t="str">
            <v>HPS0050</v>
          </cell>
          <cell r="B44" t="str">
            <v>High Pressure Sodium 4x70</v>
          </cell>
          <cell r="C44" t="str">
            <v>4x70</v>
          </cell>
          <cell r="D44">
            <v>344</v>
          </cell>
          <cell r="F44" t="str">
            <v>HIGH PRESSURE SODIUM 70W (100)WOOD POLE1</v>
          </cell>
          <cell r="G44">
            <v>350</v>
          </cell>
          <cell r="I44">
            <v>350</v>
          </cell>
          <cell r="J44" t="str">
            <v>HIGH PRESSURE SODIUM 70W (100)</v>
          </cell>
          <cell r="K44" t="str">
            <v>WOOD POLE</v>
          </cell>
          <cell r="L44">
            <v>1</v>
          </cell>
        </row>
        <row r="45">
          <cell r="A45" t="str">
            <v>HPS0060</v>
          </cell>
          <cell r="B45" t="str">
            <v>High Pressure Sodium 8x70</v>
          </cell>
          <cell r="C45" t="str">
            <v>8x70</v>
          </cell>
          <cell r="D45">
            <v>688</v>
          </cell>
          <cell r="F45" t="str">
            <v>HIGH PRESSURE SODIUM 70W (100)STEEL POLE1</v>
          </cell>
          <cell r="G45">
            <v>360</v>
          </cell>
          <cell r="I45">
            <v>360</v>
          </cell>
          <cell r="J45" t="str">
            <v>HIGH PRESSURE SODIUM 70W (100)</v>
          </cell>
          <cell r="K45" t="str">
            <v>STEEL POLE</v>
          </cell>
          <cell r="L45">
            <v>1</v>
          </cell>
        </row>
        <row r="46">
          <cell r="A46" t="str">
            <v>HPS0070</v>
          </cell>
          <cell r="B46" t="str">
            <v>High Pressure Sodium 100</v>
          </cell>
          <cell r="C46">
            <v>100</v>
          </cell>
          <cell r="D46">
            <v>120</v>
          </cell>
          <cell r="F46" t="str">
            <v>MERCURY VAPOUR 250W STEEL POLE2</v>
          </cell>
          <cell r="G46">
            <v>370</v>
          </cell>
          <cell r="I46">
            <v>370</v>
          </cell>
          <cell r="J46" t="str">
            <v xml:space="preserve">MERCURY VAPOUR 250W </v>
          </cell>
          <cell r="K46" t="str">
            <v>STEEL POLE</v>
          </cell>
          <cell r="L46">
            <v>2</v>
          </cell>
        </row>
        <row r="47">
          <cell r="A47" t="str">
            <v>HPS0080</v>
          </cell>
          <cell r="B47" t="str">
            <v>High Pressure Sodium 120</v>
          </cell>
          <cell r="C47">
            <v>120</v>
          </cell>
          <cell r="D47">
            <v>144</v>
          </cell>
          <cell r="F47" t="str">
            <v>MERCURY VAPOUR 400WSTEEL POLE2</v>
          </cell>
          <cell r="G47">
            <v>380</v>
          </cell>
          <cell r="I47">
            <v>380</v>
          </cell>
          <cell r="J47" t="str">
            <v>MERCURY VAPOUR 400W</v>
          </cell>
          <cell r="K47" t="str">
            <v>STEEL POLE</v>
          </cell>
          <cell r="L47">
            <v>2</v>
          </cell>
        </row>
        <row r="48">
          <cell r="A48" t="str">
            <v>HPS0090</v>
          </cell>
          <cell r="B48" t="str">
            <v>High Pressure Sodium 150</v>
          </cell>
          <cell r="C48">
            <v>150</v>
          </cell>
          <cell r="D48">
            <v>173</v>
          </cell>
          <cell r="F48" t="str">
            <v>HIGH PRESSURE SODIUM 250W (210/220)STEEL POLE2</v>
          </cell>
          <cell r="G48">
            <v>390</v>
          </cell>
          <cell r="I48">
            <v>390</v>
          </cell>
          <cell r="J48" t="str">
            <v>HIGH PRESSURE SODIUM 250W (210/220)</v>
          </cell>
          <cell r="K48" t="str">
            <v>STEEL POLE</v>
          </cell>
          <cell r="L48">
            <v>2</v>
          </cell>
        </row>
        <row r="49">
          <cell r="A49" t="str">
            <v>HPS0100</v>
          </cell>
          <cell r="B49" t="str">
            <v>High Pressure Sodium 220</v>
          </cell>
          <cell r="C49">
            <v>220</v>
          </cell>
          <cell r="D49">
            <v>245</v>
          </cell>
          <cell r="F49" t="str">
            <v>HIGH PRESSURE SODIUM 400W (310/360)STEEL POLE2</v>
          </cell>
          <cell r="G49">
            <v>400</v>
          </cell>
          <cell r="I49">
            <v>400</v>
          </cell>
          <cell r="J49" t="str">
            <v>HIGH PRESSURE SODIUM 400W (310/360)</v>
          </cell>
          <cell r="K49" t="str">
            <v>STEEL POLE</v>
          </cell>
          <cell r="L49">
            <v>2</v>
          </cell>
        </row>
        <row r="50">
          <cell r="A50" t="str">
            <v>HPS0110</v>
          </cell>
          <cell r="B50" t="str">
            <v>High Pressure Sodium 250</v>
          </cell>
          <cell r="C50">
            <v>250</v>
          </cell>
          <cell r="D50">
            <v>273</v>
          </cell>
          <cell r="F50" t="str">
            <v>MERCURY VAPOUR 250W STEEL POLE3</v>
          </cell>
          <cell r="G50">
            <v>410</v>
          </cell>
          <cell r="I50">
            <v>410</v>
          </cell>
          <cell r="J50" t="str">
            <v xml:space="preserve">MERCURY VAPOUR 250W </v>
          </cell>
          <cell r="K50" t="str">
            <v>STEEL POLE</v>
          </cell>
          <cell r="L50">
            <v>3</v>
          </cell>
        </row>
        <row r="51">
          <cell r="A51" t="str">
            <v>HPS0120</v>
          </cell>
          <cell r="B51" t="str">
            <v>High Pressure Sodium 2x250</v>
          </cell>
          <cell r="C51" t="str">
            <v>2x250</v>
          </cell>
          <cell r="D51">
            <v>546</v>
          </cell>
          <cell r="F51" t="str">
            <v>MERCURY VAPOUR 400WSTEEL POLE3</v>
          </cell>
          <cell r="G51">
            <v>420</v>
          </cell>
          <cell r="I51">
            <v>420</v>
          </cell>
          <cell r="J51" t="str">
            <v>MERCURY VAPOUR 400W</v>
          </cell>
          <cell r="K51" t="str">
            <v>STEEL POLE</v>
          </cell>
          <cell r="L51">
            <v>3</v>
          </cell>
        </row>
        <row r="52">
          <cell r="A52" t="str">
            <v>HPS0130</v>
          </cell>
          <cell r="B52" t="str">
            <v>High Pressure Sodium 4x250</v>
          </cell>
          <cell r="C52" t="str">
            <v>4x250</v>
          </cell>
          <cell r="D52">
            <v>1092</v>
          </cell>
          <cell r="F52" t="str">
            <v>HIGH PRESSURE SODIUM 250W (210/220)STEEL POLE3</v>
          </cell>
          <cell r="G52">
            <v>430</v>
          </cell>
          <cell r="I52">
            <v>430</v>
          </cell>
          <cell r="J52" t="str">
            <v>HIGH PRESSURE SODIUM 250W (210/220)</v>
          </cell>
          <cell r="K52" t="str">
            <v>STEEL POLE</v>
          </cell>
          <cell r="L52">
            <v>3</v>
          </cell>
        </row>
        <row r="53">
          <cell r="A53" t="str">
            <v>HPS0140</v>
          </cell>
          <cell r="B53" t="str">
            <v>High Pressure Sodium 310 (Retrofit)</v>
          </cell>
          <cell r="C53" t="str">
            <v>310 (Retrofit)</v>
          </cell>
          <cell r="D53">
            <v>350</v>
          </cell>
          <cell r="F53" t="str">
            <v>HIGH PRESSURE SODIUM 400W (310/360)STEEL POLE3</v>
          </cell>
          <cell r="G53">
            <v>440</v>
          </cell>
          <cell r="I53">
            <v>440</v>
          </cell>
          <cell r="J53" t="str">
            <v>HIGH PRESSURE SODIUM 400W (310/360)</v>
          </cell>
          <cell r="K53" t="str">
            <v>STEEL POLE</v>
          </cell>
          <cell r="L53">
            <v>3</v>
          </cell>
        </row>
        <row r="54">
          <cell r="A54" t="str">
            <v>HPS0150</v>
          </cell>
          <cell r="B54" t="str">
            <v>High Pressure Sodium 2x310</v>
          </cell>
          <cell r="C54" t="str">
            <v>2x310</v>
          </cell>
          <cell r="D54">
            <v>700</v>
          </cell>
          <cell r="F54" t="str">
            <v>MERCURY VAPOUR 250W STEEL POLE4</v>
          </cell>
          <cell r="G54">
            <v>450</v>
          </cell>
          <cell r="I54">
            <v>450</v>
          </cell>
          <cell r="J54" t="str">
            <v xml:space="preserve">MERCURY VAPOUR 250W </v>
          </cell>
          <cell r="K54" t="str">
            <v>STEEL POLE</v>
          </cell>
          <cell r="L54">
            <v>4</v>
          </cell>
        </row>
        <row r="55">
          <cell r="A55" t="str">
            <v>HPS0160</v>
          </cell>
          <cell r="B55" t="str">
            <v>High Pressure Sodium 360</v>
          </cell>
          <cell r="C55">
            <v>360</v>
          </cell>
          <cell r="D55">
            <v>396</v>
          </cell>
          <cell r="F55" t="str">
            <v>MERCURY VAPOUR 400W STEEL POLE4</v>
          </cell>
          <cell r="G55">
            <v>460</v>
          </cell>
          <cell r="I55">
            <v>460</v>
          </cell>
          <cell r="J55" t="str">
            <v xml:space="preserve">MERCURY VAPOUR 400W </v>
          </cell>
          <cell r="K55" t="str">
            <v>STEEL POLE</v>
          </cell>
          <cell r="L55">
            <v>4</v>
          </cell>
        </row>
        <row r="56">
          <cell r="A56" t="str">
            <v>HPS0170</v>
          </cell>
          <cell r="B56" t="str">
            <v>High Pressure Sodium 400</v>
          </cell>
          <cell r="C56">
            <v>400</v>
          </cell>
          <cell r="D56">
            <v>440</v>
          </cell>
          <cell r="F56" t="str">
            <v>HIGH PRESSURE SODIUM 250W (210/220)STEEL POLE4</v>
          </cell>
          <cell r="G56">
            <v>470</v>
          </cell>
          <cell r="I56">
            <v>470</v>
          </cell>
          <cell r="J56" t="str">
            <v>HIGH PRESSURE SODIUM 250W (210/220)</v>
          </cell>
          <cell r="K56" t="str">
            <v>STEEL POLE</v>
          </cell>
          <cell r="L56">
            <v>4</v>
          </cell>
        </row>
        <row r="57">
          <cell r="A57" t="str">
            <v>HPS0180</v>
          </cell>
          <cell r="B57" t="str">
            <v>High Pressure Sodium 2x400</v>
          </cell>
          <cell r="C57" t="str">
            <v>2x400</v>
          </cell>
          <cell r="D57">
            <v>880</v>
          </cell>
          <cell r="F57" t="str">
            <v>HIGH PRESSURE SODIUM 400W (310/360)STEEL POLE4</v>
          </cell>
          <cell r="G57">
            <v>480</v>
          </cell>
          <cell r="I57">
            <v>480</v>
          </cell>
          <cell r="J57" t="str">
            <v>HIGH PRESSURE SODIUM 400W (310/360)</v>
          </cell>
          <cell r="K57" t="str">
            <v>STEEL POLE</v>
          </cell>
          <cell r="L57">
            <v>4</v>
          </cell>
        </row>
        <row r="58">
          <cell r="A58" t="str">
            <v>HPS0190</v>
          </cell>
          <cell r="B58" t="str">
            <v>High Pressure Sodium 3x400</v>
          </cell>
          <cell r="C58" t="str">
            <v>3x400</v>
          </cell>
          <cell r="D58">
            <v>1320</v>
          </cell>
          <cell r="F58" t="str">
            <v>MERCURY VAPOUR 250W R/BOUT COLUMN2</v>
          </cell>
          <cell r="G58">
            <v>490</v>
          </cell>
          <cell r="I58">
            <v>490</v>
          </cell>
          <cell r="J58" t="str">
            <v xml:space="preserve">MERCURY VAPOUR 250W </v>
          </cell>
          <cell r="K58" t="str">
            <v>R/BOUT COLUMN</v>
          </cell>
          <cell r="L58">
            <v>2</v>
          </cell>
        </row>
        <row r="59">
          <cell r="A59" t="str">
            <v>HPS0200</v>
          </cell>
          <cell r="B59" t="str">
            <v>High Pressure Sodium 4x400</v>
          </cell>
          <cell r="C59" t="str">
            <v>4x400</v>
          </cell>
          <cell r="D59">
            <v>1760</v>
          </cell>
          <cell r="F59" t="str">
            <v>MERCURY VAPOUR 400WR/BOUT COLUMN2</v>
          </cell>
          <cell r="G59">
            <v>500</v>
          </cell>
          <cell r="I59">
            <v>500</v>
          </cell>
          <cell r="J59" t="str">
            <v>MERCURY VAPOUR 400W</v>
          </cell>
          <cell r="K59" t="str">
            <v>R/BOUT COLUMN</v>
          </cell>
          <cell r="L59">
            <v>2</v>
          </cell>
        </row>
        <row r="60">
          <cell r="A60" t="str">
            <v>HPS0210</v>
          </cell>
          <cell r="B60" t="str">
            <v>High Pressure Sodium 600 (Internal Ignitor)</v>
          </cell>
          <cell r="C60" t="str">
            <v>600 (Internal Ignitor)</v>
          </cell>
          <cell r="D60">
            <v>650</v>
          </cell>
          <cell r="F60" t="str">
            <v>HIGH PRESSURE SODIUM 250W (210/220)R/BOUT COLUMN2</v>
          </cell>
          <cell r="G60">
            <v>510</v>
          </cell>
          <cell r="I60">
            <v>510</v>
          </cell>
          <cell r="J60" t="str">
            <v>HIGH PRESSURE SODIUM 250W (210/220)</v>
          </cell>
          <cell r="K60" t="str">
            <v>R/BOUT COLUMN</v>
          </cell>
          <cell r="L60">
            <v>2</v>
          </cell>
        </row>
        <row r="61">
          <cell r="A61" t="str">
            <v>HPS0220</v>
          </cell>
          <cell r="B61" t="str">
            <v>High Pressure Sodium 2x600</v>
          </cell>
          <cell r="C61" t="str">
            <v>2x600</v>
          </cell>
          <cell r="D61">
            <v>1300</v>
          </cell>
          <cell r="F61" t="str">
            <v>HIGH PRESSURE SODIUM 400W (310/360)R/BOUT COLUMN2</v>
          </cell>
          <cell r="G61">
            <v>520</v>
          </cell>
          <cell r="I61">
            <v>520</v>
          </cell>
          <cell r="J61" t="str">
            <v>HIGH PRESSURE SODIUM 400W (310/360)</v>
          </cell>
          <cell r="K61" t="str">
            <v>R/BOUT COLUMN</v>
          </cell>
          <cell r="L61">
            <v>2</v>
          </cell>
        </row>
        <row r="62">
          <cell r="A62" t="str">
            <v>HPS0230</v>
          </cell>
          <cell r="B62" t="str">
            <v>High Pressure Sodium 4x600</v>
          </cell>
          <cell r="C62" t="str">
            <v>4x600</v>
          </cell>
          <cell r="D62">
            <v>2600</v>
          </cell>
          <cell r="F62" t="str">
            <v>MERCURY VAPOUR 250W R/BOUT COLUMN3</v>
          </cell>
          <cell r="G62">
            <v>530</v>
          </cell>
          <cell r="I62">
            <v>530</v>
          </cell>
          <cell r="J62" t="str">
            <v xml:space="preserve">MERCURY VAPOUR 250W </v>
          </cell>
          <cell r="K62" t="str">
            <v>R/BOUT COLUMN</v>
          </cell>
          <cell r="L62">
            <v>3</v>
          </cell>
        </row>
        <row r="63">
          <cell r="A63" t="str">
            <v>HPS0240</v>
          </cell>
          <cell r="B63" t="str">
            <v>High Pressure Sodium 6x600</v>
          </cell>
          <cell r="C63" t="str">
            <v>6x600</v>
          </cell>
          <cell r="D63">
            <v>3900</v>
          </cell>
          <cell r="F63" t="str">
            <v>MERCURY VAPOUR 400WR/BOUT COLUMN3</v>
          </cell>
          <cell r="G63">
            <v>540</v>
          </cell>
          <cell r="I63">
            <v>540</v>
          </cell>
          <cell r="J63" t="str">
            <v>MERCURY VAPOUR 400W</v>
          </cell>
          <cell r="K63" t="str">
            <v>R/BOUT COLUMN</v>
          </cell>
          <cell r="L63">
            <v>3</v>
          </cell>
        </row>
        <row r="64">
          <cell r="A64" t="str">
            <v>HPS0250</v>
          </cell>
          <cell r="B64" t="str">
            <v>High Pressure Sodium 1000</v>
          </cell>
          <cell r="C64">
            <v>1000</v>
          </cell>
          <cell r="D64">
            <v>1064</v>
          </cell>
          <cell r="F64" t="str">
            <v>HIGH PRESSURE SODIUM 250W (210/220)R/BOUT COLUMN3</v>
          </cell>
          <cell r="G64">
            <v>550</v>
          </cell>
          <cell r="I64">
            <v>550</v>
          </cell>
          <cell r="J64" t="str">
            <v>HIGH PRESSURE SODIUM 250W (210/220)</v>
          </cell>
          <cell r="K64" t="str">
            <v>R/BOUT COLUMN</v>
          </cell>
          <cell r="L64">
            <v>3</v>
          </cell>
        </row>
        <row r="65">
          <cell r="A65" t="str">
            <v>HPS0260</v>
          </cell>
          <cell r="B65" t="str">
            <v>High Pressure Sodium 4x1000</v>
          </cell>
          <cell r="C65" t="str">
            <v>4x1000</v>
          </cell>
          <cell r="D65">
            <v>4256</v>
          </cell>
          <cell r="F65" t="str">
            <v>HIGH PRESSURE SODIUM 400W (310/360)R/BOUT COLUMN3</v>
          </cell>
          <cell r="G65">
            <v>560</v>
          </cell>
          <cell r="I65">
            <v>560</v>
          </cell>
          <cell r="J65" t="str">
            <v>HIGH PRESSURE SODIUM 400W (310/360)</v>
          </cell>
          <cell r="K65" t="str">
            <v>R/BOUT COLUMN</v>
          </cell>
          <cell r="L65">
            <v>3</v>
          </cell>
        </row>
        <row r="66">
          <cell r="A66" t="str">
            <v>INC0010</v>
          </cell>
          <cell r="B66" t="str">
            <v>Incandescent 30</v>
          </cell>
          <cell r="C66">
            <v>30</v>
          </cell>
          <cell r="D66">
            <v>30</v>
          </cell>
          <cell r="F66" t="str">
            <v>MERCURY VAPOUR 250W R/BOUT COLUMN4</v>
          </cell>
          <cell r="G66">
            <v>570</v>
          </cell>
          <cell r="I66">
            <v>570</v>
          </cell>
          <cell r="J66" t="str">
            <v xml:space="preserve">MERCURY VAPOUR 250W </v>
          </cell>
          <cell r="K66" t="str">
            <v>R/BOUT COLUMN</v>
          </cell>
          <cell r="L66">
            <v>4</v>
          </cell>
        </row>
        <row r="67">
          <cell r="A67" t="str">
            <v>INC0020</v>
          </cell>
          <cell r="B67" t="str">
            <v>Incandescent 40</v>
          </cell>
          <cell r="C67">
            <v>40</v>
          </cell>
          <cell r="D67">
            <v>40</v>
          </cell>
          <cell r="F67" t="str">
            <v>MERCURY VAPOUR 400WR/BOUT COLUMN4</v>
          </cell>
          <cell r="G67">
            <v>580</v>
          </cell>
          <cell r="I67">
            <v>580</v>
          </cell>
          <cell r="J67" t="str">
            <v>MERCURY VAPOUR 400W</v>
          </cell>
          <cell r="K67" t="str">
            <v>R/BOUT COLUMN</v>
          </cell>
          <cell r="L67">
            <v>4</v>
          </cell>
        </row>
        <row r="68">
          <cell r="A68" t="str">
            <v>INC0030</v>
          </cell>
          <cell r="B68" t="str">
            <v>Incandescent 60</v>
          </cell>
          <cell r="C68">
            <v>60</v>
          </cell>
          <cell r="D68">
            <v>60</v>
          </cell>
          <cell r="F68" t="str">
            <v>HIGH PRESSURE SODIUM 250W (210/220)R/BOUT COLUMN4</v>
          </cell>
          <cell r="G68">
            <v>590</v>
          </cell>
          <cell r="I68">
            <v>590</v>
          </cell>
          <cell r="J68" t="str">
            <v>HIGH PRESSURE SODIUM 250W (210/220)</v>
          </cell>
          <cell r="K68" t="str">
            <v>R/BOUT COLUMN</v>
          </cell>
          <cell r="L68">
            <v>4</v>
          </cell>
        </row>
        <row r="69">
          <cell r="A69" t="str">
            <v>INC0040</v>
          </cell>
          <cell r="B69" t="str">
            <v>Incandescent 75</v>
          </cell>
          <cell r="C69">
            <v>75</v>
          </cell>
          <cell r="D69">
            <v>75</v>
          </cell>
          <cell r="F69" t="str">
            <v>HIGH PRESSURE SODIUM 400W (310/360)R/BOUT COLUMN4</v>
          </cell>
          <cell r="G69">
            <v>600</v>
          </cell>
          <cell r="I69">
            <v>600</v>
          </cell>
          <cell r="J69" t="str">
            <v>HIGH PRESSURE SODIUM 400W (310/360)</v>
          </cell>
          <cell r="K69" t="str">
            <v>R/BOUT COLUMN</v>
          </cell>
          <cell r="L69">
            <v>4</v>
          </cell>
        </row>
        <row r="70">
          <cell r="A70" t="str">
            <v>INC0050</v>
          </cell>
          <cell r="B70" t="str">
            <v>Incandescent 100</v>
          </cell>
          <cell r="C70">
            <v>100</v>
          </cell>
          <cell r="D70">
            <v>100</v>
          </cell>
          <cell r="F70" t="str">
            <v>METAL HALIDE/HPS 250W FLOOD (210/220)SHARED OR NO POLE1</v>
          </cell>
          <cell r="G70">
            <v>610</v>
          </cell>
          <cell r="I70">
            <v>610</v>
          </cell>
          <cell r="J70" t="str">
            <v>METAL HALIDE/HPS 250W FLOOD (210/220)</v>
          </cell>
          <cell r="K70" t="str">
            <v>SHARED OR NO POLE</v>
          </cell>
          <cell r="L70">
            <v>1</v>
          </cell>
        </row>
        <row r="71">
          <cell r="A71" t="str">
            <v>INC0060</v>
          </cell>
          <cell r="B71" t="str">
            <v>Incandescent 3x100</v>
          </cell>
          <cell r="C71" t="str">
            <v>3x100</v>
          </cell>
          <cell r="D71">
            <v>300</v>
          </cell>
          <cell r="F71" t="str">
            <v>METAL HALIDE/HPS 400W FLOOD (310/360)SHARED OR NO POLE1</v>
          </cell>
          <cell r="G71">
            <v>620</v>
          </cell>
          <cell r="I71">
            <v>620</v>
          </cell>
          <cell r="J71" t="str">
            <v>METAL HALIDE/HPS 400W FLOOD (310/360)</v>
          </cell>
          <cell r="K71" t="str">
            <v>SHARED OR NO POLE</v>
          </cell>
          <cell r="L71">
            <v>1</v>
          </cell>
        </row>
        <row r="72">
          <cell r="A72" t="str">
            <v>INC0070</v>
          </cell>
          <cell r="B72" t="str">
            <v>Incandescent 130</v>
          </cell>
          <cell r="C72">
            <v>130</v>
          </cell>
          <cell r="D72">
            <v>130</v>
          </cell>
          <cell r="F72" t="str">
            <v>METAL HALIDE/HPS 250W FLOOD (210/220)SHARED OR NO POLE1</v>
          </cell>
          <cell r="G72">
            <v>630</v>
          </cell>
          <cell r="I72">
            <v>630</v>
          </cell>
          <cell r="J72" t="str">
            <v>METAL HALIDE/HPS 250W FLOOD (210/220)</v>
          </cell>
          <cell r="K72" t="str">
            <v>SHARED OR NO POLE</v>
          </cell>
          <cell r="L72">
            <v>1</v>
          </cell>
        </row>
        <row r="73">
          <cell r="A73" t="str">
            <v>INC0080</v>
          </cell>
          <cell r="B73" t="str">
            <v>Incandescent 150</v>
          </cell>
          <cell r="C73">
            <v>150</v>
          </cell>
          <cell r="D73">
            <v>150</v>
          </cell>
          <cell r="F73" t="str">
            <v>METAL HALIDE/HPS 400W FLOOD (310/360)SHARED OR NO POLE1</v>
          </cell>
          <cell r="G73">
            <v>640</v>
          </cell>
          <cell r="I73">
            <v>640</v>
          </cell>
          <cell r="J73" t="str">
            <v>METAL HALIDE/HPS 400W FLOOD (310/360)</v>
          </cell>
          <cell r="K73" t="str">
            <v>SHARED OR NO POLE</v>
          </cell>
          <cell r="L73">
            <v>1</v>
          </cell>
        </row>
        <row r="74">
          <cell r="A74" t="str">
            <v>INC0090</v>
          </cell>
          <cell r="B74" t="str">
            <v>Incandescent 200</v>
          </cell>
          <cell r="C74">
            <v>200</v>
          </cell>
          <cell r="D74">
            <v>200</v>
          </cell>
          <cell r="F74" t="str">
            <v>METAL HALIDE/HPS 250W FLOOD (210/220)SHARED OR NO POLE2</v>
          </cell>
          <cell r="G74">
            <v>650</v>
          </cell>
          <cell r="I74">
            <v>650</v>
          </cell>
          <cell r="J74" t="str">
            <v>METAL HALIDE/HPS 250W FLOOD (210/220)</v>
          </cell>
          <cell r="K74" t="str">
            <v>SHARED OR NO POLE</v>
          </cell>
          <cell r="L74">
            <v>2</v>
          </cell>
        </row>
        <row r="75">
          <cell r="A75" t="str">
            <v>INC0100</v>
          </cell>
          <cell r="B75" t="str">
            <v>Incandescent 300</v>
          </cell>
          <cell r="C75">
            <v>300</v>
          </cell>
          <cell r="D75">
            <v>300</v>
          </cell>
          <cell r="F75" t="str">
            <v>METAL HALIDE/HPS 400W FLOOD (310/360)SHARED OR NO POLE2</v>
          </cell>
          <cell r="G75">
            <v>660</v>
          </cell>
          <cell r="I75">
            <v>660</v>
          </cell>
          <cell r="J75" t="str">
            <v>METAL HALIDE/HPS 400W FLOOD (310/360)</v>
          </cell>
          <cell r="K75" t="str">
            <v>SHARED OR NO POLE</v>
          </cell>
          <cell r="L75">
            <v>2</v>
          </cell>
        </row>
        <row r="76">
          <cell r="A76" t="str">
            <v>INC0110</v>
          </cell>
          <cell r="B76" t="str">
            <v>Incandescent 500</v>
          </cell>
          <cell r="C76">
            <v>500</v>
          </cell>
          <cell r="D76">
            <v>500</v>
          </cell>
          <cell r="F76" t="str">
            <v>METAL HALIDE/HPS 250W FLOOD (210/220)SHARED OR NO POLE2</v>
          </cell>
          <cell r="G76">
            <v>670</v>
          </cell>
          <cell r="I76">
            <v>670</v>
          </cell>
          <cell r="J76" t="str">
            <v>METAL HALIDE/HPS 250W FLOOD (210/220)</v>
          </cell>
          <cell r="K76" t="str">
            <v>SHARED OR NO POLE</v>
          </cell>
          <cell r="L76">
            <v>2</v>
          </cell>
        </row>
        <row r="77">
          <cell r="A77" t="str">
            <v>INC0120</v>
          </cell>
          <cell r="B77" t="str">
            <v>Incandescent 750</v>
          </cell>
          <cell r="C77">
            <v>750</v>
          </cell>
          <cell r="D77">
            <v>750</v>
          </cell>
          <cell r="F77" t="str">
            <v>METAL HALIDE/HPS 400W FLOOD (310/360)SHARED OR NO POLE2</v>
          </cell>
          <cell r="G77">
            <v>680</v>
          </cell>
          <cell r="I77">
            <v>680</v>
          </cell>
          <cell r="J77" t="str">
            <v>METAL HALIDE/HPS 400W FLOOD (310/360)</v>
          </cell>
          <cell r="K77" t="str">
            <v>SHARED OR NO POLE</v>
          </cell>
          <cell r="L77">
            <v>2</v>
          </cell>
        </row>
        <row r="78">
          <cell r="A78" t="str">
            <v>INC0130</v>
          </cell>
          <cell r="B78" t="str">
            <v>Incandescent 800</v>
          </cell>
          <cell r="C78">
            <v>800</v>
          </cell>
          <cell r="D78">
            <v>800</v>
          </cell>
          <cell r="F78" t="str">
            <v>HIGH PRESSURE SODIUM 150WSTEEL POLE2</v>
          </cell>
          <cell r="G78">
            <v>690</v>
          </cell>
          <cell r="I78">
            <v>690</v>
          </cell>
          <cell r="J78" t="str">
            <v>HIGH PRESSURE SODIUM 150W</v>
          </cell>
          <cell r="K78" t="str">
            <v>STEEL POLE</v>
          </cell>
          <cell r="L78">
            <v>2</v>
          </cell>
        </row>
        <row r="79">
          <cell r="A79" t="str">
            <v>INC0140</v>
          </cell>
          <cell r="B79" t="str">
            <v>Incandescent 1000</v>
          </cell>
          <cell r="C79">
            <v>1000</v>
          </cell>
          <cell r="D79">
            <v>1000</v>
          </cell>
          <cell r="F79" t="str">
            <v>HIGH PRESSURE SODIUM 600W HIGH MASTWOOD POLE2</v>
          </cell>
          <cell r="G79">
            <v>700</v>
          </cell>
          <cell r="I79">
            <v>700</v>
          </cell>
          <cell r="J79" t="str">
            <v>HIGH PRESSURE SODIUM 600W HIGH MAST</v>
          </cell>
          <cell r="K79" t="str">
            <v>WOOD POLE</v>
          </cell>
          <cell r="L79">
            <v>2</v>
          </cell>
        </row>
        <row r="80">
          <cell r="A80" t="str">
            <v>INC0150</v>
          </cell>
          <cell r="B80" t="str">
            <v>Incandescent 1440</v>
          </cell>
          <cell r="C80">
            <v>1440</v>
          </cell>
          <cell r="D80">
            <v>1440</v>
          </cell>
          <cell r="F80" t="str">
            <v>HIGH PRESSURE SODIUM 150WSTEEL POLE3</v>
          </cell>
          <cell r="G80">
            <v>710</v>
          </cell>
          <cell r="I80">
            <v>710</v>
          </cell>
          <cell r="J80" t="str">
            <v>HIGH PRESSURE SODIUM 150W</v>
          </cell>
          <cell r="K80" t="str">
            <v>STEEL POLE</v>
          </cell>
          <cell r="L80">
            <v>3</v>
          </cell>
        </row>
        <row r="81">
          <cell r="A81" t="str">
            <v>INC0160</v>
          </cell>
          <cell r="B81" t="str">
            <v>Incandescent 1500</v>
          </cell>
          <cell r="C81">
            <v>1500</v>
          </cell>
          <cell r="D81">
            <v>1500</v>
          </cell>
          <cell r="F81" t="str">
            <v>HIGH PRESSURE SODIUM 150WSTEEL POLE4</v>
          </cell>
          <cell r="G81">
            <v>720</v>
          </cell>
          <cell r="I81">
            <v>720</v>
          </cell>
          <cell r="J81" t="str">
            <v>HIGH PRESSURE SODIUM 150W</v>
          </cell>
          <cell r="K81" t="str">
            <v>STEEL POLE</v>
          </cell>
          <cell r="L81">
            <v>4</v>
          </cell>
        </row>
        <row r="82">
          <cell r="A82" t="str">
            <v>INC0170</v>
          </cell>
          <cell r="B82" t="str">
            <v>Incandescent 2880</v>
          </cell>
          <cell r="C82">
            <v>2880</v>
          </cell>
          <cell r="D82">
            <v>2880</v>
          </cell>
          <cell r="F82" t="str">
            <v>HIGH PRESSURE SODIUM 70W (100)STEEL POLE2</v>
          </cell>
          <cell r="G82">
            <v>730</v>
          </cell>
          <cell r="I82">
            <v>730</v>
          </cell>
          <cell r="J82" t="str">
            <v>HIGH PRESSURE SODIUM 70W (100)</v>
          </cell>
          <cell r="K82" t="str">
            <v>STEEL POLE</v>
          </cell>
          <cell r="L82">
            <v>2</v>
          </cell>
        </row>
        <row r="83">
          <cell r="A83" t="str">
            <v>LPS0010</v>
          </cell>
          <cell r="B83" t="str">
            <v>Low Pressure Sodium 18</v>
          </cell>
          <cell r="C83">
            <v>18</v>
          </cell>
          <cell r="D83">
            <v>29</v>
          </cell>
          <cell r="F83" t="str">
            <v>MERCURY VAPOUR 80WSHARED OR NO POLE2</v>
          </cell>
          <cell r="G83">
            <v>740</v>
          </cell>
          <cell r="I83">
            <v>740</v>
          </cell>
          <cell r="J83" t="str">
            <v>MERCURY VAPOUR 80W</v>
          </cell>
          <cell r="K83" t="str">
            <v>SHARED OR NO POLE</v>
          </cell>
          <cell r="L83">
            <v>2</v>
          </cell>
        </row>
        <row r="84">
          <cell r="A84" t="str">
            <v>LPS0020</v>
          </cell>
          <cell r="B84" t="str">
            <v>Low Pressure Sodium 35</v>
          </cell>
          <cell r="C84">
            <v>35</v>
          </cell>
          <cell r="D84">
            <v>60</v>
          </cell>
          <cell r="F84" t="str">
            <v>HIGH PRESSURE SODIUM 70W (100)SHARED OR NO POLE3</v>
          </cell>
          <cell r="G84">
            <v>750</v>
          </cell>
          <cell r="I84">
            <v>750</v>
          </cell>
          <cell r="J84" t="str">
            <v>HIGH PRESSURE SODIUM 70W (100)</v>
          </cell>
          <cell r="K84" t="str">
            <v>SHARED OR NO POLE</v>
          </cell>
          <cell r="L84">
            <v>3</v>
          </cell>
        </row>
        <row r="85">
          <cell r="A85" t="str">
            <v>LPS0030</v>
          </cell>
          <cell r="B85" t="str">
            <v>Low Pressure Sodium 55</v>
          </cell>
          <cell r="C85">
            <v>55</v>
          </cell>
          <cell r="D85">
            <v>80</v>
          </cell>
          <cell r="F85" t="str">
            <v>HIGH PRESSURE SODIUM 250W (210/220)WOOD POLE2</v>
          </cell>
          <cell r="G85">
            <v>760</v>
          </cell>
          <cell r="I85">
            <v>760</v>
          </cell>
          <cell r="J85" t="str">
            <v>HIGH PRESSURE SODIUM 250W (210/220)</v>
          </cell>
          <cell r="K85" t="str">
            <v>WOOD POLE</v>
          </cell>
          <cell r="L85">
            <v>2</v>
          </cell>
        </row>
        <row r="86">
          <cell r="A86" t="str">
            <v>LPS0040</v>
          </cell>
          <cell r="B86" t="str">
            <v>Low Pressure Sodium 90/100</v>
          </cell>
          <cell r="C86" t="str">
            <v>90/100</v>
          </cell>
          <cell r="D86">
            <v>120</v>
          </cell>
          <cell r="F86" t="str">
            <v>HIGH PRESSURE SODIUM 400W (310/360)WOOD POLE2</v>
          </cell>
          <cell r="G86">
            <v>770</v>
          </cell>
          <cell r="I86">
            <v>770</v>
          </cell>
          <cell r="J86" t="str">
            <v>HIGH PRESSURE SODIUM 400W (310/360)</v>
          </cell>
          <cell r="K86" t="str">
            <v>WOOD POLE</v>
          </cell>
          <cell r="L86">
            <v>2</v>
          </cell>
        </row>
        <row r="87">
          <cell r="A87" t="str">
            <v>LPS0050</v>
          </cell>
          <cell r="B87" t="str">
            <v>Low Pressure Sodium 135</v>
          </cell>
          <cell r="C87">
            <v>135</v>
          </cell>
          <cell r="D87">
            <v>170</v>
          </cell>
          <cell r="F87" t="str">
            <v>MERCURY VAPOUR 250W WOOD POLE2</v>
          </cell>
          <cell r="G87">
            <v>780</v>
          </cell>
          <cell r="I87">
            <v>780</v>
          </cell>
          <cell r="J87" t="str">
            <v xml:space="preserve">MERCURY VAPOUR 250W </v>
          </cell>
          <cell r="K87" t="str">
            <v>WOOD POLE</v>
          </cell>
          <cell r="L87">
            <v>2</v>
          </cell>
        </row>
        <row r="88">
          <cell r="A88" t="str">
            <v>LPS0060</v>
          </cell>
          <cell r="B88" t="str">
            <v>Low Pressure Sodium 150</v>
          </cell>
          <cell r="C88">
            <v>150</v>
          </cell>
          <cell r="D88">
            <v>186</v>
          </cell>
          <cell r="F88" t="str">
            <v>MERCURY VAPOUR 400WWOOD POLE2</v>
          </cell>
          <cell r="G88">
            <v>790</v>
          </cell>
          <cell r="I88">
            <v>790</v>
          </cell>
          <cell r="J88" t="str">
            <v>MERCURY VAPOUR 400W</v>
          </cell>
          <cell r="K88" t="str">
            <v>WOOD POLE</v>
          </cell>
          <cell r="L88">
            <v>2</v>
          </cell>
        </row>
        <row r="89">
          <cell r="A89" t="str">
            <v>LPS0070</v>
          </cell>
          <cell r="B89" t="str">
            <v>Low Pressure Sodium 160</v>
          </cell>
          <cell r="C89">
            <v>160</v>
          </cell>
          <cell r="D89">
            <v>194</v>
          </cell>
          <cell r="F89" t="str">
            <v>SV 600W HIGH MASTR/BOUT COLUMN6</v>
          </cell>
          <cell r="G89">
            <v>800</v>
          </cell>
          <cell r="I89">
            <v>800</v>
          </cell>
          <cell r="J89" t="str">
            <v>SV 600W HIGH MAST</v>
          </cell>
          <cell r="K89" t="str">
            <v>R/BOUT COLUMN</v>
          </cell>
          <cell r="L89">
            <v>6</v>
          </cell>
        </row>
        <row r="90">
          <cell r="A90" t="str">
            <v>LPS0080</v>
          </cell>
          <cell r="B90" t="str">
            <v>Low Pressure Sodium 180</v>
          </cell>
          <cell r="C90">
            <v>180</v>
          </cell>
          <cell r="D90">
            <v>212</v>
          </cell>
          <cell r="F90" t="str">
            <v>MERCURY VAPOUR 80WWOOD POLE1</v>
          </cell>
          <cell r="G90">
            <v>810</v>
          </cell>
          <cell r="I90">
            <v>810</v>
          </cell>
          <cell r="J90" t="str">
            <v>MERCURY VAPOUR 80W</v>
          </cell>
          <cell r="K90" t="str">
            <v>WOOD POLE</v>
          </cell>
          <cell r="L90">
            <v>1</v>
          </cell>
        </row>
        <row r="91">
          <cell r="A91" t="str">
            <v>LPS0090</v>
          </cell>
          <cell r="B91" t="str">
            <v>Low Pressure Sodium 310</v>
          </cell>
          <cell r="C91">
            <v>310</v>
          </cell>
          <cell r="D91">
            <v>340</v>
          </cell>
          <cell r="F91" t="str">
            <v>MERCURY VAPOUR 80WSHARED OR NO POLE3</v>
          </cell>
          <cell r="G91">
            <v>820</v>
          </cell>
          <cell r="I91">
            <v>820</v>
          </cell>
          <cell r="J91" t="str">
            <v>MERCURY VAPOUR 80W</v>
          </cell>
          <cell r="K91" t="str">
            <v>SHARED OR NO POLE</v>
          </cell>
          <cell r="L91">
            <v>3</v>
          </cell>
        </row>
        <row r="92">
          <cell r="A92" t="str">
            <v>MHC0010</v>
          </cell>
          <cell r="B92" t="str">
            <v>Metal Hallide (Constant Control Gear) 150</v>
          </cell>
          <cell r="C92">
            <v>150</v>
          </cell>
          <cell r="D92">
            <v>173</v>
          </cell>
          <cell r="F92" t="str">
            <v>MERCURY VAPOUR 80WSHARED OR NO POLE4</v>
          </cell>
          <cell r="G92">
            <v>830</v>
          </cell>
          <cell r="I92">
            <v>830</v>
          </cell>
          <cell r="J92" t="str">
            <v>MERCURY VAPOUR 80W</v>
          </cell>
          <cell r="K92" t="str">
            <v>SHARED OR NO POLE</v>
          </cell>
          <cell r="L92">
            <v>4</v>
          </cell>
        </row>
        <row r="93">
          <cell r="A93" t="str">
            <v>MHC0020</v>
          </cell>
          <cell r="B93" t="str">
            <v>Metal Hallide (Constant Control Gear) 250</v>
          </cell>
          <cell r="C93">
            <v>250</v>
          </cell>
          <cell r="D93">
            <v>286</v>
          </cell>
          <cell r="F93" t="str">
            <v>METAL HALIDE 1000W FLOODLIGHT R/BOUT COLUMN3</v>
          </cell>
          <cell r="G93">
            <v>840</v>
          </cell>
          <cell r="I93">
            <v>840</v>
          </cell>
          <cell r="J93" t="str">
            <v xml:space="preserve">METAL HALIDE 1000W FLOODLIGHT </v>
          </cell>
          <cell r="K93" t="str">
            <v>R/BOUT COLUMN</v>
          </cell>
          <cell r="L93">
            <v>3</v>
          </cell>
        </row>
        <row r="94">
          <cell r="A94" t="str">
            <v>MHC0030</v>
          </cell>
          <cell r="B94" t="str">
            <v>Metal Hallide (Constant Control Gear) 400</v>
          </cell>
          <cell r="C94">
            <v>400</v>
          </cell>
          <cell r="D94">
            <v>449</v>
          </cell>
          <cell r="F94" t="str">
            <v>METAL HALIDE 1000W FLOODLIGHT R/BOUT COLUMN2</v>
          </cell>
          <cell r="G94">
            <v>850</v>
          </cell>
          <cell r="I94">
            <v>850</v>
          </cell>
          <cell r="J94" t="str">
            <v xml:space="preserve">METAL HALIDE 1000W FLOODLIGHT </v>
          </cell>
          <cell r="K94" t="str">
            <v>R/BOUT COLUMN</v>
          </cell>
          <cell r="L94">
            <v>2</v>
          </cell>
        </row>
        <row r="95">
          <cell r="A95" t="str">
            <v>MHR0010</v>
          </cell>
          <cell r="B95" t="str">
            <v>Metal Hallide (Reactor Control Gear) 70</v>
          </cell>
          <cell r="C95">
            <v>70</v>
          </cell>
          <cell r="D95">
            <v>81.5</v>
          </cell>
          <cell r="F95" t="str">
            <v>HIGH PRESSURE SODIUM 2X250 W OR 2X400 W FLOODR/BOUT COLUMN3</v>
          </cell>
          <cell r="G95">
            <v>860</v>
          </cell>
          <cell r="I95">
            <v>860</v>
          </cell>
          <cell r="J95" t="str">
            <v>HIGH PRESSURE SODIUM 2X250 W OR 2X400 W FLOOD</v>
          </cell>
          <cell r="K95" t="str">
            <v>R/BOUT COLUMN</v>
          </cell>
          <cell r="L95">
            <v>3</v>
          </cell>
        </row>
        <row r="96">
          <cell r="A96" t="str">
            <v>MHR0020</v>
          </cell>
          <cell r="B96" t="str">
            <v>Metal Hallide (Reactor Control Gear) 100</v>
          </cell>
          <cell r="C96">
            <v>100</v>
          </cell>
          <cell r="D96">
            <v>110</v>
          </cell>
          <cell r="F96" t="str">
            <v>HIGH PRESSURE SODIUM 2X250 W OR 2X400 W FLOODR/BOUT COLUMN4</v>
          </cell>
          <cell r="G96">
            <v>870</v>
          </cell>
          <cell r="I96">
            <v>870</v>
          </cell>
          <cell r="J96" t="str">
            <v>HIGH PRESSURE SODIUM 2X250 W OR 2X400 W FLOOD</v>
          </cell>
          <cell r="K96" t="str">
            <v>R/BOUT COLUMN</v>
          </cell>
          <cell r="L96">
            <v>4</v>
          </cell>
        </row>
        <row r="97">
          <cell r="A97" t="str">
            <v>MHR0030</v>
          </cell>
          <cell r="B97" t="str">
            <v>Metal Hallide (Reactor Control Gear) 150</v>
          </cell>
          <cell r="C97">
            <v>150</v>
          </cell>
          <cell r="D97">
            <v>168</v>
          </cell>
          <cell r="F97" t="str">
            <v>HIGH PRESSURE SODIUM 70W (100)STEEL POLE4</v>
          </cell>
          <cell r="G97">
            <v>880</v>
          </cell>
          <cell r="I97">
            <v>880</v>
          </cell>
          <cell r="J97" t="str">
            <v>HIGH PRESSURE SODIUM 70W (100)</v>
          </cell>
          <cell r="K97" t="str">
            <v>STEEL POLE</v>
          </cell>
          <cell r="L97">
            <v>4</v>
          </cell>
        </row>
        <row r="98">
          <cell r="A98" t="str">
            <v>MHR0040</v>
          </cell>
          <cell r="B98" t="str">
            <v>Metal Hallide (Reactor Control Gear) 4x150</v>
          </cell>
          <cell r="C98" t="str">
            <v>4x150</v>
          </cell>
          <cell r="D98">
            <v>672</v>
          </cell>
          <cell r="F98" t="str">
            <v>HIGH PRESSURE SODIUM 70W (100)SHARED OR NO POLE2</v>
          </cell>
          <cell r="G98">
            <v>890</v>
          </cell>
          <cell r="I98">
            <v>890</v>
          </cell>
          <cell r="J98" t="str">
            <v>HIGH PRESSURE SODIUM 70W (100)</v>
          </cell>
          <cell r="K98" t="str">
            <v>SHARED OR NO POLE</v>
          </cell>
          <cell r="L98">
            <v>2</v>
          </cell>
        </row>
        <row r="99">
          <cell r="A99" t="str">
            <v>MHR0050</v>
          </cell>
          <cell r="B99" t="str">
            <v>Metal Hallide (Reactor Control Gear) 175</v>
          </cell>
          <cell r="C99">
            <v>175</v>
          </cell>
          <cell r="D99">
            <v>191</v>
          </cell>
          <cell r="F99" t="str">
            <v>METAL HALIDE/HPS 400W FLOOD (310/360)WOOD POLE2</v>
          </cell>
          <cell r="G99">
            <v>900</v>
          </cell>
          <cell r="I99">
            <v>900</v>
          </cell>
          <cell r="J99" t="str">
            <v>METAL HALIDE/HPS 400W FLOOD (310/360)</v>
          </cell>
          <cell r="K99" t="str">
            <v>WOOD POLE</v>
          </cell>
          <cell r="L99">
            <v>2</v>
          </cell>
        </row>
        <row r="100">
          <cell r="A100" t="str">
            <v>MHR0060</v>
          </cell>
          <cell r="B100" t="str">
            <v>Metal Hallide (Reactor Control Gear) 250</v>
          </cell>
          <cell r="C100">
            <v>250</v>
          </cell>
          <cell r="D100">
            <v>268</v>
          </cell>
          <cell r="F100" t="str">
            <v>HIGH PRESSURE SODIUM 70W (100)WOOD POLE2</v>
          </cell>
          <cell r="G100">
            <v>910</v>
          </cell>
          <cell r="I100">
            <v>910</v>
          </cell>
          <cell r="J100" t="str">
            <v>HIGH PRESSURE SODIUM 70W (100)</v>
          </cell>
          <cell r="K100" t="str">
            <v>WOOD POLE</v>
          </cell>
          <cell r="L100">
            <v>2</v>
          </cell>
        </row>
        <row r="101">
          <cell r="A101" t="str">
            <v>MHR0070</v>
          </cell>
          <cell r="B101" t="str">
            <v>Metal Hallide (Reactor Control Gear) 400</v>
          </cell>
          <cell r="C101">
            <v>400</v>
          </cell>
          <cell r="D101">
            <v>425</v>
          </cell>
          <cell r="F101" t="str">
            <v>HIGH PRESSURE SODIUM 70W (100)SHARED OR NO POLE4</v>
          </cell>
          <cell r="G101">
            <v>920</v>
          </cell>
          <cell r="I101">
            <v>920</v>
          </cell>
          <cell r="J101" t="str">
            <v>HIGH PRESSURE SODIUM 70W (100)</v>
          </cell>
          <cell r="K101" t="str">
            <v>SHARED OR NO POLE</v>
          </cell>
          <cell r="L101">
            <v>4</v>
          </cell>
        </row>
        <row r="102">
          <cell r="A102" t="str">
            <v>MHR0080</v>
          </cell>
          <cell r="B102" t="str">
            <v>Metal Hallide (Reactor Control Gear) 2x400</v>
          </cell>
          <cell r="C102" t="str">
            <v>2x400</v>
          </cell>
          <cell r="D102">
            <v>850</v>
          </cell>
          <cell r="F102" t="str">
            <v>HIGH PRESSURE SODIUM 250W (210/220)WOOD POLE3</v>
          </cell>
          <cell r="G102">
            <v>930</v>
          </cell>
          <cell r="I102">
            <v>930</v>
          </cell>
          <cell r="J102" t="str">
            <v>HIGH PRESSURE SODIUM 250W (210/220)</v>
          </cell>
          <cell r="K102" t="str">
            <v>WOOD POLE</v>
          </cell>
          <cell r="L102">
            <v>3</v>
          </cell>
        </row>
        <row r="103">
          <cell r="A103" t="str">
            <v>MHR0090</v>
          </cell>
          <cell r="B103" t="str">
            <v>Metal Hallide (Reactor Control Gear) 500</v>
          </cell>
          <cell r="C103">
            <v>500</v>
          </cell>
          <cell r="D103">
            <v>525</v>
          </cell>
          <cell r="F103" t="str">
            <v>MERCURY VAPOUR 250W SHARED OR NO POLE2</v>
          </cell>
          <cell r="G103">
            <v>940</v>
          </cell>
          <cell r="I103">
            <v>940</v>
          </cell>
          <cell r="J103" t="str">
            <v xml:space="preserve">MERCURY VAPOUR 250W </v>
          </cell>
          <cell r="K103" t="str">
            <v>SHARED OR NO POLE</v>
          </cell>
          <cell r="L103">
            <v>2</v>
          </cell>
        </row>
        <row r="104">
          <cell r="A104" t="str">
            <v>MHR0100</v>
          </cell>
          <cell r="B104" t="str">
            <v>Metal Hallide (Reactor Control Gear) 1000</v>
          </cell>
          <cell r="C104">
            <v>1000</v>
          </cell>
          <cell r="D104">
            <v>1040</v>
          </cell>
          <cell r="F104" t="str">
            <v>MERCURY VAPOUR 400WSHARED OR NO POLE2</v>
          </cell>
          <cell r="G104">
            <v>950</v>
          </cell>
          <cell r="I104">
            <v>950</v>
          </cell>
          <cell r="J104" t="str">
            <v>MERCURY VAPOUR 400W</v>
          </cell>
          <cell r="K104" t="str">
            <v>SHARED OR NO POLE</v>
          </cell>
          <cell r="L104">
            <v>2</v>
          </cell>
        </row>
        <row r="105">
          <cell r="A105" t="str">
            <v>MHR0110</v>
          </cell>
          <cell r="B105" t="str">
            <v>Metal Hallide (Reactor Control Gear) 1500</v>
          </cell>
          <cell r="C105">
            <v>1500</v>
          </cell>
          <cell r="D105">
            <v>1560</v>
          </cell>
          <cell r="F105" t="str">
            <v>HIGH PRESSURE SODIUM 250W (210/220)SHARED OR NO POLE2</v>
          </cell>
          <cell r="G105">
            <v>960</v>
          </cell>
          <cell r="I105">
            <v>960</v>
          </cell>
          <cell r="J105" t="str">
            <v>HIGH PRESSURE SODIUM 250W (210/220)</v>
          </cell>
          <cell r="K105" t="str">
            <v>SHARED OR NO POLE</v>
          </cell>
          <cell r="L105">
            <v>2</v>
          </cell>
        </row>
        <row r="106">
          <cell r="A106" t="str">
            <v>MHR0120</v>
          </cell>
          <cell r="B106" t="str">
            <v>Metal Hallide (Reactor Control Gear) 2000</v>
          </cell>
          <cell r="C106">
            <v>2000</v>
          </cell>
          <cell r="D106">
            <v>2070</v>
          </cell>
          <cell r="F106" t="str">
            <v>HIGH PRESSURE SODIUM 250W (210/220)SHARED OR NO POLE4</v>
          </cell>
          <cell r="G106">
            <v>970</v>
          </cell>
          <cell r="I106">
            <v>970</v>
          </cell>
          <cell r="J106" t="str">
            <v>HIGH PRESSURE SODIUM 250W (210/220)</v>
          </cell>
          <cell r="K106" t="str">
            <v>SHARED OR NO POLE</v>
          </cell>
          <cell r="L106">
            <v>4</v>
          </cell>
        </row>
        <row r="107">
          <cell r="A107" t="str">
            <v>MHR0130</v>
          </cell>
          <cell r="B107" t="str">
            <v>Metal Hallide (Reactor Control Gear) 3745</v>
          </cell>
          <cell r="C107">
            <v>3745</v>
          </cell>
          <cell r="D107">
            <v>3745</v>
          </cell>
          <cell r="F107" t="str">
            <v>HIGH PRESSURE SODIUM 150WWOOD POLE2</v>
          </cell>
          <cell r="G107">
            <v>980</v>
          </cell>
          <cell r="I107">
            <v>980</v>
          </cell>
          <cell r="J107" t="str">
            <v>HIGH PRESSURE SODIUM 150W</v>
          </cell>
          <cell r="K107" t="str">
            <v>WOOD POLE</v>
          </cell>
          <cell r="L107">
            <v>2</v>
          </cell>
        </row>
        <row r="108">
          <cell r="A108" t="str">
            <v>MVA0010</v>
          </cell>
          <cell r="B108" t="str">
            <v>Mercury Vapour 50</v>
          </cell>
          <cell r="C108">
            <v>50</v>
          </cell>
          <cell r="D108">
            <v>65</v>
          </cell>
          <cell r="F108" t="str">
            <v>MERCURY VAPOUR 80WSTEEL POLE1</v>
          </cell>
          <cell r="G108">
            <v>990</v>
          </cell>
          <cell r="I108">
            <v>990</v>
          </cell>
          <cell r="J108" t="str">
            <v>MERCURY VAPOUR 80W</v>
          </cell>
          <cell r="K108" t="str">
            <v>STEEL POLE</v>
          </cell>
          <cell r="L108">
            <v>1</v>
          </cell>
        </row>
        <row r="109">
          <cell r="A109" t="str">
            <v>MVA0020</v>
          </cell>
          <cell r="B109" t="str">
            <v>Mercury Vapour 80</v>
          </cell>
          <cell r="C109">
            <v>80</v>
          </cell>
          <cell r="D109">
            <v>95.8</v>
          </cell>
          <cell r="F109" t="str">
            <v>MERCURY VAPOUR 80WSTEEL POLE2</v>
          </cell>
          <cell r="G109">
            <v>1000</v>
          </cell>
          <cell r="I109">
            <v>1000</v>
          </cell>
          <cell r="J109" t="str">
            <v>MERCURY VAPOUR 80W</v>
          </cell>
          <cell r="K109" t="str">
            <v>STEEL POLE</v>
          </cell>
          <cell r="L109">
            <v>2</v>
          </cell>
        </row>
        <row r="110">
          <cell r="A110" t="str">
            <v>MVA0030</v>
          </cell>
          <cell r="B110" t="str">
            <v>Mercury Vapour 2x80</v>
          </cell>
          <cell r="C110" t="str">
            <v>2x80</v>
          </cell>
          <cell r="D110">
            <v>191.6</v>
          </cell>
          <cell r="F110" t="str">
            <v>HIGH PRESSURE SODIUM 150WSHARED OR NO POLE2</v>
          </cell>
          <cell r="G110">
            <v>1010</v>
          </cell>
          <cell r="I110">
            <v>1010</v>
          </cell>
          <cell r="J110" t="str">
            <v>HIGH PRESSURE SODIUM 150W</v>
          </cell>
          <cell r="K110" t="str">
            <v>SHARED OR NO POLE</v>
          </cell>
          <cell r="L110">
            <v>2</v>
          </cell>
        </row>
        <row r="111">
          <cell r="A111" t="str">
            <v>MVA0040</v>
          </cell>
          <cell r="B111" t="str">
            <v>Mercury Vapour 3x80</v>
          </cell>
          <cell r="C111" t="str">
            <v>3x80</v>
          </cell>
          <cell r="D111">
            <v>287.39999999999998</v>
          </cell>
          <cell r="F111" t="str">
            <v>HIGH PRESSURE SODIUM 250W (210/220)SHARED OR NO POLE3</v>
          </cell>
          <cell r="G111">
            <v>1020</v>
          </cell>
          <cell r="I111">
            <v>1020</v>
          </cell>
          <cell r="J111" t="str">
            <v>HIGH PRESSURE SODIUM 250W (210/220)</v>
          </cell>
          <cell r="K111" t="str">
            <v>SHARED OR NO POLE</v>
          </cell>
          <cell r="L111">
            <v>3</v>
          </cell>
        </row>
        <row r="112">
          <cell r="A112" t="str">
            <v>MVA0050</v>
          </cell>
          <cell r="B112" t="str">
            <v>Mercury Vapour 4x80</v>
          </cell>
          <cell r="C112" t="str">
            <v>4x80</v>
          </cell>
          <cell r="D112">
            <v>383.2</v>
          </cell>
          <cell r="F112" t="str">
            <v>HIGH PRESSURE SODIUM 400W (310/360)SHARED OR NO POLE2</v>
          </cell>
          <cell r="G112">
            <v>1030</v>
          </cell>
          <cell r="I112">
            <v>1030</v>
          </cell>
          <cell r="J112" t="str">
            <v>HIGH PRESSURE SODIUM 400W (310/360)</v>
          </cell>
          <cell r="K112" t="str">
            <v>SHARED OR NO POLE</v>
          </cell>
          <cell r="L112">
            <v>2</v>
          </cell>
        </row>
        <row r="113">
          <cell r="A113" t="str">
            <v>MVA0060</v>
          </cell>
          <cell r="B113" t="str">
            <v>Mercury Vapour 6x80</v>
          </cell>
          <cell r="C113" t="str">
            <v>6x80</v>
          </cell>
          <cell r="D113">
            <v>574.79999999999995</v>
          </cell>
          <cell r="F113" t="str">
            <v>METAL HALIDE 1000W FLOODLIGHT SHARED OR NO POLE2</v>
          </cell>
          <cell r="G113">
            <v>1040</v>
          </cell>
          <cell r="I113">
            <v>1040</v>
          </cell>
          <cell r="J113" t="str">
            <v xml:space="preserve">METAL HALIDE 1000W FLOODLIGHT </v>
          </cell>
          <cell r="K113" t="str">
            <v>SHARED OR NO POLE</v>
          </cell>
          <cell r="L113">
            <v>2</v>
          </cell>
        </row>
        <row r="114">
          <cell r="A114" t="str">
            <v>MVA0070</v>
          </cell>
          <cell r="B114" t="str">
            <v>Mercury Vapour 7x80</v>
          </cell>
          <cell r="C114" t="str">
            <v>7x80</v>
          </cell>
          <cell r="D114">
            <v>670.6</v>
          </cell>
          <cell r="F114" t="str">
            <v>METAL HALIDE 1000W FLOODLIGHT R/BOUT COLUMN4</v>
          </cell>
          <cell r="G114">
            <v>1050</v>
          </cell>
          <cell r="I114">
            <v>1050</v>
          </cell>
          <cell r="J114" t="str">
            <v xml:space="preserve">METAL HALIDE 1000W FLOODLIGHT </v>
          </cell>
          <cell r="K114" t="str">
            <v>R/BOUT COLUMN</v>
          </cell>
          <cell r="L114">
            <v>4</v>
          </cell>
        </row>
        <row r="115">
          <cell r="A115" t="str">
            <v>MVA0080</v>
          </cell>
          <cell r="B115" t="str">
            <v>Mercury Vapour 125</v>
          </cell>
          <cell r="C115">
            <v>125</v>
          </cell>
          <cell r="D115">
            <v>142</v>
          </cell>
          <cell r="F115" t="str">
            <v>HIGH PRESSURE SODIUM 400W (310/360)WOOD POLE4</v>
          </cell>
          <cell r="G115">
            <v>1060</v>
          </cell>
          <cell r="I115">
            <v>1060</v>
          </cell>
          <cell r="J115" t="str">
            <v>HIGH PRESSURE SODIUM 400W (310/360)</v>
          </cell>
          <cell r="K115" t="str">
            <v>WOOD POLE</v>
          </cell>
          <cell r="L115">
            <v>4</v>
          </cell>
        </row>
        <row r="116">
          <cell r="A116" t="str">
            <v>MVA0090</v>
          </cell>
          <cell r="B116" t="str">
            <v>Mercury Vapour 2x125</v>
          </cell>
          <cell r="C116" t="str">
            <v>2x125</v>
          </cell>
          <cell r="D116">
            <v>284</v>
          </cell>
          <cell r="F116" t="str">
            <v>METAL HALIDE/HPS 250W FLOOD (210/220)WOOD POLE1</v>
          </cell>
          <cell r="G116">
            <v>1070</v>
          </cell>
          <cell r="I116">
            <v>1070</v>
          </cell>
          <cell r="J116" t="str">
            <v>METAL HALIDE/HPS 250W FLOOD (210/220)</v>
          </cell>
          <cell r="K116" t="str">
            <v>WOOD POLE</v>
          </cell>
          <cell r="L116">
            <v>1</v>
          </cell>
        </row>
        <row r="117">
          <cell r="A117" t="str">
            <v>MVA0100</v>
          </cell>
          <cell r="B117" t="str">
            <v>Mercury Vapour 3x125</v>
          </cell>
          <cell r="C117" t="str">
            <v>3x125</v>
          </cell>
          <cell r="D117">
            <v>426</v>
          </cell>
          <cell r="F117" t="str">
            <v>METAL HALIDE/HPS 400W FLOOD (310/360)WOOD POLE1</v>
          </cell>
          <cell r="G117">
            <v>1100</v>
          </cell>
          <cell r="I117">
            <v>1100</v>
          </cell>
          <cell r="J117" t="str">
            <v>METAL HALIDE/HPS 400W FLOOD (310/360)</v>
          </cell>
          <cell r="K117" t="str">
            <v>WOOD POLE</v>
          </cell>
          <cell r="L117">
            <v>1</v>
          </cell>
        </row>
        <row r="118">
          <cell r="A118" t="str">
            <v>MVA0110</v>
          </cell>
          <cell r="B118" t="str">
            <v>Mercury Vapour 6x125</v>
          </cell>
          <cell r="C118" t="str">
            <v>6x125</v>
          </cell>
          <cell r="D118">
            <v>852</v>
          </cell>
          <cell r="F118" t="str">
            <v>METAL HALIDE/HPS 250W FLOOD (210/220)WOOD POLE1</v>
          </cell>
          <cell r="G118">
            <v>1070</v>
          </cell>
          <cell r="I118">
            <v>1070</v>
          </cell>
          <cell r="J118" t="str">
            <v>METAL HALIDE/HPS 250W FLOOD (210/220)</v>
          </cell>
          <cell r="K118" t="str">
            <v>WOOD POLE</v>
          </cell>
          <cell r="L118">
            <v>1</v>
          </cell>
        </row>
        <row r="119">
          <cell r="A119" t="str">
            <v>MVA0120</v>
          </cell>
          <cell r="B119" t="str">
            <v>Mercury Vapour 160</v>
          </cell>
          <cell r="C119">
            <v>160</v>
          </cell>
          <cell r="D119">
            <v>175</v>
          </cell>
          <cell r="F119" t="str">
            <v>METAL HALIDE/HPS 400W FLOOD (310/360)WOOD POLE1</v>
          </cell>
          <cell r="G119">
            <v>1100</v>
          </cell>
          <cell r="I119">
            <v>1080</v>
          </cell>
          <cell r="J119" t="str">
            <v>HIGH PRESSURE SODIUM 70W TWIN ARC</v>
          </cell>
          <cell r="K119" t="str">
            <v>SHARED OR NO POLE</v>
          </cell>
          <cell r="L119">
            <v>2</v>
          </cell>
        </row>
        <row r="120">
          <cell r="A120" t="str">
            <v>MVA0130</v>
          </cell>
          <cell r="B120" t="str">
            <v>Mercury Vapour 2x160</v>
          </cell>
          <cell r="C120" t="str">
            <v>2x160</v>
          </cell>
          <cell r="D120">
            <v>350</v>
          </cell>
          <cell r="F120" t="str">
            <v>METAL HALIDE 1000W FLOODLIGHT WOOD POLE1</v>
          </cell>
          <cell r="G120">
            <v>1110</v>
          </cell>
          <cell r="I120">
            <v>1100</v>
          </cell>
          <cell r="J120" t="str">
            <v>METAL HALIDE/HPS 400W FLOOD (310/360)</v>
          </cell>
          <cell r="K120" t="str">
            <v>WOOD POLE</v>
          </cell>
          <cell r="L120">
            <v>1</v>
          </cell>
        </row>
        <row r="121">
          <cell r="A121" t="str">
            <v>MVA0140</v>
          </cell>
          <cell r="B121" t="str">
            <v>Mercury Vapour 3x160</v>
          </cell>
          <cell r="C121" t="str">
            <v>3x160</v>
          </cell>
          <cell r="D121">
            <v>525</v>
          </cell>
          <cell r="F121" t="str">
            <v>METAL HALIDE/HPS 250W FLOOD (210/220)STEEL POLE1</v>
          </cell>
          <cell r="G121">
            <v>1120</v>
          </cell>
          <cell r="I121">
            <v>1110</v>
          </cell>
          <cell r="J121" t="str">
            <v xml:space="preserve">METAL HALIDE 1000W FLOODLIGHT </v>
          </cell>
          <cell r="K121" t="str">
            <v>WOOD POLE</v>
          </cell>
          <cell r="L121">
            <v>1</v>
          </cell>
        </row>
        <row r="122">
          <cell r="A122" t="str">
            <v>MVA0150</v>
          </cell>
          <cell r="B122" t="str">
            <v>Mercury Vapour 6x160</v>
          </cell>
          <cell r="C122" t="str">
            <v>6x160</v>
          </cell>
          <cell r="D122">
            <v>1050</v>
          </cell>
          <cell r="F122" t="str">
            <v>METAL HALIDE/HPS 400W FLOOD (310/360)STEEL POLE2</v>
          </cell>
          <cell r="G122">
            <v>1130</v>
          </cell>
          <cell r="I122">
            <v>1120</v>
          </cell>
          <cell r="J122" t="str">
            <v>METAL HALIDE/HPS 250W FLOOD (210/220)</v>
          </cell>
          <cell r="K122" t="str">
            <v>STEEL POLE</v>
          </cell>
          <cell r="L122">
            <v>1</v>
          </cell>
        </row>
        <row r="123">
          <cell r="A123" t="str">
            <v>MVA0160</v>
          </cell>
          <cell r="B123" t="str">
            <v>Mercury Vapour 9x160</v>
          </cell>
          <cell r="C123" t="str">
            <v>9x160</v>
          </cell>
          <cell r="D123">
            <v>1575</v>
          </cell>
          <cell r="F123" t="str">
            <v>METAL HALIDE/HPS 250W FLOOD (210/220)STEEL POLE2</v>
          </cell>
          <cell r="G123">
            <v>1140</v>
          </cell>
          <cell r="I123">
            <v>1130</v>
          </cell>
          <cell r="J123" t="str">
            <v>METAL HALIDE/HPS 400W FLOOD (310/360)</v>
          </cell>
          <cell r="K123" t="str">
            <v>STEEL POLE</v>
          </cell>
          <cell r="L123">
            <v>2</v>
          </cell>
        </row>
        <row r="124">
          <cell r="A124" t="str">
            <v>MVA0170</v>
          </cell>
          <cell r="B124" t="str">
            <v>Mercury Vapour 175</v>
          </cell>
          <cell r="C124">
            <v>175</v>
          </cell>
          <cell r="D124">
            <v>195</v>
          </cell>
          <cell r="F124" t="str">
            <v>METAL HALIDE/HPS 250W FLOOD (210/220)STEEL POLE3</v>
          </cell>
          <cell r="G124">
            <v>1150</v>
          </cell>
          <cell r="I124">
            <v>1140</v>
          </cell>
          <cell r="J124" t="str">
            <v>METAL HALIDE/HPS 250W FLOOD (210/220)</v>
          </cell>
          <cell r="K124" t="str">
            <v>STEEL POLE</v>
          </cell>
          <cell r="L124">
            <v>2</v>
          </cell>
        </row>
        <row r="125">
          <cell r="A125" t="str">
            <v>MVA0180</v>
          </cell>
          <cell r="B125" t="str">
            <v>Mercury Vapour 2x175</v>
          </cell>
          <cell r="C125" t="str">
            <v>2x175</v>
          </cell>
          <cell r="D125">
            <v>390</v>
          </cell>
          <cell r="F125" t="str">
            <v>METAL HALIDE/HPS 250W FLOOD (210/220)WOOD POLE2</v>
          </cell>
          <cell r="G125">
            <v>1160</v>
          </cell>
          <cell r="I125">
            <v>1150</v>
          </cell>
          <cell r="J125" t="str">
            <v>METAL HALIDE/HPS 250W FLOOD (210/220)</v>
          </cell>
          <cell r="K125" t="str">
            <v>STEEL POLE</v>
          </cell>
          <cell r="L125">
            <v>3</v>
          </cell>
        </row>
        <row r="126">
          <cell r="A126" t="str">
            <v>MVA0190</v>
          </cell>
          <cell r="B126" t="str">
            <v>Mercury Vapour 250</v>
          </cell>
          <cell r="C126">
            <v>250</v>
          </cell>
          <cell r="D126">
            <v>270</v>
          </cell>
          <cell r="F126" t="str">
            <v>METAL HALIDE/HPS 400W FLOOD (310/360)STEEL POLE1</v>
          </cell>
          <cell r="G126">
            <v>1170</v>
          </cell>
          <cell r="I126">
            <v>1160</v>
          </cell>
          <cell r="J126" t="str">
            <v>METAL HALIDE/HPS 250W FLOOD (210/220)</v>
          </cell>
          <cell r="K126" t="str">
            <v>WOOD POLE</v>
          </cell>
          <cell r="L126">
            <v>2</v>
          </cell>
        </row>
        <row r="127">
          <cell r="A127" t="str">
            <v>MVA0200</v>
          </cell>
          <cell r="B127" t="str">
            <v>Mercury Vapour 2x250</v>
          </cell>
          <cell r="C127" t="str">
            <v>2x250</v>
          </cell>
          <cell r="D127">
            <v>540</v>
          </cell>
          <cell r="F127" t="str">
            <v>HIGH PRESSURE SODIUM 70W TWIN ARCSHARED OR NO POLE2</v>
          </cell>
          <cell r="G127">
            <v>1180</v>
          </cell>
          <cell r="I127">
            <v>1170</v>
          </cell>
          <cell r="J127" t="str">
            <v>METAL HALIDE/HPS 400W FLOOD (310/360)</v>
          </cell>
          <cell r="K127" t="str">
            <v>STEEL POLE</v>
          </cell>
          <cell r="L127">
            <v>1</v>
          </cell>
        </row>
        <row r="128">
          <cell r="A128" t="str">
            <v>MVA0210</v>
          </cell>
          <cell r="B128" t="str">
            <v>Mercury Vapour 3x250</v>
          </cell>
          <cell r="C128" t="str">
            <v>3x250</v>
          </cell>
          <cell r="D128">
            <v>810</v>
          </cell>
          <cell r="F128" t="str">
            <v>HIGH PRESSURE SODIUM 70W TWIN ARCSHARED OR NO POLE3</v>
          </cell>
          <cell r="G128">
            <v>1190</v>
          </cell>
          <cell r="I128">
            <v>1180</v>
          </cell>
          <cell r="J128" t="str">
            <v>HIGH PRESSURE SODIUM 70W TWIN ARC</v>
          </cell>
          <cell r="K128" t="str">
            <v>SHARED OR NO POLE</v>
          </cell>
          <cell r="L128">
            <v>2</v>
          </cell>
        </row>
        <row r="129">
          <cell r="A129" t="str">
            <v>MVA0220</v>
          </cell>
          <cell r="B129" t="str">
            <v>Mercury Vapour 400</v>
          </cell>
          <cell r="C129">
            <v>400</v>
          </cell>
          <cell r="D129">
            <v>430</v>
          </cell>
          <cell r="F129" t="str">
            <v>HIGH PRESSURE SODIUM 70W TWIN ARCSHARED OR NO POLE4</v>
          </cell>
          <cell r="G129">
            <v>1200</v>
          </cell>
          <cell r="I129">
            <v>1190</v>
          </cell>
          <cell r="J129" t="str">
            <v>HIGH PRESSURE SODIUM 70W TWIN ARC</v>
          </cell>
          <cell r="K129" t="str">
            <v>SHARED OR NO POLE</v>
          </cell>
          <cell r="L129">
            <v>3</v>
          </cell>
        </row>
        <row r="130">
          <cell r="A130" t="str">
            <v>MVA0230</v>
          </cell>
          <cell r="B130" t="str">
            <v>Mercury Vapour 2x400</v>
          </cell>
          <cell r="C130" t="str">
            <v>2x400</v>
          </cell>
          <cell r="D130">
            <v>860</v>
          </cell>
          <cell r="F130" t="str">
            <v>HIGH PRESSURE SODIUM 70W TWIN ARCWOOD POLE2</v>
          </cell>
          <cell r="G130">
            <v>1210</v>
          </cell>
          <cell r="I130">
            <v>1200</v>
          </cell>
          <cell r="J130" t="str">
            <v>HIGH PRESSURE SODIUM 70W TWIN ARC</v>
          </cell>
          <cell r="K130" t="str">
            <v>SHARED OR NO POLE</v>
          </cell>
          <cell r="L130">
            <v>4</v>
          </cell>
        </row>
        <row r="131">
          <cell r="A131" t="str">
            <v>MVA0240</v>
          </cell>
          <cell r="B131" t="str">
            <v>Mercury Vapour 3x400</v>
          </cell>
          <cell r="C131" t="str">
            <v>3x400</v>
          </cell>
          <cell r="D131">
            <v>1290</v>
          </cell>
          <cell r="F131" t="str">
            <v>HIGH PRESSURE SODIUM 70W TWIN ARCSTEEL POLE2</v>
          </cell>
          <cell r="G131">
            <v>1220</v>
          </cell>
          <cell r="I131">
            <v>1210</v>
          </cell>
          <cell r="J131" t="str">
            <v>HIGH PRESSURE SODIUM 70W TWIN ARC</v>
          </cell>
          <cell r="K131" t="str">
            <v>WOOD POLE</v>
          </cell>
          <cell r="L131">
            <v>2</v>
          </cell>
        </row>
        <row r="132">
          <cell r="A132" t="str">
            <v>MVA0250</v>
          </cell>
          <cell r="B132" t="str">
            <v>Mercury Vapour 500</v>
          </cell>
          <cell r="C132">
            <v>500</v>
          </cell>
          <cell r="D132">
            <v>530</v>
          </cell>
          <cell r="F132" t="str">
            <v>HIGH PRESSURE SODIUM 70W TWIN ARCSTEEL POLE3</v>
          </cell>
          <cell r="G132">
            <v>1230</v>
          </cell>
          <cell r="I132">
            <v>1220</v>
          </cell>
          <cell r="J132" t="str">
            <v>HIGH PRESSURE SODIUM 70W TWIN ARC</v>
          </cell>
          <cell r="K132" t="str">
            <v>STEEL POLE</v>
          </cell>
          <cell r="L132">
            <v>2</v>
          </cell>
        </row>
        <row r="133">
          <cell r="A133" t="str">
            <v>MVA0260</v>
          </cell>
          <cell r="B133" t="str">
            <v>Mercury Vapour 700</v>
          </cell>
          <cell r="C133">
            <v>700</v>
          </cell>
          <cell r="D133">
            <v>740</v>
          </cell>
          <cell r="F133" t="str">
            <v>HIGH PRESSURE SODIUM 70W TWIN ARCSTEEL POLE4</v>
          </cell>
          <cell r="G133">
            <v>1240</v>
          </cell>
          <cell r="I133">
            <v>1230</v>
          </cell>
          <cell r="J133" t="str">
            <v>HIGH PRESSURE SODIUM 70W TWIN ARC</v>
          </cell>
          <cell r="K133" t="str">
            <v>STEEL POLE</v>
          </cell>
          <cell r="L133">
            <v>3</v>
          </cell>
        </row>
        <row r="134">
          <cell r="A134" t="str">
            <v>MVA0270</v>
          </cell>
          <cell r="B134" t="str">
            <v>Mercury Vapour 2x700</v>
          </cell>
          <cell r="C134" t="str">
            <v>2x700</v>
          </cell>
          <cell r="D134">
            <v>1480</v>
          </cell>
          <cell r="F134" t="str">
            <v>METAL HALIDE/HPS 400W FLOOD (310/360)WOOD POLE3</v>
          </cell>
          <cell r="G134">
            <v>1250</v>
          </cell>
          <cell r="I134">
            <v>1240</v>
          </cell>
          <cell r="J134" t="str">
            <v>HIGH PRESSURE SODIUM 70W TWIN ARC</v>
          </cell>
          <cell r="K134" t="str">
            <v>STEEL POLE</v>
          </cell>
          <cell r="L134">
            <v>4</v>
          </cell>
        </row>
        <row r="135">
          <cell r="A135" t="str">
            <v>MVA0280</v>
          </cell>
          <cell r="B135" t="str">
            <v>Mercury Vapour 800</v>
          </cell>
          <cell r="C135">
            <v>800</v>
          </cell>
          <cell r="D135">
            <v>850</v>
          </cell>
          <cell r="F135" t="str">
            <v>MERCURY VAPOUR 80WWOOD POLE2</v>
          </cell>
          <cell r="G135">
            <v>1260</v>
          </cell>
          <cell r="I135">
            <v>1250</v>
          </cell>
          <cell r="J135" t="str">
            <v>METAL HALIDE/HPS 400W FLOOD (310/360)</v>
          </cell>
          <cell r="K135" t="str">
            <v>WOOD POLE</v>
          </cell>
          <cell r="L135">
            <v>3</v>
          </cell>
        </row>
        <row r="136">
          <cell r="A136" t="str">
            <v>MVA0290</v>
          </cell>
          <cell r="B136" t="str">
            <v>Mercury Vapour 1000</v>
          </cell>
          <cell r="C136">
            <v>1000</v>
          </cell>
          <cell r="D136">
            <v>1040</v>
          </cell>
          <cell r="F136" t="str">
            <v>METAL HALIDE 250W BOSTON 3STEEL POLE1</v>
          </cell>
          <cell r="G136">
            <v>1270</v>
          </cell>
          <cell r="I136">
            <v>1260</v>
          </cell>
          <cell r="J136" t="str">
            <v>MERCURY VAPOUR 80W</v>
          </cell>
          <cell r="K136" t="str">
            <v>WOOD POLE</v>
          </cell>
          <cell r="L136">
            <v>2</v>
          </cell>
        </row>
        <row r="137">
          <cell r="A137" t="str">
            <v>MVA0300</v>
          </cell>
          <cell r="B137" t="str">
            <v>Mercury Vapour 4x1000</v>
          </cell>
          <cell r="C137" t="str">
            <v>4x1000</v>
          </cell>
          <cell r="D137">
            <v>4160</v>
          </cell>
          <cell r="F137" t="str">
            <v>METAL HALIDE 250W BOSTON 3STEEL POLE2</v>
          </cell>
          <cell r="G137">
            <v>1280</v>
          </cell>
          <cell r="I137">
            <v>1270</v>
          </cell>
          <cell r="J137" t="str">
            <v>METAL HALIDE 250W BOSTON 3</v>
          </cell>
          <cell r="K137" t="str">
            <v>STEEL POLE</v>
          </cell>
          <cell r="L137">
            <v>1</v>
          </cell>
        </row>
        <row r="138">
          <cell r="A138" t="str">
            <v>MVA0310</v>
          </cell>
          <cell r="B138" t="str">
            <v>Mercury Vapour 6x1000</v>
          </cell>
          <cell r="C138" t="str">
            <v>6x1000</v>
          </cell>
          <cell r="D138">
            <v>6240</v>
          </cell>
          <cell r="F138" t="str">
            <v>METAL HALIDE 250W BOSTON 3STEEL POLE4</v>
          </cell>
          <cell r="G138">
            <v>1290</v>
          </cell>
          <cell r="I138">
            <v>1280</v>
          </cell>
          <cell r="J138" t="str">
            <v>METAL HALIDE 250W BOSTON 3</v>
          </cell>
          <cell r="K138" t="str">
            <v>STEEL POLE</v>
          </cell>
          <cell r="L138">
            <v>2</v>
          </cell>
        </row>
        <row r="139">
          <cell r="A139" t="str">
            <v>MVA0320</v>
          </cell>
          <cell r="B139" t="str">
            <v>Mercury Vapour 1625</v>
          </cell>
          <cell r="C139">
            <v>1625</v>
          </cell>
          <cell r="D139">
            <v>1690</v>
          </cell>
          <cell r="F139" t="str">
            <v>HIGH PRESSURE SODIUM DECORATIVE 150WSTEEL POLE1</v>
          </cell>
          <cell r="G139">
            <v>1300</v>
          </cell>
          <cell r="I139">
            <v>1290</v>
          </cell>
          <cell r="J139" t="str">
            <v>METAL HALIDE 250W BOSTON 3</v>
          </cell>
          <cell r="K139" t="str">
            <v>STEEL POLE</v>
          </cell>
          <cell r="L139">
            <v>4</v>
          </cell>
        </row>
        <row r="140">
          <cell r="A140" t="str">
            <v>FLU0350</v>
          </cell>
          <cell r="B140" t="str">
            <v>Compact Fluorescent 1x42</v>
          </cell>
          <cell r="C140">
            <v>42</v>
          </cell>
          <cell r="D140">
            <v>46.4</v>
          </cell>
          <cell r="F140" t="str">
            <v>HIGH PRESSURE SODIUM DECORATIVE 150WSTEEL POLE2</v>
          </cell>
          <cell r="G140">
            <v>1310</v>
          </cell>
          <cell r="I140">
            <v>1300</v>
          </cell>
          <cell r="J140" t="str">
            <v>HIGH PRESSURE SODIUM DECORATIVE 150W</v>
          </cell>
          <cell r="K140" t="str">
            <v>STEEL POLE</v>
          </cell>
          <cell r="L140">
            <v>1</v>
          </cell>
        </row>
        <row r="141">
          <cell r="A141" t="str">
            <v>FLU0360</v>
          </cell>
          <cell r="B141" t="str">
            <v>T5 2x14W</v>
          </cell>
          <cell r="C141" t="str">
            <v>2x14</v>
          </cell>
          <cell r="D141">
            <v>30.2</v>
          </cell>
          <cell r="F141" t="str">
            <v>HIGH PRESSURE SODIUM DECORATIVE 150WSTEEL POLE4</v>
          </cell>
          <cell r="G141">
            <v>1320</v>
          </cell>
          <cell r="I141">
            <v>1310</v>
          </cell>
          <cell r="J141" t="str">
            <v>HIGH PRESSURE SODIUM DECORATIVE 150W</v>
          </cell>
          <cell r="K141" t="str">
            <v>STEEL POLE</v>
          </cell>
          <cell r="L141">
            <v>2</v>
          </cell>
        </row>
        <row r="142">
          <cell r="A142" t="str">
            <v>FLU0370</v>
          </cell>
          <cell r="B142" t="str">
            <v>T5 2x24W</v>
          </cell>
          <cell r="C142" t="str">
            <v>2x24</v>
          </cell>
          <cell r="D142">
            <v>47</v>
          </cell>
          <cell r="F142" t="str">
            <v>HIGH PRESSURE SODIUM DECORATIVE 250W (210/220)STEEL POLE1</v>
          </cell>
          <cell r="G142">
            <v>1330</v>
          </cell>
          <cell r="I142">
            <v>1320</v>
          </cell>
          <cell r="J142" t="str">
            <v>HIGH PRESSURE SODIUM DECORATIVE 150W</v>
          </cell>
          <cell r="K142" t="str">
            <v>STEEL POLE</v>
          </cell>
          <cell r="L142">
            <v>4</v>
          </cell>
        </row>
        <row r="143">
          <cell r="F143" t="str">
            <v>HIGH PRESSURE SODIUM DECORATIVE 250W (210/220)STEEL POLE2</v>
          </cell>
          <cell r="G143">
            <v>1340</v>
          </cell>
          <cell r="I143">
            <v>1330</v>
          </cell>
          <cell r="J143" t="str">
            <v>HIGH PRESSURE SODIUM DECORATIVE 250W (210/220)</v>
          </cell>
          <cell r="K143" t="str">
            <v>STEEL POLE</v>
          </cell>
          <cell r="L143">
            <v>1</v>
          </cell>
        </row>
        <row r="144">
          <cell r="F144" t="str">
            <v>HIGH PRESSURE SODIUM DECORATIVE 250W (210/220)STEEL POLE4</v>
          </cell>
          <cell r="G144">
            <v>1350</v>
          </cell>
          <cell r="I144">
            <v>1340</v>
          </cell>
          <cell r="J144" t="str">
            <v>HIGH PRESSURE SODIUM DECORATIVE 250W (210/220)</v>
          </cell>
          <cell r="K144" t="str">
            <v>STEEL POLE</v>
          </cell>
          <cell r="L144">
            <v>2</v>
          </cell>
        </row>
        <row r="145">
          <cell r="F145" t="str">
            <v>HIGH PRESSURE SODIUM 150WR/BOUT COLUMN3</v>
          </cell>
          <cell r="G145">
            <v>1360</v>
          </cell>
          <cell r="I145">
            <v>1350</v>
          </cell>
          <cell r="J145" t="str">
            <v>HIGH PRESSURE SODIUM DECORATIVE 250W (210/220)</v>
          </cell>
          <cell r="K145" t="str">
            <v>STEEL POLE</v>
          </cell>
          <cell r="L145">
            <v>4</v>
          </cell>
        </row>
        <row r="146">
          <cell r="F146" t="str">
            <v>HIGH PRESSURE SODIUM 150WR/BOUT COLUMN4</v>
          </cell>
          <cell r="G146">
            <v>1370</v>
          </cell>
          <cell r="I146">
            <v>1360</v>
          </cell>
          <cell r="J146" t="str">
            <v>HIGH PRESSURE SODIUM 150W</v>
          </cell>
          <cell r="K146" t="str">
            <v>R/BOUT COLUMN</v>
          </cell>
          <cell r="L146">
            <v>3</v>
          </cell>
        </row>
        <row r="147">
          <cell r="F147" t="str">
            <v>METAL HALIDE/HPS 250W FLOOD (210/220)R/BOUT COLUMN3</v>
          </cell>
          <cell r="G147">
            <v>1380</v>
          </cell>
          <cell r="I147">
            <v>1370</v>
          </cell>
          <cell r="J147" t="str">
            <v>HIGH PRESSURE SODIUM 150W</v>
          </cell>
          <cell r="K147" t="str">
            <v>R/BOUT COLUMN</v>
          </cell>
          <cell r="L147">
            <v>4</v>
          </cell>
        </row>
        <row r="148">
          <cell r="F148" t="str">
            <v>METAL HALIDE/HPS 250W FLOOD (210/220)R/BOUT COLUMN4</v>
          </cell>
          <cell r="G148">
            <v>1450</v>
          </cell>
          <cell r="I148">
            <v>1380</v>
          </cell>
          <cell r="J148" t="str">
            <v>METAL HALIDE/HPS 250W FLOOD (210/220)</v>
          </cell>
          <cell r="K148" t="str">
            <v>R/BOUT COLUMN</v>
          </cell>
          <cell r="L148">
            <v>3</v>
          </cell>
        </row>
        <row r="149">
          <cell r="F149" t="str">
            <v>MERCURY VAPOUR 80WSTEEL POLE3</v>
          </cell>
          <cell r="G149">
            <v>1460</v>
          </cell>
          <cell r="I149">
            <v>1450</v>
          </cell>
          <cell r="J149" t="str">
            <v>METAL HALIDE/HPS 250W FLOOD (210/220)</v>
          </cell>
          <cell r="K149" t="str">
            <v>R/BOUT COLUMN</v>
          </cell>
          <cell r="L149">
            <v>4</v>
          </cell>
        </row>
        <row r="150">
          <cell r="F150" t="str">
            <v>HIGH PRESSURE SODIUM 3X400 W POST TOPR/BOUT COLUMN1</v>
          </cell>
          <cell r="G150">
            <v>1470</v>
          </cell>
          <cell r="I150">
            <v>1460</v>
          </cell>
          <cell r="J150" t="str">
            <v>MERCURY VAPOUR 80W</v>
          </cell>
          <cell r="K150" t="str">
            <v>STEEL POLE</v>
          </cell>
          <cell r="L150">
            <v>3</v>
          </cell>
        </row>
        <row r="151">
          <cell r="F151" t="str">
            <v>HIGH PRESSURE SODIUM 1X400 W POST TOPR/BOUT COLUMN1</v>
          </cell>
          <cell r="G151">
            <v>1480</v>
          </cell>
          <cell r="I151">
            <v>1470</v>
          </cell>
          <cell r="J151" t="str">
            <v>HIGH PRESSURE SODIUM 3X400 W POST TOP</v>
          </cell>
          <cell r="K151" t="str">
            <v>R/BOUT COLUMN</v>
          </cell>
          <cell r="L151">
            <v>1</v>
          </cell>
        </row>
        <row r="152">
          <cell r="F152" t="str">
            <v>HIGH PRESSURE SODIUM 2X250 W OR 2X400 W FLOODR/BOUT COLUMN2</v>
          </cell>
          <cell r="G152">
            <v>1490</v>
          </cell>
          <cell r="I152">
            <v>1480</v>
          </cell>
          <cell r="J152" t="str">
            <v>HIGH PRESSURE SODIUM 1X400 W POST TOP</v>
          </cell>
          <cell r="K152" t="str">
            <v>R/BOUT COLUMN</v>
          </cell>
          <cell r="L152">
            <v>1</v>
          </cell>
        </row>
        <row r="153">
          <cell r="F153" t="str">
            <v>MERCURY VAPOUR 80WSTEEL POLE4</v>
          </cell>
          <cell r="G153">
            <v>1500</v>
          </cell>
          <cell r="I153">
            <v>1490</v>
          </cell>
          <cell r="J153" t="str">
            <v>HIGH PRESSURE SODIUM 2X250 W OR 2X400 W FLOOD</v>
          </cell>
          <cell r="K153" t="str">
            <v>R/BOUT COLUMN</v>
          </cell>
          <cell r="L153">
            <v>2</v>
          </cell>
        </row>
        <row r="154">
          <cell r="F154" t="str">
            <v>KENSINGTON 80 WSTEEL POLE1</v>
          </cell>
          <cell r="G154">
            <v>1600</v>
          </cell>
          <cell r="I154">
            <v>1500</v>
          </cell>
          <cell r="J154" t="str">
            <v>MERCURY VAPOUR 80W</v>
          </cell>
          <cell r="K154" t="str">
            <v>STEEL POLE</v>
          </cell>
          <cell r="L154">
            <v>4</v>
          </cell>
        </row>
        <row r="155">
          <cell r="F155" t="str">
            <v>NOSTALGIA 80 WSTEEL POLE1</v>
          </cell>
          <cell r="G155">
            <v>1610</v>
          </cell>
          <cell r="I155">
            <v>1600</v>
          </cell>
          <cell r="J155" t="str">
            <v>KENSINGTON 80 W</v>
          </cell>
          <cell r="K155" t="str">
            <v>STEEL POLE</v>
          </cell>
          <cell r="L155">
            <v>1</v>
          </cell>
        </row>
        <row r="156">
          <cell r="F156" t="str">
            <v>REXEL OPTISPAN MINOR CFL57SHARED OR NO POLE1</v>
          </cell>
          <cell r="G156">
            <v>7090</v>
          </cell>
          <cell r="I156">
            <v>1610</v>
          </cell>
          <cell r="J156" t="str">
            <v>NOSTALGIA 80 W</v>
          </cell>
          <cell r="K156" t="str">
            <v>STEEL POLE</v>
          </cell>
          <cell r="L156">
            <v>1</v>
          </cell>
        </row>
        <row r="157">
          <cell r="F157" t="str">
            <v>REXEL OPTISPAN MINOR CFL57WOOD POLE1</v>
          </cell>
          <cell r="G157">
            <v>7140</v>
          </cell>
          <cell r="I157">
            <v>7090</v>
          </cell>
          <cell r="J157" t="str">
            <v>REXEL OPTISPAN MINOR CFL57</v>
          </cell>
          <cell r="K157" t="str">
            <v>SHARED OR NO POLE</v>
          </cell>
          <cell r="L157">
            <v>1</v>
          </cell>
        </row>
        <row r="158">
          <cell r="F158" t="str">
            <v>REXEL OPTISPAN MINOR CFL57STEEL POLE1</v>
          </cell>
          <cell r="G158">
            <v>7170</v>
          </cell>
          <cell r="I158">
            <v>7140</v>
          </cell>
          <cell r="J158" t="str">
            <v>REXEL OPTISPAN MINOR CFL57</v>
          </cell>
          <cell r="K158" t="str">
            <v>WOOD POLE</v>
          </cell>
          <cell r="L158">
            <v>1</v>
          </cell>
        </row>
        <row r="159">
          <cell r="F159" t="str">
            <v>REXEL OPTISPAN MINOR 70 HPSSHARED OR NO POLE1</v>
          </cell>
          <cell r="G159">
            <v>8090</v>
          </cell>
          <cell r="I159">
            <v>7170</v>
          </cell>
          <cell r="J159" t="str">
            <v>REXEL OPTISPAN MINOR CFL57</v>
          </cell>
          <cell r="K159" t="str">
            <v>STEEL POLE</v>
          </cell>
          <cell r="L159">
            <v>1</v>
          </cell>
        </row>
        <row r="160">
          <cell r="F160" t="str">
            <v>REXEL OPTISPAN MINOR 70 HPSWOOD POLE1</v>
          </cell>
          <cell r="G160">
            <v>8140</v>
          </cell>
          <cell r="I160">
            <v>8090</v>
          </cell>
          <cell r="J160" t="str">
            <v>REXEL OPTISPAN MINOR 70 HPS</v>
          </cell>
          <cell r="K160" t="str">
            <v>SHARED OR NO POLE</v>
          </cell>
          <cell r="L160">
            <v>1</v>
          </cell>
        </row>
        <row r="161">
          <cell r="F161" t="str">
            <v>REXEL OPTISPAN MINOR 70 HPSSTEEL POLE1</v>
          </cell>
          <cell r="G161">
            <v>8170</v>
          </cell>
          <cell r="I161">
            <v>8140</v>
          </cell>
          <cell r="J161" t="str">
            <v>REXEL OPTISPAN MINOR 70 HPS</v>
          </cell>
          <cell r="K161" t="str">
            <v>WOOD POLE</v>
          </cell>
          <cell r="L161">
            <v>1</v>
          </cell>
        </row>
        <row r="162">
          <cell r="F162" t="str">
            <v xml:space="preserve">2000 W MH FLOODLIGHT </v>
          </cell>
          <cell r="G162">
            <v>8180</v>
          </cell>
          <cell r="I162">
            <v>8170</v>
          </cell>
          <cell r="J162" t="str">
            <v>REXEL OPTISPAN MINOR 70 HPS</v>
          </cell>
          <cell r="K162" t="str">
            <v>STEEL POLE</v>
          </cell>
          <cell r="L162">
            <v>1</v>
          </cell>
        </row>
        <row r="163">
          <cell r="F163" t="str">
            <v xml:space="preserve">2000 W MH FLOODLIGHT </v>
          </cell>
          <cell r="G163">
            <v>8190</v>
          </cell>
          <cell r="I163">
            <v>8180</v>
          </cell>
          <cell r="J163" t="str">
            <v xml:space="preserve">2000 W MH FLOODLIGHT </v>
          </cell>
        </row>
        <row r="164">
          <cell r="F164" t="str">
            <v xml:space="preserve">2000 W MH FLOODLIGHT </v>
          </cell>
          <cell r="G164">
            <v>8200</v>
          </cell>
          <cell r="I164">
            <v>8190</v>
          </cell>
          <cell r="J164" t="str">
            <v xml:space="preserve">2000 W MH FLOODLIGHT </v>
          </cell>
        </row>
        <row r="165">
          <cell r="F165" t="str">
            <v>COMPACT FLUORESCENT 42WSHARED OR NO POLE1</v>
          </cell>
          <cell r="G165">
            <v>1620</v>
          </cell>
          <cell r="I165">
            <v>8200</v>
          </cell>
          <cell r="J165" t="str">
            <v xml:space="preserve">2000 W MH FLOODLIGHT </v>
          </cell>
        </row>
        <row r="166">
          <cell r="F166" t="str">
            <v>COMPACT FLUORESCENT 42WSHARED OR NO POLE2</v>
          </cell>
          <cell r="G166">
            <v>1630</v>
          </cell>
          <cell r="I166">
            <v>1620</v>
          </cell>
          <cell r="J166" t="str">
            <v>COMPACT FLUORESCENT 42W</v>
          </cell>
          <cell r="K166" t="str">
            <v>SHARED OR NO POLE</v>
          </cell>
          <cell r="L166">
            <v>1</v>
          </cell>
        </row>
        <row r="167">
          <cell r="F167" t="str">
            <v>COMPACT FLUORESCENT 42WSHARED OR NO POLE3</v>
          </cell>
          <cell r="G167">
            <v>1640</v>
          </cell>
          <cell r="I167">
            <v>1630</v>
          </cell>
          <cell r="J167" t="str">
            <v>COMPACT FLUORESCENT 42W</v>
          </cell>
          <cell r="K167" t="str">
            <v>SHARED OR NO POLE</v>
          </cell>
          <cell r="L167">
            <v>2</v>
          </cell>
        </row>
        <row r="168">
          <cell r="F168" t="str">
            <v>COMPACT FLUORESCENT 42WSHARED OR NO POLE4</v>
          </cell>
          <cell r="G168">
            <v>1650</v>
          </cell>
          <cell r="I168">
            <v>1640</v>
          </cell>
          <cell r="J168" t="str">
            <v>COMPACT FLUORESCENT 42W</v>
          </cell>
          <cell r="K168" t="str">
            <v>SHARED OR NO POLE</v>
          </cell>
          <cell r="L168">
            <v>3</v>
          </cell>
        </row>
        <row r="169">
          <cell r="F169" t="str">
            <v>COMPACT FLUORESCENT 42WWOOD POLE1</v>
          </cell>
          <cell r="G169">
            <v>1660</v>
          </cell>
          <cell r="I169">
            <v>1650</v>
          </cell>
          <cell r="J169" t="str">
            <v>COMPACT FLUORESCENT 42W</v>
          </cell>
          <cell r="K169" t="str">
            <v>SHARED OR NO POLE</v>
          </cell>
          <cell r="L169">
            <v>4</v>
          </cell>
        </row>
        <row r="170">
          <cell r="F170" t="str">
            <v>COMPACT FLUORESCENT 42WWOOD POLE2</v>
          </cell>
          <cell r="G170">
            <v>1670</v>
          </cell>
          <cell r="I170">
            <v>1660</v>
          </cell>
          <cell r="J170" t="str">
            <v>COMPACT FLUORESCENT 42W</v>
          </cell>
          <cell r="K170" t="str">
            <v>WOOD POLE</v>
          </cell>
          <cell r="L170">
            <v>1</v>
          </cell>
        </row>
        <row r="171">
          <cell r="F171" t="str">
            <v>COMPACT FLUORESCENT 42WWOOD POLE3</v>
          </cell>
          <cell r="G171">
            <v>1680</v>
          </cell>
          <cell r="I171">
            <v>1670</v>
          </cell>
          <cell r="J171" t="str">
            <v>COMPACT FLUORESCENT 42W</v>
          </cell>
          <cell r="K171" t="str">
            <v>WOOD POLE</v>
          </cell>
          <cell r="L171">
            <v>2</v>
          </cell>
        </row>
        <row r="172">
          <cell r="F172" t="str">
            <v>COMPACT FLUORESCENT 42WWOOD POLE4</v>
          </cell>
          <cell r="G172">
            <v>1690</v>
          </cell>
          <cell r="I172">
            <v>1680</v>
          </cell>
          <cell r="J172" t="str">
            <v>COMPACT FLUORESCENT 42W</v>
          </cell>
          <cell r="K172" t="str">
            <v>WOOD POLE</v>
          </cell>
          <cell r="L172">
            <v>3</v>
          </cell>
        </row>
        <row r="173">
          <cell r="F173" t="str">
            <v>COMPACT FLUORESCENT 42WSTEEL POLE1</v>
          </cell>
          <cell r="G173">
            <v>1700</v>
          </cell>
          <cell r="I173">
            <v>1690</v>
          </cell>
          <cell r="J173" t="str">
            <v>COMPACT FLUORESCENT 42W</v>
          </cell>
          <cell r="K173" t="str">
            <v>WOOD POLE</v>
          </cell>
          <cell r="L173">
            <v>4</v>
          </cell>
        </row>
        <row r="174">
          <cell r="F174" t="str">
            <v>COMPACT FLUORESCENT 42WSTEEL POLE2</v>
          </cell>
          <cell r="G174">
            <v>1710</v>
          </cell>
          <cell r="I174">
            <v>1700</v>
          </cell>
          <cell r="J174" t="str">
            <v>COMPACT FLUORESCENT 42W</v>
          </cell>
          <cell r="K174" t="str">
            <v>STEEL POLE</v>
          </cell>
          <cell r="L174">
            <v>1</v>
          </cell>
        </row>
        <row r="175">
          <cell r="F175" t="str">
            <v>COMPACT FLUORESCENT 42WSTEEL POLE3</v>
          </cell>
          <cell r="G175">
            <v>1720</v>
          </cell>
          <cell r="I175">
            <v>1710</v>
          </cell>
          <cell r="J175" t="str">
            <v>COMPACT FLUORESCENT 42W</v>
          </cell>
          <cell r="K175" t="str">
            <v>STEEL POLE</v>
          </cell>
          <cell r="L175">
            <v>2</v>
          </cell>
        </row>
        <row r="176">
          <cell r="F176" t="str">
            <v>COMPACT FLUORESCENT 42WSTEEL POLE4</v>
          </cell>
          <cell r="G176">
            <v>1730</v>
          </cell>
          <cell r="I176">
            <v>1720</v>
          </cell>
          <cell r="J176" t="str">
            <v>COMPACT FLUORESCENT 42W</v>
          </cell>
          <cell r="K176" t="str">
            <v>STEEL POLE</v>
          </cell>
          <cell r="L176">
            <v>3</v>
          </cell>
        </row>
        <row r="177">
          <cell r="F177" t="str">
            <v>T5 2x14WSHARED OR NO POLE1</v>
          </cell>
          <cell r="G177">
            <v>1740</v>
          </cell>
          <cell r="I177">
            <v>1730</v>
          </cell>
          <cell r="J177" t="str">
            <v>COMPACT FLUORESCENT 42W</v>
          </cell>
          <cell r="K177" t="str">
            <v>STEEL POLE</v>
          </cell>
          <cell r="L177">
            <v>4</v>
          </cell>
        </row>
        <row r="178">
          <cell r="F178" t="str">
            <v>T5 2x14WSHARED OR NO POLE2</v>
          </cell>
          <cell r="G178">
            <v>1750</v>
          </cell>
          <cell r="I178">
            <v>1740</v>
          </cell>
          <cell r="J178" t="str">
            <v>T5 2x14W</v>
          </cell>
          <cell r="K178" t="str">
            <v>SHARED OR NO POLE</v>
          </cell>
          <cell r="L178">
            <v>1</v>
          </cell>
        </row>
        <row r="179">
          <cell r="F179" t="str">
            <v>T5 2x14WSHARED OR NO POLE3</v>
          </cell>
          <cell r="G179">
            <v>1760</v>
          </cell>
          <cell r="I179">
            <v>1750</v>
          </cell>
          <cell r="J179" t="str">
            <v>T5 2x14W</v>
          </cell>
          <cell r="K179" t="str">
            <v>SHARED OR NO POLE</v>
          </cell>
          <cell r="L179">
            <v>2</v>
          </cell>
        </row>
        <row r="180">
          <cell r="F180" t="str">
            <v>T5 2x14WSHARED OR NO POLE4</v>
          </cell>
          <cell r="G180">
            <v>1770</v>
          </cell>
          <cell r="I180">
            <v>1760</v>
          </cell>
          <cell r="J180" t="str">
            <v>T5 2x14W</v>
          </cell>
          <cell r="K180" t="str">
            <v>SHARED OR NO POLE</v>
          </cell>
          <cell r="L180">
            <v>3</v>
          </cell>
        </row>
        <row r="181">
          <cell r="F181" t="str">
            <v>T5 2x14WWOOD POLE1</v>
          </cell>
          <cell r="G181">
            <v>1780</v>
          </cell>
          <cell r="I181">
            <v>1770</v>
          </cell>
          <cell r="J181" t="str">
            <v>T5 2x14W</v>
          </cell>
          <cell r="K181" t="str">
            <v>SHARED OR NO POLE</v>
          </cell>
          <cell r="L181">
            <v>4</v>
          </cell>
        </row>
        <row r="182">
          <cell r="F182" t="str">
            <v>T5 2x14WWOOD POLE2</v>
          </cell>
          <cell r="G182">
            <v>1790</v>
          </cell>
          <cell r="I182">
            <v>1780</v>
          </cell>
          <cell r="J182" t="str">
            <v>T5 2x14W</v>
          </cell>
          <cell r="K182" t="str">
            <v>WOOD POLE</v>
          </cell>
          <cell r="L182">
            <v>1</v>
          </cell>
        </row>
        <row r="183">
          <cell r="F183" t="str">
            <v>T5 2x14WWOOD POLE3</v>
          </cell>
          <cell r="G183">
            <v>1800</v>
          </cell>
          <cell r="I183">
            <v>1790</v>
          </cell>
          <cell r="J183" t="str">
            <v>T5 2x14W</v>
          </cell>
          <cell r="K183" t="str">
            <v>WOOD POLE</v>
          </cell>
          <cell r="L183">
            <v>2</v>
          </cell>
        </row>
        <row r="184">
          <cell r="F184" t="str">
            <v>T5 2x14WWOOD POLE4</v>
          </cell>
          <cell r="G184">
            <v>1810</v>
          </cell>
          <cell r="I184">
            <v>1800</v>
          </cell>
          <cell r="J184" t="str">
            <v>T5 2x14W</v>
          </cell>
          <cell r="K184" t="str">
            <v>WOOD POLE</v>
          </cell>
          <cell r="L184">
            <v>3</v>
          </cell>
        </row>
        <row r="185">
          <cell r="F185" t="str">
            <v>T5 2x14WSTEEL POLE1</v>
          </cell>
          <cell r="G185">
            <v>1820</v>
          </cell>
          <cell r="I185">
            <v>1810</v>
          </cell>
          <cell r="J185" t="str">
            <v>T5 2x14W</v>
          </cell>
          <cell r="K185" t="str">
            <v>WOOD POLE</v>
          </cell>
          <cell r="L185">
            <v>4</v>
          </cell>
        </row>
        <row r="186">
          <cell r="F186" t="str">
            <v>T5 2x14WSTEEL POLE2</v>
          </cell>
          <cell r="G186">
            <v>1830</v>
          </cell>
          <cell r="I186">
            <v>1820</v>
          </cell>
          <cell r="J186" t="str">
            <v>T5 2x14W</v>
          </cell>
          <cell r="K186" t="str">
            <v>STEEL POLE</v>
          </cell>
          <cell r="L186">
            <v>1</v>
          </cell>
        </row>
        <row r="187">
          <cell r="I187">
            <v>1830</v>
          </cell>
          <cell r="J187" t="str">
            <v>T5 2x14W</v>
          </cell>
          <cell r="K187" t="str">
            <v>STEEL POLE</v>
          </cell>
          <cell r="L187">
            <v>2</v>
          </cell>
        </row>
        <row r="188">
          <cell r="I188">
            <v>1840</v>
          </cell>
          <cell r="J188" t="str">
            <v>T5 2x14W</v>
          </cell>
          <cell r="K188" t="str">
            <v>STEEL POLE</v>
          </cell>
          <cell r="L188">
            <v>3</v>
          </cell>
        </row>
        <row r="189">
          <cell r="I189">
            <v>1850</v>
          </cell>
          <cell r="J189" t="str">
            <v>T5 2x14W</v>
          </cell>
          <cell r="K189" t="str">
            <v>STEEL POLE</v>
          </cell>
          <cell r="L189">
            <v>4</v>
          </cell>
        </row>
        <row r="190">
          <cell r="I190">
            <v>1860</v>
          </cell>
          <cell r="J190" t="str">
            <v>T5 2x24W</v>
          </cell>
          <cell r="K190" t="str">
            <v>SHARED OR NO POLE</v>
          </cell>
          <cell r="L190">
            <v>1</v>
          </cell>
        </row>
        <row r="191">
          <cell r="I191">
            <v>1870</v>
          </cell>
          <cell r="J191" t="str">
            <v>T5 2x24W</v>
          </cell>
          <cell r="K191" t="str">
            <v>SHARED OR NO POLE</v>
          </cell>
          <cell r="L191">
            <v>2</v>
          </cell>
        </row>
        <row r="192">
          <cell r="I192">
            <v>1880</v>
          </cell>
          <cell r="J192" t="str">
            <v>T5 2x24W</v>
          </cell>
          <cell r="K192" t="str">
            <v>SHARED OR NO POLE</v>
          </cell>
          <cell r="L192">
            <v>3</v>
          </cell>
        </row>
        <row r="193">
          <cell r="I193">
            <v>1890</v>
          </cell>
          <cell r="J193" t="str">
            <v>T5 2x24W</v>
          </cell>
          <cell r="K193" t="str">
            <v>SHARED OR NO POLE</v>
          </cell>
          <cell r="L193">
            <v>4</v>
          </cell>
        </row>
        <row r="194">
          <cell r="I194">
            <v>1900</v>
          </cell>
          <cell r="J194" t="str">
            <v>T5 2x24W</v>
          </cell>
          <cell r="K194" t="str">
            <v>WOOD POLE</v>
          </cell>
          <cell r="L194">
            <v>1</v>
          </cell>
        </row>
        <row r="195">
          <cell r="I195">
            <v>1910</v>
          </cell>
          <cell r="J195" t="str">
            <v>T5 2x24W</v>
          </cell>
          <cell r="K195" t="str">
            <v>WOOD POLE</v>
          </cell>
          <cell r="L195">
            <v>2</v>
          </cell>
        </row>
        <row r="196">
          <cell r="I196">
            <v>1920</v>
          </cell>
          <cell r="J196" t="str">
            <v>T5 2x24W</v>
          </cell>
          <cell r="K196" t="str">
            <v>WOOD POLE</v>
          </cell>
          <cell r="L196">
            <v>3</v>
          </cell>
        </row>
        <row r="197">
          <cell r="I197">
            <v>1930</v>
          </cell>
          <cell r="J197" t="str">
            <v>T5 2x24W</v>
          </cell>
          <cell r="K197" t="str">
            <v>WOOD POLE</v>
          </cell>
          <cell r="L197">
            <v>4</v>
          </cell>
        </row>
        <row r="198">
          <cell r="I198">
            <v>1940</v>
          </cell>
          <cell r="J198" t="str">
            <v>T5 2x24W</v>
          </cell>
          <cell r="K198" t="str">
            <v>STEEL POLE</v>
          </cell>
          <cell r="L198">
            <v>1</v>
          </cell>
        </row>
        <row r="199">
          <cell r="I199">
            <v>1950</v>
          </cell>
          <cell r="J199" t="str">
            <v>T5 2x24W</v>
          </cell>
          <cell r="K199" t="str">
            <v>STEEL POLE</v>
          </cell>
          <cell r="L199">
            <v>2</v>
          </cell>
        </row>
        <row r="200">
          <cell r="I200">
            <v>1960</v>
          </cell>
          <cell r="J200" t="str">
            <v>T5 2x24W</v>
          </cell>
          <cell r="K200" t="str">
            <v>STEEL POLE</v>
          </cell>
          <cell r="L200">
            <v>3</v>
          </cell>
        </row>
        <row r="201">
          <cell r="I201">
            <v>1970</v>
          </cell>
          <cell r="J201" t="str">
            <v>T5 2x24W</v>
          </cell>
          <cell r="K201" t="str">
            <v>STEEL POLE</v>
          </cell>
          <cell r="L201">
            <v>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53"/>
  <sheetViews>
    <sheetView workbookViewId="0">
      <selection activeCell="D5" sqref="D5"/>
    </sheetView>
  </sheetViews>
  <sheetFormatPr defaultRowHeight="12.75" x14ac:dyDescent="0.2"/>
  <cols>
    <col min="1" max="1" width="17.85546875" customWidth="1"/>
    <col min="2" max="2" width="52.28515625" customWidth="1"/>
    <col min="5" max="5" width="21.42578125" customWidth="1"/>
  </cols>
  <sheetData>
    <row r="1" spans="1:14" ht="25.5" x14ac:dyDescent="0.35">
      <c r="A1" s="5" t="s">
        <v>972</v>
      </c>
      <c r="E1" s="68"/>
    </row>
    <row r="3" spans="1:14" x14ac:dyDescent="0.2">
      <c r="A3" s="8" t="s">
        <v>965</v>
      </c>
      <c r="B3" s="6"/>
      <c r="C3" s="6"/>
      <c r="D3" s="6"/>
      <c r="E3" s="6"/>
      <c r="F3" s="6"/>
      <c r="G3" s="6"/>
      <c r="H3" s="6"/>
      <c r="I3" s="6"/>
      <c r="J3" s="6"/>
      <c r="K3" s="6"/>
      <c r="L3" s="6"/>
      <c r="M3" s="6"/>
      <c r="N3" s="6"/>
    </row>
    <row r="4" spans="1:14" x14ac:dyDescent="0.2">
      <c r="A4" s="6"/>
      <c r="B4" s="6"/>
      <c r="C4" s="6"/>
      <c r="D4" s="6"/>
      <c r="E4" s="6"/>
      <c r="F4" s="6"/>
      <c r="G4" s="6"/>
      <c r="H4" s="6"/>
      <c r="I4" s="6"/>
      <c r="J4" s="6"/>
      <c r="K4" s="6"/>
      <c r="L4" s="6"/>
      <c r="M4" s="6"/>
      <c r="N4" s="6"/>
    </row>
    <row r="5" spans="1:14" ht="117" customHeight="1" x14ac:dyDescent="0.2">
      <c r="A5" s="493" t="s">
        <v>2146</v>
      </c>
      <c r="B5" s="494"/>
      <c r="C5" s="15"/>
      <c r="D5" s="15"/>
      <c r="E5" s="15"/>
      <c r="F5" s="15"/>
      <c r="G5" s="15"/>
      <c r="H5" s="15"/>
      <c r="I5" s="15"/>
      <c r="J5" s="15"/>
      <c r="K5" s="6"/>
      <c r="L5" s="6"/>
      <c r="M5" s="6"/>
      <c r="N5" s="6"/>
    </row>
    <row r="6" spans="1:14" x14ac:dyDescent="0.2">
      <c r="A6" s="6"/>
      <c r="B6" s="6"/>
      <c r="C6" s="6"/>
      <c r="D6" s="6"/>
      <c r="E6" s="6"/>
      <c r="F6" s="6"/>
      <c r="G6" s="6"/>
      <c r="H6" s="6"/>
      <c r="I6" s="6"/>
      <c r="J6" s="6"/>
      <c r="K6" s="6"/>
      <c r="L6" s="6"/>
      <c r="M6" s="6"/>
      <c r="N6" s="6"/>
    </row>
    <row r="7" spans="1:14" x14ac:dyDescent="0.2">
      <c r="A7" s="6" t="s">
        <v>966</v>
      </c>
      <c r="B7" s="6"/>
      <c r="C7" s="6"/>
      <c r="D7" s="6"/>
      <c r="E7" s="6"/>
      <c r="F7" s="6"/>
      <c r="G7" s="6"/>
      <c r="H7" s="6"/>
      <c r="I7" s="6"/>
      <c r="J7" s="6"/>
      <c r="K7" s="6"/>
      <c r="L7" s="6"/>
      <c r="M7" s="6"/>
      <c r="N7" s="6"/>
    </row>
    <row r="8" spans="1:14" x14ac:dyDescent="0.2">
      <c r="A8" s="6"/>
      <c r="B8" s="6"/>
      <c r="C8" s="6"/>
      <c r="D8" s="6"/>
      <c r="E8" s="6"/>
      <c r="F8" s="6"/>
      <c r="G8" s="6"/>
      <c r="H8" s="6"/>
      <c r="I8" s="6"/>
      <c r="J8" s="6"/>
      <c r="K8" s="6"/>
      <c r="L8" s="6"/>
      <c r="M8" s="6"/>
      <c r="N8" s="6"/>
    </row>
    <row r="9" spans="1:14" x14ac:dyDescent="0.2">
      <c r="A9" s="13" t="s">
        <v>967</v>
      </c>
      <c r="B9" s="14" t="s">
        <v>968</v>
      </c>
      <c r="C9" s="6"/>
      <c r="D9" s="6"/>
      <c r="E9" s="6"/>
      <c r="F9" s="6"/>
      <c r="G9" s="6"/>
      <c r="H9" s="6"/>
      <c r="I9" s="6"/>
      <c r="J9" s="6"/>
      <c r="K9" s="6"/>
      <c r="L9" s="6"/>
      <c r="M9" s="6"/>
      <c r="N9" s="6"/>
    </row>
    <row r="10" spans="1:14" ht="33.75" x14ac:dyDescent="0.2">
      <c r="A10" s="9" t="s">
        <v>969</v>
      </c>
      <c r="B10" s="10" t="s">
        <v>326</v>
      </c>
      <c r="C10" s="6"/>
      <c r="D10" s="6"/>
      <c r="E10" s="6"/>
      <c r="F10" s="6"/>
      <c r="G10" s="6"/>
      <c r="H10" s="6"/>
      <c r="I10" s="6"/>
      <c r="J10" s="6"/>
      <c r="K10" s="6"/>
      <c r="L10" s="6"/>
      <c r="M10" s="6"/>
      <c r="N10" s="6"/>
    </row>
    <row r="11" spans="1:14" ht="22.5" x14ac:dyDescent="0.2">
      <c r="A11" s="9" t="s">
        <v>971</v>
      </c>
      <c r="B11" s="10" t="s">
        <v>970</v>
      </c>
      <c r="C11" s="6"/>
      <c r="D11" s="6"/>
      <c r="E11" s="6"/>
      <c r="F11" s="6"/>
      <c r="G11" s="6"/>
      <c r="H11" s="6"/>
      <c r="I11" s="6"/>
      <c r="J11" s="6"/>
      <c r="K11" s="6"/>
      <c r="L11" s="6"/>
      <c r="M11" s="6"/>
      <c r="N11" s="6"/>
    </row>
    <row r="12" spans="1:14" ht="22.5" x14ac:dyDescent="0.2">
      <c r="A12" s="9" t="s">
        <v>905</v>
      </c>
      <c r="B12" s="10" t="s">
        <v>909</v>
      </c>
      <c r="C12" s="6"/>
      <c r="D12" s="6"/>
      <c r="E12" s="6"/>
      <c r="F12" s="6"/>
      <c r="G12" s="6"/>
      <c r="H12" s="6"/>
      <c r="I12" s="6"/>
      <c r="J12" s="6"/>
      <c r="K12" s="6"/>
      <c r="L12" s="6"/>
      <c r="M12" s="6"/>
      <c r="N12" s="6"/>
    </row>
    <row r="13" spans="1:14" x14ac:dyDescent="0.2">
      <c r="A13" s="9" t="s">
        <v>197</v>
      </c>
      <c r="B13" s="10" t="s">
        <v>327</v>
      </c>
      <c r="C13" s="6"/>
      <c r="D13" s="6"/>
      <c r="E13" s="6"/>
      <c r="F13" s="6"/>
      <c r="G13" s="6"/>
      <c r="H13" s="6"/>
      <c r="I13" s="6"/>
      <c r="J13" s="6"/>
      <c r="K13" s="6"/>
      <c r="L13" s="6"/>
      <c r="M13" s="6"/>
      <c r="N13" s="6"/>
    </row>
    <row r="14" spans="1:14" ht="33.75" x14ac:dyDescent="0.2">
      <c r="A14" s="9" t="s">
        <v>268</v>
      </c>
      <c r="B14" s="10" t="s">
        <v>174</v>
      </c>
      <c r="C14" s="6"/>
      <c r="D14" s="6"/>
      <c r="E14" s="6"/>
      <c r="F14" s="6"/>
      <c r="G14" s="6"/>
      <c r="H14" s="6"/>
      <c r="I14" s="6"/>
      <c r="J14" s="6"/>
      <c r="K14" s="6"/>
      <c r="L14" s="6"/>
      <c r="M14" s="6"/>
      <c r="N14" s="6"/>
    </row>
    <row r="15" spans="1:14" ht="22.5" x14ac:dyDescent="0.2">
      <c r="A15" s="9" t="s">
        <v>180</v>
      </c>
      <c r="B15" s="10" t="s">
        <v>328</v>
      </c>
      <c r="C15" s="6"/>
      <c r="D15" s="6"/>
      <c r="E15" s="6"/>
      <c r="F15" s="6"/>
      <c r="G15" s="6"/>
      <c r="H15" s="6"/>
      <c r="I15" s="6"/>
      <c r="J15" s="6"/>
      <c r="K15" s="6"/>
      <c r="L15" s="6"/>
      <c r="M15" s="6"/>
      <c r="N15" s="6"/>
    </row>
    <row r="16" spans="1:14" x14ac:dyDescent="0.2">
      <c r="A16" s="9" t="s">
        <v>175</v>
      </c>
      <c r="B16" s="10" t="s">
        <v>176</v>
      </c>
      <c r="C16" s="6"/>
      <c r="D16" s="6"/>
      <c r="E16" s="6"/>
      <c r="F16" s="6"/>
      <c r="G16" s="6"/>
      <c r="H16" s="6"/>
      <c r="I16" s="6"/>
      <c r="J16" s="6"/>
      <c r="K16" s="6"/>
      <c r="L16" s="6"/>
      <c r="M16" s="6"/>
      <c r="N16" s="6"/>
    </row>
    <row r="17" spans="1:14" x14ac:dyDescent="0.2">
      <c r="A17" s="11" t="s">
        <v>950</v>
      </c>
      <c r="B17" s="12" t="s">
        <v>951</v>
      </c>
      <c r="C17" s="6"/>
      <c r="D17" s="6"/>
      <c r="E17" s="6"/>
      <c r="F17" s="6"/>
      <c r="G17" s="6"/>
      <c r="H17" s="6"/>
      <c r="I17" s="6"/>
      <c r="J17" s="6"/>
      <c r="K17" s="6"/>
      <c r="L17" s="6"/>
      <c r="M17" s="6"/>
      <c r="N17" s="6"/>
    </row>
    <row r="18" spans="1:14" x14ac:dyDescent="0.2">
      <c r="A18" s="6"/>
      <c r="B18" s="6"/>
      <c r="C18" s="6"/>
      <c r="D18" s="6"/>
      <c r="E18" s="6"/>
      <c r="F18" s="6"/>
      <c r="G18" s="6"/>
      <c r="H18" s="6"/>
      <c r="I18" s="6"/>
      <c r="J18" s="6"/>
      <c r="K18" s="6"/>
      <c r="L18" s="6"/>
      <c r="M18" s="6"/>
      <c r="N18" s="6"/>
    </row>
    <row r="19" spans="1:14" x14ac:dyDescent="0.2">
      <c r="A19" s="6" t="s">
        <v>973</v>
      </c>
      <c r="B19" s="16" t="s">
        <v>1192</v>
      </c>
      <c r="C19" s="6"/>
      <c r="D19" s="6"/>
      <c r="E19" s="6"/>
      <c r="F19" s="6"/>
      <c r="G19" s="6"/>
      <c r="H19" s="6"/>
      <c r="I19" s="6"/>
      <c r="J19" s="6"/>
      <c r="K19" s="6"/>
      <c r="L19" s="6"/>
      <c r="M19" s="6"/>
      <c r="N19" s="6"/>
    </row>
    <row r="20" spans="1:14" x14ac:dyDescent="0.2">
      <c r="A20" s="6" t="s">
        <v>2144</v>
      </c>
      <c r="B20" s="16" t="s">
        <v>2145</v>
      </c>
      <c r="C20" s="6"/>
      <c r="D20" s="6"/>
      <c r="E20" s="6"/>
      <c r="F20" s="6"/>
      <c r="G20" s="6"/>
      <c r="H20" s="6"/>
      <c r="I20" s="6"/>
      <c r="J20" s="6"/>
      <c r="K20" s="6"/>
      <c r="L20" s="6"/>
      <c r="M20" s="6"/>
      <c r="N20" s="6"/>
    </row>
    <row r="21" spans="1:14" x14ac:dyDescent="0.2">
      <c r="A21" s="6"/>
      <c r="B21" s="6"/>
      <c r="C21" s="6"/>
      <c r="D21" s="6"/>
      <c r="E21" s="6"/>
      <c r="F21" s="6"/>
      <c r="G21" s="6"/>
      <c r="H21" s="6"/>
      <c r="I21" s="6"/>
      <c r="J21" s="6"/>
      <c r="K21" s="6"/>
      <c r="L21" s="6"/>
      <c r="M21" s="6"/>
      <c r="N21" s="6"/>
    </row>
    <row r="22" spans="1:14" x14ac:dyDescent="0.2">
      <c r="A22" s="6"/>
      <c r="B22" s="6"/>
      <c r="C22" s="6"/>
      <c r="D22" s="6"/>
      <c r="E22" s="6"/>
      <c r="F22" s="6"/>
      <c r="G22" s="6"/>
      <c r="H22" s="6"/>
      <c r="I22" s="6"/>
      <c r="J22" s="6"/>
      <c r="K22" s="6"/>
      <c r="L22" s="6"/>
      <c r="M22" s="6"/>
      <c r="N22" s="6"/>
    </row>
    <row r="23" spans="1:14" x14ac:dyDescent="0.2">
      <c r="A23" s="6"/>
      <c r="B23" s="6"/>
      <c r="C23" s="6"/>
      <c r="D23" s="6"/>
      <c r="E23" s="6"/>
      <c r="F23" s="6"/>
      <c r="G23" s="6"/>
      <c r="H23" s="6"/>
      <c r="I23" s="6"/>
      <c r="J23" s="6"/>
      <c r="K23" s="6"/>
      <c r="L23" s="6"/>
      <c r="M23" s="6"/>
      <c r="N23" s="6"/>
    </row>
    <row r="24" spans="1:14" x14ac:dyDescent="0.2">
      <c r="A24" s="6"/>
      <c r="B24" s="6"/>
      <c r="C24" s="6"/>
      <c r="D24" s="6"/>
      <c r="E24" s="6"/>
      <c r="F24" s="6"/>
      <c r="G24" s="6"/>
      <c r="H24" s="6"/>
      <c r="I24" s="6"/>
      <c r="J24" s="6"/>
      <c r="K24" s="6"/>
      <c r="L24" s="6"/>
      <c r="M24" s="6"/>
      <c r="N24" s="6"/>
    </row>
    <row r="25" spans="1:14" x14ac:dyDescent="0.2">
      <c r="A25" s="6"/>
      <c r="B25" s="6"/>
      <c r="C25" s="6"/>
      <c r="D25" s="6"/>
      <c r="E25" s="6"/>
      <c r="F25" s="6"/>
      <c r="G25" s="6"/>
      <c r="H25" s="6"/>
      <c r="I25" s="6"/>
      <c r="J25" s="6"/>
      <c r="K25" s="6"/>
      <c r="L25" s="6"/>
      <c r="M25" s="6"/>
      <c r="N25" s="6"/>
    </row>
    <row r="26" spans="1:14" x14ac:dyDescent="0.2">
      <c r="A26" s="6"/>
      <c r="B26" s="6"/>
      <c r="C26" s="6"/>
      <c r="D26" s="6"/>
      <c r="E26" s="6"/>
      <c r="F26" s="6"/>
      <c r="G26" s="6"/>
      <c r="H26" s="6"/>
      <c r="I26" s="6"/>
      <c r="J26" s="6"/>
      <c r="K26" s="6"/>
      <c r="L26" s="6"/>
      <c r="M26" s="6"/>
      <c r="N26" s="6"/>
    </row>
    <row r="27" spans="1:14" x14ac:dyDescent="0.2">
      <c r="A27" s="6"/>
      <c r="B27" s="6"/>
      <c r="C27" s="6"/>
      <c r="D27" s="6"/>
      <c r="E27" s="6"/>
      <c r="F27" s="6"/>
      <c r="G27" s="6"/>
      <c r="H27" s="6"/>
      <c r="I27" s="6"/>
      <c r="J27" s="6"/>
      <c r="K27" s="6"/>
      <c r="L27" s="6"/>
      <c r="M27" s="6"/>
      <c r="N27" s="6"/>
    </row>
    <row r="28" spans="1:14" x14ac:dyDescent="0.2">
      <c r="A28" s="6"/>
      <c r="B28" s="6"/>
      <c r="C28" s="6"/>
      <c r="D28" s="6"/>
      <c r="E28" s="6"/>
      <c r="F28" s="6"/>
      <c r="G28" s="6"/>
      <c r="H28" s="6"/>
      <c r="I28" s="6"/>
      <c r="J28" s="6"/>
      <c r="K28" s="6"/>
      <c r="L28" s="6"/>
      <c r="M28" s="6"/>
      <c r="N28" s="6"/>
    </row>
    <row r="29" spans="1:14" x14ac:dyDescent="0.2">
      <c r="A29" s="6"/>
      <c r="B29" s="6"/>
      <c r="C29" s="6"/>
      <c r="D29" s="6"/>
      <c r="E29" s="6"/>
      <c r="F29" s="6"/>
      <c r="G29" s="6"/>
      <c r="H29" s="6"/>
      <c r="I29" s="6"/>
      <c r="J29" s="6"/>
      <c r="K29" s="6"/>
      <c r="L29" s="6"/>
      <c r="M29" s="6"/>
      <c r="N29" s="6"/>
    </row>
    <row r="30" spans="1:14" x14ac:dyDescent="0.2">
      <c r="A30" s="6"/>
      <c r="B30" s="6"/>
      <c r="C30" s="6"/>
      <c r="D30" s="6"/>
      <c r="E30" s="6"/>
      <c r="F30" s="6"/>
      <c r="G30" s="6"/>
      <c r="H30" s="6"/>
      <c r="I30" s="6"/>
      <c r="J30" s="6"/>
      <c r="K30" s="6"/>
      <c r="L30" s="6"/>
      <c r="M30" s="6"/>
      <c r="N30" s="6"/>
    </row>
    <row r="31" spans="1:14" x14ac:dyDescent="0.2">
      <c r="A31" s="6"/>
      <c r="B31" s="6"/>
      <c r="C31" s="6"/>
      <c r="D31" s="6"/>
      <c r="E31" s="6"/>
      <c r="F31" s="6"/>
      <c r="G31" s="6"/>
      <c r="H31" s="6"/>
      <c r="I31" s="6"/>
      <c r="J31" s="6"/>
      <c r="K31" s="6"/>
      <c r="L31" s="6"/>
      <c r="M31" s="6"/>
      <c r="N31" s="6"/>
    </row>
    <row r="32" spans="1:14" x14ac:dyDescent="0.2">
      <c r="A32" s="6"/>
      <c r="B32" s="6"/>
      <c r="C32" s="6"/>
      <c r="D32" s="6"/>
      <c r="E32" s="6"/>
      <c r="F32" s="6"/>
      <c r="G32" s="6"/>
      <c r="H32" s="6"/>
      <c r="I32" s="6"/>
      <c r="J32" s="6"/>
      <c r="K32" s="6"/>
      <c r="L32" s="6"/>
      <c r="M32" s="6"/>
      <c r="N32" s="6"/>
    </row>
    <row r="33" spans="1:14" x14ac:dyDescent="0.2">
      <c r="A33" s="6"/>
      <c r="B33" s="6"/>
      <c r="C33" s="6"/>
      <c r="D33" s="6"/>
      <c r="E33" s="6"/>
      <c r="F33" s="6"/>
      <c r="G33" s="6"/>
      <c r="H33" s="6"/>
      <c r="I33" s="6"/>
      <c r="J33" s="6"/>
      <c r="K33" s="6"/>
      <c r="L33" s="6"/>
      <c r="M33" s="6"/>
      <c r="N33" s="6"/>
    </row>
    <row r="34" spans="1:14" x14ac:dyDescent="0.2">
      <c r="A34" s="6"/>
      <c r="B34" s="6"/>
      <c r="C34" s="6"/>
      <c r="D34" s="6"/>
      <c r="E34" s="6"/>
      <c r="F34" s="6"/>
      <c r="G34" s="6"/>
      <c r="H34" s="6"/>
      <c r="I34" s="6"/>
      <c r="J34" s="6"/>
      <c r="K34" s="6"/>
      <c r="L34" s="6"/>
      <c r="M34" s="6"/>
      <c r="N34" s="6"/>
    </row>
    <row r="35" spans="1:14" x14ac:dyDescent="0.2">
      <c r="A35" s="6"/>
      <c r="B35" s="6"/>
      <c r="C35" s="6"/>
      <c r="D35" s="6"/>
      <c r="E35" s="6"/>
      <c r="F35" s="6"/>
      <c r="G35" s="6"/>
      <c r="H35" s="6"/>
      <c r="I35" s="6"/>
      <c r="J35" s="6"/>
      <c r="K35" s="6"/>
      <c r="L35" s="6"/>
      <c r="M35" s="6"/>
      <c r="N35" s="6"/>
    </row>
    <row r="36" spans="1:14" x14ac:dyDescent="0.2">
      <c r="A36" s="6"/>
      <c r="B36" s="6"/>
      <c r="C36" s="6"/>
      <c r="D36" s="6"/>
      <c r="E36" s="6"/>
      <c r="F36" s="6"/>
      <c r="G36" s="6"/>
      <c r="H36" s="6"/>
      <c r="I36" s="6"/>
      <c r="J36" s="6"/>
      <c r="K36" s="6"/>
      <c r="L36" s="6"/>
      <c r="M36" s="6"/>
      <c r="N36" s="6"/>
    </row>
    <row r="37" spans="1:14" x14ac:dyDescent="0.2">
      <c r="A37" s="6"/>
      <c r="B37" s="6"/>
      <c r="C37" s="6"/>
      <c r="D37" s="6"/>
      <c r="E37" s="6"/>
      <c r="F37" s="6"/>
      <c r="G37" s="6"/>
      <c r="H37" s="6"/>
      <c r="I37" s="6"/>
      <c r="J37" s="6"/>
      <c r="K37" s="6"/>
      <c r="L37" s="6"/>
      <c r="M37" s="6"/>
      <c r="N37" s="6"/>
    </row>
    <row r="38" spans="1:14" x14ac:dyDescent="0.2">
      <c r="A38" s="6"/>
      <c r="B38" s="6"/>
      <c r="C38" s="6"/>
      <c r="D38" s="6"/>
      <c r="E38" s="6"/>
      <c r="F38" s="6"/>
      <c r="G38" s="6"/>
      <c r="H38" s="6"/>
      <c r="I38" s="6"/>
      <c r="J38" s="6"/>
      <c r="K38" s="6"/>
      <c r="L38" s="6"/>
      <c r="M38" s="6"/>
      <c r="N38" s="6"/>
    </row>
    <row r="39" spans="1:14" x14ac:dyDescent="0.2">
      <c r="A39" s="6"/>
      <c r="B39" s="6"/>
      <c r="C39" s="6"/>
      <c r="D39" s="6"/>
      <c r="E39" s="6"/>
      <c r="F39" s="6"/>
      <c r="G39" s="6"/>
      <c r="H39" s="6"/>
      <c r="I39" s="6"/>
      <c r="J39" s="6"/>
      <c r="K39" s="6"/>
      <c r="L39" s="6"/>
      <c r="M39" s="6"/>
      <c r="N39" s="6"/>
    </row>
    <row r="40" spans="1:14" x14ac:dyDescent="0.2">
      <c r="A40" s="6"/>
      <c r="B40" s="6"/>
      <c r="C40" s="6"/>
      <c r="D40" s="6"/>
      <c r="E40" s="6"/>
      <c r="F40" s="6"/>
      <c r="G40" s="6"/>
      <c r="H40" s="6"/>
      <c r="I40" s="6"/>
      <c r="J40" s="6"/>
      <c r="K40" s="6"/>
      <c r="L40" s="6"/>
      <c r="M40" s="6"/>
      <c r="N40" s="6"/>
    </row>
    <row r="41" spans="1:14" x14ac:dyDescent="0.2">
      <c r="A41" s="6"/>
      <c r="B41" s="6"/>
      <c r="C41" s="6"/>
      <c r="D41" s="6"/>
      <c r="E41" s="6"/>
      <c r="F41" s="6"/>
      <c r="G41" s="6"/>
      <c r="H41" s="6"/>
      <c r="I41" s="6"/>
      <c r="J41" s="6"/>
      <c r="K41" s="6"/>
      <c r="L41" s="6"/>
      <c r="M41" s="6"/>
      <c r="N41" s="6"/>
    </row>
    <row r="42" spans="1:14" x14ac:dyDescent="0.2">
      <c r="A42" s="6"/>
      <c r="B42" s="6"/>
      <c r="C42" s="6"/>
      <c r="D42" s="6"/>
      <c r="E42" s="6"/>
      <c r="F42" s="6"/>
      <c r="G42" s="6"/>
      <c r="H42" s="6"/>
      <c r="I42" s="6"/>
      <c r="J42" s="6"/>
      <c r="K42" s="6"/>
      <c r="L42" s="6"/>
      <c r="M42" s="6"/>
      <c r="N42" s="6"/>
    </row>
    <row r="43" spans="1:14" x14ac:dyDescent="0.2">
      <c r="A43" s="6"/>
      <c r="B43" s="6"/>
      <c r="C43" s="6"/>
      <c r="D43" s="6"/>
      <c r="E43" s="6"/>
      <c r="F43" s="6"/>
      <c r="G43" s="6"/>
      <c r="H43" s="6"/>
      <c r="I43" s="6"/>
      <c r="J43" s="6"/>
      <c r="K43" s="6"/>
      <c r="L43" s="6"/>
      <c r="M43" s="6"/>
      <c r="N43" s="6"/>
    </row>
    <row r="44" spans="1:14" x14ac:dyDescent="0.2">
      <c r="A44" s="6"/>
      <c r="B44" s="6"/>
      <c r="C44" s="6"/>
      <c r="D44" s="6"/>
      <c r="E44" s="6"/>
      <c r="F44" s="6"/>
      <c r="G44" s="6"/>
      <c r="H44" s="6"/>
      <c r="I44" s="6"/>
      <c r="J44" s="6"/>
      <c r="K44" s="6"/>
      <c r="L44" s="6"/>
      <c r="M44" s="6"/>
      <c r="N44" s="6"/>
    </row>
    <row r="45" spans="1:14" x14ac:dyDescent="0.2">
      <c r="A45" s="6"/>
      <c r="B45" s="6"/>
      <c r="C45" s="6"/>
      <c r="D45" s="6"/>
      <c r="E45" s="6"/>
      <c r="F45" s="6"/>
      <c r="G45" s="6"/>
      <c r="H45" s="6"/>
      <c r="I45" s="6"/>
      <c r="J45" s="6"/>
      <c r="K45" s="6"/>
      <c r="L45" s="6"/>
      <c r="M45" s="6"/>
      <c r="N45" s="6"/>
    </row>
    <row r="46" spans="1:14" x14ac:dyDescent="0.2">
      <c r="A46" s="6"/>
      <c r="B46" s="6"/>
      <c r="C46" s="6"/>
      <c r="D46" s="6"/>
      <c r="E46" s="6"/>
      <c r="F46" s="6"/>
      <c r="G46" s="6"/>
      <c r="H46" s="6"/>
      <c r="I46" s="6"/>
      <c r="J46" s="6"/>
      <c r="K46" s="6"/>
      <c r="L46" s="6"/>
      <c r="M46" s="6"/>
      <c r="N46" s="6"/>
    </row>
    <row r="47" spans="1:14" x14ac:dyDescent="0.2">
      <c r="A47" s="6"/>
      <c r="B47" s="6"/>
      <c r="C47" s="6"/>
      <c r="D47" s="6"/>
      <c r="E47" s="6"/>
      <c r="F47" s="6"/>
      <c r="G47" s="6"/>
      <c r="H47" s="6"/>
      <c r="I47" s="6"/>
      <c r="J47" s="6"/>
      <c r="K47" s="6"/>
      <c r="L47" s="6"/>
      <c r="M47" s="6"/>
      <c r="N47" s="6"/>
    </row>
    <row r="48" spans="1:14" x14ac:dyDescent="0.2">
      <c r="A48" s="6"/>
      <c r="B48" s="6"/>
      <c r="C48" s="6"/>
      <c r="D48" s="6"/>
      <c r="E48" s="6"/>
      <c r="F48" s="6"/>
      <c r="G48" s="6"/>
      <c r="H48" s="6"/>
      <c r="I48" s="6"/>
      <c r="J48" s="6"/>
      <c r="K48" s="6"/>
      <c r="L48" s="6"/>
      <c r="M48" s="6"/>
      <c r="N48" s="6"/>
    </row>
    <row r="49" spans="1:14" x14ac:dyDescent="0.2">
      <c r="A49" s="6"/>
      <c r="B49" s="6"/>
      <c r="C49" s="6"/>
      <c r="D49" s="6"/>
      <c r="E49" s="6"/>
      <c r="F49" s="6"/>
      <c r="G49" s="6"/>
      <c r="H49" s="6"/>
      <c r="I49" s="6"/>
      <c r="J49" s="6"/>
      <c r="K49" s="6"/>
      <c r="L49" s="6"/>
      <c r="M49" s="6"/>
      <c r="N49" s="6"/>
    </row>
    <row r="50" spans="1:14" x14ac:dyDescent="0.2">
      <c r="A50" s="6"/>
      <c r="B50" s="6"/>
      <c r="C50" s="6"/>
      <c r="D50" s="6"/>
      <c r="E50" s="6"/>
      <c r="F50" s="6"/>
      <c r="G50" s="6"/>
      <c r="H50" s="6"/>
      <c r="I50" s="6"/>
      <c r="J50" s="6"/>
      <c r="K50" s="6"/>
      <c r="L50" s="6"/>
      <c r="M50" s="6"/>
      <c r="N50" s="6"/>
    </row>
    <row r="51" spans="1:14" x14ac:dyDescent="0.2">
      <c r="A51" s="6"/>
      <c r="B51" s="6"/>
      <c r="C51" s="6"/>
      <c r="D51" s="6"/>
      <c r="E51" s="6"/>
      <c r="F51" s="6"/>
      <c r="G51" s="6"/>
      <c r="H51" s="6"/>
      <c r="I51" s="6"/>
      <c r="J51" s="6"/>
      <c r="K51" s="6"/>
      <c r="L51" s="6"/>
      <c r="M51" s="6"/>
      <c r="N51" s="6"/>
    </row>
    <row r="52" spans="1:14" x14ac:dyDescent="0.2">
      <c r="A52" s="6"/>
      <c r="B52" s="6"/>
      <c r="C52" s="6"/>
      <c r="D52" s="6"/>
      <c r="E52" s="6"/>
      <c r="F52" s="6"/>
      <c r="G52" s="6"/>
      <c r="H52" s="6"/>
      <c r="I52" s="6"/>
      <c r="J52" s="6"/>
      <c r="K52" s="6"/>
      <c r="L52" s="6"/>
      <c r="M52" s="6"/>
      <c r="N52" s="6"/>
    </row>
    <row r="53" spans="1:14" x14ac:dyDescent="0.2">
      <c r="A53" s="6"/>
      <c r="B53" s="6"/>
      <c r="C53" s="6"/>
      <c r="D53" s="6"/>
      <c r="E53" s="6"/>
      <c r="F53" s="6"/>
      <c r="G53" s="6"/>
      <c r="H53" s="6"/>
      <c r="I53" s="6"/>
      <c r="J53" s="6"/>
      <c r="K53" s="6"/>
      <c r="L53" s="6"/>
      <c r="M53" s="6"/>
      <c r="N53" s="6"/>
    </row>
    <row r="54" spans="1:14" x14ac:dyDescent="0.2">
      <c r="A54" s="6"/>
      <c r="B54" s="6"/>
      <c r="C54" s="6"/>
      <c r="D54" s="6"/>
      <c r="E54" s="6"/>
      <c r="F54" s="6"/>
      <c r="G54" s="6"/>
      <c r="H54" s="6"/>
      <c r="I54" s="6"/>
      <c r="J54" s="6"/>
      <c r="K54" s="6"/>
      <c r="L54" s="6"/>
      <c r="M54" s="6"/>
      <c r="N54" s="6"/>
    </row>
    <row r="55" spans="1:14" x14ac:dyDescent="0.2">
      <c r="A55" s="6"/>
      <c r="B55" s="6"/>
      <c r="C55" s="6"/>
      <c r="D55" s="6"/>
      <c r="E55" s="6"/>
      <c r="F55" s="6"/>
      <c r="G55" s="6"/>
      <c r="H55" s="6"/>
      <c r="I55" s="6"/>
      <c r="J55" s="6"/>
      <c r="K55" s="6"/>
      <c r="L55" s="6"/>
      <c r="M55" s="6"/>
      <c r="N55" s="6"/>
    </row>
    <row r="56" spans="1:14" x14ac:dyDescent="0.2">
      <c r="A56" s="6"/>
      <c r="B56" s="6"/>
      <c r="C56" s="6"/>
      <c r="D56" s="6"/>
      <c r="E56" s="6"/>
      <c r="F56" s="6"/>
      <c r="G56" s="6"/>
      <c r="H56" s="6"/>
      <c r="I56" s="6"/>
      <c r="J56" s="6"/>
      <c r="K56" s="6"/>
      <c r="L56" s="6"/>
      <c r="M56" s="6"/>
      <c r="N56" s="6"/>
    </row>
    <row r="57" spans="1:14" x14ac:dyDescent="0.2">
      <c r="A57" s="6"/>
      <c r="B57" s="6"/>
      <c r="C57" s="6"/>
      <c r="D57" s="6"/>
      <c r="E57" s="6"/>
      <c r="F57" s="6"/>
      <c r="G57" s="6"/>
      <c r="H57" s="6"/>
      <c r="I57" s="6"/>
      <c r="J57" s="6"/>
      <c r="K57" s="6"/>
      <c r="L57" s="6"/>
      <c r="M57" s="6"/>
      <c r="N57" s="6"/>
    </row>
    <row r="58" spans="1:14" x14ac:dyDescent="0.2">
      <c r="A58" s="6"/>
      <c r="B58" s="6"/>
      <c r="C58" s="6"/>
      <c r="D58" s="6"/>
      <c r="E58" s="6"/>
      <c r="F58" s="6"/>
      <c r="G58" s="6"/>
      <c r="H58" s="6"/>
      <c r="I58" s="6"/>
      <c r="J58" s="6"/>
      <c r="K58" s="6"/>
      <c r="L58" s="6"/>
      <c r="M58" s="6"/>
      <c r="N58" s="6"/>
    </row>
    <row r="59" spans="1:14" x14ac:dyDescent="0.2">
      <c r="A59" s="6"/>
      <c r="B59" s="6"/>
      <c r="C59" s="6"/>
      <c r="D59" s="6"/>
      <c r="E59" s="6"/>
      <c r="F59" s="6"/>
      <c r="G59" s="6"/>
      <c r="H59" s="6"/>
      <c r="I59" s="6"/>
      <c r="J59" s="6"/>
      <c r="K59" s="6"/>
      <c r="L59" s="6"/>
      <c r="M59" s="6"/>
      <c r="N59" s="6"/>
    </row>
    <row r="60" spans="1:14" x14ac:dyDescent="0.2">
      <c r="A60" s="6"/>
      <c r="B60" s="6"/>
      <c r="C60" s="6"/>
      <c r="D60" s="6"/>
      <c r="E60" s="6"/>
      <c r="F60" s="6"/>
      <c r="G60" s="6"/>
      <c r="H60" s="6"/>
      <c r="I60" s="6"/>
      <c r="J60" s="6"/>
      <c r="K60" s="6"/>
      <c r="L60" s="6"/>
      <c r="M60" s="6"/>
      <c r="N60" s="6"/>
    </row>
    <row r="61" spans="1:14" x14ac:dyDescent="0.2">
      <c r="A61" s="6"/>
      <c r="B61" s="6"/>
      <c r="C61" s="6"/>
      <c r="D61" s="6"/>
      <c r="E61" s="6"/>
      <c r="F61" s="6"/>
      <c r="G61" s="6"/>
      <c r="H61" s="6"/>
      <c r="I61" s="6"/>
      <c r="J61" s="6"/>
      <c r="K61" s="6"/>
      <c r="L61" s="6"/>
      <c r="M61" s="6"/>
      <c r="N61" s="6"/>
    </row>
    <row r="62" spans="1:14" x14ac:dyDescent="0.2">
      <c r="A62" s="6"/>
      <c r="B62" s="6"/>
      <c r="C62" s="6"/>
      <c r="D62" s="6"/>
      <c r="E62" s="6"/>
      <c r="F62" s="6"/>
      <c r="G62" s="6"/>
      <c r="H62" s="6"/>
      <c r="I62" s="6"/>
      <c r="J62" s="6"/>
      <c r="K62" s="6"/>
      <c r="L62" s="6"/>
      <c r="M62" s="6"/>
      <c r="N62" s="6"/>
    </row>
    <row r="63" spans="1:14" x14ac:dyDescent="0.2">
      <c r="A63" s="6"/>
      <c r="B63" s="6"/>
      <c r="C63" s="6"/>
      <c r="D63" s="6"/>
      <c r="E63" s="6"/>
      <c r="F63" s="6"/>
      <c r="G63" s="6"/>
      <c r="H63" s="6"/>
      <c r="I63" s="6"/>
      <c r="J63" s="6"/>
      <c r="K63" s="6"/>
      <c r="L63" s="6"/>
      <c r="M63" s="6"/>
      <c r="N63" s="6"/>
    </row>
    <row r="64" spans="1:14" x14ac:dyDescent="0.2">
      <c r="A64" s="6"/>
      <c r="B64" s="6"/>
      <c r="C64" s="6"/>
      <c r="D64" s="6"/>
      <c r="E64" s="6"/>
      <c r="F64" s="6"/>
      <c r="G64" s="6"/>
      <c r="H64" s="6"/>
      <c r="I64" s="6"/>
      <c r="J64" s="6"/>
      <c r="K64" s="6"/>
      <c r="L64" s="6"/>
      <c r="M64" s="6"/>
      <c r="N64" s="6"/>
    </row>
    <row r="65" spans="1:14" x14ac:dyDescent="0.2">
      <c r="A65" s="6"/>
      <c r="B65" s="6"/>
      <c r="C65" s="6"/>
      <c r="D65" s="6"/>
      <c r="E65" s="6"/>
      <c r="F65" s="6"/>
      <c r="G65" s="6"/>
      <c r="H65" s="6"/>
      <c r="I65" s="6"/>
      <c r="J65" s="6"/>
      <c r="K65" s="6"/>
      <c r="L65" s="6"/>
      <c r="M65" s="6"/>
      <c r="N65" s="6"/>
    </row>
    <row r="66" spans="1:14" x14ac:dyDescent="0.2">
      <c r="A66" s="6"/>
      <c r="B66" s="6"/>
      <c r="C66" s="6"/>
      <c r="D66" s="6"/>
      <c r="E66" s="6"/>
      <c r="F66" s="6"/>
      <c r="G66" s="6"/>
      <c r="H66" s="6"/>
      <c r="I66" s="6"/>
      <c r="J66" s="6"/>
      <c r="K66" s="6"/>
      <c r="L66" s="6"/>
      <c r="M66" s="6"/>
      <c r="N66" s="6"/>
    </row>
    <row r="67" spans="1:14" x14ac:dyDescent="0.2">
      <c r="A67" s="6"/>
      <c r="B67" s="6"/>
      <c r="C67" s="6"/>
      <c r="D67" s="6"/>
      <c r="E67" s="6"/>
      <c r="F67" s="6"/>
      <c r="G67" s="6"/>
      <c r="H67" s="6"/>
      <c r="I67" s="6"/>
      <c r="J67" s="6"/>
      <c r="K67" s="6"/>
      <c r="L67" s="6"/>
      <c r="M67" s="6"/>
      <c r="N67" s="6"/>
    </row>
    <row r="68" spans="1:14" x14ac:dyDescent="0.2">
      <c r="A68" s="6"/>
      <c r="B68" s="6"/>
      <c r="C68" s="6"/>
      <c r="D68" s="6"/>
      <c r="E68" s="6"/>
      <c r="F68" s="6"/>
      <c r="G68" s="6"/>
      <c r="H68" s="6"/>
      <c r="I68" s="6"/>
      <c r="J68" s="6"/>
      <c r="K68" s="6"/>
      <c r="L68" s="6"/>
      <c r="M68" s="6"/>
      <c r="N68" s="6"/>
    </row>
    <row r="69" spans="1:14" x14ac:dyDescent="0.2">
      <c r="A69" s="6"/>
      <c r="B69" s="6"/>
      <c r="C69" s="6"/>
      <c r="D69" s="6"/>
      <c r="E69" s="6"/>
      <c r="F69" s="6"/>
      <c r="G69" s="6"/>
      <c r="H69" s="6"/>
      <c r="I69" s="6"/>
      <c r="J69" s="6"/>
      <c r="K69" s="6"/>
      <c r="L69" s="6"/>
      <c r="M69" s="6"/>
      <c r="N69" s="6"/>
    </row>
    <row r="70" spans="1:14" x14ac:dyDescent="0.2">
      <c r="A70" s="6"/>
      <c r="B70" s="6"/>
      <c r="C70" s="6"/>
      <c r="D70" s="6"/>
      <c r="E70" s="6"/>
      <c r="F70" s="6"/>
      <c r="G70" s="6"/>
      <c r="H70" s="6"/>
      <c r="I70" s="6"/>
      <c r="J70" s="6"/>
      <c r="K70" s="6"/>
      <c r="L70" s="6"/>
      <c r="M70" s="6"/>
      <c r="N70" s="6"/>
    </row>
    <row r="71" spans="1:14" x14ac:dyDescent="0.2">
      <c r="A71" s="6"/>
      <c r="B71" s="6"/>
      <c r="C71" s="6"/>
      <c r="D71" s="6"/>
      <c r="E71" s="6"/>
      <c r="F71" s="6"/>
      <c r="G71" s="6"/>
      <c r="H71" s="6"/>
      <c r="I71" s="6"/>
      <c r="J71" s="6"/>
      <c r="K71" s="6"/>
      <c r="L71" s="6"/>
      <c r="M71" s="6"/>
      <c r="N71" s="6"/>
    </row>
    <row r="72" spans="1:14" x14ac:dyDescent="0.2">
      <c r="A72" s="6"/>
      <c r="B72" s="6"/>
      <c r="C72" s="6"/>
      <c r="D72" s="6"/>
      <c r="E72" s="6"/>
      <c r="F72" s="6"/>
      <c r="G72" s="6"/>
      <c r="H72" s="6"/>
      <c r="I72" s="6"/>
      <c r="J72" s="6"/>
      <c r="K72" s="6"/>
      <c r="L72" s="6"/>
      <c r="M72" s="6"/>
      <c r="N72" s="6"/>
    </row>
    <row r="73" spans="1:14" x14ac:dyDescent="0.2">
      <c r="A73" s="6"/>
      <c r="B73" s="6"/>
      <c r="C73" s="6"/>
      <c r="D73" s="6"/>
      <c r="E73" s="6"/>
      <c r="F73" s="6"/>
      <c r="G73" s="6"/>
      <c r="H73" s="6"/>
      <c r="I73" s="6"/>
      <c r="J73" s="6"/>
      <c r="K73" s="6"/>
      <c r="L73" s="6"/>
      <c r="M73" s="6"/>
      <c r="N73" s="6"/>
    </row>
    <row r="74" spans="1:14" x14ac:dyDescent="0.2">
      <c r="A74" s="6"/>
      <c r="B74" s="6"/>
      <c r="C74" s="6"/>
      <c r="D74" s="6"/>
      <c r="E74" s="6"/>
      <c r="F74" s="6"/>
      <c r="G74" s="6"/>
      <c r="H74" s="6"/>
      <c r="I74" s="6"/>
      <c r="J74" s="6"/>
      <c r="K74" s="6"/>
      <c r="L74" s="6"/>
      <c r="M74" s="6"/>
      <c r="N74" s="6"/>
    </row>
    <row r="75" spans="1:14" x14ac:dyDescent="0.2">
      <c r="A75" s="6"/>
      <c r="B75" s="6"/>
      <c r="C75" s="6"/>
      <c r="D75" s="6"/>
      <c r="E75" s="6"/>
      <c r="F75" s="6"/>
      <c r="G75" s="6"/>
      <c r="H75" s="6"/>
      <c r="I75" s="6"/>
      <c r="J75" s="6"/>
      <c r="K75" s="6"/>
      <c r="L75" s="6"/>
      <c r="M75" s="6"/>
      <c r="N75" s="6"/>
    </row>
    <row r="76" spans="1:14" x14ac:dyDescent="0.2">
      <c r="A76" s="6"/>
      <c r="B76" s="6"/>
      <c r="C76" s="6"/>
      <c r="D76" s="6"/>
      <c r="E76" s="6"/>
      <c r="F76" s="6"/>
      <c r="G76" s="6"/>
      <c r="H76" s="6"/>
      <c r="I76" s="6"/>
      <c r="J76" s="6"/>
      <c r="K76" s="6"/>
      <c r="L76" s="6"/>
      <c r="M76" s="6"/>
      <c r="N76" s="6"/>
    </row>
    <row r="77" spans="1:14" x14ac:dyDescent="0.2">
      <c r="A77" s="6"/>
      <c r="B77" s="6"/>
      <c r="C77" s="6"/>
      <c r="D77" s="6"/>
      <c r="E77" s="6"/>
      <c r="F77" s="6"/>
      <c r="G77" s="6"/>
      <c r="H77" s="6"/>
      <c r="I77" s="6"/>
      <c r="J77" s="6"/>
      <c r="K77" s="6"/>
      <c r="L77" s="6"/>
      <c r="M77" s="6"/>
      <c r="N77" s="6"/>
    </row>
    <row r="78" spans="1:14" x14ac:dyDescent="0.2">
      <c r="A78" s="6"/>
      <c r="B78" s="6"/>
      <c r="C78" s="6"/>
      <c r="D78" s="6"/>
      <c r="E78" s="6"/>
      <c r="F78" s="6"/>
      <c r="G78" s="6"/>
      <c r="H78" s="6"/>
      <c r="I78" s="6"/>
      <c r="J78" s="6"/>
      <c r="K78" s="6"/>
      <c r="L78" s="6"/>
      <c r="M78" s="6"/>
      <c r="N78" s="6"/>
    </row>
    <row r="79" spans="1:14" x14ac:dyDescent="0.2">
      <c r="A79" s="6"/>
      <c r="B79" s="6"/>
      <c r="C79" s="6"/>
      <c r="D79" s="6"/>
      <c r="E79" s="6"/>
      <c r="F79" s="6"/>
      <c r="G79" s="6"/>
      <c r="H79" s="6"/>
      <c r="I79" s="6"/>
      <c r="J79" s="6"/>
      <c r="K79" s="6"/>
      <c r="L79" s="6"/>
      <c r="M79" s="6"/>
      <c r="N79" s="6"/>
    </row>
    <row r="80" spans="1:14" x14ac:dyDescent="0.2">
      <c r="A80" s="6"/>
      <c r="B80" s="6"/>
      <c r="C80" s="6"/>
      <c r="D80" s="6"/>
      <c r="E80" s="6"/>
      <c r="F80" s="6"/>
      <c r="G80" s="6"/>
      <c r="H80" s="6"/>
      <c r="I80" s="6"/>
      <c r="J80" s="6"/>
      <c r="K80" s="6"/>
      <c r="L80" s="6"/>
      <c r="M80" s="6"/>
      <c r="N80" s="6"/>
    </row>
    <row r="81" spans="1:14" x14ac:dyDescent="0.2">
      <c r="A81" s="6"/>
      <c r="B81" s="6"/>
      <c r="C81" s="6"/>
      <c r="D81" s="6"/>
      <c r="E81" s="6"/>
      <c r="F81" s="6"/>
      <c r="G81" s="6"/>
      <c r="H81" s="6"/>
      <c r="I81" s="6"/>
      <c r="J81" s="6"/>
      <c r="K81" s="6"/>
      <c r="L81" s="6"/>
      <c r="M81" s="6"/>
      <c r="N81" s="6"/>
    </row>
    <row r="82" spans="1:14" x14ac:dyDescent="0.2">
      <c r="A82" s="6"/>
      <c r="B82" s="6"/>
      <c r="C82" s="6"/>
      <c r="D82" s="6"/>
      <c r="E82" s="6"/>
      <c r="F82" s="6"/>
      <c r="G82" s="6"/>
      <c r="H82" s="6"/>
      <c r="I82" s="6"/>
      <c r="J82" s="6"/>
      <c r="K82" s="6"/>
      <c r="L82" s="6"/>
      <c r="M82" s="6"/>
      <c r="N82" s="6"/>
    </row>
    <row r="83" spans="1:14" x14ac:dyDescent="0.2">
      <c r="A83" s="6"/>
      <c r="B83" s="6"/>
      <c r="C83" s="6"/>
      <c r="D83" s="6"/>
      <c r="E83" s="6"/>
      <c r="F83" s="6"/>
      <c r="G83" s="6"/>
      <c r="H83" s="6"/>
      <c r="I83" s="6"/>
      <c r="J83" s="6"/>
      <c r="K83" s="6"/>
      <c r="L83" s="6"/>
      <c r="M83" s="6"/>
      <c r="N83" s="6"/>
    </row>
    <row r="84" spans="1:14" x14ac:dyDescent="0.2">
      <c r="A84" s="6"/>
      <c r="B84" s="6"/>
      <c r="C84" s="6"/>
      <c r="D84" s="6"/>
      <c r="E84" s="6"/>
      <c r="F84" s="6"/>
      <c r="G84" s="6"/>
      <c r="H84" s="6"/>
      <c r="I84" s="6"/>
      <c r="J84" s="6"/>
      <c r="K84" s="6"/>
      <c r="L84" s="6"/>
      <c r="M84" s="6"/>
      <c r="N84" s="6"/>
    </row>
    <row r="85" spans="1:14" x14ac:dyDescent="0.2">
      <c r="A85" s="6"/>
      <c r="B85" s="6"/>
      <c r="C85" s="6"/>
      <c r="D85" s="6"/>
      <c r="E85" s="6"/>
      <c r="F85" s="6"/>
      <c r="G85" s="6"/>
      <c r="H85" s="6"/>
      <c r="I85" s="6"/>
      <c r="J85" s="6"/>
      <c r="K85" s="6"/>
      <c r="L85" s="6"/>
      <c r="M85" s="6"/>
      <c r="N85" s="6"/>
    </row>
    <row r="86" spans="1:14" x14ac:dyDescent="0.2">
      <c r="A86" s="6"/>
      <c r="B86" s="6"/>
      <c r="C86" s="6"/>
      <c r="D86" s="6"/>
      <c r="E86" s="6"/>
      <c r="F86" s="6"/>
      <c r="G86" s="6"/>
      <c r="H86" s="6"/>
      <c r="I86" s="6"/>
      <c r="J86" s="6"/>
      <c r="K86" s="6"/>
      <c r="L86" s="6"/>
      <c r="M86" s="6"/>
      <c r="N86" s="6"/>
    </row>
    <row r="87" spans="1:14" x14ac:dyDescent="0.2">
      <c r="A87" s="6"/>
      <c r="B87" s="6"/>
      <c r="C87" s="6"/>
      <c r="D87" s="6"/>
      <c r="E87" s="6"/>
      <c r="F87" s="6"/>
      <c r="G87" s="6"/>
      <c r="H87" s="6"/>
      <c r="I87" s="6"/>
      <c r="J87" s="6"/>
      <c r="K87" s="6"/>
      <c r="L87" s="6"/>
      <c r="M87" s="6"/>
      <c r="N87" s="6"/>
    </row>
    <row r="88" spans="1:14" x14ac:dyDescent="0.2">
      <c r="A88" s="6"/>
      <c r="B88" s="6"/>
      <c r="C88" s="6"/>
      <c r="D88" s="6"/>
      <c r="E88" s="6"/>
      <c r="F88" s="6"/>
      <c r="G88" s="6"/>
      <c r="H88" s="6"/>
      <c r="I88" s="6"/>
      <c r="J88" s="6"/>
      <c r="K88" s="6"/>
      <c r="L88" s="6"/>
      <c r="M88" s="6"/>
      <c r="N88" s="6"/>
    </row>
    <row r="89" spans="1:14" x14ac:dyDescent="0.2">
      <c r="A89" s="6"/>
      <c r="B89" s="6"/>
      <c r="C89" s="6"/>
      <c r="D89" s="6"/>
      <c r="E89" s="6"/>
      <c r="F89" s="6"/>
      <c r="G89" s="6"/>
      <c r="H89" s="6"/>
      <c r="I89" s="6"/>
      <c r="J89" s="6"/>
      <c r="K89" s="6"/>
      <c r="L89" s="6"/>
      <c r="M89" s="6"/>
      <c r="N89" s="6"/>
    </row>
    <row r="90" spans="1:14" x14ac:dyDescent="0.2">
      <c r="A90" s="6"/>
      <c r="B90" s="6"/>
      <c r="C90" s="6"/>
      <c r="D90" s="6"/>
      <c r="E90" s="6"/>
      <c r="F90" s="6"/>
      <c r="G90" s="6"/>
      <c r="H90" s="6"/>
      <c r="I90" s="6"/>
      <c r="J90" s="6"/>
      <c r="K90" s="6"/>
      <c r="L90" s="6"/>
      <c r="M90" s="6"/>
      <c r="N90" s="6"/>
    </row>
    <row r="91" spans="1:14" x14ac:dyDescent="0.2">
      <c r="A91" s="6"/>
      <c r="B91" s="6"/>
      <c r="C91" s="6"/>
      <c r="D91" s="6"/>
      <c r="E91" s="6"/>
      <c r="F91" s="6"/>
      <c r="G91" s="6"/>
      <c r="H91" s="6"/>
      <c r="I91" s="6"/>
      <c r="J91" s="6"/>
      <c r="K91" s="6"/>
      <c r="L91" s="6"/>
      <c r="M91" s="6"/>
      <c r="N91" s="6"/>
    </row>
    <row r="92" spans="1:14" x14ac:dyDescent="0.2">
      <c r="A92" s="6"/>
      <c r="B92" s="6"/>
      <c r="C92" s="6"/>
      <c r="D92" s="6"/>
      <c r="E92" s="6"/>
      <c r="F92" s="6"/>
      <c r="G92" s="6"/>
      <c r="H92" s="6"/>
      <c r="I92" s="6"/>
      <c r="J92" s="6"/>
      <c r="K92" s="6"/>
      <c r="L92" s="6"/>
      <c r="M92" s="6"/>
      <c r="N92" s="6"/>
    </row>
    <row r="93" spans="1:14" x14ac:dyDescent="0.2">
      <c r="A93" s="6"/>
      <c r="B93" s="6"/>
      <c r="C93" s="6"/>
      <c r="D93" s="6"/>
      <c r="E93" s="6"/>
      <c r="F93" s="6"/>
      <c r="G93" s="6"/>
      <c r="H93" s="6"/>
      <c r="I93" s="6"/>
      <c r="J93" s="6"/>
      <c r="K93" s="6"/>
      <c r="L93" s="6"/>
      <c r="M93" s="6"/>
      <c r="N93" s="6"/>
    </row>
    <row r="94" spans="1:14" x14ac:dyDescent="0.2">
      <c r="A94" s="6"/>
      <c r="B94" s="6"/>
      <c r="C94" s="6"/>
      <c r="D94" s="6"/>
      <c r="E94" s="6"/>
      <c r="F94" s="6"/>
      <c r="G94" s="6"/>
      <c r="H94" s="6"/>
      <c r="I94" s="6"/>
      <c r="J94" s="6"/>
      <c r="K94" s="6"/>
      <c r="L94" s="6"/>
      <c r="M94" s="6"/>
      <c r="N94" s="6"/>
    </row>
    <row r="95" spans="1:14" x14ac:dyDescent="0.2">
      <c r="A95" s="6"/>
      <c r="B95" s="6"/>
      <c r="C95" s="6"/>
      <c r="D95" s="6"/>
      <c r="E95" s="6"/>
      <c r="F95" s="6"/>
      <c r="G95" s="6"/>
      <c r="H95" s="6"/>
      <c r="I95" s="6"/>
      <c r="J95" s="6"/>
      <c r="K95" s="6"/>
      <c r="L95" s="6"/>
      <c r="M95" s="6"/>
      <c r="N95" s="6"/>
    </row>
    <row r="96" spans="1:14" x14ac:dyDescent="0.2">
      <c r="A96" s="6"/>
      <c r="B96" s="6"/>
      <c r="C96" s="6"/>
      <c r="D96" s="6"/>
      <c r="E96" s="6"/>
      <c r="F96" s="6"/>
      <c r="G96" s="6"/>
      <c r="H96" s="6"/>
      <c r="I96" s="6"/>
      <c r="J96" s="6"/>
      <c r="K96" s="6"/>
      <c r="L96" s="6"/>
      <c r="M96" s="6"/>
      <c r="N96" s="6"/>
    </row>
    <row r="97" spans="1:14" x14ac:dyDescent="0.2">
      <c r="A97" s="6"/>
      <c r="B97" s="6"/>
      <c r="C97" s="6"/>
      <c r="D97" s="6"/>
      <c r="E97" s="6"/>
      <c r="F97" s="6"/>
      <c r="G97" s="6"/>
      <c r="H97" s="6"/>
      <c r="I97" s="6"/>
      <c r="J97" s="6"/>
      <c r="K97" s="6"/>
      <c r="L97" s="6"/>
      <c r="M97" s="6"/>
      <c r="N97" s="6"/>
    </row>
    <row r="98" spans="1:14" x14ac:dyDescent="0.2">
      <c r="A98" s="6"/>
      <c r="B98" s="6"/>
      <c r="C98" s="6"/>
      <c r="D98" s="6"/>
      <c r="E98" s="6"/>
      <c r="F98" s="6"/>
      <c r="G98" s="6"/>
      <c r="H98" s="6"/>
      <c r="I98" s="6"/>
      <c r="J98" s="6"/>
      <c r="K98" s="6"/>
      <c r="L98" s="6"/>
      <c r="M98" s="6"/>
      <c r="N98" s="6"/>
    </row>
    <row r="99" spans="1:14" x14ac:dyDescent="0.2">
      <c r="A99" s="6"/>
      <c r="B99" s="6"/>
      <c r="C99" s="6"/>
      <c r="D99" s="6"/>
      <c r="E99" s="6"/>
      <c r="F99" s="6"/>
      <c r="G99" s="6"/>
      <c r="H99" s="6"/>
      <c r="I99" s="6"/>
      <c r="J99" s="6"/>
      <c r="K99" s="6"/>
      <c r="L99" s="6"/>
      <c r="M99" s="6"/>
      <c r="N99" s="6"/>
    </row>
    <row r="100" spans="1:14" x14ac:dyDescent="0.2">
      <c r="A100" s="6"/>
      <c r="B100" s="6"/>
      <c r="C100" s="6"/>
      <c r="D100" s="6"/>
      <c r="E100" s="6"/>
      <c r="F100" s="6"/>
      <c r="G100" s="6"/>
      <c r="H100" s="6"/>
      <c r="I100" s="6"/>
      <c r="J100" s="6"/>
      <c r="K100" s="6"/>
      <c r="L100" s="6"/>
      <c r="M100" s="6"/>
      <c r="N100" s="6"/>
    </row>
    <row r="101" spans="1:14" x14ac:dyDescent="0.2">
      <c r="A101" s="6"/>
      <c r="B101" s="6"/>
      <c r="C101" s="6"/>
      <c r="D101" s="6"/>
      <c r="E101" s="6"/>
      <c r="F101" s="6"/>
      <c r="G101" s="6"/>
      <c r="H101" s="6"/>
      <c r="I101" s="6"/>
      <c r="J101" s="6"/>
      <c r="K101" s="6"/>
      <c r="L101" s="6"/>
      <c r="M101" s="6"/>
      <c r="N101" s="6"/>
    </row>
    <row r="102" spans="1:14" x14ac:dyDescent="0.2">
      <c r="A102" s="6"/>
      <c r="B102" s="6"/>
      <c r="C102" s="6"/>
      <c r="D102" s="6"/>
      <c r="E102" s="6"/>
      <c r="F102" s="6"/>
      <c r="G102" s="6"/>
      <c r="H102" s="6"/>
      <c r="I102" s="6"/>
      <c r="J102" s="6"/>
      <c r="K102" s="6"/>
      <c r="L102" s="6"/>
      <c r="M102" s="6"/>
      <c r="N102" s="6"/>
    </row>
    <row r="103" spans="1:14" x14ac:dyDescent="0.2">
      <c r="A103" s="6"/>
      <c r="B103" s="6"/>
      <c r="C103" s="6"/>
      <c r="D103" s="6"/>
      <c r="E103" s="6"/>
      <c r="F103" s="6"/>
      <c r="G103" s="6"/>
      <c r="H103" s="6"/>
      <c r="I103" s="6"/>
      <c r="J103" s="6"/>
      <c r="K103" s="6"/>
      <c r="L103" s="6"/>
      <c r="M103" s="6"/>
      <c r="N103" s="6"/>
    </row>
    <row r="104" spans="1:14" x14ac:dyDescent="0.2">
      <c r="A104" s="6"/>
      <c r="B104" s="6"/>
      <c r="C104" s="6"/>
      <c r="D104" s="6"/>
      <c r="E104" s="6"/>
      <c r="F104" s="6"/>
      <c r="G104" s="6"/>
      <c r="H104" s="6"/>
      <c r="I104" s="6"/>
      <c r="J104" s="6"/>
      <c r="K104" s="6"/>
      <c r="L104" s="6"/>
      <c r="M104" s="6"/>
      <c r="N104" s="6"/>
    </row>
    <row r="105" spans="1:14" x14ac:dyDescent="0.2">
      <c r="A105" s="6"/>
      <c r="B105" s="6"/>
      <c r="C105" s="6"/>
      <c r="D105" s="6"/>
      <c r="E105" s="6"/>
      <c r="F105" s="6"/>
      <c r="G105" s="6"/>
      <c r="H105" s="6"/>
      <c r="I105" s="6"/>
      <c r="J105" s="6"/>
      <c r="K105" s="6"/>
      <c r="L105" s="6"/>
      <c r="M105" s="6"/>
      <c r="N105" s="6"/>
    </row>
    <row r="106" spans="1:14" x14ac:dyDescent="0.2">
      <c r="A106" s="6"/>
      <c r="B106" s="6"/>
      <c r="C106" s="6"/>
      <c r="D106" s="6"/>
      <c r="E106" s="6"/>
      <c r="F106" s="6"/>
      <c r="G106" s="6"/>
      <c r="H106" s="6"/>
      <c r="I106" s="6"/>
      <c r="J106" s="6"/>
      <c r="K106" s="6"/>
      <c r="L106" s="6"/>
      <c r="M106" s="6"/>
      <c r="N106" s="6"/>
    </row>
    <row r="107" spans="1:14" x14ac:dyDescent="0.2">
      <c r="A107" s="6"/>
      <c r="B107" s="6"/>
      <c r="C107" s="6"/>
      <c r="D107" s="6"/>
      <c r="E107" s="6"/>
      <c r="F107" s="6"/>
      <c r="G107" s="6"/>
      <c r="H107" s="6"/>
      <c r="I107" s="6"/>
      <c r="J107" s="6"/>
      <c r="K107" s="6"/>
      <c r="L107" s="6"/>
      <c r="M107" s="6"/>
      <c r="N107" s="6"/>
    </row>
    <row r="108" spans="1:14" x14ac:dyDescent="0.2">
      <c r="A108" s="6"/>
      <c r="B108" s="6"/>
      <c r="C108" s="6"/>
      <c r="D108" s="6"/>
      <c r="E108" s="6"/>
      <c r="F108" s="6"/>
      <c r="G108" s="6"/>
      <c r="H108" s="6"/>
      <c r="I108" s="6"/>
      <c r="J108" s="6"/>
      <c r="K108" s="6"/>
      <c r="L108" s="6"/>
      <c r="M108" s="6"/>
      <c r="N108" s="6"/>
    </row>
    <row r="109" spans="1:14" x14ac:dyDescent="0.2">
      <c r="A109" s="6"/>
      <c r="B109" s="6"/>
      <c r="C109" s="6"/>
      <c r="D109" s="6"/>
      <c r="E109" s="6"/>
      <c r="F109" s="6"/>
      <c r="G109" s="6"/>
      <c r="H109" s="6"/>
      <c r="I109" s="6"/>
      <c r="J109" s="6"/>
      <c r="K109" s="6"/>
      <c r="L109" s="6"/>
      <c r="M109" s="6"/>
      <c r="N109" s="6"/>
    </row>
    <row r="110" spans="1:14" x14ac:dyDescent="0.2">
      <c r="A110" s="6"/>
      <c r="B110" s="6"/>
      <c r="C110" s="6"/>
      <c r="D110" s="6"/>
      <c r="E110" s="6"/>
      <c r="F110" s="6"/>
      <c r="G110" s="6"/>
      <c r="H110" s="6"/>
      <c r="I110" s="6"/>
      <c r="J110" s="6"/>
      <c r="K110" s="6"/>
      <c r="L110" s="6"/>
      <c r="M110" s="6"/>
      <c r="N110" s="6"/>
    </row>
    <row r="111" spans="1:14" x14ac:dyDescent="0.2">
      <c r="A111" s="6"/>
      <c r="B111" s="6"/>
      <c r="C111" s="6"/>
      <c r="D111" s="6"/>
      <c r="E111" s="6"/>
      <c r="F111" s="6"/>
      <c r="G111" s="6"/>
      <c r="H111" s="6"/>
      <c r="I111" s="6"/>
      <c r="J111" s="6"/>
      <c r="K111" s="6"/>
      <c r="L111" s="6"/>
      <c r="M111" s="6"/>
      <c r="N111" s="6"/>
    </row>
    <row r="112" spans="1:14" x14ac:dyDescent="0.2">
      <c r="A112" s="6"/>
      <c r="B112" s="6"/>
      <c r="C112" s="6"/>
      <c r="D112" s="6"/>
      <c r="E112" s="6"/>
      <c r="F112" s="6"/>
      <c r="G112" s="6"/>
      <c r="H112" s="6"/>
      <c r="I112" s="6"/>
      <c r="J112" s="6"/>
      <c r="K112" s="6"/>
      <c r="L112" s="6"/>
      <c r="M112" s="6"/>
      <c r="N112" s="6"/>
    </row>
    <row r="113" spans="1:14" x14ac:dyDescent="0.2">
      <c r="A113" s="6"/>
      <c r="B113" s="6"/>
      <c r="C113" s="6"/>
      <c r="D113" s="6"/>
      <c r="E113" s="6"/>
      <c r="F113" s="6"/>
      <c r="G113" s="6"/>
      <c r="H113" s="6"/>
      <c r="I113" s="6"/>
      <c r="J113" s="6"/>
      <c r="K113" s="6"/>
      <c r="L113" s="6"/>
      <c r="M113" s="6"/>
      <c r="N113" s="6"/>
    </row>
    <row r="114" spans="1:14" x14ac:dyDescent="0.2">
      <c r="A114" s="6"/>
      <c r="B114" s="6"/>
      <c r="C114" s="6"/>
      <c r="D114" s="6"/>
      <c r="E114" s="6"/>
      <c r="F114" s="6"/>
      <c r="G114" s="6"/>
      <c r="H114" s="6"/>
      <c r="I114" s="6"/>
      <c r="J114" s="6"/>
      <c r="K114" s="6"/>
      <c r="L114" s="6"/>
      <c r="M114" s="6"/>
      <c r="N114" s="6"/>
    </row>
    <row r="115" spans="1:14" x14ac:dyDescent="0.2">
      <c r="A115" s="6"/>
      <c r="B115" s="6"/>
      <c r="C115" s="6"/>
      <c r="D115" s="6"/>
      <c r="E115" s="6"/>
      <c r="F115" s="6"/>
      <c r="G115" s="6"/>
      <c r="H115" s="6"/>
      <c r="I115" s="6"/>
      <c r="J115" s="6"/>
      <c r="K115" s="6"/>
      <c r="L115" s="6"/>
      <c r="M115" s="6"/>
      <c r="N115" s="6"/>
    </row>
    <row r="116" spans="1:14" x14ac:dyDescent="0.2">
      <c r="A116" s="6"/>
      <c r="B116" s="6"/>
      <c r="C116" s="6"/>
      <c r="D116" s="6"/>
      <c r="E116" s="6"/>
      <c r="F116" s="6"/>
      <c r="G116" s="6"/>
      <c r="H116" s="6"/>
      <c r="I116" s="6"/>
      <c r="J116" s="6"/>
      <c r="K116" s="6"/>
      <c r="L116" s="6"/>
      <c r="M116" s="6"/>
      <c r="N116" s="6"/>
    </row>
    <row r="117" spans="1:14" x14ac:dyDescent="0.2">
      <c r="A117" s="6"/>
      <c r="B117" s="6"/>
      <c r="C117" s="6"/>
      <c r="D117" s="6"/>
      <c r="E117" s="6"/>
      <c r="F117" s="6"/>
      <c r="G117" s="6"/>
      <c r="H117" s="6"/>
      <c r="I117" s="6"/>
      <c r="J117" s="6"/>
      <c r="K117" s="6"/>
      <c r="L117" s="6"/>
      <c r="M117" s="6"/>
      <c r="N117" s="6"/>
    </row>
    <row r="118" spans="1:14" x14ac:dyDescent="0.2">
      <c r="A118" s="6"/>
      <c r="B118" s="6"/>
      <c r="C118" s="6"/>
      <c r="D118" s="6"/>
      <c r="E118" s="6"/>
      <c r="F118" s="6"/>
      <c r="G118" s="6"/>
      <c r="H118" s="6"/>
      <c r="I118" s="6"/>
      <c r="J118" s="6"/>
      <c r="K118" s="6"/>
      <c r="L118" s="6"/>
      <c r="M118" s="6"/>
      <c r="N118" s="6"/>
    </row>
    <row r="119" spans="1:14" x14ac:dyDescent="0.2">
      <c r="A119" s="6"/>
      <c r="B119" s="6"/>
      <c r="C119" s="6"/>
      <c r="D119" s="6"/>
      <c r="E119" s="6"/>
      <c r="F119" s="6"/>
      <c r="G119" s="6"/>
      <c r="H119" s="6"/>
      <c r="I119" s="6"/>
      <c r="J119" s="6"/>
      <c r="K119" s="6"/>
      <c r="L119" s="6"/>
      <c r="M119" s="6"/>
      <c r="N119" s="6"/>
    </row>
    <row r="120" spans="1:14" x14ac:dyDescent="0.2">
      <c r="A120" s="6"/>
      <c r="B120" s="6"/>
      <c r="C120" s="6"/>
      <c r="D120" s="6"/>
      <c r="E120" s="6"/>
      <c r="F120" s="6"/>
      <c r="G120" s="6"/>
      <c r="H120" s="6"/>
      <c r="I120" s="6"/>
      <c r="J120" s="6"/>
      <c r="K120" s="6"/>
      <c r="L120" s="6"/>
      <c r="M120" s="6"/>
      <c r="N120" s="6"/>
    </row>
    <row r="121" spans="1:14" x14ac:dyDescent="0.2">
      <c r="A121" s="6"/>
      <c r="B121" s="6"/>
      <c r="C121" s="6"/>
      <c r="D121" s="6"/>
      <c r="E121" s="6"/>
      <c r="F121" s="6"/>
      <c r="G121" s="6"/>
      <c r="H121" s="6"/>
      <c r="I121" s="6"/>
      <c r="J121" s="6"/>
      <c r="K121" s="6"/>
      <c r="L121" s="6"/>
      <c r="M121" s="6"/>
      <c r="N121" s="6"/>
    </row>
    <row r="122" spans="1:14" x14ac:dyDescent="0.2">
      <c r="A122" s="6"/>
      <c r="B122" s="6"/>
      <c r="C122" s="6"/>
      <c r="D122" s="6"/>
      <c r="E122" s="6"/>
      <c r="F122" s="6"/>
      <c r="G122" s="6"/>
      <c r="H122" s="6"/>
      <c r="I122" s="6"/>
      <c r="J122" s="6"/>
      <c r="K122" s="6"/>
      <c r="L122" s="6"/>
      <c r="M122" s="6"/>
      <c r="N122" s="6"/>
    </row>
    <row r="123" spans="1:14" x14ac:dyDescent="0.2">
      <c r="A123" s="6"/>
      <c r="B123" s="6"/>
      <c r="C123" s="6"/>
      <c r="D123" s="6"/>
      <c r="E123" s="6"/>
      <c r="F123" s="6"/>
      <c r="G123" s="6"/>
      <c r="H123" s="6"/>
      <c r="I123" s="6"/>
      <c r="J123" s="6"/>
      <c r="K123" s="6"/>
      <c r="L123" s="6"/>
      <c r="M123" s="6"/>
      <c r="N123" s="6"/>
    </row>
    <row r="124" spans="1:14" x14ac:dyDescent="0.2">
      <c r="A124" s="6"/>
      <c r="B124" s="6"/>
      <c r="C124" s="6"/>
      <c r="D124" s="6"/>
      <c r="E124" s="6"/>
      <c r="F124" s="6"/>
      <c r="G124" s="6"/>
      <c r="H124" s="6"/>
      <c r="I124" s="6"/>
      <c r="J124" s="6"/>
      <c r="K124" s="6"/>
      <c r="L124" s="6"/>
      <c r="M124" s="6"/>
      <c r="N124" s="6"/>
    </row>
    <row r="125" spans="1:14" x14ac:dyDescent="0.2">
      <c r="A125" s="6"/>
      <c r="B125" s="6"/>
      <c r="C125" s="6"/>
      <c r="D125" s="6"/>
      <c r="E125" s="6"/>
      <c r="F125" s="6"/>
      <c r="G125" s="6"/>
      <c r="H125" s="6"/>
      <c r="I125" s="6"/>
      <c r="J125" s="6"/>
      <c r="K125" s="6"/>
      <c r="L125" s="6"/>
      <c r="M125" s="6"/>
      <c r="N125" s="6"/>
    </row>
    <row r="126" spans="1:14" x14ac:dyDescent="0.2">
      <c r="A126" s="6"/>
      <c r="B126" s="6"/>
      <c r="C126" s="6"/>
      <c r="D126" s="6"/>
      <c r="E126" s="6"/>
      <c r="F126" s="6"/>
      <c r="G126" s="6"/>
      <c r="H126" s="6"/>
      <c r="I126" s="6"/>
      <c r="J126" s="6"/>
      <c r="K126" s="6"/>
      <c r="L126" s="6"/>
      <c r="M126" s="6"/>
      <c r="N126" s="6"/>
    </row>
    <row r="127" spans="1:14" x14ac:dyDescent="0.2">
      <c r="A127" s="6"/>
      <c r="B127" s="6"/>
      <c r="C127" s="6"/>
      <c r="D127" s="6"/>
      <c r="E127" s="6"/>
      <c r="F127" s="6"/>
      <c r="G127" s="6"/>
      <c r="H127" s="6"/>
      <c r="I127" s="6"/>
      <c r="J127" s="6"/>
      <c r="K127" s="6"/>
      <c r="L127" s="6"/>
      <c r="M127" s="6"/>
      <c r="N127" s="6"/>
    </row>
    <row r="128" spans="1:14" x14ac:dyDescent="0.2">
      <c r="A128" s="6"/>
      <c r="B128" s="6"/>
      <c r="C128" s="6"/>
      <c r="D128" s="6"/>
      <c r="E128" s="6"/>
      <c r="F128" s="6"/>
      <c r="G128" s="6"/>
      <c r="H128" s="6"/>
      <c r="I128" s="6"/>
      <c r="J128" s="6"/>
      <c r="K128" s="6"/>
      <c r="L128" s="6"/>
      <c r="M128" s="6"/>
      <c r="N128" s="6"/>
    </row>
    <row r="129" spans="1:14" x14ac:dyDescent="0.2">
      <c r="A129" s="6"/>
      <c r="B129" s="6"/>
      <c r="C129" s="6"/>
      <c r="D129" s="6"/>
      <c r="E129" s="6"/>
      <c r="F129" s="6"/>
      <c r="G129" s="6"/>
      <c r="H129" s="6"/>
      <c r="I129" s="6"/>
      <c r="J129" s="6"/>
      <c r="K129" s="6"/>
      <c r="L129" s="6"/>
      <c r="M129" s="6"/>
      <c r="N129" s="6"/>
    </row>
    <row r="130" spans="1:14" x14ac:dyDescent="0.2">
      <c r="A130" s="6"/>
      <c r="B130" s="6"/>
      <c r="C130" s="6"/>
      <c r="D130" s="6"/>
      <c r="E130" s="6"/>
      <c r="F130" s="6"/>
      <c r="G130" s="6"/>
      <c r="H130" s="6"/>
      <c r="I130" s="6"/>
      <c r="J130" s="6"/>
      <c r="K130" s="6"/>
      <c r="L130" s="6"/>
      <c r="M130" s="6"/>
      <c r="N130" s="6"/>
    </row>
    <row r="131" spans="1:14" x14ac:dyDescent="0.2">
      <c r="A131" s="6"/>
      <c r="B131" s="6"/>
      <c r="C131" s="6"/>
      <c r="D131" s="6"/>
      <c r="E131" s="6"/>
      <c r="F131" s="6"/>
      <c r="G131" s="6"/>
      <c r="H131" s="6"/>
      <c r="I131" s="6"/>
      <c r="J131" s="6"/>
      <c r="K131" s="6"/>
      <c r="L131" s="6"/>
      <c r="M131" s="6"/>
      <c r="N131" s="6"/>
    </row>
    <row r="132" spans="1:14" x14ac:dyDescent="0.2">
      <c r="A132" s="6"/>
      <c r="B132" s="6"/>
      <c r="C132" s="6"/>
      <c r="D132" s="6"/>
      <c r="E132" s="6"/>
      <c r="F132" s="6"/>
      <c r="G132" s="6"/>
      <c r="H132" s="6"/>
      <c r="I132" s="6"/>
      <c r="J132" s="6"/>
      <c r="K132" s="6"/>
      <c r="L132" s="6"/>
      <c r="M132" s="6"/>
      <c r="N132" s="6"/>
    </row>
    <row r="133" spans="1:14" x14ac:dyDescent="0.2">
      <c r="A133" s="6"/>
      <c r="B133" s="6"/>
      <c r="C133" s="6"/>
      <c r="D133" s="6"/>
      <c r="E133" s="6"/>
      <c r="F133" s="6"/>
      <c r="G133" s="6"/>
      <c r="H133" s="6"/>
      <c r="I133" s="6"/>
      <c r="J133" s="6"/>
      <c r="K133" s="6"/>
      <c r="L133" s="6"/>
      <c r="M133" s="6"/>
      <c r="N133" s="6"/>
    </row>
    <row r="134" spans="1:14" x14ac:dyDescent="0.2">
      <c r="A134" s="6"/>
      <c r="B134" s="6"/>
      <c r="C134" s="6"/>
      <c r="D134" s="6"/>
      <c r="E134" s="6"/>
      <c r="F134" s="6"/>
      <c r="G134" s="6"/>
      <c r="H134" s="6"/>
      <c r="I134" s="6"/>
      <c r="J134" s="6"/>
      <c r="K134" s="6"/>
      <c r="L134" s="6"/>
      <c r="M134" s="6"/>
      <c r="N134" s="6"/>
    </row>
    <row r="135" spans="1:14" x14ac:dyDescent="0.2">
      <c r="A135" s="6"/>
      <c r="B135" s="6"/>
      <c r="C135" s="6"/>
      <c r="D135" s="6"/>
      <c r="E135" s="6"/>
      <c r="F135" s="6"/>
      <c r="G135" s="6"/>
      <c r="H135" s="6"/>
      <c r="I135" s="6"/>
      <c r="J135" s="6"/>
      <c r="K135" s="6"/>
      <c r="L135" s="6"/>
      <c r="M135" s="6"/>
      <c r="N135" s="6"/>
    </row>
    <row r="136" spans="1:14" x14ac:dyDescent="0.2">
      <c r="A136" s="6"/>
      <c r="B136" s="6"/>
      <c r="C136" s="6"/>
      <c r="D136" s="6"/>
      <c r="E136" s="6"/>
      <c r="F136" s="6"/>
      <c r="G136" s="6"/>
      <c r="H136" s="6"/>
      <c r="I136" s="6"/>
      <c r="J136" s="6"/>
      <c r="K136" s="6"/>
      <c r="L136" s="6"/>
      <c r="M136" s="6"/>
      <c r="N136" s="6"/>
    </row>
    <row r="137" spans="1:14" x14ac:dyDescent="0.2">
      <c r="A137" s="6"/>
      <c r="B137" s="6"/>
      <c r="C137" s="6"/>
      <c r="D137" s="6"/>
      <c r="E137" s="6"/>
      <c r="F137" s="6"/>
      <c r="G137" s="6"/>
      <c r="H137" s="6"/>
      <c r="I137" s="6"/>
      <c r="J137" s="6"/>
      <c r="K137" s="6"/>
      <c r="L137" s="6"/>
      <c r="M137" s="6"/>
      <c r="N137" s="6"/>
    </row>
    <row r="138" spans="1:14" x14ac:dyDescent="0.2">
      <c r="A138" s="6"/>
      <c r="B138" s="6"/>
      <c r="C138" s="6"/>
      <c r="D138" s="6"/>
      <c r="E138" s="6"/>
      <c r="F138" s="6"/>
      <c r="G138" s="6"/>
      <c r="H138" s="6"/>
      <c r="I138" s="6"/>
      <c r="J138" s="6"/>
      <c r="K138" s="6"/>
      <c r="L138" s="6"/>
      <c r="M138" s="6"/>
      <c r="N138" s="6"/>
    </row>
    <row r="139" spans="1:14" x14ac:dyDescent="0.2">
      <c r="A139" s="6"/>
      <c r="B139" s="6"/>
      <c r="C139" s="6"/>
      <c r="D139" s="6"/>
      <c r="E139" s="6"/>
      <c r="F139" s="6"/>
      <c r="G139" s="6"/>
      <c r="H139" s="6"/>
      <c r="I139" s="6"/>
      <c r="J139" s="6"/>
      <c r="K139" s="6"/>
      <c r="L139" s="6"/>
      <c r="M139" s="6"/>
      <c r="N139" s="6"/>
    </row>
    <row r="140" spans="1:14" x14ac:dyDescent="0.2">
      <c r="A140" s="6"/>
      <c r="B140" s="6"/>
      <c r="C140" s="6"/>
      <c r="D140" s="6"/>
      <c r="E140" s="6"/>
      <c r="F140" s="6"/>
      <c r="G140" s="6"/>
      <c r="H140" s="6"/>
      <c r="I140" s="6"/>
      <c r="J140" s="6"/>
      <c r="K140" s="6"/>
      <c r="L140" s="6"/>
      <c r="M140" s="6"/>
      <c r="N140" s="6"/>
    </row>
    <row r="141" spans="1:14" x14ac:dyDescent="0.2">
      <c r="A141" s="6"/>
      <c r="B141" s="6"/>
      <c r="C141" s="6"/>
      <c r="D141" s="6"/>
      <c r="E141" s="6"/>
      <c r="F141" s="6"/>
      <c r="G141" s="6"/>
      <c r="H141" s="6"/>
      <c r="I141" s="6"/>
      <c r="J141" s="6"/>
      <c r="K141" s="6"/>
      <c r="L141" s="6"/>
      <c r="M141" s="6"/>
      <c r="N141" s="6"/>
    </row>
    <row r="142" spans="1:14" x14ac:dyDescent="0.2">
      <c r="A142" s="6"/>
      <c r="B142" s="6"/>
      <c r="C142" s="6"/>
      <c r="D142" s="6"/>
      <c r="E142" s="6"/>
      <c r="F142" s="6"/>
      <c r="G142" s="6"/>
      <c r="H142" s="6"/>
      <c r="I142" s="6"/>
      <c r="J142" s="6"/>
      <c r="K142" s="6"/>
      <c r="L142" s="6"/>
      <c r="M142" s="6"/>
      <c r="N142" s="6"/>
    </row>
    <row r="143" spans="1:14" x14ac:dyDescent="0.2">
      <c r="A143" s="6"/>
      <c r="B143" s="6"/>
      <c r="C143" s="6"/>
      <c r="D143" s="6"/>
      <c r="E143" s="6"/>
      <c r="F143" s="6"/>
      <c r="G143" s="6"/>
      <c r="H143" s="6"/>
      <c r="I143" s="6"/>
      <c r="J143" s="6"/>
      <c r="K143" s="6"/>
      <c r="L143" s="6"/>
      <c r="M143" s="6"/>
      <c r="N143" s="6"/>
    </row>
    <row r="144" spans="1:14" x14ac:dyDescent="0.2">
      <c r="A144" s="6"/>
      <c r="B144" s="6"/>
      <c r="C144" s="6"/>
      <c r="D144" s="6"/>
      <c r="E144" s="6"/>
      <c r="F144" s="6"/>
      <c r="G144" s="6"/>
      <c r="H144" s="6"/>
      <c r="I144" s="6"/>
      <c r="J144" s="6"/>
      <c r="K144" s="6"/>
      <c r="L144" s="6"/>
      <c r="M144" s="6"/>
      <c r="N144" s="6"/>
    </row>
    <row r="145" spans="1:14" x14ac:dyDescent="0.2">
      <c r="A145" s="6"/>
      <c r="B145" s="6"/>
      <c r="C145" s="6"/>
      <c r="D145" s="6"/>
      <c r="E145" s="6"/>
      <c r="F145" s="6"/>
      <c r="G145" s="6"/>
      <c r="H145" s="6"/>
      <c r="I145" s="6"/>
      <c r="J145" s="6"/>
      <c r="K145" s="6"/>
      <c r="L145" s="6"/>
      <c r="M145" s="6"/>
      <c r="N145" s="6"/>
    </row>
    <row r="146" spans="1:14" x14ac:dyDescent="0.2">
      <c r="A146" s="6"/>
      <c r="B146" s="6"/>
      <c r="C146" s="6"/>
      <c r="D146" s="6"/>
      <c r="E146" s="6"/>
      <c r="F146" s="6"/>
      <c r="G146" s="6"/>
      <c r="H146" s="6"/>
      <c r="I146" s="6"/>
      <c r="J146" s="6"/>
      <c r="K146" s="6"/>
      <c r="L146" s="6"/>
      <c r="M146" s="6"/>
      <c r="N146" s="6"/>
    </row>
    <row r="147" spans="1:14" x14ac:dyDescent="0.2">
      <c r="A147" s="6"/>
      <c r="B147" s="6"/>
      <c r="C147" s="6"/>
      <c r="D147" s="6"/>
      <c r="E147" s="6"/>
      <c r="F147" s="6"/>
      <c r="G147" s="6"/>
      <c r="H147" s="6"/>
      <c r="I147" s="6"/>
      <c r="J147" s="6"/>
      <c r="K147" s="6"/>
      <c r="L147" s="6"/>
      <c r="M147" s="6"/>
      <c r="N147" s="6"/>
    </row>
    <row r="148" spans="1:14" x14ac:dyDescent="0.2">
      <c r="A148" s="6"/>
      <c r="B148" s="6"/>
      <c r="C148" s="6"/>
      <c r="D148" s="6"/>
      <c r="E148" s="6"/>
      <c r="F148" s="6"/>
      <c r="G148" s="6"/>
      <c r="H148" s="6"/>
      <c r="I148" s="6"/>
      <c r="J148" s="6"/>
      <c r="K148" s="6"/>
      <c r="L148" s="6"/>
      <c r="M148" s="6"/>
      <c r="N148" s="6"/>
    </row>
    <row r="149" spans="1:14" x14ac:dyDescent="0.2">
      <c r="A149" s="6"/>
      <c r="B149" s="6"/>
      <c r="C149" s="6"/>
      <c r="D149" s="6"/>
      <c r="E149" s="6"/>
      <c r="F149" s="6"/>
      <c r="G149" s="6"/>
      <c r="H149" s="6"/>
      <c r="I149" s="6"/>
      <c r="J149" s="6"/>
      <c r="K149" s="6"/>
      <c r="L149" s="6"/>
      <c r="M149" s="6"/>
      <c r="N149" s="6"/>
    </row>
    <row r="150" spans="1:14" x14ac:dyDescent="0.2">
      <c r="A150" s="6"/>
      <c r="B150" s="6"/>
      <c r="C150" s="6"/>
      <c r="D150" s="6"/>
      <c r="E150" s="6"/>
      <c r="F150" s="6"/>
      <c r="G150" s="6"/>
      <c r="H150" s="6"/>
      <c r="I150" s="6"/>
      <c r="J150" s="6"/>
      <c r="K150" s="6"/>
      <c r="L150" s="6"/>
      <c r="M150" s="6"/>
      <c r="N150" s="6"/>
    </row>
    <row r="151" spans="1:14" x14ac:dyDescent="0.2">
      <c r="A151" s="6"/>
      <c r="B151" s="6"/>
      <c r="C151" s="6"/>
      <c r="D151" s="6"/>
      <c r="E151" s="6"/>
      <c r="F151" s="6"/>
      <c r="G151" s="6"/>
      <c r="H151" s="6"/>
      <c r="I151" s="6"/>
      <c r="J151" s="6"/>
      <c r="K151" s="6"/>
      <c r="L151" s="6"/>
      <c r="M151" s="6"/>
      <c r="N151" s="6"/>
    </row>
    <row r="152" spans="1:14" x14ac:dyDescent="0.2">
      <c r="A152" s="6"/>
      <c r="B152" s="6"/>
      <c r="C152" s="6"/>
      <c r="D152" s="6"/>
      <c r="E152" s="6"/>
      <c r="F152" s="6"/>
      <c r="G152" s="6"/>
      <c r="H152" s="6"/>
      <c r="I152" s="6"/>
      <c r="J152" s="6"/>
      <c r="K152" s="6"/>
      <c r="L152" s="6"/>
      <c r="M152" s="6"/>
      <c r="N152" s="6"/>
    </row>
    <row r="153" spans="1:14" x14ac:dyDescent="0.2">
      <c r="A153" s="6"/>
      <c r="B153" s="6"/>
      <c r="C153" s="6"/>
      <c r="D153" s="6"/>
      <c r="E153" s="6"/>
      <c r="F153" s="6"/>
      <c r="G153" s="6"/>
      <c r="H153" s="6"/>
      <c r="I153" s="6"/>
      <c r="J153" s="6"/>
      <c r="K153" s="6"/>
      <c r="L153" s="6"/>
      <c r="M153" s="6"/>
      <c r="N153" s="6"/>
    </row>
  </sheetData>
  <mergeCells count="1">
    <mergeCell ref="A5:B5"/>
  </mergeCells>
  <phoneticPr fontId="2"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B119"/>
  <sheetViews>
    <sheetView tabSelected="1" topLeftCell="A88" zoomScale="95" workbookViewId="0">
      <selection activeCell="J95" sqref="J95"/>
    </sheetView>
  </sheetViews>
  <sheetFormatPr defaultRowHeight="12.75" x14ac:dyDescent="0.2"/>
  <cols>
    <col min="1" max="1" width="31.28515625" bestFit="1" customWidth="1"/>
    <col min="2" max="2" width="11.7109375" bestFit="1" customWidth="1"/>
    <col min="3" max="3" width="12.7109375" customWidth="1"/>
    <col min="4" max="4" width="16.28515625" customWidth="1"/>
    <col min="5" max="5" width="12.85546875" bestFit="1" customWidth="1"/>
    <col min="6" max="6" width="11.85546875" customWidth="1"/>
    <col min="7" max="7" width="11.42578125" customWidth="1"/>
    <col min="8" max="8" width="14.140625" customWidth="1"/>
    <col min="9" max="9" width="12.140625" customWidth="1"/>
    <col min="10" max="11" width="13.42578125" customWidth="1"/>
    <col min="12" max="12" width="13.140625" customWidth="1"/>
    <col min="13" max="13" width="10.7109375" customWidth="1"/>
    <col min="14" max="15" width="8.42578125" bestFit="1" customWidth="1"/>
    <col min="16" max="16" width="21" customWidth="1"/>
    <col min="17" max="17" width="14.85546875" bestFit="1" customWidth="1"/>
    <col min="18" max="18" width="16.42578125" customWidth="1"/>
    <col min="19" max="32" width="7.42578125" bestFit="1" customWidth="1"/>
  </cols>
  <sheetData>
    <row r="1" spans="1:28" ht="16.5" x14ac:dyDescent="0.3">
      <c r="A1" s="313" t="s">
        <v>1570</v>
      </c>
    </row>
    <row r="3" spans="1:28" ht="25.5" customHeight="1" x14ac:dyDescent="0.2">
      <c r="A3" s="277" t="s">
        <v>848</v>
      </c>
      <c r="B3" s="278" t="s">
        <v>853</v>
      </c>
      <c r="C3" s="295" t="s">
        <v>357</v>
      </c>
      <c r="D3" s="295" t="s">
        <v>358</v>
      </c>
      <c r="E3" s="295" t="s">
        <v>359</v>
      </c>
      <c r="F3" s="295" t="s">
        <v>360</v>
      </c>
      <c r="G3" s="295" t="s">
        <v>361</v>
      </c>
      <c r="H3" s="309" t="s">
        <v>1573</v>
      </c>
      <c r="I3" s="309" t="s">
        <v>1574</v>
      </c>
      <c r="J3" s="309" t="s">
        <v>1575</v>
      </c>
      <c r="K3" s="309" t="s">
        <v>1576</v>
      </c>
      <c r="L3" s="309" t="s">
        <v>1577</v>
      </c>
    </row>
    <row r="4" spans="1:28" ht="27" customHeight="1" x14ac:dyDescent="0.2">
      <c r="A4" s="279" t="s">
        <v>854</v>
      </c>
      <c r="B4" s="282">
        <v>14.931717660643365</v>
      </c>
      <c r="C4" s="296">
        <v>15.936969190462666</v>
      </c>
      <c r="D4" s="296">
        <v>14.497146850004153</v>
      </c>
      <c r="E4" s="296">
        <v>13.021688906619293</v>
      </c>
      <c r="F4" s="296">
        <v>11.509713379135658</v>
      </c>
      <c r="G4" s="296">
        <v>9.9603164573468028</v>
      </c>
      <c r="H4" s="310">
        <f>G8</f>
        <v>8.3725719617436738</v>
      </c>
      <c r="I4" s="310">
        <f>H8</f>
        <v>6.8574713395465379</v>
      </c>
      <c r="J4" s="310">
        <f t="shared" ref="J4:L4" si="0">I8</f>
        <v>5.2655093680708092</v>
      </c>
      <c r="K4" s="310">
        <f t="shared" si="0"/>
        <v>3.5938856606872625</v>
      </c>
      <c r="L4" s="310">
        <f t="shared" si="0"/>
        <v>1.8397100697058093</v>
      </c>
    </row>
    <row r="5" spans="1:28" ht="27" customHeight="1" x14ac:dyDescent="0.2">
      <c r="A5" s="280" t="s">
        <v>855</v>
      </c>
      <c r="B5" s="283">
        <v>0.47525152981930091</v>
      </c>
      <c r="C5" s="298">
        <v>0.39443998746395098</v>
      </c>
      <c r="D5" s="298">
        <v>0.35880438453760283</v>
      </c>
      <c r="E5" s="298">
        <v>0.32228680043882751</v>
      </c>
      <c r="F5" s="298">
        <v>0.28486540613360756</v>
      </c>
      <c r="G5" s="298">
        <v>0.24651783231933339</v>
      </c>
      <c r="H5" s="311">
        <f>H4*H11</f>
        <v>0.19926721268949946</v>
      </c>
      <c r="I5" s="311">
        <f>I4*I11</f>
        <v>0.16320781788120761</v>
      </c>
      <c r="J5" s="311">
        <f>J4*J11</f>
        <v>0.12531912296008527</v>
      </c>
      <c r="K5" s="311">
        <f>K4*K11</f>
        <v>8.5534478724356849E-2</v>
      </c>
      <c r="L5" s="311">
        <f>L4*L11</f>
        <v>4.3785099658998267E-2</v>
      </c>
    </row>
    <row r="6" spans="1:28" ht="27" customHeight="1" x14ac:dyDescent="0.2">
      <c r="A6" s="280" t="s">
        <v>856</v>
      </c>
      <c r="B6" s="283">
        <v>1.82</v>
      </c>
      <c r="C6" s="298">
        <v>0</v>
      </c>
      <c r="D6" s="298">
        <v>0</v>
      </c>
      <c r="E6" s="298">
        <v>0</v>
      </c>
      <c r="F6" s="298">
        <v>0</v>
      </c>
      <c r="G6" s="298">
        <v>0</v>
      </c>
      <c r="H6" s="311">
        <v>0</v>
      </c>
      <c r="I6" s="311">
        <v>0</v>
      </c>
      <c r="J6" s="311">
        <v>0</v>
      </c>
      <c r="K6" s="311">
        <v>0</v>
      </c>
      <c r="L6" s="311">
        <v>0</v>
      </c>
    </row>
    <row r="7" spans="1:28" ht="27" customHeight="1" x14ac:dyDescent="0.2">
      <c r="A7" s="280" t="s">
        <v>857</v>
      </c>
      <c r="B7" s="283">
        <v>1.29</v>
      </c>
      <c r="C7" s="298">
        <v>1.8342623279224641</v>
      </c>
      <c r="D7" s="298">
        <v>1.8342623279224641</v>
      </c>
      <c r="E7" s="298">
        <v>1.8342623279224641</v>
      </c>
      <c r="F7" s="298">
        <v>1.8342623279224641</v>
      </c>
      <c r="G7" s="298">
        <v>1.8342623279224641</v>
      </c>
      <c r="H7" s="311">
        <f>H14</f>
        <v>1.7143678348866347</v>
      </c>
      <c r="I7" s="311">
        <f t="shared" ref="I7:L7" si="1">I14</f>
        <v>1.7551697893569367</v>
      </c>
      <c r="J7" s="311">
        <f t="shared" si="1"/>
        <v>1.7969428303436319</v>
      </c>
      <c r="K7" s="311">
        <f t="shared" si="1"/>
        <v>1.8397100697058102</v>
      </c>
      <c r="L7" s="311">
        <f t="shared" si="1"/>
        <v>1.8834951693648085</v>
      </c>
    </row>
    <row r="8" spans="1:28" ht="27" customHeight="1" x14ac:dyDescent="0.2">
      <c r="A8" s="281" t="s">
        <v>858</v>
      </c>
      <c r="B8" s="284">
        <v>15.936969190462666</v>
      </c>
      <c r="C8" s="297">
        <v>14.497146850004153</v>
      </c>
      <c r="D8" s="297">
        <v>13.021688906619293</v>
      </c>
      <c r="E8" s="297">
        <v>11.509713379135658</v>
      </c>
      <c r="F8" s="297">
        <v>9.9603164573468028</v>
      </c>
      <c r="G8" s="297">
        <v>8.3725719617436738</v>
      </c>
      <c r="H8" s="312">
        <f>H4+H5+H6-H7</f>
        <v>6.8574713395465379</v>
      </c>
      <c r="I8" s="312">
        <f t="shared" ref="I8:L8" si="2">I4+I5+I6-I7</f>
        <v>5.2655093680708092</v>
      </c>
      <c r="J8" s="312">
        <f t="shared" si="2"/>
        <v>3.5938856606872625</v>
      </c>
      <c r="K8" s="312">
        <f t="shared" si="2"/>
        <v>1.8397100697058093</v>
      </c>
      <c r="L8" s="312">
        <f t="shared" si="2"/>
        <v>0</v>
      </c>
    </row>
    <row r="9" spans="1:28" ht="27" customHeight="1" thickBot="1" x14ac:dyDescent="0.25">
      <c r="A9" s="294"/>
      <c r="B9" s="294"/>
      <c r="C9" s="294"/>
      <c r="D9" s="294"/>
      <c r="E9" s="294"/>
    </row>
    <row r="10" spans="1:28" x14ac:dyDescent="0.2">
      <c r="A10" s="458" t="s">
        <v>2149</v>
      </c>
      <c r="B10" s="470">
        <v>5</v>
      </c>
      <c r="D10" s="456"/>
      <c r="E10" s="554"/>
      <c r="F10" s="554"/>
      <c r="G10" s="454"/>
    </row>
    <row r="11" spans="1:28" x14ac:dyDescent="0.2">
      <c r="A11" s="467" t="s">
        <v>1057</v>
      </c>
      <c r="B11" s="471">
        <v>4.7300000000000002E-2</v>
      </c>
      <c r="D11" s="457"/>
      <c r="E11" s="554"/>
      <c r="F11" s="554"/>
      <c r="G11" s="489" t="s">
        <v>855</v>
      </c>
      <c r="H11" s="485">
        <v>2.3800000000000002E-2</v>
      </c>
      <c r="I11" s="485">
        <v>2.3800000000000002E-2</v>
      </c>
      <c r="J11" s="485">
        <v>2.3800000000000002E-2</v>
      </c>
      <c r="K11" s="485">
        <v>2.3800000000000002E-2</v>
      </c>
      <c r="L11" s="485">
        <v>2.3800000000000002E-2</v>
      </c>
      <c r="M11" s="380"/>
      <c r="N11" s="381"/>
      <c r="O11" s="381"/>
    </row>
    <row r="12" spans="1:28" ht="26.25" customHeight="1" x14ac:dyDescent="0.2">
      <c r="A12" s="468" t="s">
        <v>2063</v>
      </c>
      <c r="B12" s="472">
        <f>SUBTOTAL(9,D22:D121)</f>
        <v>64807112.951833874</v>
      </c>
      <c r="C12" s="555" t="s">
        <v>2164</v>
      </c>
      <c r="D12" s="556"/>
      <c r="E12" s="556"/>
      <c r="G12" s="489" t="s">
        <v>2158</v>
      </c>
      <c r="H12" s="486">
        <f>1+H11</f>
        <v>1.0238</v>
      </c>
      <c r="I12" s="486">
        <f>H12*(1+I11)</f>
        <v>1.0481664400000001</v>
      </c>
      <c r="J12" s="486">
        <f t="shared" ref="J12:L12" si="3">I12*(1+J11)</f>
        <v>1.0731128012720001</v>
      </c>
      <c r="K12" s="486">
        <f t="shared" si="3"/>
        <v>1.0986528859422737</v>
      </c>
      <c r="L12" s="486">
        <f t="shared" si="3"/>
        <v>1.1248008246276999</v>
      </c>
    </row>
    <row r="13" spans="1:28" ht="13.5" thickBot="1" x14ac:dyDescent="0.25">
      <c r="A13" s="469" t="s">
        <v>2064</v>
      </c>
      <c r="B13" s="484">
        <f>G8*1000000/B12</f>
        <v>0.12919217629654883</v>
      </c>
      <c r="G13" s="489" t="s">
        <v>2159</v>
      </c>
      <c r="H13" s="487">
        <f>G8/$B$10</f>
        <v>1.6745143923487347</v>
      </c>
      <c r="I13" s="487">
        <f>H13</f>
        <v>1.6745143923487347</v>
      </c>
      <c r="J13" s="487">
        <f t="shared" ref="J13:L13" si="4">I13</f>
        <v>1.6745143923487347</v>
      </c>
      <c r="K13" s="487">
        <f t="shared" si="4"/>
        <v>1.6745143923487347</v>
      </c>
      <c r="L13" s="487">
        <f t="shared" si="4"/>
        <v>1.6745143923487347</v>
      </c>
    </row>
    <row r="14" spans="1:28" x14ac:dyDescent="0.2">
      <c r="A14" s="446"/>
      <c r="B14" s="492"/>
      <c r="G14" s="489" t="s">
        <v>2160</v>
      </c>
      <c r="H14" s="488">
        <f>H13*H12</f>
        <v>1.7143678348866347</v>
      </c>
      <c r="I14" s="488">
        <f t="shared" ref="I14:L14" si="5">I13*I12</f>
        <v>1.7551697893569367</v>
      </c>
      <c r="J14" s="488">
        <f t="shared" si="5"/>
        <v>1.7969428303436319</v>
      </c>
      <c r="K14" s="488">
        <f t="shared" si="5"/>
        <v>1.8397100697058102</v>
      </c>
      <c r="L14" s="488">
        <f t="shared" si="5"/>
        <v>1.8834951693648085</v>
      </c>
    </row>
    <row r="15" spans="1:28" x14ac:dyDescent="0.2">
      <c r="A15" s="446"/>
      <c r="B15" s="492"/>
      <c r="G15" s="489" t="s">
        <v>2161</v>
      </c>
      <c r="H15" s="488">
        <f>G8*$B$11*(1+H11)</f>
        <v>0.40544799295068912</v>
      </c>
      <c r="I15" s="488">
        <f>H8*$B$11*(1+I11)</f>
        <v>0.33207812414633237</v>
      </c>
      <c r="J15" s="488">
        <f>I8*$B$11*(1+J11)</f>
        <v>0.25498618762576131</v>
      </c>
      <c r="K15" s="488">
        <f>J8*$B$11*(1+K11)</f>
        <v>0.1740365725941696</v>
      </c>
      <c r="L15" s="488">
        <f>K8*$B$11*(1+L11)</f>
        <v>8.9089321510955416E-2</v>
      </c>
    </row>
    <row r="16" spans="1:28" x14ac:dyDescent="0.2">
      <c r="A16" s="446"/>
      <c r="B16" s="492"/>
      <c r="G16" s="489" t="s">
        <v>2162</v>
      </c>
      <c r="H16" s="488">
        <f>H7+H15</f>
        <v>2.119815827837324</v>
      </c>
      <c r="I16" s="488">
        <f>I7+I15</f>
        <v>2.0872479135032691</v>
      </c>
      <c r="J16" s="488">
        <f>J7+J15</f>
        <v>2.0519290179693934</v>
      </c>
      <c r="K16" s="488">
        <f>K7+K15</f>
        <v>2.0137466422999797</v>
      </c>
      <c r="L16" s="488">
        <f>L7+L15</f>
        <v>1.9725844908757639</v>
      </c>
    </row>
    <row r="17" spans="1:12" x14ac:dyDescent="0.2">
      <c r="A17" s="446"/>
      <c r="B17" s="492"/>
      <c r="G17" s="489" t="s">
        <v>2163</v>
      </c>
      <c r="H17" s="487">
        <f>H16/H12</f>
        <v>2.0705370461392105</v>
      </c>
      <c r="I17" s="487">
        <f>I16/I12</f>
        <v>1.9913325153811152</v>
      </c>
      <c r="J17" s="487">
        <f>J16/J12</f>
        <v>1.9121279846230204</v>
      </c>
      <c r="K17" s="487">
        <f>K16/K12</f>
        <v>1.8329234538649248</v>
      </c>
      <c r="L17" s="487">
        <f>L16/L12</f>
        <v>1.7537189231068298</v>
      </c>
    </row>
    <row r="18" spans="1:12" x14ac:dyDescent="0.2">
      <c r="A18" s="446"/>
      <c r="B18" s="492"/>
    </row>
    <row r="19" spans="1:12" x14ac:dyDescent="0.2">
      <c r="A19" s="446"/>
      <c r="B19" s="492"/>
    </row>
    <row r="20" spans="1:12" x14ac:dyDescent="0.2">
      <c r="A20" s="465" t="s">
        <v>2151</v>
      </c>
      <c r="B20" s="466">
        <f>SUM(B22:B120)</f>
        <v>58247</v>
      </c>
      <c r="C20" s="465"/>
      <c r="D20" s="465">
        <f>SUM(D22:D120)</f>
        <v>64807112.951833874</v>
      </c>
      <c r="E20" s="465">
        <f>SUM(E22:E120)</f>
        <v>8372571.9617436789</v>
      </c>
      <c r="F20" s="465"/>
      <c r="G20" s="465">
        <f>SUM(G22:G120)</f>
        <v>7402.8142448115586</v>
      </c>
      <c r="H20" s="465">
        <f>SUM(H22:H120)</f>
        <v>405447.99295068951</v>
      </c>
      <c r="I20" s="465"/>
      <c r="J20" s="465"/>
    </row>
    <row r="21" spans="1:12" ht="57.4" customHeight="1" x14ac:dyDescent="0.2">
      <c r="A21" s="331" t="s">
        <v>2056</v>
      </c>
      <c r="B21" s="331" t="s">
        <v>1150</v>
      </c>
      <c r="C21" s="331" t="s">
        <v>330</v>
      </c>
      <c r="D21" s="331" t="s">
        <v>331</v>
      </c>
      <c r="E21" s="332" t="s">
        <v>332</v>
      </c>
      <c r="F21" s="332" t="s">
        <v>333</v>
      </c>
      <c r="G21" s="332" t="s">
        <v>466</v>
      </c>
      <c r="H21" s="332" t="s">
        <v>859</v>
      </c>
      <c r="I21" s="332" t="s">
        <v>467</v>
      </c>
      <c r="J21" s="332" t="s">
        <v>2150</v>
      </c>
    </row>
    <row r="22" spans="1:12" x14ac:dyDescent="0.2">
      <c r="A22" s="459">
        <v>1</v>
      </c>
      <c r="B22" s="460">
        <v>4</v>
      </c>
      <c r="C22" s="461">
        <v>0</v>
      </c>
      <c r="D22" s="464">
        <v>0</v>
      </c>
      <c r="E22" s="464">
        <v>0</v>
      </c>
      <c r="F22" s="462">
        <v>0</v>
      </c>
      <c r="G22" s="490">
        <f>F22/$B$10*(1+$H$11)</f>
        <v>0</v>
      </c>
      <c r="H22" s="491">
        <f>E22*$B$11*(1+$H$11)</f>
        <v>0</v>
      </c>
      <c r="I22" s="462">
        <f>H22/B22</f>
        <v>0</v>
      </c>
      <c r="J22" s="463">
        <f>G22+I22</f>
        <v>0</v>
      </c>
    </row>
    <row r="23" spans="1:12" x14ac:dyDescent="0.2">
      <c r="A23" s="459">
        <v>5</v>
      </c>
      <c r="B23" s="460">
        <v>335</v>
      </c>
      <c r="C23" s="461">
        <v>0</v>
      </c>
      <c r="D23" s="464">
        <f t="shared" ref="D23:D41" si="6">B23*C23</f>
        <v>0</v>
      </c>
      <c r="E23" s="464">
        <f t="shared" ref="E23:E54" si="7">D23*$B$13</f>
        <v>0</v>
      </c>
      <c r="F23" s="462">
        <f t="shared" ref="F23:F41" si="8">E23/B23</f>
        <v>0</v>
      </c>
      <c r="G23" s="490">
        <f t="shared" ref="G23:G86" si="9">F23/$B$10*(1+$H$11)</f>
        <v>0</v>
      </c>
      <c r="H23" s="491">
        <f t="shared" ref="H23:H86" si="10">E23*$B$11*(1+$H$11)</f>
        <v>0</v>
      </c>
      <c r="I23" s="462">
        <f t="shared" ref="I23:I41" si="11">H23/B23</f>
        <v>0</v>
      </c>
      <c r="J23" s="463">
        <f t="shared" ref="J23:J86" si="12">G23+I23</f>
        <v>0</v>
      </c>
    </row>
    <row r="24" spans="1:12" x14ac:dyDescent="0.2">
      <c r="A24" s="459">
        <v>10</v>
      </c>
      <c r="B24" s="460">
        <v>28613</v>
      </c>
      <c r="C24" s="461">
        <f>VLOOKUP(A24,'[2]SLUOS Capital Charge'!$D$14:$F$220,3,FALSE)</f>
        <v>527.52153271999998</v>
      </c>
      <c r="D24" s="464">
        <f t="shared" si="6"/>
        <v>15093973.615717359</v>
      </c>
      <c r="E24" s="464">
        <f t="shared" si="7"/>
        <v>1950023.3003772136</v>
      </c>
      <c r="F24" s="462">
        <f t="shared" si="8"/>
        <v>68.151654855387889</v>
      </c>
      <c r="G24" s="490">
        <f t="shared" si="9"/>
        <v>13.954732848189225</v>
      </c>
      <c r="H24" s="491">
        <f>E24*$B$11*(1+$H$11)</f>
        <v>94431.321338008856</v>
      </c>
      <c r="I24" s="462">
        <f t="shared" si="11"/>
        <v>3.3002943185967517</v>
      </c>
      <c r="J24" s="463">
        <f t="shared" si="12"/>
        <v>17.255027166785979</v>
      </c>
      <c r="K24" s="365"/>
    </row>
    <row r="25" spans="1:12" x14ac:dyDescent="0.2">
      <c r="A25" s="459">
        <v>20</v>
      </c>
      <c r="B25" s="460">
        <v>1327</v>
      </c>
      <c r="C25" s="461">
        <f>VLOOKUP(A25,'[2]SLUOS Capital Charge'!$D$14:$F$220,3,FALSE)</f>
        <v>993.61161271999981</v>
      </c>
      <c r="D25" s="464">
        <f t="shared" si="6"/>
        <v>1318522.6100794398</v>
      </c>
      <c r="E25" s="464">
        <f t="shared" si="7"/>
        <v>170342.8054923687</v>
      </c>
      <c r="F25" s="462">
        <f t="shared" si="8"/>
        <v>128.36684664082043</v>
      </c>
      <c r="G25" s="490">
        <f t="shared" si="9"/>
        <v>26.284395518174392</v>
      </c>
      <c r="H25" s="491">
        <f t="shared" si="10"/>
        <v>8248.9764096440194</v>
      </c>
      <c r="I25" s="462">
        <f t="shared" si="11"/>
        <v>6.2162595400482434</v>
      </c>
      <c r="J25" s="463">
        <f t="shared" si="12"/>
        <v>32.500655058222634</v>
      </c>
      <c r="K25" s="365"/>
    </row>
    <row r="26" spans="1:12" x14ac:dyDescent="0.2">
      <c r="A26" s="459">
        <v>30</v>
      </c>
      <c r="B26" s="460">
        <v>1840</v>
      </c>
      <c r="C26" s="461">
        <f>VLOOKUP(A26,'[2]SLUOS Capital Charge'!$D$14:$F$220,3,FALSE)</f>
        <v>997.93650231999982</v>
      </c>
      <c r="D26" s="464">
        <f t="shared" si="6"/>
        <v>1836203.1642687996</v>
      </c>
      <c r="E26" s="464">
        <f t="shared" si="7"/>
        <v>237223.08291449558</v>
      </c>
      <c r="F26" s="462">
        <f t="shared" si="8"/>
        <v>128.92558854048673</v>
      </c>
      <c r="G26" s="490">
        <f t="shared" si="9"/>
        <v>26.398803509550063</v>
      </c>
      <c r="H26" s="491">
        <f t="shared" si="10"/>
        <v>11487.703335215805</v>
      </c>
      <c r="I26" s="462">
        <f t="shared" si="11"/>
        <v>6.2433170300085896</v>
      </c>
      <c r="J26" s="463">
        <f t="shared" si="12"/>
        <v>32.642120539558654</v>
      </c>
      <c r="K26" s="365"/>
    </row>
    <row r="27" spans="1:12" x14ac:dyDescent="0.2">
      <c r="A27" s="459">
        <v>40</v>
      </c>
      <c r="B27" s="460">
        <v>4357</v>
      </c>
      <c r="C27" s="461">
        <f>VLOOKUP(A27,'[2]SLUOS Capital Charge'!$D$14:$F$220,3,FALSE)</f>
        <v>565.07913271999996</v>
      </c>
      <c r="D27" s="464">
        <f t="shared" si="6"/>
        <v>2462049.7812610399</v>
      </c>
      <c r="E27" s="464">
        <f t="shared" si="7"/>
        <v>318077.56939155573</v>
      </c>
      <c r="F27" s="462">
        <f t="shared" si="8"/>
        <v>73.003802935863149</v>
      </c>
      <c r="G27" s="490">
        <f t="shared" si="9"/>
        <v>14.948258689147339</v>
      </c>
      <c r="H27" s="491">
        <f t="shared" si="10"/>
        <v>15403.141675187437</v>
      </c>
      <c r="I27" s="462">
        <f t="shared" si="11"/>
        <v>3.5352631799833456</v>
      </c>
      <c r="J27" s="463">
        <f t="shared" si="12"/>
        <v>18.483521869130684</v>
      </c>
      <c r="K27" s="365"/>
    </row>
    <row r="28" spans="1:12" x14ac:dyDescent="0.2">
      <c r="A28" s="459">
        <v>50</v>
      </c>
      <c r="B28" s="460">
        <v>1739</v>
      </c>
      <c r="C28" s="461">
        <f>VLOOKUP(A28,'[2]SLUOS Capital Charge'!$D$14:$F$220,3,FALSE)</f>
        <v>978.60489271999984</v>
      </c>
      <c r="D28" s="464">
        <f t="shared" si="6"/>
        <v>1701793.9084400798</v>
      </c>
      <c r="E28" s="464">
        <f t="shared" si="7"/>
        <v>219858.45863958367</v>
      </c>
      <c r="F28" s="462">
        <f t="shared" si="8"/>
        <v>126.42809582494748</v>
      </c>
      <c r="G28" s="490">
        <f t="shared" si="9"/>
        <v>25.887416901116246</v>
      </c>
      <c r="H28" s="491">
        <f t="shared" si="10"/>
        <v>10646.808554881234</v>
      </c>
      <c r="I28" s="462">
        <f t="shared" si="11"/>
        <v>6.1223740971139931</v>
      </c>
      <c r="J28" s="463">
        <f t="shared" si="12"/>
        <v>32.009790998230237</v>
      </c>
      <c r="K28" s="365"/>
    </row>
    <row r="29" spans="1:12" x14ac:dyDescent="0.2">
      <c r="A29" s="459">
        <v>60</v>
      </c>
      <c r="B29" s="460">
        <v>2331</v>
      </c>
      <c r="C29" s="461">
        <f>VLOOKUP(A29,'[2]SLUOS Capital Charge'!$D$14:$F$220,3,FALSE)</f>
        <v>982.52848311999992</v>
      </c>
      <c r="D29" s="464">
        <f t="shared" si="6"/>
        <v>2290273.89415272</v>
      </c>
      <c r="E29" s="464">
        <f t="shared" si="7"/>
        <v>295885.46870076162</v>
      </c>
      <c r="F29" s="462">
        <f t="shared" si="8"/>
        <v>126.93499300761974</v>
      </c>
      <c r="G29" s="490">
        <f t="shared" si="9"/>
        <v>25.991209168240221</v>
      </c>
      <c r="H29" s="491">
        <f t="shared" si="10"/>
        <v>14328.472777081221</v>
      </c>
      <c r="I29" s="462">
        <f t="shared" si="11"/>
        <v>6.1469209682888115</v>
      </c>
      <c r="J29" s="463">
        <f t="shared" si="12"/>
        <v>32.138130136529035</v>
      </c>
      <c r="K29" s="365"/>
    </row>
    <row r="30" spans="1:12" x14ac:dyDescent="0.2">
      <c r="A30" s="459">
        <v>70</v>
      </c>
      <c r="B30" s="460">
        <v>314</v>
      </c>
      <c r="C30" s="461">
        <f>VLOOKUP(A30,'[2]SLUOS Capital Charge'!$D$14:$F$220,3,FALSE)</f>
        <v>1093.9916447199998</v>
      </c>
      <c r="D30" s="464">
        <f t="shared" si="6"/>
        <v>343513.37644207996</v>
      </c>
      <c r="E30" s="464">
        <f t="shared" si="7"/>
        <v>44379.240689527942</v>
      </c>
      <c r="F30" s="462">
        <f t="shared" si="8"/>
        <v>141.33516143161765</v>
      </c>
      <c r="G30" s="490">
        <f t="shared" si="9"/>
        <v>28.939787654738033</v>
      </c>
      <c r="H30" s="491">
        <f t="shared" si="10"/>
        <v>2149.0975710285011</v>
      </c>
      <c r="I30" s="462">
        <f t="shared" si="11"/>
        <v>6.8442597803455447</v>
      </c>
      <c r="J30" s="463">
        <f t="shared" si="12"/>
        <v>35.784047435083579</v>
      </c>
      <c r="K30" s="365"/>
    </row>
    <row r="31" spans="1:12" x14ac:dyDescent="0.2">
      <c r="A31" s="459">
        <v>90</v>
      </c>
      <c r="B31" s="460">
        <v>1900</v>
      </c>
      <c r="C31" s="461">
        <f>VLOOKUP(A31,'[2]SLUOS Capital Charge'!$D$14:$F$220,3,FALSE)</f>
        <v>598.07627522000007</v>
      </c>
      <c r="D31" s="464">
        <f t="shared" si="6"/>
        <v>1136344.922918</v>
      </c>
      <c r="E31" s="464">
        <f t="shared" si="7"/>
        <v>146806.87361531044</v>
      </c>
      <c r="F31" s="462">
        <f t="shared" si="8"/>
        <v>77.266775587005498</v>
      </c>
      <c r="G31" s="490">
        <f t="shared" si="9"/>
        <v>15.821144969195245</v>
      </c>
      <c r="H31" s="491">
        <f t="shared" si="10"/>
        <v>7109.2314919078844</v>
      </c>
      <c r="I31" s="462">
        <f t="shared" si="11"/>
        <v>3.7417007852146762</v>
      </c>
      <c r="J31" s="463">
        <f t="shared" si="12"/>
        <v>19.562845754409921</v>
      </c>
      <c r="K31" s="365"/>
    </row>
    <row r="32" spans="1:12" x14ac:dyDescent="0.2">
      <c r="A32" s="459">
        <v>110</v>
      </c>
      <c r="B32" s="460">
        <v>666</v>
      </c>
      <c r="C32" s="461">
        <f>VLOOKUP(A32,'[2]SLUOS Capital Charge'!$D$14:$F$220,3,FALSE)</f>
        <v>250.425946616</v>
      </c>
      <c r="D32" s="464">
        <f t="shared" si="6"/>
        <v>166783.68044625601</v>
      </c>
      <c r="E32" s="464">
        <f t="shared" si="7"/>
        <v>21547.14664759997</v>
      </c>
      <c r="F32" s="462">
        <f t="shared" si="8"/>
        <v>32.3530730444444</v>
      </c>
      <c r="G32" s="490">
        <f t="shared" si="9"/>
        <v>6.6246152365804356</v>
      </c>
      <c r="H32" s="491">
        <f t="shared" si="10"/>
        <v>1043.4365212985479</v>
      </c>
      <c r="I32" s="462">
        <f t="shared" si="11"/>
        <v>1.5667215034512731</v>
      </c>
      <c r="J32" s="463">
        <f t="shared" si="12"/>
        <v>8.1913367400317085</v>
      </c>
      <c r="K32" s="365"/>
    </row>
    <row r="33" spans="1:11" x14ac:dyDescent="0.2">
      <c r="A33" s="459">
        <v>120</v>
      </c>
      <c r="B33" s="460">
        <v>10</v>
      </c>
      <c r="C33" s="461">
        <f>VLOOKUP(A33,'[2]SLUOS Capital Charge'!$D$14:$F$220,3,FALSE)</f>
        <v>1845.18472122</v>
      </c>
      <c r="D33" s="464">
        <f t="shared" si="6"/>
        <v>18451.847212200002</v>
      </c>
      <c r="E33" s="464">
        <f t="shared" si="7"/>
        <v>2383.834298035526</v>
      </c>
      <c r="F33" s="462">
        <f t="shared" si="8"/>
        <v>238.38342980355259</v>
      </c>
      <c r="G33" s="490">
        <f t="shared" si="9"/>
        <v>48.811391086575426</v>
      </c>
      <c r="H33" s="491">
        <f t="shared" si="10"/>
        <v>115.43893991975089</v>
      </c>
      <c r="I33" s="462">
        <f t="shared" si="11"/>
        <v>11.543893991975089</v>
      </c>
      <c r="J33" s="463">
        <f t="shared" si="12"/>
        <v>60.355285078550516</v>
      </c>
      <c r="K33" s="365"/>
    </row>
    <row r="34" spans="1:11" x14ac:dyDescent="0.2">
      <c r="A34" s="459">
        <v>140</v>
      </c>
      <c r="B34" s="460">
        <v>58</v>
      </c>
      <c r="C34" s="461">
        <f>VLOOKUP(A34,'[2]SLUOS Capital Charge'!$D$14:$F$220,3,FALSE)</f>
        <v>1634.5029204125976</v>
      </c>
      <c r="D34" s="464">
        <f t="shared" si="6"/>
        <v>94801.169383930668</v>
      </c>
      <c r="E34" s="464">
        <f t="shared" si="7"/>
        <v>12247.569388167758</v>
      </c>
      <c r="F34" s="462">
        <f t="shared" si="8"/>
        <v>211.16498945116825</v>
      </c>
      <c r="G34" s="490">
        <f t="shared" si="9"/>
        <v>43.238143240021209</v>
      </c>
      <c r="H34" s="491">
        <f t="shared" si="10"/>
        <v>593.09761082337093</v>
      </c>
      <c r="I34" s="462">
        <f t="shared" si="11"/>
        <v>10.225820876265017</v>
      </c>
      <c r="J34" s="463">
        <f t="shared" si="12"/>
        <v>53.463964116286228</v>
      </c>
      <c r="K34" s="365"/>
    </row>
    <row r="35" spans="1:11" x14ac:dyDescent="0.2">
      <c r="A35" s="459">
        <v>170</v>
      </c>
      <c r="B35" s="460">
        <v>767</v>
      </c>
      <c r="C35" s="461">
        <f>VLOOKUP(A35,'[2]SLUOS Capital Charge'!$D$14:$F$220,3,FALSE)</f>
        <v>2707.5058821247544</v>
      </c>
      <c r="D35" s="464">
        <f t="shared" si="6"/>
        <v>2076657.0115896866</v>
      </c>
      <c r="E35" s="464">
        <f t="shared" si="7"/>
        <v>268287.83874875907</v>
      </c>
      <c r="F35" s="462">
        <f t="shared" si="8"/>
        <v>349.78857724740425</v>
      </c>
      <c r="G35" s="490">
        <f t="shared" si="9"/>
        <v>71.622709077178484</v>
      </c>
      <c r="H35" s="491">
        <f t="shared" si="10"/>
        <v>12992.037124409333</v>
      </c>
      <c r="I35" s="462">
        <f t="shared" si="11"/>
        <v>16.938770696752716</v>
      </c>
      <c r="J35" s="463">
        <f t="shared" si="12"/>
        <v>88.561479773931197</v>
      </c>
      <c r="K35" s="365"/>
    </row>
    <row r="36" spans="1:11" x14ac:dyDescent="0.2">
      <c r="A36" s="459">
        <v>190</v>
      </c>
      <c r="B36" s="460">
        <v>8</v>
      </c>
      <c r="C36" s="461">
        <f>VLOOKUP(A36,'[2]SLUOS Capital Charge'!$D$14:$F$220,3,FALSE)</f>
        <v>4217.7541464159995</v>
      </c>
      <c r="D36" s="464">
        <f t="shared" si="6"/>
        <v>33742.033171327996</v>
      </c>
      <c r="E36" s="464">
        <f t="shared" si="7"/>
        <v>4359.2066980742047</v>
      </c>
      <c r="F36" s="462">
        <f t="shared" si="8"/>
        <v>544.90083725927559</v>
      </c>
      <c r="G36" s="490">
        <f t="shared" si="9"/>
        <v>111.57389543720927</v>
      </c>
      <c r="H36" s="491">
        <f t="shared" si="10"/>
        <v>211.09781016719995</v>
      </c>
      <c r="I36" s="462">
        <f t="shared" si="11"/>
        <v>26.387226270899994</v>
      </c>
      <c r="J36" s="463">
        <f t="shared" si="12"/>
        <v>137.96112170810926</v>
      </c>
      <c r="K36" s="365"/>
    </row>
    <row r="37" spans="1:11" x14ac:dyDescent="0.2">
      <c r="A37" s="459">
        <v>200</v>
      </c>
      <c r="B37" s="460">
        <v>70</v>
      </c>
      <c r="C37" s="461">
        <f>VLOOKUP(A37,'[2]SLUOS Capital Charge'!$D$14:$F$220,3,FALSE)</f>
        <v>2030.0382579125974</v>
      </c>
      <c r="D37" s="464">
        <f t="shared" si="6"/>
        <v>142102.67805388183</v>
      </c>
      <c r="E37" s="464">
        <f t="shared" si="7"/>
        <v>18358.554235348824</v>
      </c>
      <c r="F37" s="462">
        <f t="shared" si="8"/>
        <v>262.26506050498318</v>
      </c>
      <c r="G37" s="490">
        <f t="shared" si="9"/>
        <v>53.701393789000363</v>
      </c>
      <c r="H37" s="491">
        <f t="shared" si="10"/>
        <v>889.02657417690102</v>
      </c>
      <c r="I37" s="462">
        <f t="shared" si="11"/>
        <v>12.700379631098587</v>
      </c>
      <c r="J37" s="463">
        <f t="shared" si="12"/>
        <v>66.401773420098948</v>
      </c>
      <c r="K37" s="365"/>
    </row>
    <row r="38" spans="1:11" x14ac:dyDescent="0.2">
      <c r="A38" s="459">
        <v>210</v>
      </c>
      <c r="B38" s="460">
        <v>290</v>
      </c>
      <c r="C38" s="461">
        <f>VLOOKUP(A38,'[2]SLUOS Capital Charge'!$D$14:$F$220,3,FALSE)</f>
        <v>2034.3631475125974</v>
      </c>
      <c r="D38" s="464">
        <f t="shared" si="6"/>
        <v>589965.31277865323</v>
      </c>
      <c r="E38" s="464">
        <f t="shared" si="7"/>
        <v>76218.902697348341</v>
      </c>
      <c r="F38" s="462">
        <f t="shared" si="8"/>
        <v>262.82380240464943</v>
      </c>
      <c r="G38" s="490">
        <f t="shared" si="9"/>
        <v>53.81580178037602</v>
      </c>
      <c r="H38" s="491">
        <f t="shared" si="10"/>
        <v>3690.9567651070902</v>
      </c>
      <c r="I38" s="462">
        <f t="shared" si="11"/>
        <v>12.727437121058932</v>
      </c>
      <c r="J38" s="463">
        <f t="shared" si="12"/>
        <v>66.543238901434947</v>
      </c>
      <c r="K38" s="365"/>
    </row>
    <row r="39" spans="1:11" x14ac:dyDescent="0.2">
      <c r="A39" s="459">
        <v>220</v>
      </c>
      <c r="B39" s="460">
        <v>516</v>
      </c>
      <c r="C39" s="461">
        <f>VLOOKUP(A39,'[2]SLUOS Capital Charge'!$D$14:$F$220,3,FALSE)</f>
        <v>2015.0315379125973</v>
      </c>
      <c r="D39" s="464">
        <f t="shared" si="6"/>
        <v>1039756.2735629003</v>
      </c>
      <c r="E39" s="464">
        <f t="shared" si="7"/>
        <v>134328.37579958086</v>
      </c>
      <c r="F39" s="462">
        <f t="shared" si="8"/>
        <v>260.32630968911019</v>
      </c>
      <c r="G39" s="490">
        <f t="shared" si="9"/>
        <v>53.304415171942203</v>
      </c>
      <c r="H39" s="491">
        <f t="shared" si="10"/>
        <v>6504.9510010927952</v>
      </c>
      <c r="I39" s="462">
        <f t="shared" si="11"/>
        <v>12.606494188164332</v>
      </c>
      <c r="J39" s="463">
        <f t="shared" si="12"/>
        <v>65.91090936010653</v>
      </c>
      <c r="K39" s="365"/>
    </row>
    <row r="40" spans="1:11" x14ac:dyDescent="0.2">
      <c r="A40" s="459">
        <v>230</v>
      </c>
      <c r="B40" s="460">
        <v>1007</v>
      </c>
      <c r="C40" s="461">
        <f>VLOOKUP(A40,'[2]SLUOS Capital Charge'!$D$14:$F$220,3,FALSE)</f>
        <v>2018.9551283125975</v>
      </c>
      <c r="D40" s="464">
        <f t="shared" si="6"/>
        <v>2033087.8142107856</v>
      </c>
      <c r="E40" s="464">
        <f t="shared" si="7"/>
        <v>262659.03931988491</v>
      </c>
      <c r="F40" s="462">
        <f t="shared" si="8"/>
        <v>260.83320687178241</v>
      </c>
      <c r="G40" s="490">
        <f t="shared" si="9"/>
        <v>53.408207439066167</v>
      </c>
      <c r="H40" s="491">
        <f t="shared" si="10"/>
        <v>12719.458346754525</v>
      </c>
      <c r="I40" s="462">
        <f t="shared" si="11"/>
        <v>12.631041059339152</v>
      </c>
      <c r="J40" s="463">
        <f t="shared" si="12"/>
        <v>66.039248498405314</v>
      </c>
      <c r="K40" s="365"/>
    </row>
    <row r="41" spans="1:11" x14ac:dyDescent="0.2">
      <c r="A41" s="459">
        <v>240</v>
      </c>
      <c r="B41" s="460">
        <v>101</v>
      </c>
      <c r="C41" s="461">
        <f>VLOOKUP(A41,'[2]SLUOS Capital Charge'!$D$14:$F$220,3,FALSE)</f>
        <v>2130.4182899125972</v>
      </c>
      <c r="D41" s="464">
        <f t="shared" si="6"/>
        <v>215172.24728117231</v>
      </c>
      <c r="E41" s="464">
        <f t="shared" si="7"/>
        <v>27798.570904873814</v>
      </c>
      <c r="F41" s="462">
        <f t="shared" si="8"/>
        <v>275.23337529578032</v>
      </c>
      <c r="G41" s="490">
        <f t="shared" si="9"/>
        <v>56.356785925563983</v>
      </c>
      <c r="H41" s="491">
        <f t="shared" si="10"/>
        <v>1346.166367010984</v>
      </c>
      <c r="I41" s="462">
        <f t="shared" si="11"/>
        <v>13.328379871395882</v>
      </c>
      <c r="J41" s="463">
        <f t="shared" si="12"/>
        <v>69.685165796959865</v>
      </c>
      <c r="K41" s="365"/>
    </row>
    <row r="42" spans="1:11" x14ac:dyDescent="0.2">
      <c r="A42" s="459">
        <v>250</v>
      </c>
      <c r="B42" s="460">
        <v>5</v>
      </c>
      <c r="C42" s="461">
        <f>VLOOKUP(A42,'[2]SLUOS Capital Charge'!$D$14:$F$220,3,FALSE)</f>
        <v>5254.1807916085972</v>
      </c>
      <c r="D42" s="464">
        <f>B42*C42</f>
        <v>26270.903958042985</v>
      </c>
      <c r="E42" s="464">
        <f t="shared" si="7"/>
        <v>3393.995255617192</v>
      </c>
      <c r="F42" s="462">
        <f>E42/B42</f>
        <v>678.7990511234384</v>
      </c>
      <c r="G42" s="490">
        <f t="shared" si="9"/>
        <v>138.99089370803523</v>
      </c>
      <c r="H42" s="491">
        <f t="shared" si="10"/>
        <v>164.35673180975169</v>
      </c>
      <c r="I42" s="462">
        <f>H42/B42</f>
        <v>32.871346361950337</v>
      </c>
      <c r="J42" s="463">
        <f t="shared" si="12"/>
        <v>171.86224006998557</v>
      </c>
      <c r="K42" s="365"/>
    </row>
    <row r="43" spans="1:11" x14ac:dyDescent="0.2">
      <c r="A43" s="459">
        <v>270</v>
      </c>
      <c r="B43" s="460">
        <v>3</v>
      </c>
      <c r="C43" s="461">
        <f>VLOOKUP(A43,'[2]SLUOS Capital Charge'!$D$14:$F$220,3,FALSE)</f>
        <v>6122.1980569466186</v>
      </c>
      <c r="D43" s="464">
        <f>B43*C43</f>
        <v>18366.594170839857</v>
      </c>
      <c r="E43" s="464">
        <f t="shared" si="7"/>
        <v>2372.8202720863087</v>
      </c>
      <c r="F43" s="462">
        <f>E43/B43</f>
        <v>790.9400906954362</v>
      </c>
      <c r="G43" s="490">
        <f t="shared" si="9"/>
        <v>161.95289297079751</v>
      </c>
      <c r="H43" s="491">
        <f t="shared" si="10"/>
        <v>114.90557756278085</v>
      </c>
      <c r="I43" s="462">
        <f>H43/B43</f>
        <v>38.301859187593614</v>
      </c>
      <c r="J43" s="463">
        <f t="shared" si="12"/>
        <v>200.25475215839111</v>
      </c>
      <c r="K43" s="365"/>
    </row>
    <row r="44" spans="1:11" x14ac:dyDescent="0.2">
      <c r="A44" s="459">
        <v>290</v>
      </c>
      <c r="B44" s="460">
        <v>223</v>
      </c>
      <c r="C44" s="461">
        <f>VLOOKUP(A44,'[2]SLUOS Capital Charge'!$D$14:$F$220,3,FALSE)</f>
        <v>2833.5715236247543</v>
      </c>
      <c r="D44" s="464">
        <f t="shared" ref="D44:D59" si="13">B44*C44</f>
        <v>631886.44976832019</v>
      </c>
      <c r="E44" s="464">
        <f t="shared" si="7"/>
        <v>81634.785617869173</v>
      </c>
      <c r="F44" s="462">
        <f t="shared" ref="F44:F59" si="14">E44/B44</f>
        <v>366.07527182900975</v>
      </c>
      <c r="G44" s="490">
        <f t="shared" si="9"/>
        <v>74.957572659708035</v>
      </c>
      <c r="H44" s="491">
        <f t="shared" si="10"/>
        <v>3953.2249032866721</v>
      </c>
      <c r="I44" s="462">
        <f t="shared" ref="I44:I59" si="15">H44/B44</f>
        <v>17.727465934020952</v>
      </c>
      <c r="J44" s="463">
        <f t="shared" si="12"/>
        <v>92.68503859372899</v>
      </c>
      <c r="K44" s="365"/>
    </row>
    <row r="45" spans="1:11" x14ac:dyDescent="0.2">
      <c r="A45" s="459">
        <v>300</v>
      </c>
      <c r="B45" s="460">
        <v>511</v>
      </c>
      <c r="C45" s="461">
        <f>VLOOKUP(A45,'[2]SLUOS Capital Charge'!$D$14:$F$220,3,FALSE)</f>
        <v>2837.8964132247543</v>
      </c>
      <c r="D45" s="464">
        <f t="shared" si="13"/>
        <v>1450165.0671578494</v>
      </c>
      <c r="E45" s="464">
        <f t="shared" si="7"/>
        <v>187349.98101535346</v>
      </c>
      <c r="F45" s="462">
        <f t="shared" si="14"/>
        <v>366.63401372867605</v>
      </c>
      <c r="G45" s="490">
        <f t="shared" si="9"/>
        <v>75.071980651083706</v>
      </c>
      <c r="H45" s="491">
        <f t="shared" si="10"/>
        <v>9072.5614696544435</v>
      </c>
      <c r="I45" s="462">
        <f t="shared" si="15"/>
        <v>17.754523423981297</v>
      </c>
      <c r="J45" s="463">
        <f t="shared" si="12"/>
        <v>92.826504075065003</v>
      </c>
      <c r="K45" s="365"/>
    </row>
    <row r="46" spans="1:11" x14ac:dyDescent="0.2">
      <c r="A46" s="459">
        <v>310</v>
      </c>
      <c r="B46" s="460">
        <v>685</v>
      </c>
      <c r="C46" s="461">
        <f>VLOOKUP(A46,'[2]SLUOS Capital Charge'!$D$14:$F$220,3,FALSE)</f>
        <v>2818.5648036247544</v>
      </c>
      <c r="D46" s="464">
        <f t="shared" si="13"/>
        <v>1930716.8904829568</v>
      </c>
      <c r="E46" s="464">
        <f t="shared" si="7"/>
        <v>249433.51689399872</v>
      </c>
      <c r="F46" s="462">
        <f t="shared" si="14"/>
        <v>364.13652101313681</v>
      </c>
      <c r="G46" s="490">
        <f t="shared" si="9"/>
        <v>74.560594042649896</v>
      </c>
      <c r="H46" s="491">
        <f t="shared" si="10"/>
        <v>12079.002636394391</v>
      </c>
      <c r="I46" s="462">
        <f t="shared" si="15"/>
        <v>17.6335804910867</v>
      </c>
      <c r="J46" s="463">
        <f t="shared" si="12"/>
        <v>92.1941745337366</v>
      </c>
      <c r="K46" s="365"/>
    </row>
    <row r="47" spans="1:11" x14ac:dyDescent="0.2">
      <c r="A47" s="459">
        <v>320</v>
      </c>
      <c r="B47" s="460">
        <v>1552</v>
      </c>
      <c r="C47" s="461">
        <f>VLOOKUP(A47,'[2]SLUOS Capital Charge'!$D$14:$F$220,3,FALSE)</f>
        <v>2822.4883940247546</v>
      </c>
      <c r="D47" s="464">
        <f t="shared" si="13"/>
        <v>4380501.9875264196</v>
      </c>
      <c r="E47" s="464">
        <f t="shared" si="7"/>
        <v>565926.58503989573</v>
      </c>
      <c r="F47" s="462">
        <f t="shared" si="14"/>
        <v>364.64341819580909</v>
      </c>
      <c r="G47" s="490">
        <f t="shared" si="9"/>
        <v>74.664386309773874</v>
      </c>
      <c r="H47" s="491">
        <f t="shared" si="10"/>
        <v>27405.413666229881</v>
      </c>
      <c r="I47" s="462">
        <f t="shared" si="15"/>
        <v>17.658127362261521</v>
      </c>
      <c r="J47" s="463">
        <f t="shared" si="12"/>
        <v>92.322513672035399</v>
      </c>
      <c r="K47" s="365"/>
    </row>
    <row r="48" spans="1:11" x14ac:dyDescent="0.2">
      <c r="A48" s="459">
        <v>330</v>
      </c>
      <c r="B48" s="460">
        <v>166</v>
      </c>
      <c r="C48" s="461">
        <f>VLOOKUP(A48,'[2]SLUOS Capital Charge'!$D$14:$F$220,3,FALSE)</f>
        <v>2933.9515556247543</v>
      </c>
      <c r="D48" s="464">
        <f t="shared" si="13"/>
        <v>487035.95823370921</v>
      </c>
      <c r="E48" s="464">
        <f t="shared" si="7"/>
        <v>62921.235378887955</v>
      </c>
      <c r="F48" s="462">
        <f t="shared" si="14"/>
        <v>379.04358661980694</v>
      </c>
      <c r="G48" s="490">
        <f t="shared" si="9"/>
        <v>77.612964796271669</v>
      </c>
      <c r="H48" s="491">
        <f t="shared" si="10"/>
        <v>3047.00738493683</v>
      </c>
      <c r="I48" s="462">
        <f t="shared" si="15"/>
        <v>18.355466174318252</v>
      </c>
      <c r="J48" s="463">
        <f t="shared" si="12"/>
        <v>95.968430970589921</v>
      </c>
      <c r="K48" s="365"/>
    </row>
    <row r="49" spans="1:11" x14ac:dyDescent="0.2">
      <c r="A49" s="459">
        <v>350</v>
      </c>
      <c r="B49" s="460">
        <v>52</v>
      </c>
      <c r="C49" s="461">
        <f>VLOOKUP(A49,'[2]SLUOS Capital Charge'!$D$14:$F$220,3,FALSE)</f>
        <v>1601.5057779125975</v>
      </c>
      <c r="D49" s="464">
        <f t="shared" si="13"/>
        <v>83278.30045145507</v>
      </c>
      <c r="E49" s="464">
        <f t="shared" si="7"/>
        <v>10758.904873601346</v>
      </c>
      <c r="F49" s="462">
        <f t="shared" si="14"/>
        <v>206.9020168000259</v>
      </c>
      <c r="G49" s="490">
        <f t="shared" si="9"/>
        <v>42.365256959973308</v>
      </c>
      <c r="H49" s="491">
        <f t="shared" si="10"/>
        <v>521.00793009375172</v>
      </c>
      <c r="I49" s="462">
        <f t="shared" si="15"/>
        <v>10.019383271033687</v>
      </c>
      <c r="J49" s="463">
        <f t="shared" si="12"/>
        <v>52.384640231006998</v>
      </c>
      <c r="K49" s="365"/>
    </row>
    <row r="50" spans="1:11" x14ac:dyDescent="0.2">
      <c r="A50" s="459">
        <v>360</v>
      </c>
      <c r="B50" s="460">
        <v>928</v>
      </c>
      <c r="C50" s="461">
        <f>VLOOKUP(A50,'[2]SLUOS Capital Charge'!$D$14:$F$220,3,FALSE)</f>
        <v>2674.5087396247545</v>
      </c>
      <c r="D50" s="464">
        <f t="shared" si="13"/>
        <v>2481944.1103717722</v>
      </c>
      <c r="E50" s="464">
        <f t="shared" si="7"/>
        <v>320647.76106533105</v>
      </c>
      <c r="F50" s="462">
        <f t="shared" si="14"/>
        <v>345.52560459626193</v>
      </c>
      <c r="G50" s="490">
        <f t="shared" si="9"/>
        <v>70.749822797130591</v>
      </c>
      <c r="H50" s="491">
        <f t="shared" si="10"/>
        <v>15527.605108931846</v>
      </c>
      <c r="I50" s="462">
        <f t="shared" si="15"/>
        <v>16.732333091521387</v>
      </c>
      <c r="J50" s="463">
        <f t="shared" si="12"/>
        <v>87.482155888651974</v>
      </c>
      <c r="K50" s="365"/>
    </row>
    <row r="51" spans="1:11" x14ac:dyDescent="0.2">
      <c r="A51" s="459">
        <v>370</v>
      </c>
      <c r="B51" s="460">
        <v>44</v>
      </c>
      <c r="C51" s="461">
        <f>VLOOKUP(A51,'[2]SLUOS Capital Charge'!$D$14:$F$220,3,FALSE)</f>
        <v>3233.9470881847546</v>
      </c>
      <c r="D51" s="464">
        <f t="shared" si="13"/>
        <v>142293.6718801292</v>
      </c>
      <c r="E51" s="464">
        <f t="shared" si="7"/>
        <v>18383.229143420926</v>
      </c>
      <c r="F51" s="462">
        <f t="shared" si="14"/>
        <v>417.80066235047559</v>
      </c>
      <c r="G51" s="490">
        <f t="shared" si="9"/>
        <v>85.548863622883374</v>
      </c>
      <c r="H51" s="491">
        <f t="shared" si="10"/>
        <v>890.22147485972448</v>
      </c>
      <c r="I51" s="462">
        <f t="shared" si="15"/>
        <v>20.23230624681192</v>
      </c>
      <c r="J51" s="463">
        <f t="shared" si="12"/>
        <v>105.78116986969529</v>
      </c>
      <c r="K51" s="365"/>
    </row>
    <row r="52" spans="1:11" x14ac:dyDescent="0.2">
      <c r="A52" s="459">
        <v>380</v>
      </c>
      <c r="B52" s="460">
        <v>2</v>
      </c>
      <c r="C52" s="461">
        <f>VLOOKUP(A52,'[2]SLUOS Capital Charge'!$D$14:$F$220,3,FALSE)</f>
        <v>3242.5968673847547</v>
      </c>
      <c r="D52" s="464">
        <f t="shared" si="13"/>
        <v>6485.1937347695093</v>
      </c>
      <c r="E52" s="464">
        <f t="shared" si="7"/>
        <v>837.83629229961639</v>
      </c>
      <c r="F52" s="462">
        <f t="shared" si="14"/>
        <v>418.91814614980819</v>
      </c>
      <c r="G52" s="490">
        <f t="shared" si="9"/>
        <v>85.777679605634717</v>
      </c>
      <c r="H52" s="491">
        <f t="shared" si="10"/>
        <v>40.572842453465228</v>
      </c>
      <c r="I52" s="462">
        <f t="shared" si="15"/>
        <v>20.286421226732614</v>
      </c>
      <c r="J52" s="463">
        <f t="shared" si="12"/>
        <v>106.06410083236733</v>
      </c>
      <c r="K52" s="365"/>
    </row>
    <row r="53" spans="1:11" x14ac:dyDescent="0.2">
      <c r="A53" s="459">
        <v>390</v>
      </c>
      <c r="B53" s="460">
        <v>117</v>
      </c>
      <c r="C53" s="461">
        <f>VLOOKUP(A53,'[2]SLUOS Capital Charge'!$D$14:$F$220,3,FALSE)</f>
        <v>3211.7808289847544</v>
      </c>
      <c r="D53" s="464">
        <f t="shared" si="13"/>
        <v>375778.35699121625</v>
      </c>
      <c r="E53" s="464">
        <f t="shared" si="7"/>
        <v>48547.623744836674</v>
      </c>
      <c r="F53" s="462">
        <f t="shared" si="14"/>
        <v>414.93695508407416</v>
      </c>
      <c r="G53" s="490">
        <f t="shared" si="9"/>
        <v>84.962490923015025</v>
      </c>
      <c r="H53" s="491">
        <f t="shared" si="10"/>
        <v>2350.9546050852873</v>
      </c>
      <c r="I53" s="462">
        <f t="shared" si="15"/>
        <v>20.093629103293054</v>
      </c>
      <c r="J53" s="463">
        <f t="shared" si="12"/>
        <v>105.05612002630808</v>
      </c>
      <c r="K53" s="365"/>
    </row>
    <row r="54" spans="1:11" x14ac:dyDescent="0.2">
      <c r="A54" s="459">
        <v>400</v>
      </c>
      <c r="B54" s="460">
        <v>33</v>
      </c>
      <c r="C54" s="461">
        <f>VLOOKUP(A54,'[2]SLUOS Capital Charge'!$D$14:$F$220,3,FALSE)</f>
        <v>3434.7071521847547</v>
      </c>
      <c r="D54" s="464">
        <f t="shared" si="13"/>
        <v>113345.3360220969</v>
      </c>
      <c r="E54" s="464">
        <f t="shared" si="7"/>
        <v>14643.330633758311</v>
      </c>
      <c r="F54" s="462">
        <f t="shared" si="14"/>
        <v>443.73729193207004</v>
      </c>
      <c r="G54" s="490">
        <f t="shared" si="9"/>
        <v>90.859647896010671</v>
      </c>
      <c r="H54" s="491">
        <f t="shared" si="10"/>
        <v>709.11412200441521</v>
      </c>
      <c r="I54" s="462">
        <f t="shared" si="15"/>
        <v>21.48830672740652</v>
      </c>
      <c r="J54" s="463">
        <f t="shared" si="12"/>
        <v>112.34795462341719</v>
      </c>
      <c r="K54" s="365"/>
    </row>
    <row r="55" spans="1:11" x14ac:dyDescent="0.2">
      <c r="A55" s="459">
        <v>430</v>
      </c>
      <c r="B55" s="460">
        <v>3</v>
      </c>
      <c r="C55" s="461">
        <f>VLOOKUP(A55,'[2]SLUOS Capital Charge'!$D$14:$F$220,3,FALSE)</f>
        <v>3601.0732639447542</v>
      </c>
      <c r="D55" s="464">
        <f t="shared" si="13"/>
        <v>10803.219791834263</v>
      </c>
      <c r="E55" s="464">
        <f t="shared" ref="E55:E86" si="16">D55*$B$13</f>
        <v>1395.6914759170177</v>
      </c>
      <c r="F55" s="462">
        <f t="shared" si="14"/>
        <v>465.23049197233922</v>
      </c>
      <c r="G55" s="490">
        <f t="shared" si="9"/>
        <v>95.26059553625619</v>
      </c>
      <c r="H55" s="491">
        <f t="shared" si="10"/>
        <v>67.587392532973766</v>
      </c>
      <c r="I55" s="462">
        <f t="shared" si="15"/>
        <v>22.529130844324587</v>
      </c>
      <c r="J55" s="463">
        <f t="shared" si="12"/>
        <v>117.78972638058077</v>
      </c>
      <c r="K55" s="365"/>
    </row>
    <row r="56" spans="1:11" x14ac:dyDescent="0.2">
      <c r="A56" s="459">
        <v>440</v>
      </c>
      <c r="B56" s="460">
        <v>9</v>
      </c>
      <c r="C56" s="461">
        <f>VLOOKUP(A56,'[2]SLUOS Capital Charge'!$D$14:$F$220,3,FALSE)</f>
        <v>3935.4627487447542</v>
      </c>
      <c r="D56" s="464">
        <f t="shared" si="13"/>
        <v>35419.164738702792</v>
      </c>
      <c r="E56" s="464">
        <f t="shared" si="16"/>
        <v>4575.8789751989971</v>
      </c>
      <c r="F56" s="462">
        <f t="shared" si="14"/>
        <v>508.43099724433301</v>
      </c>
      <c r="G56" s="490">
        <f t="shared" si="9"/>
        <v>104.10633099574963</v>
      </c>
      <c r="H56" s="491">
        <f t="shared" si="10"/>
        <v>221.59032552445311</v>
      </c>
      <c r="I56" s="462">
        <f t="shared" si="15"/>
        <v>24.621147280494789</v>
      </c>
      <c r="J56" s="463">
        <f t="shared" si="12"/>
        <v>128.72747827624443</v>
      </c>
      <c r="K56" s="365"/>
    </row>
    <row r="57" spans="1:11" x14ac:dyDescent="0.2">
      <c r="A57" s="459">
        <v>450</v>
      </c>
      <c r="B57" s="460">
        <v>4</v>
      </c>
      <c r="C57" s="461">
        <f>VLOOKUP(A57,'[2]SLUOS Capital Charge'!$D$14:$F$220,3,FALSE)</f>
        <v>4034.6982173047545</v>
      </c>
      <c r="D57" s="464">
        <f t="shared" si="13"/>
        <v>16138.792869219018</v>
      </c>
      <c r="E57" s="464">
        <f t="shared" si="16"/>
        <v>2085.0057735736286</v>
      </c>
      <c r="F57" s="462">
        <f t="shared" si="14"/>
        <v>521.25144339340716</v>
      </c>
      <c r="G57" s="490">
        <f t="shared" si="9"/>
        <v>106.73144554923405</v>
      </c>
      <c r="H57" s="491">
        <f t="shared" si="10"/>
        <v>100.96794748957542</v>
      </c>
      <c r="I57" s="462">
        <f t="shared" si="15"/>
        <v>25.241986872393856</v>
      </c>
      <c r="J57" s="463">
        <f t="shared" si="12"/>
        <v>131.9734324216279</v>
      </c>
      <c r="K57" s="365"/>
    </row>
    <row r="58" spans="1:11" x14ac:dyDescent="0.2">
      <c r="A58" s="459">
        <v>460</v>
      </c>
      <c r="B58" s="460">
        <v>4</v>
      </c>
      <c r="C58" s="461">
        <f>VLOOKUP(A58,'[2]SLUOS Capital Charge'!$D$14:$F$220,3,FALSE)</f>
        <v>4051.9977757047545</v>
      </c>
      <c r="D58" s="464">
        <f t="shared" si="13"/>
        <v>16207.991102819018</v>
      </c>
      <c r="E58" s="464">
        <f t="shared" si="16"/>
        <v>2093.9456439682895</v>
      </c>
      <c r="F58" s="462">
        <f t="shared" si="14"/>
        <v>523.48641099207236</v>
      </c>
      <c r="G58" s="490">
        <f t="shared" si="9"/>
        <v>107.18907751473674</v>
      </c>
      <c r="H58" s="491">
        <f t="shared" si="10"/>
        <v>101.40086732894096</v>
      </c>
      <c r="I58" s="462">
        <f t="shared" si="15"/>
        <v>25.35021683223524</v>
      </c>
      <c r="J58" s="463">
        <f t="shared" si="12"/>
        <v>132.53929434697199</v>
      </c>
      <c r="K58" s="365"/>
    </row>
    <row r="59" spans="1:11" x14ac:dyDescent="0.2">
      <c r="A59" s="459">
        <v>470</v>
      </c>
      <c r="B59" s="460">
        <v>48</v>
      </c>
      <c r="C59" s="461">
        <f>VLOOKUP(A59,'[2]SLUOS Capital Charge'!$D$14:$F$220,3,FALSE)</f>
        <v>3990.3656989047545</v>
      </c>
      <c r="D59" s="464">
        <f t="shared" si="13"/>
        <v>191537.55354742822</v>
      </c>
      <c r="E59" s="464">
        <f t="shared" si="16"/>
        <v>24745.153385309008</v>
      </c>
      <c r="F59" s="462">
        <f t="shared" si="14"/>
        <v>515.52402886060429</v>
      </c>
      <c r="G59" s="490">
        <f t="shared" si="9"/>
        <v>105.55870014949734</v>
      </c>
      <c r="H59" s="491">
        <f t="shared" si="10"/>
        <v>1198.3023640970939</v>
      </c>
      <c r="I59" s="462">
        <f t="shared" si="15"/>
        <v>24.964632585356124</v>
      </c>
      <c r="J59" s="463">
        <f t="shared" si="12"/>
        <v>130.52333273485345</v>
      </c>
      <c r="K59" s="365"/>
    </row>
    <row r="60" spans="1:11" x14ac:dyDescent="0.2">
      <c r="A60" s="459">
        <v>480</v>
      </c>
      <c r="B60" s="460">
        <v>4</v>
      </c>
      <c r="C60" s="461">
        <f>VLOOKUP(A60,'[2]SLUOS Capital Charge'!$D$14:$F$220,3,FALSE)</f>
        <v>4436.2183453047546</v>
      </c>
      <c r="D60" s="464">
        <f t="shared" ref="D60:D79" si="17">B60*C60</f>
        <v>17744.873381219018</v>
      </c>
      <c r="E60" s="464">
        <f t="shared" si="16"/>
        <v>2292.4988102263842</v>
      </c>
      <c r="F60" s="462">
        <f t="shared" ref="F60:F79" si="18">E60/B60</f>
        <v>573.12470255659605</v>
      </c>
      <c r="G60" s="490">
        <f t="shared" si="9"/>
        <v>117.35301409548862</v>
      </c>
      <c r="H60" s="491">
        <f t="shared" si="10"/>
        <v>111.01595133433224</v>
      </c>
      <c r="I60" s="462">
        <f t="shared" ref="I60:I79" si="19">H60/B60</f>
        <v>27.753987833583061</v>
      </c>
      <c r="J60" s="463">
        <f t="shared" si="12"/>
        <v>145.10700192907169</v>
      </c>
      <c r="K60" s="365"/>
    </row>
    <row r="61" spans="1:11" x14ac:dyDescent="0.2">
      <c r="A61" s="459">
        <v>540</v>
      </c>
      <c r="B61" s="460">
        <v>3</v>
      </c>
      <c r="C61" s="461">
        <f>VLOOKUP(A61,'[2]SLUOS Capital Charge'!$D$14:$F$220,3,FALSE)</f>
        <v>5481.6262297466183</v>
      </c>
      <c r="D61" s="464">
        <f t="shared" si="17"/>
        <v>16444.878689239857</v>
      </c>
      <c r="E61" s="464">
        <f t="shared" si="16"/>
        <v>2124.5496667956345</v>
      </c>
      <c r="F61" s="462">
        <f t="shared" si="18"/>
        <v>708.1832222652115</v>
      </c>
      <c r="G61" s="490">
        <f t="shared" si="9"/>
        <v>145.00759659102471</v>
      </c>
      <c r="H61" s="491">
        <f t="shared" si="10"/>
        <v>102.88288978133204</v>
      </c>
      <c r="I61" s="462">
        <f t="shared" si="19"/>
        <v>34.294296593777347</v>
      </c>
      <c r="J61" s="463">
        <f t="shared" si="12"/>
        <v>179.30189318480205</v>
      </c>
      <c r="K61" s="365"/>
    </row>
    <row r="62" spans="1:11" x14ac:dyDescent="0.2">
      <c r="A62" s="459">
        <v>550</v>
      </c>
      <c r="B62" s="460">
        <v>15</v>
      </c>
      <c r="C62" s="461">
        <f>VLOOKUP(A62,'[2]SLUOS Capital Charge'!$D$14:$F$220,3,FALSE)</f>
        <v>5435.4021721466188</v>
      </c>
      <c r="D62" s="464">
        <f t="shared" si="17"/>
        <v>81531.032582199288</v>
      </c>
      <c r="E62" s="464">
        <f t="shared" si="16"/>
        <v>10533.171534999157</v>
      </c>
      <c r="F62" s="462">
        <f t="shared" si="18"/>
        <v>702.21143566661044</v>
      </c>
      <c r="G62" s="490">
        <f t="shared" si="9"/>
        <v>143.78481356709514</v>
      </c>
      <c r="H62" s="491">
        <f t="shared" si="10"/>
        <v>510.0766261292701</v>
      </c>
      <c r="I62" s="462">
        <f t="shared" si="19"/>
        <v>34.005108408618007</v>
      </c>
      <c r="J62" s="463">
        <f t="shared" si="12"/>
        <v>177.78992197571316</v>
      </c>
      <c r="K62" s="365"/>
    </row>
    <row r="63" spans="1:11" x14ac:dyDescent="0.2">
      <c r="A63" s="459">
        <v>560</v>
      </c>
      <c r="B63" s="460">
        <v>3</v>
      </c>
      <c r="C63" s="461">
        <f>VLOOKUP(A63,'[2]SLUOS Capital Charge'!$D$14:$F$220,3,FALSE)</f>
        <v>5769.7916569466188</v>
      </c>
      <c r="D63" s="464">
        <f t="shared" si="17"/>
        <v>17309.374970839857</v>
      </c>
      <c r="E63" s="464">
        <f t="shared" si="16"/>
        <v>2236.2358228158128</v>
      </c>
      <c r="F63" s="462">
        <f t="shared" si="18"/>
        <v>745.41194093860429</v>
      </c>
      <c r="G63" s="490">
        <f t="shared" si="9"/>
        <v>152.63054902658862</v>
      </c>
      <c r="H63" s="491">
        <f t="shared" si="10"/>
        <v>108.29137453436462</v>
      </c>
      <c r="I63" s="462">
        <f t="shared" si="19"/>
        <v>36.097124844788205</v>
      </c>
      <c r="J63" s="463">
        <f t="shared" si="12"/>
        <v>188.72767387137682</v>
      </c>
      <c r="K63" s="365"/>
    </row>
    <row r="64" spans="1:11" x14ac:dyDescent="0.2">
      <c r="A64" s="459">
        <v>580</v>
      </c>
      <c r="B64" s="460">
        <v>8</v>
      </c>
      <c r="C64" s="461">
        <f>VLOOKUP(A64,'[2]SLUOS Capital Charge'!$D$14:$F$220,3,FALSE)</f>
        <v>5886.3266839066182</v>
      </c>
      <c r="D64" s="464">
        <f t="shared" si="17"/>
        <v>47090.613471252946</v>
      </c>
      <c r="E64" s="464">
        <f t="shared" si="16"/>
        <v>6083.7388374907478</v>
      </c>
      <c r="F64" s="462">
        <f t="shared" si="18"/>
        <v>760.46735468634347</v>
      </c>
      <c r="G64" s="490">
        <f t="shared" si="9"/>
        <v>155.7132955455757</v>
      </c>
      <c r="H64" s="491">
        <f t="shared" si="10"/>
        <v>294.60955517222925</v>
      </c>
      <c r="I64" s="462">
        <f t="shared" si="19"/>
        <v>36.826194396528656</v>
      </c>
      <c r="J64" s="463">
        <f t="shared" si="12"/>
        <v>192.53948994210435</v>
      </c>
      <c r="K64" s="365"/>
    </row>
    <row r="65" spans="1:11" x14ac:dyDescent="0.2">
      <c r="A65" s="459">
        <v>590</v>
      </c>
      <c r="B65" s="460">
        <v>52</v>
      </c>
      <c r="C65" s="461">
        <f>VLOOKUP(A65,'[2]SLUOS Capital Charge'!$D$14:$F$220,3,FALSE)</f>
        <v>5824.6946071066186</v>
      </c>
      <c r="D65" s="464">
        <f t="shared" si="17"/>
        <v>302884.11956954416</v>
      </c>
      <c r="E65" s="464">
        <f t="shared" si="16"/>
        <v>39130.258572853527</v>
      </c>
      <c r="F65" s="462">
        <f t="shared" si="18"/>
        <v>752.50497255487551</v>
      </c>
      <c r="G65" s="490">
        <f t="shared" si="9"/>
        <v>154.08291818033629</v>
      </c>
      <c r="H65" s="491">
        <f t="shared" si="10"/>
        <v>1894.9117277817761</v>
      </c>
      <c r="I65" s="462">
        <f t="shared" si="19"/>
        <v>36.440610149649544</v>
      </c>
      <c r="J65" s="463">
        <f t="shared" si="12"/>
        <v>190.52352832998582</v>
      </c>
      <c r="K65" s="365"/>
    </row>
    <row r="66" spans="1:11" x14ac:dyDescent="0.2">
      <c r="A66" s="459">
        <v>600</v>
      </c>
      <c r="B66" s="460">
        <v>4</v>
      </c>
      <c r="C66" s="461">
        <f>VLOOKUP(A66,'[2]SLUOS Capital Charge'!$D$14:$F$220,3,FALSE)</f>
        <v>6270.5472535066183</v>
      </c>
      <c r="D66" s="464">
        <f t="shared" si="17"/>
        <v>25082.189014026473</v>
      </c>
      <c r="E66" s="464">
        <f t="shared" si="16"/>
        <v>3240.4225850034686</v>
      </c>
      <c r="F66" s="462">
        <f t="shared" si="18"/>
        <v>810.10564625086715</v>
      </c>
      <c r="G66" s="490">
        <f t="shared" si="9"/>
        <v>165.87723212632756</v>
      </c>
      <c r="H66" s="491">
        <f t="shared" si="10"/>
        <v>156.91986159150591</v>
      </c>
      <c r="I66" s="462">
        <f t="shared" si="19"/>
        <v>39.229965397876477</v>
      </c>
      <c r="J66" s="463">
        <f t="shared" si="12"/>
        <v>205.10719752420403</v>
      </c>
      <c r="K66" s="365"/>
    </row>
    <row r="67" spans="1:11" x14ac:dyDescent="0.2">
      <c r="A67" s="459">
        <v>610</v>
      </c>
      <c r="B67" s="460">
        <v>28</v>
      </c>
      <c r="C67" s="461">
        <f>VLOOKUP(A67,'[2]SLUOS Capital Charge'!$D$14:$F$220,3,FALSE)</f>
        <v>1137.7567647199999</v>
      </c>
      <c r="D67" s="464">
        <f t="shared" si="17"/>
        <v>31857.189412159998</v>
      </c>
      <c r="E67" s="464">
        <f t="shared" si="16"/>
        <v>4115.6996308483231</v>
      </c>
      <c r="F67" s="462">
        <f t="shared" si="18"/>
        <v>146.98927253029726</v>
      </c>
      <c r="G67" s="490">
        <f t="shared" si="9"/>
        <v>30.097523443303668</v>
      </c>
      <c r="H67" s="491">
        <f t="shared" si="10"/>
        <v>199.30580024155691</v>
      </c>
      <c r="I67" s="462">
        <f t="shared" si="19"/>
        <v>7.1180642943413179</v>
      </c>
      <c r="J67" s="463">
        <f t="shared" si="12"/>
        <v>37.215587737644988</v>
      </c>
      <c r="K67" s="365"/>
    </row>
    <row r="68" spans="1:11" x14ac:dyDescent="0.2">
      <c r="A68" s="459">
        <v>620</v>
      </c>
      <c r="B68" s="460">
        <v>30</v>
      </c>
      <c r="C68" s="461">
        <f>VLOOKUP(A68,'[2]SLUOS Capital Charge'!$D$14:$F$220,3,FALSE)</f>
        <v>1053.36623672</v>
      </c>
      <c r="D68" s="464">
        <f t="shared" si="17"/>
        <v>31600.9871016</v>
      </c>
      <c r="E68" s="464">
        <f t="shared" si="16"/>
        <v>4082.6002967748727</v>
      </c>
      <c r="F68" s="462">
        <f t="shared" si="18"/>
        <v>136.08667655916241</v>
      </c>
      <c r="G68" s="490">
        <f t="shared" si="9"/>
        <v>27.865107892254095</v>
      </c>
      <c r="H68" s="491">
        <f t="shared" si="10"/>
        <v>197.70294049554286</v>
      </c>
      <c r="I68" s="462">
        <f t="shared" si="19"/>
        <v>6.5900980165180956</v>
      </c>
      <c r="J68" s="463">
        <f t="shared" si="12"/>
        <v>34.455205908772193</v>
      </c>
      <c r="K68" s="365"/>
    </row>
    <row r="69" spans="1:11" x14ac:dyDescent="0.2">
      <c r="A69" s="459">
        <v>640</v>
      </c>
      <c r="B69" s="460">
        <v>6</v>
      </c>
      <c r="C69" s="461">
        <f>VLOOKUP(A69,'[2]SLUOS Capital Charge'!$D$14:$F$220,3,FALSE)</f>
        <v>1053.36623672</v>
      </c>
      <c r="D69" s="464">
        <f t="shared" si="17"/>
        <v>6320.1974203199998</v>
      </c>
      <c r="E69" s="464">
        <f t="shared" si="16"/>
        <v>816.52005935497459</v>
      </c>
      <c r="F69" s="462">
        <f t="shared" si="18"/>
        <v>136.08667655916244</v>
      </c>
      <c r="G69" s="490">
        <f t="shared" si="9"/>
        <v>27.865107892254102</v>
      </c>
      <c r="H69" s="491">
        <f t="shared" si="10"/>
        <v>39.540588099108575</v>
      </c>
      <c r="I69" s="462">
        <f t="shared" si="19"/>
        <v>6.5900980165180956</v>
      </c>
      <c r="J69" s="463">
        <f t="shared" si="12"/>
        <v>34.4552059087722</v>
      </c>
      <c r="K69" s="365"/>
    </row>
    <row r="70" spans="1:11" x14ac:dyDescent="0.2">
      <c r="A70" s="459">
        <v>660</v>
      </c>
      <c r="B70" s="460">
        <v>2</v>
      </c>
      <c r="C70" s="461">
        <f>VLOOKUP(A70,'[2]SLUOS Capital Charge'!$D$14:$F$220,3,FALSE)</f>
        <v>1513.49642528</v>
      </c>
      <c r="D70" s="464">
        <f t="shared" si="17"/>
        <v>3026.9928505600001</v>
      </c>
      <c r="E70" s="464">
        <f t="shared" si="16"/>
        <v>391.06379399794042</v>
      </c>
      <c r="F70" s="462">
        <f t="shared" si="18"/>
        <v>195.53189699897021</v>
      </c>
      <c r="G70" s="490">
        <f t="shared" si="9"/>
        <v>40.037111229509144</v>
      </c>
      <c r="H70" s="491">
        <f t="shared" si="10"/>
        <v>18.937553611557824</v>
      </c>
      <c r="I70" s="462">
        <f t="shared" si="19"/>
        <v>9.4687768057789121</v>
      </c>
      <c r="J70" s="463">
        <f t="shared" si="12"/>
        <v>49.505888035288052</v>
      </c>
      <c r="K70" s="365"/>
    </row>
    <row r="71" spans="1:11" x14ac:dyDescent="0.2">
      <c r="A71" s="459">
        <v>690</v>
      </c>
      <c r="B71" s="460">
        <v>128</v>
      </c>
      <c r="C71" s="461">
        <f>VLOOKUP(A71,'[2]SLUOS Capital Charge'!$D$14:$F$220,3,FALSE)</f>
        <v>3203.9336481847545</v>
      </c>
      <c r="D71" s="464">
        <f t="shared" si="17"/>
        <v>410103.50696764857</v>
      </c>
      <c r="E71" s="464">
        <f t="shared" si="16"/>
        <v>52982.164571997397</v>
      </c>
      <c r="F71" s="462">
        <f t="shared" si="18"/>
        <v>413.92316071872966</v>
      </c>
      <c r="G71" s="490">
        <f t="shared" si="9"/>
        <v>84.754906388767097</v>
      </c>
      <c r="H71" s="491">
        <f t="shared" si="10"/>
        <v>2565.7005262007574</v>
      </c>
      <c r="I71" s="462">
        <f t="shared" si="19"/>
        <v>20.044535360943417</v>
      </c>
      <c r="J71" s="463">
        <f t="shared" si="12"/>
        <v>104.79944174971051</v>
      </c>
      <c r="K71" s="365"/>
    </row>
    <row r="72" spans="1:11" x14ac:dyDescent="0.2">
      <c r="A72" s="459">
        <v>710</v>
      </c>
      <c r="B72" s="460">
        <v>3</v>
      </c>
      <c r="C72" s="461">
        <f>VLOOKUP(A72,'[2]SLUOS Capital Charge'!$D$14:$F$220,3,FALSE)</f>
        <v>3589.3024927447541</v>
      </c>
      <c r="D72" s="464">
        <f t="shared" si="17"/>
        <v>10767.907478234261</v>
      </c>
      <c r="E72" s="464">
        <f t="shared" si="16"/>
        <v>1391.1294012729672</v>
      </c>
      <c r="F72" s="462">
        <f t="shared" si="18"/>
        <v>463.7098004243224</v>
      </c>
      <c r="G72" s="490">
        <f t="shared" si="9"/>
        <v>94.949218734884255</v>
      </c>
      <c r="H72" s="491">
        <f t="shared" si="10"/>
        <v>67.366470692400398</v>
      </c>
      <c r="I72" s="462">
        <f t="shared" si="19"/>
        <v>22.455490230800134</v>
      </c>
      <c r="J72" s="463">
        <f t="shared" si="12"/>
        <v>117.40470896568439</v>
      </c>
      <c r="K72" s="365"/>
    </row>
    <row r="73" spans="1:11" x14ac:dyDescent="0.2">
      <c r="A73" s="459">
        <v>720</v>
      </c>
      <c r="B73" s="460">
        <v>4</v>
      </c>
      <c r="C73" s="461">
        <f>VLOOKUP(A73,'[2]SLUOS Capital Charge'!$D$14:$F$220,3,FALSE)</f>
        <v>3974.6713373047542</v>
      </c>
      <c r="D73" s="464">
        <f t="shared" si="17"/>
        <v>15898.685349219017</v>
      </c>
      <c r="E73" s="464">
        <f t="shared" si="16"/>
        <v>2053.9857605196612</v>
      </c>
      <c r="F73" s="462">
        <f t="shared" si="18"/>
        <v>513.4964401299153</v>
      </c>
      <c r="G73" s="490">
        <f t="shared" si="9"/>
        <v>105.14353108100147</v>
      </c>
      <c r="H73" s="491">
        <f t="shared" si="10"/>
        <v>99.465780402627388</v>
      </c>
      <c r="I73" s="462">
        <f t="shared" si="19"/>
        <v>24.866445100656847</v>
      </c>
      <c r="J73" s="463">
        <f t="shared" si="12"/>
        <v>130.00997618165832</v>
      </c>
      <c r="K73" s="365"/>
    </row>
    <row r="74" spans="1:11" x14ac:dyDescent="0.2">
      <c r="A74" s="459">
        <v>730</v>
      </c>
      <c r="B74" s="460">
        <v>28</v>
      </c>
      <c r="C74" s="461">
        <f>VLOOKUP(A74,'[2]SLUOS Capital Charge'!$D$14:$F$220,3,FALSE)</f>
        <v>2915.8215201847547</v>
      </c>
      <c r="D74" s="464">
        <f t="shared" si="17"/>
        <v>81643.002565173127</v>
      </c>
      <c r="E74" s="464">
        <f t="shared" si="16"/>
        <v>10547.637180779435</v>
      </c>
      <c r="F74" s="462">
        <f t="shared" si="18"/>
        <v>376.70132788497983</v>
      </c>
      <c r="G74" s="490">
        <f t="shared" si="9"/>
        <v>77.133363897728472</v>
      </c>
      <c r="H74" s="491">
        <f t="shared" si="10"/>
        <v>510.77713573075795</v>
      </c>
      <c r="I74" s="462">
        <f t="shared" si="19"/>
        <v>18.242040561812782</v>
      </c>
      <c r="J74" s="463">
        <f t="shared" si="12"/>
        <v>95.375404459541258</v>
      </c>
      <c r="K74" s="365"/>
    </row>
    <row r="75" spans="1:11" x14ac:dyDescent="0.2">
      <c r="A75" s="459">
        <v>740</v>
      </c>
      <c r="B75" s="460">
        <v>70</v>
      </c>
      <c r="C75" s="461">
        <f>VLOOKUP(A75,'[2]SLUOS Capital Charge'!$D$14:$F$220,3,FALSE)</f>
        <v>731.27671327999997</v>
      </c>
      <c r="D75" s="464">
        <f t="shared" si="17"/>
        <v>51189.369929599998</v>
      </c>
      <c r="E75" s="464">
        <f t="shared" si="16"/>
        <v>6613.2661044541383</v>
      </c>
      <c r="F75" s="462">
        <f t="shared" si="18"/>
        <v>94.475230063630548</v>
      </c>
      <c r="G75" s="490">
        <f t="shared" si="9"/>
        <v>19.344748107828991</v>
      </c>
      <c r="H75" s="491">
        <f t="shared" si="10"/>
        <v>320.252304925109</v>
      </c>
      <c r="I75" s="462">
        <f t="shared" si="19"/>
        <v>4.5750329275015575</v>
      </c>
      <c r="J75" s="463">
        <f t="shared" si="12"/>
        <v>23.919781035330548</v>
      </c>
      <c r="K75" s="365"/>
    </row>
    <row r="76" spans="1:11" x14ac:dyDescent="0.2">
      <c r="A76" s="459">
        <v>750</v>
      </c>
      <c r="B76" s="460">
        <v>3</v>
      </c>
      <c r="C76" s="461">
        <f>VLOOKUP(A76,'[2]SLUOS Capital Charge'!$D$14:$F$220,3,FALSE)</f>
        <v>1047.7046938400001</v>
      </c>
      <c r="D76" s="464">
        <f t="shared" si="17"/>
        <v>3143.1140815200006</v>
      </c>
      <c r="E76" s="464">
        <f t="shared" si="16"/>
        <v>406.06574853989707</v>
      </c>
      <c r="F76" s="462">
        <f t="shared" si="18"/>
        <v>135.35524951329901</v>
      </c>
      <c r="G76" s="490">
        <f t="shared" si="9"/>
        <v>27.715340890343107</v>
      </c>
      <c r="H76" s="491">
        <f t="shared" si="10"/>
        <v>19.664034361698434</v>
      </c>
      <c r="I76" s="462">
        <f t="shared" si="19"/>
        <v>6.5546781205661446</v>
      </c>
      <c r="J76" s="463">
        <f t="shared" si="12"/>
        <v>34.270019010909252</v>
      </c>
      <c r="K76" s="365"/>
    </row>
    <row r="77" spans="1:11" x14ac:dyDescent="0.2">
      <c r="A77" s="459">
        <v>760</v>
      </c>
      <c r="B77" s="460">
        <v>6</v>
      </c>
      <c r="C77" s="461">
        <f>VLOOKUP(A77,'[2]SLUOS Capital Charge'!$D$14:$F$220,3,FALSE)</f>
        <v>2408.2475632725973</v>
      </c>
      <c r="D77" s="464">
        <f t="shared" si="17"/>
        <v>14449.485379635584</v>
      </c>
      <c r="E77" s="464">
        <f t="shared" si="16"/>
        <v>1866.7604625602851</v>
      </c>
      <c r="F77" s="462">
        <f t="shared" si="18"/>
        <v>311.12674376004753</v>
      </c>
      <c r="G77" s="490">
        <f t="shared" si="9"/>
        <v>63.706312052307339</v>
      </c>
      <c r="H77" s="491">
        <f t="shared" si="10"/>
        <v>90.399256802224116</v>
      </c>
      <c r="I77" s="462">
        <f t="shared" si="19"/>
        <v>15.066542800370685</v>
      </c>
      <c r="J77" s="463">
        <f t="shared" si="12"/>
        <v>78.772854852678023</v>
      </c>
      <c r="K77" s="365"/>
    </row>
    <row r="78" spans="1:11" x14ac:dyDescent="0.2">
      <c r="A78" s="459">
        <v>770</v>
      </c>
      <c r="B78" s="460">
        <v>7</v>
      </c>
      <c r="C78" s="461">
        <f>VLOOKUP(A78,'[2]SLUOS Capital Charge'!$D$14:$F$220,3,FALSE)</f>
        <v>2631.1738864725976</v>
      </c>
      <c r="D78" s="464">
        <f t="shared" si="17"/>
        <v>18418.217205308181</v>
      </c>
      <c r="E78" s="464">
        <f t="shared" si="16"/>
        <v>2379.4895642563033</v>
      </c>
      <c r="F78" s="462">
        <f t="shared" si="18"/>
        <v>339.92708060804335</v>
      </c>
      <c r="G78" s="490">
        <f t="shared" si="9"/>
        <v>69.603469025302957</v>
      </c>
      <c r="H78" s="491">
        <f t="shared" si="10"/>
        <v>115.22854297138905</v>
      </c>
      <c r="I78" s="462">
        <f t="shared" si="19"/>
        <v>16.46122042448415</v>
      </c>
      <c r="J78" s="463">
        <f t="shared" si="12"/>
        <v>86.06468944978711</v>
      </c>
      <c r="K78" s="365"/>
    </row>
    <row r="79" spans="1:11" x14ac:dyDescent="0.2">
      <c r="A79" s="459">
        <v>780</v>
      </c>
      <c r="B79" s="460">
        <v>2</v>
      </c>
      <c r="C79" s="461">
        <f>VLOOKUP(A79,'[2]SLUOS Capital Charge'!$D$14:$F$220,3,FALSE)</f>
        <v>2430.4138224725975</v>
      </c>
      <c r="D79" s="464">
        <f t="shared" si="17"/>
        <v>4860.8276449451951</v>
      </c>
      <c r="E79" s="464">
        <f t="shared" si="16"/>
        <v>627.98090205289793</v>
      </c>
      <c r="F79" s="462">
        <f t="shared" si="18"/>
        <v>313.99045102644897</v>
      </c>
      <c r="G79" s="490">
        <f t="shared" si="9"/>
        <v>64.292684752175703</v>
      </c>
      <c r="H79" s="491">
        <f t="shared" si="10"/>
        <v>30.410439887779102</v>
      </c>
      <c r="I79" s="462">
        <f t="shared" si="19"/>
        <v>15.205219943889551</v>
      </c>
      <c r="J79" s="463">
        <f t="shared" si="12"/>
        <v>79.497904696065248</v>
      </c>
      <c r="K79" s="365"/>
    </row>
    <row r="80" spans="1:11" x14ac:dyDescent="0.2">
      <c r="A80" s="459">
        <v>790</v>
      </c>
      <c r="B80" s="460">
        <v>18</v>
      </c>
      <c r="C80" s="461">
        <f>VLOOKUP(A80,'[2]SLUOS Capital Charge'!$D$14:$F$220,3,FALSE)</f>
        <v>2439.0636016725975</v>
      </c>
      <c r="D80" s="464">
        <f t="shared" ref="D80:D87" si="20">B80*C80</f>
        <v>43903.144830106758</v>
      </c>
      <c r="E80" s="464">
        <f t="shared" si="16"/>
        <v>5671.9428268640686</v>
      </c>
      <c r="F80" s="462">
        <f t="shared" ref="F80:F87" si="21">E80/B80</f>
        <v>315.10793482578157</v>
      </c>
      <c r="G80" s="490">
        <f t="shared" si="9"/>
        <v>64.521500734927045</v>
      </c>
      <c r="H80" s="491">
        <f t="shared" si="10"/>
        <v>274.66802862858441</v>
      </c>
      <c r="I80" s="462">
        <f t="shared" ref="I80:I87" si="22">H80/B80</f>
        <v>15.259334923810245</v>
      </c>
      <c r="J80" s="463">
        <f t="shared" si="12"/>
        <v>79.780835658737288</v>
      </c>
      <c r="K80" s="365"/>
    </row>
    <row r="81" spans="1:11" x14ac:dyDescent="0.2">
      <c r="A81" s="459">
        <v>810</v>
      </c>
      <c r="B81" s="460">
        <v>363</v>
      </c>
      <c r="C81" s="461">
        <f>VLOOKUP(A81,'[2]SLUOS Capital Charge'!$D$14:$F$220,3,FALSE)</f>
        <v>1563.9481779125977</v>
      </c>
      <c r="D81" s="464">
        <f t="shared" si="20"/>
        <v>567713.18858227297</v>
      </c>
      <c r="E81" s="464">
        <f t="shared" si="16"/>
        <v>73344.102345196879</v>
      </c>
      <c r="F81" s="462">
        <f t="shared" si="21"/>
        <v>202.04986871955063</v>
      </c>
      <c r="G81" s="490">
        <f t="shared" si="9"/>
        <v>41.371731119015195</v>
      </c>
      <c r="H81" s="491">
        <f t="shared" si="10"/>
        <v>3551.7424307018946</v>
      </c>
      <c r="I81" s="462">
        <f t="shared" si="22"/>
        <v>9.7844144096470931</v>
      </c>
      <c r="J81" s="463">
        <f t="shared" si="12"/>
        <v>51.156145528662286</v>
      </c>
      <c r="K81" s="365"/>
    </row>
    <row r="82" spans="1:11" x14ac:dyDescent="0.2">
      <c r="A82" s="459">
        <v>820</v>
      </c>
      <c r="B82" s="460">
        <v>12</v>
      </c>
      <c r="C82" s="461">
        <f>VLOOKUP(A82,'[2]SLUOS Capital Charge'!$D$14:$F$220,3,FALSE)</f>
        <v>935.03189384000007</v>
      </c>
      <c r="D82" s="464">
        <f t="shared" si="20"/>
        <v>11220.382726080001</v>
      </c>
      <c r="E82" s="464">
        <f t="shared" si="16"/>
        <v>1449.5856632624786</v>
      </c>
      <c r="F82" s="462">
        <f t="shared" si="21"/>
        <v>120.79880527187322</v>
      </c>
      <c r="G82" s="490">
        <f t="shared" si="9"/>
        <v>24.734763367468762</v>
      </c>
      <c r="H82" s="491">
        <f t="shared" si="10"/>
        <v>70.197258436876353</v>
      </c>
      <c r="I82" s="462">
        <f t="shared" si="22"/>
        <v>5.8497715364063625</v>
      </c>
      <c r="J82" s="463">
        <f t="shared" si="12"/>
        <v>30.584534903875124</v>
      </c>
      <c r="K82" s="365"/>
    </row>
    <row r="83" spans="1:11" x14ac:dyDescent="0.2">
      <c r="A83" s="459">
        <v>840</v>
      </c>
      <c r="B83" s="460">
        <v>6</v>
      </c>
      <c r="C83" s="461">
        <f>VLOOKUP(A83,'[2]SLUOS Capital Charge'!$D$14:$F$220,3,FALSE)</f>
        <v>6122.1980569466186</v>
      </c>
      <c r="D83" s="464">
        <f t="shared" si="20"/>
        <v>36733.188341679714</v>
      </c>
      <c r="E83" s="464">
        <f t="shared" si="16"/>
        <v>4745.6405441726174</v>
      </c>
      <c r="F83" s="462">
        <f t="shared" si="21"/>
        <v>790.9400906954362</v>
      </c>
      <c r="G83" s="490">
        <f t="shared" si="9"/>
        <v>161.95289297079751</v>
      </c>
      <c r="H83" s="491">
        <f t="shared" si="10"/>
        <v>229.8111551255617</v>
      </c>
      <c r="I83" s="462">
        <f t="shared" si="22"/>
        <v>38.301859187593614</v>
      </c>
      <c r="J83" s="463">
        <f t="shared" si="12"/>
        <v>200.25475215839111</v>
      </c>
      <c r="K83" s="365"/>
    </row>
    <row r="84" spans="1:11" x14ac:dyDescent="0.2">
      <c r="A84" s="459">
        <v>850</v>
      </c>
      <c r="B84" s="460">
        <v>4</v>
      </c>
      <c r="C84" s="461">
        <f>VLOOKUP(A84,'[2]SLUOS Capital Charge'!$D$14:$F$220,3,FALSE)</f>
        <v>5503.9736603866186</v>
      </c>
      <c r="D84" s="464">
        <f t="shared" si="20"/>
        <v>22015.894641546474</v>
      </c>
      <c r="E84" s="464">
        <f t="shared" si="16"/>
        <v>2844.2813418569167</v>
      </c>
      <c r="F84" s="462">
        <f t="shared" si="21"/>
        <v>711.07033546422917</v>
      </c>
      <c r="G84" s="490">
        <f t="shared" si="9"/>
        <v>145.59876188965555</v>
      </c>
      <c r="H84" s="491">
        <f t="shared" si="10"/>
        <v>137.73642874761418</v>
      </c>
      <c r="I84" s="462">
        <f t="shared" si="22"/>
        <v>34.434107186903546</v>
      </c>
      <c r="J84" s="463">
        <f t="shared" si="12"/>
        <v>180.03286907655911</v>
      </c>
      <c r="K84" s="365"/>
    </row>
    <row r="85" spans="1:11" x14ac:dyDescent="0.2">
      <c r="A85" s="459">
        <v>860</v>
      </c>
      <c r="B85" s="460">
        <v>12</v>
      </c>
      <c r="C85" s="461">
        <f>VLOOKUP(A85,'[2]SLUOS Capital Charge'!$D$14:$F$220,3,FALSE)</f>
        <v>6122.1980569466186</v>
      </c>
      <c r="D85" s="464">
        <f t="shared" si="20"/>
        <v>73466.376683359427</v>
      </c>
      <c r="E85" s="464">
        <f t="shared" si="16"/>
        <v>9491.2810883452348</v>
      </c>
      <c r="F85" s="462">
        <f t="shared" si="21"/>
        <v>790.9400906954362</v>
      </c>
      <c r="G85" s="490">
        <f t="shared" si="9"/>
        <v>161.95289297079751</v>
      </c>
      <c r="H85" s="491">
        <f t="shared" si="10"/>
        <v>459.62231025112339</v>
      </c>
      <c r="I85" s="462">
        <f t="shared" si="22"/>
        <v>38.301859187593614</v>
      </c>
      <c r="J85" s="463">
        <f t="shared" si="12"/>
        <v>200.25475215839111</v>
      </c>
      <c r="K85" s="365"/>
    </row>
    <row r="86" spans="1:11" x14ac:dyDescent="0.2">
      <c r="A86" s="459">
        <v>870</v>
      </c>
      <c r="B86" s="460">
        <v>36</v>
      </c>
      <c r="C86" s="461">
        <f>VLOOKUP(A86,'[2]SLUOS Capital Charge'!$D$14:$F$220,3,FALSE)</f>
        <v>6740.4224535066187</v>
      </c>
      <c r="D86" s="464">
        <f t="shared" si="20"/>
        <v>242655.20832623827</v>
      </c>
      <c r="E86" s="464">
        <f t="shared" si="16"/>
        <v>31349.154453359159</v>
      </c>
      <c r="F86" s="462">
        <f t="shared" si="21"/>
        <v>870.80984592664333</v>
      </c>
      <c r="G86" s="490">
        <f t="shared" si="9"/>
        <v>178.30702405193949</v>
      </c>
      <c r="H86" s="491">
        <f t="shared" si="10"/>
        <v>1518.106002778213</v>
      </c>
      <c r="I86" s="462">
        <f t="shared" si="22"/>
        <v>42.169611188283696</v>
      </c>
      <c r="J86" s="463">
        <f t="shared" si="12"/>
        <v>220.47663524022317</v>
      </c>
      <c r="K86" s="365"/>
    </row>
    <row r="87" spans="1:11" x14ac:dyDescent="0.2">
      <c r="A87" s="459">
        <v>890</v>
      </c>
      <c r="B87" s="460">
        <v>5</v>
      </c>
      <c r="C87" s="461">
        <f>VLOOKUP(A87,'[2]SLUOS Capital Charge'!$D$14:$F$220,3,FALSE)</f>
        <v>806.39191328000004</v>
      </c>
      <c r="D87" s="464">
        <f t="shared" si="20"/>
        <v>4031.9595664000003</v>
      </c>
      <c r="E87" s="464">
        <f t="shared" ref="E87:E118" si="23">D87*$B$13</f>
        <v>520.89763112290541</v>
      </c>
      <c r="F87" s="462">
        <f t="shared" si="21"/>
        <v>104.17952622458108</v>
      </c>
      <c r="G87" s="490">
        <f t="shared" ref="G87:G119" si="24">F87/$B$10*(1+$H$11)</f>
        <v>21.331799789745222</v>
      </c>
      <c r="H87" s="491">
        <f t="shared" ref="H87:H119" si="25">E87*$B$11*(1+$H$11)</f>
        <v>25.224853251373727</v>
      </c>
      <c r="I87" s="462">
        <f t="shared" si="22"/>
        <v>5.0449706502747453</v>
      </c>
      <c r="J87" s="463">
        <f t="shared" ref="J87:J119" si="26">G87+I87</f>
        <v>26.376770440019968</v>
      </c>
      <c r="K87" s="365"/>
    </row>
    <row r="88" spans="1:11" x14ac:dyDescent="0.2">
      <c r="A88" s="459">
        <v>900</v>
      </c>
      <c r="B88" s="460">
        <v>2</v>
      </c>
      <c r="C88" s="461">
        <f>VLOOKUP(A88,'[2]SLUOS Capital Charge'!$D$14:$F$220,3,FALSE)</f>
        <v>2866.1114864725978</v>
      </c>
      <c r="D88" s="464">
        <f t="shared" ref="D88:D102" si="27">B88*C88</f>
        <v>5732.2229729451956</v>
      </c>
      <c r="E88" s="464">
        <f t="shared" si="23"/>
        <v>740.558360891863</v>
      </c>
      <c r="F88" s="462">
        <f t="shared" ref="F88:F102" si="28">E88/B88</f>
        <v>370.2791804459315</v>
      </c>
      <c r="G88" s="490">
        <f t="shared" si="24"/>
        <v>75.818364988108939</v>
      </c>
      <c r="H88" s="491">
        <f t="shared" si="25"/>
        <v>35.862086639375526</v>
      </c>
      <c r="I88" s="462">
        <f t="shared" ref="I88:I102" si="29">H88/B88</f>
        <v>17.931043319687763</v>
      </c>
      <c r="J88" s="463">
        <f t="shared" si="26"/>
        <v>93.749408307796699</v>
      </c>
      <c r="K88" s="365"/>
    </row>
    <row r="89" spans="1:11" x14ac:dyDescent="0.2">
      <c r="A89" s="459">
        <v>910</v>
      </c>
      <c r="B89" s="460">
        <v>4</v>
      </c>
      <c r="C89" s="461">
        <f>VLOOKUP(A89,'[2]SLUOS Capital Charge'!$D$14:$F$220,3,FALSE)</f>
        <v>1842.8185584725975</v>
      </c>
      <c r="D89" s="464">
        <f t="shared" si="27"/>
        <v>7371.27423389039</v>
      </c>
      <c r="E89" s="464">
        <f t="shared" si="23"/>
        <v>952.31096035497524</v>
      </c>
      <c r="F89" s="462">
        <f t="shared" si="28"/>
        <v>238.07774008874381</v>
      </c>
      <c r="G89" s="490">
        <f t="shared" si="24"/>
        <v>48.74879806057119</v>
      </c>
      <c r="H89" s="491">
        <f t="shared" si="25"/>
        <v>46.11636296530034</v>
      </c>
      <c r="I89" s="462">
        <f t="shared" si="29"/>
        <v>11.529090741325085</v>
      </c>
      <c r="J89" s="463">
        <f t="shared" si="26"/>
        <v>60.277888801896275</v>
      </c>
      <c r="K89" s="365"/>
    </row>
    <row r="90" spans="1:11" x14ac:dyDescent="0.2">
      <c r="A90" s="459">
        <v>930</v>
      </c>
      <c r="B90" s="460">
        <v>6</v>
      </c>
      <c r="C90" s="461">
        <f>VLOOKUP(A90,'[2]SLUOS Capital Charge'!$D$14:$F$220,3,FALSE)</f>
        <v>2797.5399982325971</v>
      </c>
      <c r="D90" s="464">
        <f t="shared" si="27"/>
        <v>16785.239989395581</v>
      </c>
      <c r="E90" s="464">
        <f t="shared" si="23"/>
        <v>2168.5216838898755</v>
      </c>
      <c r="F90" s="462">
        <f t="shared" si="28"/>
        <v>361.4202806483126</v>
      </c>
      <c r="G90" s="490">
        <f t="shared" si="24"/>
        <v>74.00441666554849</v>
      </c>
      <c r="H90" s="491">
        <f t="shared" si="25"/>
        <v>105.01226724841329</v>
      </c>
      <c r="I90" s="462">
        <f t="shared" si="29"/>
        <v>17.502044541402217</v>
      </c>
      <c r="J90" s="463">
        <f t="shared" si="26"/>
        <v>91.506461206950704</v>
      </c>
      <c r="K90" s="365"/>
    </row>
    <row r="91" spans="1:11" x14ac:dyDescent="0.2">
      <c r="A91" s="459">
        <v>940</v>
      </c>
      <c r="B91" s="460">
        <v>36</v>
      </c>
      <c r="C91" s="461">
        <f>VLOOKUP(A91,'[2]SLUOS Capital Charge'!$D$14:$F$220,3,FALSE)</f>
        <v>1393.9871772799997</v>
      </c>
      <c r="D91" s="464">
        <f t="shared" si="27"/>
        <v>50183.538382079991</v>
      </c>
      <c r="E91" s="464">
        <f t="shared" si="23"/>
        <v>6483.3205378423036</v>
      </c>
      <c r="F91" s="462">
        <f t="shared" si="28"/>
        <v>180.09223716228621</v>
      </c>
      <c r="G91" s="490">
        <f t="shared" si="24"/>
        <v>36.875686481349724</v>
      </c>
      <c r="H91" s="491">
        <f t="shared" si="25"/>
        <v>313.95959470221158</v>
      </c>
      <c r="I91" s="462">
        <f t="shared" si="29"/>
        <v>8.7210998528392096</v>
      </c>
      <c r="J91" s="463">
        <f t="shared" si="26"/>
        <v>45.596786334188934</v>
      </c>
      <c r="K91" s="365"/>
    </row>
    <row r="92" spans="1:11" x14ac:dyDescent="0.2">
      <c r="A92" s="459">
        <v>950</v>
      </c>
      <c r="B92" s="460">
        <v>38</v>
      </c>
      <c r="C92" s="461">
        <f>VLOOKUP(A92,'[2]SLUOS Capital Charge'!$D$14:$F$220,3,FALSE)</f>
        <v>1402.6369564799998</v>
      </c>
      <c r="D92" s="464">
        <f t="shared" si="27"/>
        <v>53300.204346239989</v>
      </c>
      <c r="E92" s="464">
        <f t="shared" si="23"/>
        <v>6885.9693965415154</v>
      </c>
      <c r="F92" s="462">
        <f t="shared" si="28"/>
        <v>181.20972096161881</v>
      </c>
      <c r="G92" s="490">
        <f t="shared" si="24"/>
        <v>37.104502464101074</v>
      </c>
      <c r="H92" s="491">
        <f t="shared" si="25"/>
        <v>333.45816364487638</v>
      </c>
      <c r="I92" s="462">
        <f t="shared" si="29"/>
        <v>8.7752148327599055</v>
      </c>
      <c r="J92" s="463">
        <f t="shared" si="26"/>
        <v>45.879717296860981</v>
      </c>
      <c r="K92" s="365"/>
    </row>
    <row r="93" spans="1:11" x14ac:dyDescent="0.2">
      <c r="A93" s="459">
        <v>960</v>
      </c>
      <c r="B93" s="460">
        <v>20</v>
      </c>
      <c r="C93" s="461">
        <f>VLOOKUP(A93,'[2]SLUOS Capital Charge'!$D$14:$F$220,3,FALSE)</f>
        <v>1371.82091808</v>
      </c>
      <c r="D93" s="464">
        <f t="shared" si="27"/>
        <v>27436.418361600001</v>
      </c>
      <c r="E93" s="464">
        <f t="shared" si="23"/>
        <v>3544.5705979176969</v>
      </c>
      <c r="F93" s="462">
        <f t="shared" si="28"/>
        <v>177.22852989588483</v>
      </c>
      <c r="G93" s="490">
        <f t="shared" si="24"/>
        <v>36.289313781481376</v>
      </c>
      <c r="H93" s="491">
        <f t="shared" si="25"/>
        <v>171.64845418640695</v>
      </c>
      <c r="I93" s="462">
        <f t="shared" si="29"/>
        <v>8.5824227093203476</v>
      </c>
      <c r="J93" s="463">
        <f t="shared" si="26"/>
        <v>44.871736490801723</v>
      </c>
      <c r="K93" s="365"/>
    </row>
    <row r="94" spans="1:11" x14ac:dyDescent="0.2">
      <c r="A94" s="459">
        <v>980</v>
      </c>
      <c r="B94" s="460">
        <v>12</v>
      </c>
      <c r="C94" s="461">
        <f>VLOOKUP(A94,'[2]SLUOS Capital Charge'!$D$14:$F$220,3,FALSE)</f>
        <v>2400.4003824725974</v>
      </c>
      <c r="D94" s="464">
        <f t="shared" si="27"/>
        <v>28804.80458967117</v>
      </c>
      <c r="E94" s="464">
        <f t="shared" si="23"/>
        <v>3721.3553927364369</v>
      </c>
      <c r="F94" s="462">
        <f t="shared" si="28"/>
        <v>310.11294939470309</v>
      </c>
      <c r="G94" s="490">
        <f t="shared" si="24"/>
        <v>63.498727518059411</v>
      </c>
      <c r="H94" s="491">
        <f t="shared" si="25"/>
        <v>180.2093886962526</v>
      </c>
      <c r="I94" s="462">
        <f t="shared" si="29"/>
        <v>15.01744905802105</v>
      </c>
      <c r="J94" s="463">
        <f t="shared" si="26"/>
        <v>78.516176576080454</v>
      </c>
      <c r="K94" s="365"/>
    </row>
    <row r="95" spans="1:11" x14ac:dyDescent="0.2">
      <c r="A95" s="459">
        <v>990</v>
      </c>
      <c r="B95" s="460">
        <v>6360</v>
      </c>
      <c r="C95" s="461">
        <f>VLOOKUP(A95,'[2]SLUOS Capital Charge'!$D$14:$F$220,3,FALSE)</f>
        <v>2636.9511396247544</v>
      </c>
      <c r="D95" s="464">
        <f t="shared" si="27"/>
        <v>16771009.248013439</v>
      </c>
      <c r="E95" s="464">
        <f t="shared" si="23"/>
        <v>2166683.1834404031</v>
      </c>
      <c r="F95" s="462">
        <f t="shared" si="28"/>
        <v>340.67345651578665</v>
      </c>
      <c r="G95" s="490">
        <f t="shared" si="24"/>
        <v>69.756296956172477</v>
      </c>
      <c r="H95" s="491">
        <f t="shared" si="25"/>
        <v>104923.23650365727</v>
      </c>
      <c r="I95" s="462">
        <f t="shared" si="29"/>
        <v>16.497364230134792</v>
      </c>
      <c r="J95" s="463">
        <f t="shared" si="26"/>
        <v>86.253661186307269</v>
      </c>
      <c r="K95" s="365"/>
    </row>
    <row r="96" spans="1:11" x14ac:dyDescent="0.2">
      <c r="A96" s="459">
        <v>1000</v>
      </c>
      <c r="B96" s="460">
        <v>10</v>
      </c>
      <c r="C96" s="461">
        <f>VLOOKUP(A96,'[2]SLUOS Capital Charge'!$D$14:$F$220,3,FALSE)</f>
        <v>2840.7063201847545</v>
      </c>
      <c r="D96" s="464">
        <f t="shared" si="27"/>
        <v>28407.063201847544</v>
      </c>
      <c r="E96" s="464">
        <f t="shared" si="23"/>
        <v>3669.9703172402928</v>
      </c>
      <c r="F96" s="462">
        <f t="shared" si="28"/>
        <v>366.99703172402928</v>
      </c>
      <c r="G96" s="490">
        <f t="shared" si="24"/>
        <v>75.14631221581223</v>
      </c>
      <c r="H96" s="491">
        <f t="shared" si="25"/>
        <v>177.72102839039596</v>
      </c>
      <c r="I96" s="462">
        <f t="shared" si="29"/>
        <v>17.772102839039597</v>
      </c>
      <c r="J96" s="463">
        <f t="shared" si="26"/>
        <v>92.918415054851835</v>
      </c>
      <c r="K96" s="365"/>
    </row>
    <row r="97" spans="1:11" x14ac:dyDescent="0.2">
      <c r="A97" s="459">
        <v>1010</v>
      </c>
      <c r="B97" s="460">
        <v>3</v>
      </c>
      <c r="C97" s="461">
        <f>VLOOKUP(A97,'[2]SLUOS Capital Charge'!$D$14:$F$220,3,FALSE)</f>
        <v>1363.9737372799998</v>
      </c>
      <c r="D97" s="464">
        <f t="shared" si="27"/>
        <v>4091.9212118399992</v>
      </c>
      <c r="E97" s="464">
        <f t="shared" si="23"/>
        <v>528.6442065916209</v>
      </c>
      <c r="F97" s="462">
        <f t="shared" si="28"/>
        <v>176.21473553054031</v>
      </c>
      <c r="G97" s="490">
        <f t="shared" si="24"/>
        <v>36.081729247233433</v>
      </c>
      <c r="H97" s="491">
        <f t="shared" si="25"/>
        <v>25.599986900912125</v>
      </c>
      <c r="I97" s="462">
        <f t="shared" si="29"/>
        <v>8.5333289669707089</v>
      </c>
      <c r="J97" s="463">
        <f t="shared" si="26"/>
        <v>44.61505821420414</v>
      </c>
      <c r="K97" s="365"/>
    </row>
    <row r="98" spans="1:11" x14ac:dyDescent="0.2">
      <c r="A98" s="459">
        <v>1020</v>
      </c>
      <c r="B98" s="460">
        <v>3</v>
      </c>
      <c r="C98" s="461">
        <f>VLOOKUP(A98,'[2]SLUOS Capital Charge'!$D$14:$F$220,3,FALSE)</f>
        <v>1761.1133530399998</v>
      </c>
      <c r="D98" s="464">
        <f t="shared" si="27"/>
        <v>5283.3400591199988</v>
      </c>
      <c r="E98" s="464">
        <f t="shared" si="23"/>
        <v>682.56620035244964</v>
      </c>
      <c r="F98" s="462">
        <f t="shared" si="28"/>
        <v>227.52206678414987</v>
      </c>
      <c r="G98" s="490">
        <f t="shared" si="24"/>
        <v>46.587418394722526</v>
      </c>
      <c r="H98" s="491">
        <f t="shared" si="25"/>
        <v>33.053773351055639</v>
      </c>
      <c r="I98" s="462">
        <f t="shared" si="29"/>
        <v>11.017924450351879</v>
      </c>
      <c r="J98" s="463">
        <f t="shared" si="26"/>
        <v>57.605342845074404</v>
      </c>
      <c r="K98" s="365"/>
    </row>
    <row r="99" spans="1:11" x14ac:dyDescent="0.2">
      <c r="A99" s="459">
        <v>1030</v>
      </c>
      <c r="B99" s="460">
        <v>97</v>
      </c>
      <c r="C99" s="461">
        <f>VLOOKUP(A99,'[2]SLUOS Capital Charge'!$D$14:$F$220,3,FALSE)</f>
        <v>1594.7472412799998</v>
      </c>
      <c r="D99" s="464">
        <f t="shared" si="27"/>
        <v>154690.48240415999</v>
      </c>
      <c r="E99" s="464">
        <f t="shared" si="23"/>
        <v>19984.800074156425</v>
      </c>
      <c r="F99" s="462">
        <f t="shared" si="28"/>
        <v>206.02886674388066</v>
      </c>
      <c r="G99" s="490">
        <f t="shared" si="24"/>
        <v>42.186470754477007</v>
      </c>
      <c r="H99" s="491">
        <f t="shared" si="25"/>
        <v>967.77873234307981</v>
      </c>
      <c r="I99" s="462">
        <f t="shared" si="29"/>
        <v>9.9771003334338122</v>
      </c>
      <c r="J99" s="463">
        <f t="shared" si="26"/>
        <v>52.163571087910817</v>
      </c>
      <c r="K99" s="365"/>
    </row>
    <row r="100" spans="1:11" x14ac:dyDescent="0.2">
      <c r="A100" s="459">
        <v>1050</v>
      </c>
      <c r="B100" s="460">
        <v>4</v>
      </c>
      <c r="C100" s="461">
        <f>VLOOKUP(A100,'[2]SLUOS Capital Charge'!$D$14:$F$220,3,FALSE)</f>
        <v>6740.4224535066187</v>
      </c>
      <c r="D100" s="464">
        <f t="shared" si="27"/>
        <v>26961.689814026475</v>
      </c>
      <c r="E100" s="464">
        <f t="shared" si="23"/>
        <v>3483.2393837065733</v>
      </c>
      <c r="F100" s="462">
        <f t="shared" si="28"/>
        <v>870.80984592664333</v>
      </c>
      <c r="G100" s="490">
        <f t="shared" si="24"/>
        <v>178.30702405193949</v>
      </c>
      <c r="H100" s="491">
        <f t="shared" si="25"/>
        <v>168.67844475313478</v>
      </c>
      <c r="I100" s="462">
        <f t="shared" si="29"/>
        <v>42.169611188283696</v>
      </c>
      <c r="J100" s="463">
        <f t="shared" si="26"/>
        <v>220.47663524022317</v>
      </c>
      <c r="K100" s="365"/>
    </row>
    <row r="101" spans="1:11" x14ac:dyDescent="0.2">
      <c r="A101" s="459">
        <v>1070</v>
      </c>
      <c r="B101" s="460">
        <v>10</v>
      </c>
      <c r="C101" s="461">
        <f>VLOOKUP(A101,'[2]SLUOS Capital Charge'!$D$14:$F$220,3,FALSE)</f>
        <v>2174.1834099125972</v>
      </c>
      <c r="D101" s="464">
        <f t="shared" si="27"/>
        <v>21741.834099125972</v>
      </c>
      <c r="E101" s="464">
        <f t="shared" si="23"/>
        <v>2808.8748639445994</v>
      </c>
      <c r="F101" s="462">
        <f t="shared" si="28"/>
        <v>280.88748639445993</v>
      </c>
      <c r="G101" s="490">
        <f t="shared" si="24"/>
        <v>57.514521714129614</v>
      </c>
      <c r="H101" s="491">
        <f t="shared" si="25"/>
        <v>136.02184385391655</v>
      </c>
      <c r="I101" s="462">
        <f t="shared" si="29"/>
        <v>13.602184385391656</v>
      </c>
      <c r="J101" s="463">
        <f t="shared" si="26"/>
        <v>71.116706099521267</v>
      </c>
      <c r="K101" s="365"/>
    </row>
    <row r="102" spans="1:11" x14ac:dyDescent="0.2">
      <c r="A102" s="459">
        <v>1080</v>
      </c>
      <c r="B102" s="460">
        <v>23</v>
      </c>
      <c r="C102" s="461">
        <f>VLOOKUP(A102,'[2]SLUOS Capital Charge'!$D$14:$F$220,3,FALSE)</f>
        <v>2247.8870899125977</v>
      </c>
      <c r="D102" s="464">
        <f t="shared" si="27"/>
        <v>51701.403067989748</v>
      </c>
      <c r="E102" s="464">
        <f t="shared" si="23"/>
        <v>6679.4167799386623</v>
      </c>
      <c r="F102" s="462">
        <f t="shared" si="28"/>
        <v>290.40942521472442</v>
      </c>
      <c r="G102" s="490">
        <f t="shared" si="24"/>
        <v>59.464233906966975</v>
      </c>
      <c r="H102" s="491">
        <f t="shared" si="25"/>
        <v>323.4557003369469</v>
      </c>
      <c r="I102" s="462">
        <f t="shared" si="29"/>
        <v>14.063291318997692</v>
      </c>
      <c r="J102" s="463">
        <f t="shared" si="26"/>
        <v>73.527525225964666</v>
      </c>
      <c r="K102" s="365"/>
    </row>
    <row r="103" spans="1:11" x14ac:dyDescent="0.2">
      <c r="A103" s="459">
        <v>1100</v>
      </c>
      <c r="B103" s="460">
        <v>10</v>
      </c>
      <c r="C103" s="461">
        <f>VLOOKUP(A103,'[2]SLUOS Capital Charge'!$D$14:$F$220,3,FALSE)</f>
        <v>2247.8870899125977</v>
      </c>
      <c r="D103" s="464">
        <f t="shared" ref="D103:D109" si="30">B103*C103</f>
        <v>22478.870899125977</v>
      </c>
      <c r="E103" s="464">
        <f t="shared" si="23"/>
        <v>2904.0942521472443</v>
      </c>
      <c r="F103" s="462">
        <f t="shared" ref="F103:F109" si="31">E103/B103</f>
        <v>290.40942521472442</v>
      </c>
      <c r="G103" s="490">
        <f t="shared" si="24"/>
        <v>59.464233906966975</v>
      </c>
      <c r="H103" s="491">
        <f t="shared" si="25"/>
        <v>140.6329131899769</v>
      </c>
      <c r="I103" s="462">
        <f t="shared" ref="I103:I109" si="32">H103/B103</f>
        <v>14.06329131899769</v>
      </c>
      <c r="J103" s="463">
        <f t="shared" si="26"/>
        <v>73.527525225964666</v>
      </c>
      <c r="K103" s="365"/>
    </row>
    <row r="104" spans="1:11" x14ac:dyDescent="0.2">
      <c r="A104" s="459">
        <v>1120</v>
      </c>
      <c r="B104" s="460">
        <v>6</v>
      </c>
      <c r="C104" s="461">
        <f>VLOOKUP(A104,'[2]SLUOS Capital Charge'!$D$14:$F$220,3,FALSE)</f>
        <v>2977.7166756247543</v>
      </c>
      <c r="D104" s="464">
        <f t="shared" si="30"/>
        <v>17866.300053748528</v>
      </c>
      <c r="E104" s="464">
        <f t="shared" si="23"/>
        <v>2308.1861863109198</v>
      </c>
      <c r="F104" s="462">
        <f t="shared" si="31"/>
        <v>384.69769771848661</v>
      </c>
      <c r="G104" s="490">
        <f t="shared" si="24"/>
        <v>78.770700584837314</v>
      </c>
      <c r="H104" s="491">
        <f t="shared" si="25"/>
        <v>111.77562412988416</v>
      </c>
      <c r="I104" s="462">
        <f t="shared" si="32"/>
        <v>18.629270688314026</v>
      </c>
      <c r="J104" s="463">
        <f t="shared" si="26"/>
        <v>97.399971273151337</v>
      </c>
      <c r="K104" s="365"/>
    </row>
    <row r="105" spans="1:11" x14ac:dyDescent="0.2">
      <c r="A105" s="459">
        <v>1130</v>
      </c>
      <c r="B105" s="460">
        <v>4</v>
      </c>
      <c r="C105" s="461">
        <f>VLOOKUP(A105,'[2]SLUOS Capital Charge'!$D$14:$F$220,3,FALSE)</f>
        <v>3669.6447521847549</v>
      </c>
      <c r="D105" s="464">
        <f t="shared" si="30"/>
        <v>14678.57900873902</v>
      </c>
      <c r="E105" s="464">
        <f t="shared" si="23"/>
        <v>1896.3575670798325</v>
      </c>
      <c r="F105" s="462">
        <f t="shared" si="31"/>
        <v>474.08939176995813</v>
      </c>
      <c r="G105" s="490">
        <f t="shared" si="24"/>
        <v>97.074543858816639</v>
      </c>
      <c r="H105" s="491">
        <f t="shared" si="25"/>
        <v>91.832518490440535</v>
      </c>
      <c r="I105" s="462">
        <f t="shared" si="32"/>
        <v>22.958129622610134</v>
      </c>
      <c r="J105" s="463">
        <f t="shared" si="26"/>
        <v>120.03267348142677</v>
      </c>
      <c r="K105" s="365"/>
    </row>
    <row r="106" spans="1:11" x14ac:dyDescent="0.2">
      <c r="A106" s="459">
        <v>1160</v>
      </c>
      <c r="B106" s="460">
        <v>2</v>
      </c>
      <c r="C106" s="461">
        <f>VLOOKUP(A106,'[2]SLUOS Capital Charge'!$D$14:$F$220,3,FALSE)</f>
        <v>2718.7041264725976</v>
      </c>
      <c r="D106" s="464">
        <f t="shared" si="30"/>
        <v>5437.4082529451953</v>
      </c>
      <c r="E106" s="464">
        <f t="shared" si="23"/>
        <v>702.47060561080525</v>
      </c>
      <c r="F106" s="462">
        <f t="shared" si="31"/>
        <v>351.23530280540263</v>
      </c>
      <c r="G106" s="490">
        <f t="shared" si="24"/>
        <v>71.918940602434247</v>
      </c>
      <c r="H106" s="491">
        <f t="shared" si="25"/>
        <v>34.017658904951396</v>
      </c>
      <c r="I106" s="462">
        <f t="shared" si="32"/>
        <v>17.008829452475698</v>
      </c>
      <c r="J106" s="463">
        <f t="shared" si="26"/>
        <v>88.927770054909942</v>
      </c>
      <c r="K106" s="365"/>
    </row>
    <row r="107" spans="1:11" x14ac:dyDescent="0.2">
      <c r="A107" s="459">
        <v>1170</v>
      </c>
      <c r="B107" s="460">
        <v>3</v>
      </c>
      <c r="C107" s="461">
        <f>VLOOKUP(A107,'[2]SLUOS Capital Charge'!$D$14:$F$220,3,FALSE)</f>
        <v>3051.4203556247548</v>
      </c>
      <c r="D107" s="464">
        <f t="shared" si="30"/>
        <v>9154.2610668742636</v>
      </c>
      <c r="E107" s="464">
        <f t="shared" si="23"/>
        <v>1182.6589096162531</v>
      </c>
      <c r="F107" s="462">
        <f t="shared" si="31"/>
        <v>394.21963653875105</v>
      </c>
      <c r="G107" s="490">
        <f t="shared" si="24"/>
        <v>80.720412777674667</v>
      </c>
      <c r="H107" s="491">
        <f t="shared" si="25"/>
        <v>57.27113286576018</v>
      </c>
      <c r="I107" s="462">
        <f t="shared" si="32"/>
        <v>19.090377621920059</v>
      </c>
      <c r="J107" s="463">
        <f t="shared" si="26"/>
        <v>99.810790399594723</v>
      </c>
      <c r="K107" s="365"/>
    </row>
    <row r="108" spans="1:11" x14ac:dyDescent="0.2">
      <c r="A108" s="459">
        <v>1180</v>
      </c>
      <c r="B108" s="460">
        <v>2</v>
      </c>
      <c r="C108" s="461">
        <f>VLOOKUP(A108,'[2]SLUOS Capital Charge'!$D$14:$F$220,3,FALSE)</f>
        <v>872.38619828000014</v>
      </c>
      <c r="D108" s="464">
        <f t="shared" si="30"/>
        <v>1744.7723965600003</v>
      </c>
      <c r="E108" s="464">
        <f t="shared" si="23"/>
        <v>225.41094305373156</v>
      </c>
      <c r="F108" s="462">
        <f t="shared" si="31"/>
        <v>112.70547152686578</v>
      </c>
      <c r="G108" s="490">
        <f t="shared" si="24"/>
        <v>23.077572349841038</v>
      </c>
      <c r="H108" s="491">
        <f t="shared" si="25"/>
        <v>10.915691721474811</v>
      </c>
      <c r="I108" s="462">
        <f t="shared" si="32"/>
        <v>5.4578458607374056</v>
      </c>
      <c r="J108" s="463">
        <f t="shared" si="26"/>
        <v>28.535418210578442</v>
      </c>
      <c r="K108" s="365"/>
    </row>
    <row r="109" spans="1:11" x14ac:dyDescent="0.2">
      <c r="A109" s="459">
        <v>1200</v>
      </c>
      <c r="B109" s="460">
        <v>4</v>
      </c>
      <c r="C109" s="461">
        <f>VLOOKUP(A109,'[2]SLUOS Capital Charge'!$D$14:$F$220,3,FALSE)</f>
        <v>1421.0060444000001</v>
      </c>
      <c r="D109" s="464">
        <f t="shared" si="30"/>
        <v>5684.0241776000003</v>
      </c>
      <c r="E109" s="464">
        <f t="shared" si="23"/>
        <v>734.33145362634525</v>
      </c>
      <c r="F109" s="462">
        <f t="shared" si="31"/>
        <v>183.58286340658631</v>
      </c>
      <c r="G109" s="490">
        <f t="shared" si="24"/>
        <v>37.590427111132612</v>
      </c>
      <c r="H109" s="491">
        <f t="shared" si="25"/>
        <v>35.560544047131458</v>
      </c>
      <c r="I109" s="462">
        <f t="shared" si="32"/>
        <v>8.8901360117828645</v>
      </c>
      <c r="J109" s="463">
        <f t="shared" si="26"/>
        <v>46.480563122915477</v>
      </c>
      <c r="K109" s="365"/>
    </row>
    <row r="110" spans="1:11" x14ac:dyDescent="0.2">
      <c r="A110" s="459">
        <v>1210</v>
      </c>
      <c r="B110" s="460">
        <v>2</v>
      </c>
      <c r="C110" s="461">
        <f>VLOOKUP(A110,'[2]SLUOS Capital Charge'!$D$14:$F$220,3,FALSE)</f>
        <v>1908.8128434725977</v>
      </c>
      <c r="D110" s="464">
        <f>B110*C110</f>
        <v>3817.6256869451954</v>
      </c>
      <c r="E110" s="464">
        <f t="shared" si="23"/>
        <v>493.20737078205701</v>
      </c>
      <c r="F110" s="462">
        <f>E110/B110</f>
        <v>246.60368539102851</v>
      </c>
      <c r="G110" s="490">
        <f t="shared" si="24"/>
        <v>50.494570620666998</v>
      </c>
      <c r="H110" s="491">
        <f t="shared" si="25"/>
        <v>23.88393190357549</v>
      </c>
      <c r="I110" s="462">
        <f>H110/B110</f>
        <v>11.941965951787745</v>
      </c>
      <c r="J110" s="463">
        <f t="shared" si="26"/>
        <v>62.436536572454742</v>
      </c>
      <c r="K110" s="365"/>
    </row>
    <row r="111" spans="1:11" x14ac:dyDescent="0.2">
      <c r="A111" s="459">
        <v>1250</v>
      </c>
      <c r="B111" s="460">
        <v>3</v>
      </c>
      <c r="C111" s="461">
        <f>VLOOKUP(A111,'[2]SLUOS Capital Charge'!$D$14:$F$220,3,FALSE)</f>
        <v>3484.3358830325978</v>
      </c>
      <c r="D111" s="464">
        <f>B111*C111</f>
        <v>10453.007649097794</v>
      </c>
      <c r="E111" s="464">
        <f t="shared" si="23"/>
        <v>1350.4468070314156</v>
      </c>
      <c r="F111" s="462">
        <f>E111/B111</f>
        <v>450.14893567713852</v>
      </c>
      <c r="G111" s="490">
        <f t="shared" si="24"/>
        <v>92.172496069250897</v>
      </c>
      <c r="H111" s="491">
        <f t="shared" si="25"/>
        <v>65.396385961133504</v>
      </c>
      <c r="I111" s="462">
        <f>H111/B111</f>
        <v>21.798795320377835</v>
      </c>
      <c r="J111" s="463">
        <f t="shared" si="26"/>
        <v>113.97129138962873</v>
      </c>
      <c r="K111" s="365"/>
    </row>
    <row r="112" spans="1:11" x14ac:dyDescent="0.2">
      <c r="A112" s="459">
        <v>1260</v>
      </c>
      <c r="B112" s="460">
        <v>34</v>
      </c>
      <c r="C112" s="461">
        <f>VLOOKUP(A112,'[2]SLUOS Capital Charge'!$D$14:$F$220,3,FALSE)</f>
        <v>1767.7033584725975</v>
      </c>
      <c r="D112" s="464">
        <f t="shared" ref="D112:D119" si="33">B112*C112</f>
        <v>60101.914188068316</v>
      </c>
      <c r="E112" s="464">
        <f t="shared" si="23"/>
        <v>7764.6970935449717</v>
      </c>
      <c r="F112" s="462">
        <f t="shared" ref="F112:F119" si="34">E112/B112</f>
        <v>228.37344392779329</v>
      </c>
      <c r="G112" s="490">
        <f t="shared" si="24"/>
        <v>46.761746378654955</v>
      </c>
      <c r="H112" s="491">
        <f t="shared" si="25"/>
        <v>376.0112026307645</v>
      </c>
      <c r="I112" s="462">
        <f t="shared" ref="I112:I119" si="35">H112/B112</f>
        <v>11.059153018551896</v>
      </c>
      <c r="J112" s="463">
        <f t="shared" si="26"/>
        <v>57.820899397206851</v>
      </c>
      <c r="K112" s="365"/>
    </row>
    <row r="113" spans="1:11" x14ac:dyDescent="0.2">
      <c r="A113" s="459">
        <v>1360</v>
      </c>
      <c r="B113" s="460">
        <v>3</v>
      </c>
      <c r="C113" s="461">
        <f>VLOOKUP(A113,'[2]SLUOS Capital Charge'!$D$14:$F$220,3,FALSE)</f>
        <v>5423.6314009466187</v>
      </c>
      <c r="D113" s="464">
        <f t="shared" si="33"/>
        <v>16270.894202839856</v>
      </c>
      <c r="E113" s="464">
        <f t="shared" si="23"/>
        <v>2102.0722323557811</v>
      </c>
      <c r="F113" s="462">
        <f t="shared" si="34"/>
        <v>700.69074411859367</v>
      </c>
      <c r="G113" s="490">
        <f t="shared" si="24"/>
        <v>143.47343676572322</v>
      </c>
      <c r="H113" s="491">
        <f t="shared" si="25"/>
        <v>101.79440338528066</v>
      </c>
      <c r="I113" s="462">
        <f t="shared" si="35"/>
        <v>33.931467795093553</v>
      </c>
      <c r="J113" s="463">
        <f t="shared" si="26"/>
        <v>177.40490456081676</v>
      </c>
      <c r="K113" s="365"/>
    </row>
    <row r="114" spans="1:11" x14ac:dyDescent="0.2">
      <c r="A114" s="459">
        <v>1370</v>
      </c>
      <c r="B114" s="460">
        <v>4</v>
      </c>
      <c r="C114" s="461">
        <f>VLOOKUP(A114,'[2]SLUOS Capital Charge'!$D$14:$F$220,3,FALSE)</f>
        <v>5809.0002455066187</v>
      </c>
      <c r="D114" s="464">
        <f t="shared" si="33"/>
        <v>23236.000982026475</v>
      </c>
      <c r="E114" s="464">
        <f t="shared" si="23"/>
        <v>3001.9095352967461</v>
      </c>
      <c r="F114" s="462">
        <f t="shared" si="34"/>
        <v>750.47738382418652</v>
      </c>
      <c r="G114" s="490">
        <f t="shared" si="24"/>
        <v>153.66774911184044</v>
      </c>
      <c r="H114" s="491">
        <f t="shared" si="25"/>
        <v>145.36969065980105</v>
      </c>
      <c r="I114" s="462">
        <f t="shared" si="35"/>
        <v>36.342422664950263</v>
      </c>
      <c r="J114" s="463">
        <f t="shared" si="26"/>
        <v>190.01017177679068</v>
      </c>
      <c r="K114" s="365"/>
    </row>
    <row r="115" spans="1:11" x14ac:dyDescent="0.2">
      <c r="A115" s="459">
        <v>1450</v>
      </c>
      <c r="B115" s="460">
        <v>16</v>
      </c>
      <c r="C115" s="461">
        <f>VLOOKUP(A115,'[2]SLUOS Capital Charge'!$D$14:$F$220,3,FALSE)</f>
        <v>6445.6077335066184</v>
      </c>
      <c r="D115" s="464">
        <f t="shared" si="33"/>
        <v>103129.72373610589</v>
      </c>
      <c r="E115" s="464">
        <f t="shared" si="23"/>
        <v>13323.553450329369</v>
      </c>
      <c r="F115" s="462">
        <f t="shared" si="34"/>
        <v>832.72209064558558</v>
      </c>
      <c r="G115" s="490">
        <f t="shared" si="24"/>
        <v>170.50817528059011</v>
      </c>
      <c r="H115" s="491">
        <f t="shared" si="25"/>
        <v>645.20293526175294</v>
      </c>
      <c r="I115" s="462">
        <f t="shared" si="35"/>
        <v>40.325183453859559</v>
      </c>
      <c r="J115" s="463">
        <f t="shared" si="26"/>
        <v>210.83335873444966</v>
      </c>
      <c r="K115" s="365"/>
    </row>
    <row r="116" spans="1:11" x14ac:dyDescent="0.2">
      <c r="A116" s="459">
        <v>1470</v>
      </c>
      <c r="B116" s="460">
        <v>1</v>
      </c>
      <c r="C116" s="461">
        <f>VLOOKUP(A116,'[2]SLUOS Capital Charge'!$D$14:$F$220,3,FALSE)</f>
        <v>6536.6223503586189</v>
      </c>
      <c r="D116" s="464">
        <f t="shared" si="33"/>
        <v>6536.6223503586189</v>
      </c>
      <c r="E116" s="464">
        <f t="shared" si="23"/>
        <v>844.48046707149206</v>
      </c>
      <c r="F116" s="462">
        <f t="shared" si="34"/>
        <v>844.48046707149206</v>
      </c>
      <c r="G116" s="490">
        <f t="shared" si="24"/>
        <v>172.91582043755872</v>
      </c>
      <c r="H116" s="491">
        <f t="shared" si="25"/>
        <v>40.89459153348264</v>
      </c>
      <c r="I116" s="462">
        <f t="shared" si="35"/>
        <v>40.89459153348264</v>
      </c>
      <c r="J116" s="463">
        <f t="shared" si="26"/>
        <v>213.81041197104136</v>
      </c>
      <c r="K116" s="365"/>
    </row>
    <row r="117" spans="1:11" x14ac:dyDescent="0.2">
      <c r="A117" s="459">
        <v>1490</v>
      </c>
      <c r="B117" s="460">
        <v>8</v>
      </c>
      <c r="C117" s="461">
        <f>VLOOKUP(A117,'[2]SLUOS Capital Charge'!$D$14:$F$220,3,FALSE)</f>
        <v>5503.9736603866186</v>
      </c>
      <c r="D117" s="464">
        <f t="shared" si="33"/>
        <v>44031.789283092949</v>
      </c>
      <c r="E117" s="464">
        <f t="shared" si="23"/>
        <v>5688.5626837138334</v>
      </c>
      <c r="F117" s="462">
        <f t="shared" si="34"/>
        <v>711.07033546422917</v>
      </c>
      <c r="G117" s="490">
        <f t="shared" si="24"/>
        <v>145.59876188965555</v>
      </c>
      <c r="H117" s="491">
        <f t="shared" si="25"/>
        <v>275.47285749522837</v>
      </c>
      <c r="I117" s="462">
        <f t="shared" si="35"/>
        <v>34.434107186903546</v>
      </c>
      <c r="J117" s="463">
        <f t="shared" si="26"/>
        <v>180.03286907655911</v>
      </c>
      <c r="K117" s="365"/>
    </row>
    <row r="118" spans="1:11" x14ac:dyDescent="0.2">
      <c r="A118" s="459">
        <v>1620</v>
      </c>
      <c r="B118" s="460">
        <v>5</v>
      </c>
      <c r="C118" s="461">
        <f>VLOOKUP(A118,'[2]SLUOS Capital Charge'!$D$14:$F$220,3,FALSE)</f>
        <v>587.55721272000005</v>
      </c>
      <c r="D118" s="464">
        <f t="shared" si="33"/>
        <v>2937.7860636000005</v>
      </c>
      <c r="E118" s="464">
        <f t="shared" si="23"/>
        <v>379.5389750501555</v>
      </c>
      <c r="F118" s="462">
        <f t="shared" si="34"/>
        <v>75.907795010031094</v>
      </c>
      <c r="G118" s="490">
        <f t="shared" si="24"/>
        <v>15.542880106253968</v>
      </c>
      <c r="H118" s="491">
        <f t="shared" si="25"/>
        <v>18.379455725645318</v>
      </c>
      <c r="I118" s="462">
        <f t="shared" si="35"/>
        <v>3.6758911451290635</v>
      </c>
      <c r="J118" s="463">
        <f t="shared" si="26"/>
        <v>19.218771251383032</v>
      </c>
      <c r="K118" s="365"/>
    </row>
    <row r="119" spans="1:11" x14ac:dyDescent="0.2">
      <c r="A119" s="459">
        <v>1700</v>
      </c>
      <c r="B119" s="460">
        <v>8</v>
      </c>
      <c r="C119" s="461">
        <f>VLOOKUP(A119,'[2]SLUOS Capital Charge'!$D$14:$F$220,3,FALSE)</f>
        <v>2696.9868196247544</v>
      </c>
      <c r="D119" s="464">
        <f t="shared" si="33"/>
        <v>21575.894556998035</v>
      </c>
      <c r="E119" s="464">
        <f t="shared" ref="E119" si="36">D119*$B$13</f>
        <v>2787.4367733634385</v>
      </c>
      <c r="F119" s="462">
        <f t="shared" si="34"/>
        <v>348.42959667042982</v>
      </c>
      <c r="G119" s="490">
        <f t="shared" si="24"/>
        <v>71.344444214237214</v>
      </c>
      <c r="H119" s="491">
        <f t="shared" si="25"/>
        <v>134.98368845333681</v>
      </c>
      <c r="I119" s="462">
        <f t="shared" si="35"/>
        <v>16.872961056667101</v>
      </c>
      <c r="J119" s="463">
        <f t="shared" si="26"/>
        <v>88.217405270904322</v>
      </c>
      <c r="K119" s="365"/>
    </row>
  </sheetData>
  <mergeCells count="3">
    <mergeCell ref="E10:F10"/>
    <mergeCell ref="E11:F11"/>
    <mergeCell ref="C12:E12"/>
  </mergeCells>
  <phoneticPr fontId="2" type="noConversion"/>
  <pageMargins left="0.75" right="0.75" top="1" bottom="1" header="0.5" footer="0.5"/>
  <pageSetup paperSize="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X95"/>
  <sheetViews>
    <sheetView zoomScale="80" workbookViewId="0"/>
  </sheetViews>
  <sheetFormatPr defaultRowHeight="12.75" x14ac:dyDescent="0.2"/>
  <cols>
    <col min="2" max="2" width="35.85546875" customWidth="1"/>
    <col min="4" max="4" width="9.85546875" customWidth="1"/>
    <col min="5" max="5" width="13.42578125" customWidth="1"/>
    <col min="6" max="6" width="13.7109375" customWidth="1"/>
    <col min="7" max="7" width="11.42578125" customWidth="1"/>
    <col min="8" max="8" width="10" customWidth="1"/>
    <col min="9" max="9" width="11.42578125" customWidth="1"/>
    <col min="10" max="10" width="14.140625" customWidth="1"/>
    <col min="11" max="11" width="13.7109375" customWidth="1"/>
    <col min="12" max="12" width="12.7109375" customWidth="1"/>
    <col min="13" max="13" width="2.7109375" customWidth="1"/>
    <col min="14" max="14" width="14.85546875" bestFit="1" customWidth="1"/>
  </cols>
  <sheetData>
    <row r="1" spans="2:24" ht="16.5" x14ac:dyDescent="0.3">
      <c r="G1" s="313" t="s">
        <v>468</v>
      </c>
    </row>
    <row r="2" spans="2:24" x14ac:dyDescent="0.2">
      <c r="O2" s="300">
        <v>2005</v>
      </c>
      <c r="P2" s="300">
        <v>2006</v>
      </c>
      <c r="Q2" s="300">
        <v>2007</v>
      </c>
      <c r="R2" s="300">
        <v>2008</v>
      </c>
      <c r="S2" s="300">
        <v>2009</v>
      </c>
      <c r="T2" s="301">
        <v>2010</v>
      </c>
      <c r="U2" s="301">
        <v>2011</v>
      </c>
      <c r="V2" s="301">
        <v>2012</v>
      </c>
      <c r="W2" s="301">
        <v>2013</v>
      </c>
      <c r="X2" s="301">
        <v>2014</v>
      </c>
    </row>
    <row r="3" spans="2:24" ht="25.5" customHeight="1" x14ac:dyDescent="0.2">
      <c r="B3" s="277" t="s">
        <v>848</v>
      </c>
      <c r="C3" s="278" t="s">
        <v>849</v>
      </c>
      <c r="D3" s="278" t="s">
        <v>850</v>
      </c>
      <c r="E3" s="278" t="s">
        <v>851</v>
      </c>
      <c r="F3" s="278" t="s">
        <v>852</v>
      </c>
      <c r="G3" s="278" t="s">
        <v>853</v>
      </c>
      <c r="H3" s="295" t="s">
        <v>357</v>
      </c>
      <c r="I3" s="295" t="s">
        <v>358</v>
      </c>
      <c r="J3" s="295" t="s">
        <v>359</v>
      </c>
      <c r="K3" s="295" t="s">
        <v>360</v>
      </c>
      <c r="L3" s="295" t="s">
        <v>361</v>
      </c>
      <c r="N3" t="s">
        <v>1394</v>
      </c>
      <c r="O3" s="299">
        <f>[4]Input!H$127</f>
        <v>2.343612334801759E-2</v>
      </c>
      <c r="P3" s="299">
        <f>[4]Input!I$127</f>
        <v>2.6687327823691431E-2</v>
      </c>
      <c r="Q3" s="299">
        <f>[4]Input!J$127</f>
        <v>3.53848733858797E-2</v>
      </c>
      <c r="R3" s="299">
        <f>[4]Input!K$127</f>
        <v>2.3323615160349753E-2</v>
      </c>
      <c r="S3" s="299">
        <f>[4]Input!L$127</f>
        <v>0.03</v>
      </c>
      <c r="T3" s="302">
        <f>'[5]Input Cost Escalators'!H$14</f>
        <v>3.2500000000000001E-2</v>
      </c>
      <c r="U3" s="302">
        <f>'[5]Input Cost Escalators'!I$14</f>
        <v>2.5000000000000001E-2</v>
      </c>
      <c r="V3" s="302">
        <f>'[5]Input Cost Escalators'!J$14</f>
        <v>2.5000000000000001E-2</v>
      </c>
      <c r="W3" s="302">
        <f>'[5]Input Cost Escalators'!K$14</f>
        <v>2.5000000000000001E-2</v>
      </c>
      <c r="X3" s="302">
        <f>'[5]Input Cost Escalators'!L$14</f>
        <v>2.5000000000000001E-2</v>
      </c>
    </row>
    <row r="4" spans="2:24" ht="27" customHeight="1" x14ac:dyDescent="0.2">
      <c r="B4" s="279" t="s">
        <v>854</v>
      </c>
      <c r="C4" s="282">
        <v>11.5</v>
      </c>
      <c r="D4" s="282">
        <f t="shared" ref="D4:L4" si="0">C8</f>
        <v>12.488029955947136</v>
      </c>
      <c r="E4" s="282">
        <f t="shared" si="0"/>
        <v>11.60823306255385</v>
      </c>
      <c r="F4" s="282">
        <f t="shared" si="0"/>
        <v>13.329150750999075</v>
      </c>
      <c r="G4" s="282">
        <f t="shared" si="0"/>
        <v>14.931717660643365</v>
      </c>
      <c r="H4" s="296">
        <f t="shared" si="0"/>
        <v>15.936969190462666</v>
      </c>
      <c r="I4" s="296">
        <f t="shared" si="0"/>
        <v>12.999437738095354</v>
      </c>
      <c r="J4" s="296">
        <f t="shared" si="0"/>
        <v>9.868940730490392</v>
      </c>
      <c r="K4" s="296">
        <f t="shared" si="0"/>
        <v>6.6601812976953045</v>
      </c>
      <c r="L4" s="296">
        <f t="shared" si="0"/>
        <v>3.3712028790803403</v>
      </c>
      <c r="N4" t="s">
        <v>855</v>
      </c>
    </row>
    <row r="5" spans="2:24" ht="27" customHeight="1" x14ac:dyDescent="0.2">
      <c r="B5" s="280" t="s">
        <v>855</v>
      </c>
      <c r="C5" s="283">
        <f>O7</f>
        <v>0.28802995594713621</v>
      </c>
      <c r="D5" s="283">
        <f t="shared" ref="D5:L5" si="1">P7</f>
        <v>0.33020310660671554</v>
      </c>
      <c r="E5" s="283">
        <f t="shared" si="1"/>
        <v>0.45091768844522401</v>
      </c>
      <c r="F5" s="283">
        <f t="shared" si="1"/>
        <v>0.33891490964429183</v>
      </c>
      <c r="G5" s="283">
        <f t="shared" si="1"/>
        <v>0.47525152981930091</v>
      </c>
      <c r="H5" s="298">
        <f t="shared" si="1"/>
        <v>0.51795149869003665</v>
      </c>
      <c r="I5" s="298">
        <f t="shared" si="1"/>
        <v>0.32498594345238385</v>
      </c>
      <c r="J5" s="298">
        <f t="shared" si="1"/>
        <v>0.2467235182622598</v>
      </c>
      <c r="K5" s="298">
        <f t="shared" si="1"/>
        <v>0.16650453244238261</v>
      </c>
      <c r="L5" s="298">
        <f t="shared" si="1"/>
        <v>8.4280071977008514E-2</v>
      </c>
      <c r="N5" t="s">
        <v>1395</v>
      </c>
      <c r="O5" s="303">
        <f>C4*O3</f>
        <v>0.26951541850220229</v>
      </c>
      <c r="P5" s="303">
        <f t="shared" ref="P5:X5" si="2">D4*P3</f>
        <v>0.33327214930644006</v>
      </c>
      <c r="Q5" s="303">
        <f t="shared" si="2"/>
        <v>0.41075585715225055</v>
      </c>
      <c r="R5" s="303">
        <f t="shared" si="2"/>
        <v>0.3108839825305893</v>
      </c>
      <c r="S5" s="303">
        <f t="shared" si="2"/>
        <v>0.44795152981930092</v>
      </c>
      <c r="T5" s="303">
        <f t="shared" si="2"/>
        <v>0.51795149869003665</v>
      </c>
      <c r="U5" s="303">
        <f t="shared" si="2"/>
        <v>0.32498594345238385</v>
      </c>
      <c r="V5" s="303">
        <f t="shared" si="2"/>
        <v>0.2467235182622598</v>
      </c>
      <c r="W5" s="303">
        <f t="shared" si="2"/>
        <v>0.16650453244238261</v>
      </c>
      <c r="X5" s="303">
        <f t="shared" si="2"/>
        <v>8.4280071977008514E-2</v>
      </c>
    </row>
    <row r="6" spans="2:24" ht="27" customHeight="1" x14ac:dyDescent="0.2">
      <c r="B6" s="280" t="s">
        <v>856</v>
      </c>
      <c r="C6" s="283">
        <v>1.58</v>
      </c>
      <c r="D6" s="283">
        <v>-0.23</v>
      </c>
      <c r="E6" s="283">
        <v>2.27</v>
      </c>
      <c r="F6" s="283">
        <v>2.4036520000000001</v>
      </c>
      <c r="G6" s="283">
        <v>1.82</v>
      </c>
      <c r="H6" s="298">
        <v>0</v>
      </c>
      <c r="I6" s="298">
        <v>0</v>
      </c>
      <c r="J6" s="298">
        <v>0</v>
      </c>
      <c r="K6" s="298">
        <v>0</v>
      </c>
      <c r="L6" s="298">
        <v>0</v>
      </c>
      <c r="N6" t="s">
        <v>1396</v>
      </c>
      <c r="O6" s="304">
        <f>C6*0.5*O3</f>
        <v>1.8514537444933896E-2</v>
      </c>
      <c r="P6" s="304">
        <f>D6*0.5*P3</f>
        <v>-3.0690426997245146E-3</v>
      </c>
      <c r="Q6" s="304">
        <f t="shared" ref="Q6:X6" si="3">E6*0.5*Q3</f>
        <v>4.016183129297346E-2</v>
      </c>
      <c r="R6" s="304">
        <f t="shared" si="3"/>
        <v>2.8030927113702503E-2</v>
      </c>
      <c r="S6" s="304">
        <f t="shared" si="3"/>
        <v>2.7300000000000001E-2</v>
      </c>
      <c r="T6" s="304">
        <f t="shared" si="3"/>
        <v>0</v>
      </c>
      <c r="U6" s="304">
        <f t="shared" si="3"/>
        <v>0</v>
      </c>
      <c r="V6" s="304">
        <f t="shared" si="3"/>
        <v>0</v>
      </c>
      <c r="W6" s="304">
        <f t="shared" si="3"/>
        <v>0</v>
      </c>
      <c r="X6" s="304">
        <f t="shared" si="3"/>
        <v>0</v>
      </c>
    </row>
    <row r="7" spans="2:24" ht="27" customHeight="1" x14ac:dyDescent="0.2">
      <c r="B7" s="280" t="s">
        <v>857</v>
      </c>
      <c r="C7" s="283">
        <v>0.88</v>
      </c>
      <c r="D7" s="283">
        <v>0.98</v>
      </c>
      <c r="E7" s="283">
        <v>1</v>
      </c>
      <c r="F7" s="283">
        <v>1.1399999999999999</v>
      </c>
      <c r="G7" s="283">
        <v>1.29</v>
      </c>
      <c r="H7" s="298">
        <v>3.4554829510573466</v>
      </c>
      <c r="I7" s="298">
        <f>H7</f>
        <v>3.4554829510573466</v>
      </c>
      <c r="J7" s="298">
        <f>I7</f>
        <v>3.4554829510573466</v>
      </c>
      <c r="K7" s="298">
        <f>J7</f>
        <v>3.4554829510573466</v>
      </c>
      <c r="L7" s="298">
        <f>K7</f>
        <v>3.4554829510573466</v>
      </c>
      <c r="N7" t="s">
        <v>173</v>
      </c>
      <c r="O7" s="305">
        <f>SUM(O5:O6)</f>
        <v>0.28802995594713621</v>
      </c>
      <c r="P7" s="305">
        <f>SUM(P5:P6)</f>
        <v>0.33020310660671554</v>
      </c>
      <c r="Q7" s="305">
        <f>SUM(Q5:Q6)</f>
        <v>0.45091768844522401</v>
      </c>
      <c r="R7" s="305">
        <f>SUM(R5:R6)</f>
        <v>0.33891490964429183</v>
      </c>
      <c r="S7" s="305">
        <f t="shared" ref="S7:X7" si="4">SUM(S5:S6)</f>
        <v>0.47525152981930091</v>
      </c>
      <c r="T7" s="305">
        <f t="shared" si="4"/>
        <v>0.51795149869003665</v>
      </c>
      <c r="U7" s="305">
        <f t="shared" si="4"/>
        <v>0.32498594345238385</v>
      </c>
      <c r="V7" s="305">
        <f t="shared" si="4"/>
        <v>0.2467235182622598</v>
      </c>
      <c r="W7" s="305">
        <f t="shared" si="4"/>
        <v>0.16650453244238261</v>
      </c>
      <c r="X7" s="305">
        <f t="shared" si="4"/>
        <v>8.4280071977008514E-2</v>
      </c>
    </row>
    <row r="8" spans="2:24" ht="27" customHeight="1" x14ac:dyDescent="0.2">
      <c r="B8" s="281" t="s">
        <v>858</v>
      </c>
      <c r="C8" s="284">
        <f t="shared" ref="C8:L8" si="5">C4+C5+C6-C7</f>
        <v>12.488029955947136</v>
      </c>
      <c r="D8" s="284">
        <f t="shared" si="5"/>
        <v>11.60823306255385</v>
      </c>
      <c r="E8" s="284">
        <f t="shared" si="5"/>
        <v>13.329150750999075</v>
      </c>
      <c r="F8" s="284">
        <f t="shared" si="5"/>
        <v>14.931717660643365</v>
      </c>
      <c r="G8" s="284">
        <f t="shared" si="5"/>
        <v>15.936969190462666</v>
      </c>
      <c r="H8" s="297">
        <f t="shared" si="5"/>
        <v>12.999437738095354</v>
      </c>
      <c r="I8" s="297">
        <f t="shared" si="5"/>
        <v>9.868940730490392</v>
      </c>
      <c r="J8" s="297">
        <f t="shared" si="5"/>
        <v>6.6601812976953045</v>
      </c>
      <c r="K8" s="297">
        <f t="shared" si="5"/>
        <v>3.3712028790803403</v>
      </c>
      <c r="L8" s="297">
        <f t="shared" si="5"/>
        <v>0</v>
      </c>
    </row>
    <row r="9" spans="2:24" ht="27" customHeight="1" x14ac:dyDescent="0.2">
      <c r="B9" s="293"/>
      <c r="C9" s="294"/>
      <c r="D9" s="294"/>
      <c r="E9" s="294"/>
      <c r="F9" s="294"/>
      <c r="G9" s="294"/>
      <c r="O9" s="299"/>
      <c r="P9" s="299"/>
      <c r="Q9" s="299"/>
      <c r="R9" s="299"/>
      <c r="S9" s="299"/>
      <c r="T9" s="299"/>
      <c r="U9" s="299"/>
      <c r="V9" s="299"/>
      <c r="W9" s="299"/>
      <c r="X9" s="299"/>
    </row>
    <row r="10" spans="2:24" x14ac:dyDescent="0.2">
      <c r="B10" s="293"/>
      <c r="C10" s="317" t="s">
        <v>876</v>
      </c>
      <c r="D10" s="319"/>
      <c r="E10" s="315">
        <f>[2]!age_of_network</f>
        <v>10</v>
      </c>
      <c r="F10" s="294"/>
      <c r="G10" s="557" t="s">
        <v>860</v>
      </c>
      <c r="H10" s="557"/>
      <c r="I10" s="306">
        <f>AVERAGE(H4:L4)*1000000</f>
        <v>9767346.367164813</v>
      </c>
    </row>
    <row r="11" spans="2:24" x14ac:dyDescent="0.2">
      <c r="B11" s="293"/>
      <c r="C11" s="317" t="s">
        <v>875</v>
      </c>
      <c r="D11" s="319"/>
      <c r="E11" s="316">
        <f>E10+I13</f>
        <v>15</v>
      </c>
      <c r="F11" s="294"/>
      <c r="G11" s="558" t="s">
        <v>1572</v>
      </c>
      <c r="H11" s="558"/>
      <c r="I11" s="307">
        <f>(I10*E12)</f>
        <v>660272.61442034133</v>
      </c>
    </row>
    <row r="12" spans="2:24" x14ac:dyDescent="0.2">
      <c r="B12" s="293"/>
      <c r="C12" s="351" t="s">
        <v>1057</v>
      </c>
      <c r="D12" s="352"/>
      <c r="E12" s="359">
        <v>6.7599999999999993E-2</v>
      </c>
      <c r="F12" s="294"/>
      <c r="G12" s="559" t="s">
        <v>861</v>
      </c>
      <c r="H12" s="559"/>
      <c r="I12" s="308">
        <f>(I11/D95)</f>
        <v>11.367547249162271</v>
      </c>
    </row>
    <row r="13" spans="2:24" x14ac:dyDescent="0.2">
      <c r="C13" s="318" t="s">
        <v>1578</v>
      </c>
      <c r="D13" s="319"/>
      <c r="E13" s="336">
        <f>SUM(H5:L5,H7:L7)*1000000</f>
        <v>18617860.320110805</v>
      </c>
      <c r="G13" s="559" t="s">
        <v>1571</v>
      </c>
      <c r="H13" s="559"/>
      <c r="I13" s="314">
        <v>5</v>
      </c>
    </row>
    <row r="14" spans="2:24" x14ac:dyDescent="0.2">
      <c r="C14" s="333" t="s">
        <v>2063</v>
      </c>
      <c r="D14" s="333"/>
      <c r="E14" s="334" t="e">
        <f>SUM(F19:F94)</f>
        <v>#REF!</v>
      </c>
    </row>
    <row r="15" spans="2:24" x14ac:dyDescent="0.2">
      <c r="C15" s="333" t="s">
        <v>2064</v>
      </c>
      <c r="D15" s="333"/>
      <c r="E15" s="335" t="e">
        <f>E13/E14</f>
        <v>#REF!</v>
      </c>
    </row>
    <row r="18" spans="3:12" ht="63.75" x14ac:dyDescent="0.2">
      <c r="C18" s="331" t="s">
        <v>2056</v>
      </c>
      <c r="D18" s="331" t="s">
        <v>2062</v>
      </c>
      <c r="E18" s="331" t="s">
        <v>330</v>
      </c>
      <c r="F18" s="331" t="s">
        <v>331</v>
      </c>
      <c r="G18" s="332" t="s">
        <v>332</v>
      </c>
      <c r="H18" s="332" t="s">
        <v>333</v>
      </c>
      <c r="I18" s="332" t="s">
        <v>466</v>
      </c>
      <c r="J18" s="332" t="s">
        <v>859</v>
      </c>
      <c r="K18" s="332" t="s">
        <v>467</v>
      </c>
      <c r="L18" s="332" t="s">
        <v>2061</v>
      </c>
    </row>
    <row r="19" spans="3:12" x14ac:dyDescent="0.2">
      <c r="C19" s="342">
        <v>1</v>
      </c>
      <c r="D19" s="289">
        <v>4</v>
      </c>
      <c r="E19" s="337" t="e">
        <f>VLOOKUP(C19,'[2]SLUOS Capital Charge'!$D$14:$F$220,3,FALSE)</f>
        <v>#REF!</v>
      </c>
      <c r="F19" s="285" t="e">
        <f>E19*D19</f>
        <v>#REF!</v>
      </c>
      <c r="G19" s="285" t="e">
        <f>F19*$E$15</f>
        <v>#REF!</v>
      </c>
      <c r="H19" s="286" t="e">
        <f>G19/D19</f>
        <v>#REF!</v>
      </c>
      <c r="I19" s="286" t="e">
        <f>H19/($E$11-$E$10)</f>
        <v>#REF!</v>
      </c>
      <c r="J19" s="286" t="e">
        <f>$I$11*F19/$F$95</f>
        <v>#REF!</v>
      </c>
      <c r="K19" s="286" t="e">
        <f>J19/D19</f>
        <v>#REF!</v>
      </c>
      <c r="L19" s="345" t="e">
        <f>K19+I19</f>
        <v>#REF!</v>
      </c>
    </row>
    <row r="20" spans="3:12" x14ac:dyDescent="0.2">
      <c r="C20" s="343">
        <v>5</v>
      </c>
      <c r="D20" s="290">
        <v>335</v>
      </c>
      <c r="E20" s="338" t="e">
        <f>VLOOKUP(C20,'[2]SLUOS Capital Charge'!$D$14:$F$220,3,FALSE)</f>
        <v>#REF!</v>
      </c>
      <c r="F20" s="339" t="e">
        <f t="shared" ref="F20:F83" si="6">E20*D20</f>
        <v>#REF!</v>
      </c>
      <c r="G20" s="339" t="e">
        <f t="shared" ref="G20:G83" si="7">F20*$E$15</f>
        <v>#REF!</v>
      </c>
      <c r="H20" s="287" t="e">
        <f t="shared" ref="H20:H83" si="8">G20/D20</f>
        <v>#REF!</v>
      </c>
      <c r="I20" s="287" t="e">
        <f t="shared" ref="I20:I83" si="9">H20/($E$11-$E$10)</f>
        <v>#REF!</v>
      </c>
      <c r="J20" s="287" t="e">
        <f t="shared" ref="J20:J83" si="10">$I$11*F20/$F$95</f>
        <v>#REF!</v>
      </c>
      <c r="K20" s="287" t="e">
        <f t="shared" ref="K20:K83" si="11">J20/D20</f>
        <v>#REF!</v>
      </c>
      <c r="L20" s="346" t="e">
        <f t="shared" ref="L20:L83" si="12">K20+I20</f>
        <v>#REF!</v>
      </c>
    </row>
    <row r="21" spans="3:12" x14ac:dyDescent="0.2">
      <c r="C21" s="343">
        <v>10</v>
      </c>
      <c r="D21" s="290">
        <v>28613</v>
      </c>
      <c r="E21" s="338">
        <f>VLOOKUP(C21,'[2]SLUOS Capital Charge'!$D$14:$F$220,3,FALSE)</f>
        <v>527.52153271999998</v>
      </c>
      <c r="F21" s="339">
        <f t="shared" si="6"/>
        <v>15093973.615717359</v>
      </c>
      <c r="G21" s="339" t="e">
        <f t="shared" si="7"/>
        <v>#REF!</v>
      </c>
      <c r="H21" s="287" t="e">
        <f>G21/D21</f>
        <v>#REF!</v>
      </c>
      <c r="I21" s="287" t="e">
        <f t="shared" si="9"/>
        <v>#REF!</v>
      </c>
      <c r="J21" s="287" t="e">
        <f t="shared" si="10"/>
        <v>#REF!</v>
      </c>
      <c r="K21" s="287" t="e">
        <f t="shared" si="11"/>
        <v>#REF!</v>
      </c>
      <c r="L21" s="346" t="e">
        <f t="shared" si="12"/>
        <v>#REF!</v>
      </c>
    </row>
    <row r="22" spans="3:12" x14ac:dyDescent="0.2">
      <c r="C22" s="343">
        <v>20</v>
      </c>
      <c r="D22" s="290">
        <v>1327</v>
      </c>
      <c r="E22" s="338">
        <f>VLOOKUP(C22,'[2]SLUOS Capital Charge'!$D$14:$F$220,3,FALSE)</f>
        <v>993.61161271999981</v>
      </c>
      <c r="F22" s="339">
        <f t="shared" si="6"/>
        <v>1318522.6100794398</v>
      </c>
      <c r="G22" s="339" t="e">
        <f t="shared" si="7"/>
        <v>#REF!</v>
      </c>
      <c r="H22" s="287" t="e">
        <f t="shared" si="8"/>
        <v>#REF!</v>
      </c>
      <c r="I22" s="287" t="e">
        <f t="shared" si="9"/>
        <v>#REF!</v>
      </c>
      <c r="J22" s="287" t="e">
        <f t="shared" si="10"/>
        <v>#REF!</v>
      </c>
      <c r="K22" s="287" t="e">
        <f t="shared" si="11"/>
        <v>#REF!</v>
      </c>
      <c r="L22" s="346" t="e">
        <f t="shared" si="12"/>
        <v>#REF!</v>
      </c>
    </row>
    <row r="23" spans="3:12" x14ac:dyDescent="0.2">
      <c r="C23" s="343">
        <v>30</v>
      </c>
      <c r="D23" s="290">
        <v>1840</v>
      </c>
      <c r="E23" s="338">
        <f>VLOOKUP(C23,'[2]SLUOS Capital Charge'!$D$14:$F$220,3,FALSE)</f>
        <v>997.93650231999982</v>
      </c>
      <c r="F23" s="339">
        <f t="shared" si="6"/>
        <v>1836203.1642687996</v>
      </c>
      <c r="G23" s="339" t="e">
        <f t="shared" si="7"/>
        <v>#REF!</v>
      </c>
      <c r="H23" s="287" t="e">
        <f t="shared" si="8"/>
        <v>#REF!</v>
      </c>
      <c r="I23" s="287" t="e">
        <f t="shared" si="9"/>
        <v>#REF!</v>
      </c>
      <c r="J23" s="287" t="e">
        <f t="shared" si="10"/>
        <v>#REF!</v>
      </c>
      <c r="K23" s="287" t="e">
        <f t="shared" si="11"/>
        <v>#REF!</v>
      </c>
      <c r="L23" s="346" t="e">
        <f t="shared" si="12"/>
        <v>#REF!</v>
      </c>
    </row>
    <row r="24" spans="3:12" x14ac:dyDescent="0.2">
      <c r="C24" s="343">
        <v>40</v>
      </c>
      <c r="D24" s="290">
        <v>4357</v>
      </c>
      <c r="E24" s="338">
        <f>VLOOKUP(C24,'[2]SLUOS Capital Charge'!$D$14:$F$220,3,FALSE)</f>
        <v>565.07913271999996</v>
      </c>
      <c r="F24" s="339">
        <f t="shared" si="6"/>
        <v>2462049.7812610399</v>
      </c>
      <c r="G24" s="339" t="e">
        <f t="shared" si="7"/>
        <v>#REF!</v>
      </c>
      <c r="H24" s="287" t="e">
        <f t="shared" si="8"/>
        <v>#REF!</v>
      </c>
      <c r="I24" s="287" t="e">
        <f t="shared" si="9"/>
        <v>#REF!</v>
      </c>
      <c r="J24" s="287" t="e">
        <f t="shared" si="10"/>
        <v>#REF!</v>
      </c>
      <c r="K24" s="287" t="e">
        <f t="shared" si="11"/>
        <v>#REF!</v>
      </c>
      <c r="L24" s="346" t="e">
        <f t="shared" si="12"/>
        <v>#REF!</v>
      </c>
    </row>
    <row r="25" spans="3:12" x14ac:dyDescent="0.2">
      <c r="C25" s="343">
        <v>50</v>
      </c>
      <c r="D25" s="290">
        <v>1739</v>
      </c>
      <c r="E25" s="338">
        <f>VLOOKUP(C25,'[2]SLUOS Capital Charge'!$D$14:$F$220,3,FALSE)</f>
        <v>978.60489271999984</v>
      </c>
      <c r="F25" s="339">
        <f t="shared" si="6"/>
        <v>1701793.9084400798</v>
      </c>
      <c r="G25" s="339" t="e">
        <f t="shared" si="7"/>
        <v>#REF!</v>
      </c>
      <c r="H25" s="287" t="e">
        <f t="shared" si="8"/>
        <v>#REF!</v>
      </c>
      <c r="I25" s="287" t="e">
        <f t="shared" si="9"/>
        <v>#REF!</v>
      </c>
      <c r="J25" s="287" t="e">
        <f t="shared" si="10"/>
        <v>#REF!</v>
      </c>
      <c r="K25" s="287" t="e">
        <f t="shared" si="11"/>
        <v>#REF!</v>
      </c>
      <c r="L25" s="346" t="e">
        <f t="shared" si="12"/>
        <v>#REF!</v>
      </c>
    </row>
    <row r="26" spans="3:12" x14ac:dyDescent="0.2">
      <c r="C26" s="343">
        <v>60</v>
      </c>
      <c r="D26" s="290">
        <v>2331</v>
      </c>
      <c r="E26" s="338">
        <f>VLOOKUP(C26,'[2]SLUOS Capital Charge'!$D$14:$F$220,3,FALSE)</f>
        <v>982.52848311999992</v>
      </c>
      <c r="F26" s="339">
        <f t="shared" si="6"/>
        <v>2290273.89415272</v>
      </c>
      <c r="G26" s="339" t="e">
        <f t="shared" si="7"/>
        <v>#REF!</v>
      </c>
      <c r="H26" s="287" t="e">
        <f t="shared" si="8"/>
        <v>#REF!</v>
      </c>
      <c r="I26" s="287" t="e">
        <f t="shared" si="9"/>
        <v>#REF!</v>
      </c>
      <c r="J26" s="287" t="e">
        <f t="shared" si="10"/>
        <v>#REF!</v>
      </c>
      <c r="K26" s="287" t="e">
        <f t="shared" si="11"/>
        <v>#REF!</v>
      </c>
      <c r="L26" s="346" t="e">
        <f t="shared" si="12"/>
        <v>#REF!</v>
      </c>
    </row>
    <row r="27" spans="3:12" x14ac:dyDescent="0.2">
      <c r="C27" s="343">
        <v>70</v>
      </c>
      <c r="D27" s="290">
        <v>314</v>
      </c>
      <c r="E27" s="338">
        <f>VLOOKUP(C27,'[2]SLUOS Capital Charge'!$D$14:$F$220,3,FALSE)</f>
        <v>1093.9916447199998</v>
      </c>
      <c r="F27" s="339">
        <f t="shared" si="6"/>
        <v>343513.37644207996</v>
      </c>
      <c r="G27" s="339" t="e">
        <f t="shared" si="7"/>
        <v>#REF!</v>
      </c>
      <c r="H27" s="287" t="e">
        <f t="shared" si="8"/>
        <v>#REF!</v>
      </c>
      <c r="I27" s="287" t="e">
        <f t="shared" si="9"/>
        <v>#REF!</v>
      </c>
      <c r="J27" s="287" t="e">
        <f t="shared" si="10"/>
        <v>#REF!</v>
      </c>
      <c r="K27" s="287" t="e">
        <f t="shared" si="11"/>
        <v>#REF!</v>
      </c>
      <c r="L27" s="346" t="e">
        <f t="shared" si="12"/>
        <v>#REF!</v>
      </c>
    </row>
    <row r="28" spans="3:12" x14ac:dyDescent="0.2">
      <c r="C28" s="343">
        <v>90</v>
      </c>
      <c r="D28" s="290">
        <v>1900</v>
      </c>
      <c r="E28" s="338">
        <f>VLOOKUP(C28,'[2]SLUOS Capital Charge'!$D$14:$F$220,3,FALSE)</f>
        <v>598.07627522000007</v>
      </c>
      <c r="F28" s="339">
        <f t="shared" si="6"/>
        <v>1136344.922918</v>
      </c>
      <c r="G28" s="339" t="e">
        <f t="shared" si="7"/>
        <v>#REF!</v>
      </c>
      <c r="H28" s="287" t="e">
        <f t="shared" si="8"/>
        <v>#REF!</v>
      </c>
      <c r="I28" s="287" t="e">
        <f t="shared" si="9"/>
        <v>#REF!</v>
      </c>
      <c r="J28" s="287" t="e">
        <f t="shared" si="10"/>
        <v>#REF!</v>
      </c>
      <c r="K28" s="287" t="e">
        <f t="shared" si="11"/>
        <v>#REF!</v>
      </c>
      <c r="L28" s="346" t="e">
        <f t="shared" si="12"/>
        <v>#REF!</v>
      </c>
    </row>
    <row r="29" spans="3:12" x14ac:dyDescent="0.2">
      <c r="C29" s="343">
        <v>110</v>
      </c>
      <c r="D29" s="290">
        <v>666</v>
      </c>
      <c r="E29" s="338">
        <f>VLOOKUP(C29,'[2]SLUOS Capital Charge'!$D$14:$F$220,3,FALSE)</f>
        <v>250.425946616</v>
      </c>
      <c r="F29" s="339">
        <f t="shared" si="6"/>
        <v>166783.68044625601</v>
      </c>
      <c r="G29" s="339" t="e">
        <f t="shared" si="7"/>
        <v>#REF!</v>
      </c>
      <c r="H29" s="287" t="e">
        <f t="shared" si="8"/>
        <v>#REF!</v>
      </c>
      <c r="I29" s="287" t="e">
        <f t="shared" si="9"/>
        <v>#REF!</v>
      </c>
      <c r="J29" s="287" t="e">
        <f t="shared" si="10"/>
        <v>#REF!</v>
      </c>
      <c r="K29" s="287" t="e">
        <f t="shared" si="11"/>
        <v>#REF!</v>
      </c>
      <c r="L29" s="346" t="e">
        <f t="shared" si="12"/>
        <v>#REF!</v>
      </c>
    </row>
    <row r="30" spans="3:12" x14ac:dyDescent="0.2">
      <c r="C30" s="343">
        <v>120</v>
      </c>
      <c r="D30" s="290">
        <v>10</v>
      </c>
      <c r="E30" s="338">
        <f>VLOOKUP(C30,'[2]SLUOS Capital Charge'!$D$14:$F$220,3,FALSE)</f>
        <v>1845.18472122</v>
      </c>
      <c r="F30" s="339">
        <f t="shared" si="6"/>
        <v>18451.847212200002</v>
      </c>
      <c r="G30" s="339" t="e">
        <f t="shared" si="7"/>
        <v>#REF!</v>
      </c>
      <c r="H30" s="287" t="e">
        <f t="shared" si="8"/>
        <v>#REF!</v>
      </c>
      <c r="I30" s="287" t="e">
        <f t="shared" si="9"/>
        <v>#REF!</v>
      </c>
      <c r="J30" s="287" t="e">
        <f t="shared" si="10"/>
        <v>#REF!</v>
      </c>
      <c r="K30" s="287" t="e">
        <f t="shared" si="11"/>
        <v>#REF!</v>
      </c>
      <c r="L30" s="346" t="e">
        <f t="shared" si="12"/>
        <v>#REF!</v>
      </c>
    </row>
    <row r="31" spans="3:12" x14ac:dyDescent="0.2">
      <c r="C31" s="343">
        <v>140</v>
      </c>
      <c r="D31" s="290">
        <v>58</v>
      </c>
      <c r="E31" s="338">
        <f>VLOOKUP(C31,'[2]SLUOS Capital Charge'!$D$14:$F$220,3,FALSE)</f>
        <v>1634.5029204125976</v>
      </c>
      <c r="F31" s="339">
        <f t="shared" si="6"/>
        <v>94801.169383930668</v>
      </c>
      <c r="G31" s="339" t="e">
        <f t="shared" si="7"/>
        <v>#REF!</v>
      </c>
      <c r="H31" s="287" t="e">
        <f t="shared" si="8"/>
        <v>#REF!</v>
      </c>
      <c r="I31" s="287" t="e">
        <f t="shared" si="9"/>
        <v>#REF!</v>
      </c>
      <c r="J31" s="287" t="e">
        <f t="shared" si="10"/>
        <v>#REF!</v>
      </c>
      <c r="K31" s="287" t="e">
        <f t="shared" si="11"/>
        <v>#REF!</v>
      </c>
      <c r="L31" s="346" t="e">
        <f t="shared" si="12"/>
        <v>#REF!</v>
      </c>
    </row>
    <row r="32" spans="3:12" x14ac:dyDescent="0.2">
      <c r="C32" s="343">
        <v>170</v>
      </c>
      <c r="D32" s="290">
        <v>767</v>
      </c>
      <c r="E32" s="338">
        <f>VLOOKUP(C32,'[2]SLUOS Capital Charge'!$D$14:$F$220,3,FALSE)</f>
        <v>2707.5058821247544</v>
      </c>
      <c r="F32" s="339">
        <f t="shared" si="6"/>
        <v>2076657.0115896866</v>
      </c>
      <c r="G32" s="339" t="e">
        <f t="shared" si="7"/>
        <v>#REF!</v>
      </c>
      <c r="H32" s="287" t="e">
        <f t="shared" si="8"/>
        <v>#REF!</v>
      </c>
      <c r="I32" s="287" t="e">
        <f t="shared" si="9"/>
        <v>#REF!</v>
      </c>
      <c r="J32" s="287" t="e">
        <f t="shared" si="10"/>
        <v>#REF!</v>
      </c>
      <c r="K32" s="287" t="e">
        <f t="shared" si="11"/>
        <v>#REF!</v>
      </c>
      <c r="L32" s="346" t="e">
        <f t="shared" si="12"/>
        <v>#REF!</v>
      </c>
    </row>
    <row r="33" spans="3:12" x14ac:dyDescent="0.2">
      <c r="C33" s="343">
        <v>190</v>
      </c>
      <c r="D33" s="290">
        <v>8</v>
      </c>
      <c r="E33" s="338">
        <f>VLOOKUP(C33,'[2]SLUOS Capital Charge'!$D$14:$F$220,3,FALSE)</f>
        <v>4217.7541464159995</v>
      </c>
      <c r="F33" s="339">
        <f t="shared" si="6"/>
        <v>33742.033171327996</v>
      </c>
      <c r="G33" s="339" t="e">
        <f t="shared" si="7"/>
        <v>#REF!</v>
      </c>
      <c r="H33" s="287" t="e">
        <f t="shared" si="8"/>
        <v>#REF!</v>
      </c>
      <c r="I33" s="287" t="e">
        <f t="shared" si="9"/>
        <v>#REF!</v>
      </c>
      <c r="J33" s="287" t="e">
        <f t="shared" si="10"/>
        <v>#REF!</v>
      </c>
      <c r="K33" s="287" t="e">
        <f t="shared" si="11"/>
        <v>#REF!</v>
      </c>
      <c r="L33" s="346" t="e">
        <f t="shared" si="12"/>
        <v>#REF!</v>
      </c>
    </row>
    <row r="34" spans="3:12" x14ac:dyDescent="0.2">
      <c r="C34" s="343">
        <v>200</v>
      </c>
      <c r="D34" s="290">
        <v>70</v>
      </c>
      <c r="E34" s="338">
        <f>VLOOKUP(C34,'[2]SLUOS Capital Charge'!$D$14:$F$220,3,FALSE)</f>
        <v>2030.0382579125974</v>
      </c>
      <c r="F34" s="339">
        <f t="shared" si="6"/>
        <v>142102.67805388183</v>
      </c>
      <c r="G34" s="339" t="e">
        <f t="shared" si="7"/>
        <v>#REF!</v>
      </c>
      <c r="H34" s="287" t="e">
        <f t="shared" si="8"/>
        <v>#REF!</v>
      </c>
      <c r="I34" s="287" t="e">
        <f t="shared" si="9"/>
        <v>#REF!</v>
      </c>
      <c r="J34" s="287" t="e">
        <f t="shared" si="10"/>
        <v>#REF!</v>
      </c>
      <c r="K34" s="287" t="e">
        <f t="shared" si="11"/>
        <v>#REF!</v>
      </c>
      <c r="L34" s="346" t="e">
        <f t="shared" si="12"/>
        <v>#REF!</v>
      </c>
    </row>
    <row r="35" spans="3:12" x14ac:dyDescent="0.2">
      <c r="C35" s="343">
        <v>210</v>
      </c>
      <c r="D35" s="290">
        <v>290</v>
      </c>
      <c r="E35" s="338">
        <f>VLOOKUP(C35,'[2]SLUOS Capital Charge'!$D$14:$F$220,3,FALSE)</f>
        <v>2034.3631475125974</v>
      </c>
      <c r="F35" s="339">
        <f t="shared" si="6"/>
        <v>589965.31277865323</v>
      </c>
      <c r="G35" s="339" t="e">
        <f t="shared" si="7"/>
        <v>#REF!</v>
      </c>
      <c r="H35" s="287" t="e">
        <f t="shared" si="8"/>
        <v>#REF!</v>
      </c>
      <c r="I35" s="287" t="e">
        <f t="shared" si="9"/>
        <v>#REF!</v>
      </c>
      <c r="J35" s="287" t="e">
        <f t="shared" si="10"/>
        <v>#REF!</v>
      </c>
      <c r="K35" s="287" t="e">
        <f t="shared" si="11"/>
        <v>#REF!</v>
      </c>
      <c r="L35" s="346" t="e">
        <f t="shared" si="12"/>
        <v>#REF!</v>
      </c>
    </row>
    <row r="36" spans="3:12" x14ac:dyDescent="0.2">
      <c r="C36" s="343">
        <v>220</v>
      </c>
      <c r="D36" s="290">
        <v>516</v>
      </c>
      <c r="E36" s="338">
        <f>VLOOKUP(C36,'[2]SLUOS Capital Charge'!$D$14:$F$220,3,FALSE)</f>
        <v>2015.0315379125973</v>
      </c>
      <c r="F36" s="339">
        <f t="shared" si="6"/>
        <v>1039756.2735629003</v>
      </c>
      <c r="G36" s="339" t="e">
        <f t="shared" si="7"/>
        <v>#REF!</v>
      </c>
      <c r="H36" s="287" t="e">
        <f t="shared" si="8"/>
        <v>#REF!</v>
      </c>
      <c r="I36" s="287" t="e">
        <f t="shared" si="9"/>
        <v>#REF!</v>
      </c>
      <c r="J36" s="287" t="e">
        <f t="shared" si="10"/>
        <v>#REF!</v>
      </c>
      <c r="K36" s="287" t="e">
        <f t="shared" si="11"/>
        <v>#REF!</v>
      </c>
      <c r="L36" s="346" t="e">
        <f t="shared" si="12"/>
        <v>#REF!</v>
      </c>
    </row>
    <row r="37" spans="3:12" x14ac:dyDescent="0.2">
      <c r="C37" s="343">
        <v>230</v>
      </c>
      <c r="D37" s="290">
        <v>1007</v>
      </c>
      <c r="E37" s="338">
        <f>VLOOKUP(C37,'[2]SLUOS Capital Charge'!$D$14:$F$220,3,FALSE)</f>
        <v>2018.9551283125975</v>
      </c>
      <c r="F37" s="339">
        <f t="shared" si="6"/>
        <v>2033087.8142107856</v>
      </c>
      <c r="G37" s="339" t="e">
        <f t="shared" si="7"/>
        <v>#REF!</v>
      </c>
      <c r="H37" s="287" t="e">
        <f t="shared" si="8"/>
        <v>#REF!</v>
      </c>
      <c r="I37" s="287" t="e">
        <f t="shared" si="9"/>
        <v>#REF!</v>
      </c>
      <c r="J37" s="287" t="e">
        <f t="shared" si="10"/>
        <v>#REF!</v>
      </c>
      <c r="K37" s="287" t="e">
        <f t="shared" si="11"/>
        <v>#REF!</v>
      </c>
      <c r="L37" s="346" t="e">
        <f t="shared" si="12"/>
        <v>#REF!</v>
      </c>
    </row>
    <row r="38" spans="3:12" x14ac:dyDescent="0.2">
      <c r="C38" s="343">
        <v>240</v>
      </c>
      <c r="D38" s="290">
        <v>101</v>
      </c>
      <c r="E38" s="338">
        <f>VLOOKUP(C38,'[2]SLUOS Capital Charge'!$D$14:$F$220,3,FALSE)</f>
        <v>2130.4182899125972</v>
      </c>
      <c r="F38" s="339">
        <f t="shared" si="6"/>
        <v>215172.24728117231</v>
      </c>
      <c r="G38" s="339" t="e">
        <f t="shared" si="7"/>
        <v>#REF!</v>
      </c>
      <c r="H38" s="287" t="e">
        <f t="shared" si="8"/>
        <v>#REF!</v>
      </c>
      <c r="I38" s="287" t="e">
        <f t="shared" si="9"/>
        <v>#REF!</v>
      </c>
      <c r="J38" s="287" t="e">
        <f t="shared" si="10"/>
        <v>#REF!</v>
      </c>
      <c r="K38" s="287" t="e">
        <f t="shared" si="11"/>
        <v>#REF!</v>
      </c>
      <c r="L38" s="346" t="e">
        <f t="shared" si="12"/>
        <v>#REF!</v>
      </c>
    </row>
    <row r="39" spans="3:12" x14ac:dyDescent="0.2">
      <c r="C39" s="343">
        <v>250</v>
      </c>
      <c r="D39" s="290">
        <v>5</v>
      </c>
      <c r="E39" s="338">
        <f>VLOOKUP(C39,'[2]SLUOS Capital Charge'!$D$14:$F$220,3,FALSE)</f>
        <v>5254.1807916085972</v>
      </c>
      <c r="F39" s="339">
        <f t="shared" si="6"/>
        <v>26270.903958042985</v>
      </c>
      <c r="G39" s="339" t="e">
        <f t="shared" si="7"/>
        <v>#REF!</v>
      </c>
      <c r="H39" s="287" t="e">
        <f t="shared" si="8"/>
        <v>#REF!</v>
      </c>
      <c r="I39" s="287" t="e">
        <f t="shared" si="9"/>
        <v>#REF!</v>
      </c>
      <c r="J39" s="287" t="e">
        <f t="shared" si="10"/>
        <v>#REF!</v>
      </c>
      <c r="K39" s="287" t="e">
        <f t="shared" si="11"/>
        <v>#REF!</v>
      </c>
      <c r="L39" s="346" t="e">
        <f t="shared" si="12"/>
        <v>#REF!</v>
      </c>
    </row>
    <row r="40" spans="3:12" x14ac:dyDescent="0.2">
      <c r="C40" s="343">
        <v>290</v>
      </c>
      <c r="D40" s="290">
        <v>223</v>
      </c>
      <c r="E40" s="338">
        <f>VLOOKUP(C40,'[2]SLUOS Capital Charge'!$D$14:$F$220,3,FALSE)</f>
        <v>2833.5715236247543</v>
      </c>
      <c r="F40" s="339">
        <f t="shared" si="6"/>
        <v>631886.44976832019</v>
      </c>
      <c r="G40" s="339" t="e">
        <f t="shared" si="7"/>
        <v>#REF!</v>
      </c>
      <c r="H40" s="287" t="e">
        <f t="shared" si="8"/>
        <v>#REF!</v>
      </c>
      <c r="I40" s="287" t="e">
        <f t="shared" si="9"/>
        <v>#REF!</v>
      </c>
      <c r="J40" s="287" t="e">
        <f t="shared" si="10"/>
        <v>#REF!</v>
      </c>
      <c r="K40" s="287" t="e">
        <f t="shared" si="11"/>
        <v>#REF!</v>
      </c>
      <c r="L40" s="346" t="e">
        <f t="shared" si="12"/>
        <v>#REF!</v>
      </c>
    </row>
    <row r="41" spans="3:12" x14ac:dyDescent="0.2">
      <c r="C41" s="343">
        <v>300</v>
      </c>
      <c r="D41" s="290">
        <v>511</v>
      </c>
      <c r="E41" s="338">
        <f>VLOOKUP(C41,'[2]SLUOS Capital Charge'!$D$14:$F$220,3,FALSE)</f>
        <v>2837.8964132247543</v>
      </c>
      <c r="F41" s="339">
        <f t="shared" si="6"/>
        <v>1450165.0671578494</v>
      </c>
      <c r="G41" s="339" t="e">
        <f t="shared" si="7"/>
        <v>#REF!</v>
      </c>
      <c r="H41" s="287" t="e">
        <f t="shared" si="8"/>
        <v>#REF!</v>
      </c>
      <c r="I41" s="287" t="e">
        <f t="shared" si="9"/>
        <v>#REF!</v>
      </c>
      <c r="J41" s="287" t="e">
        <f t="shared" si="10"/>
        <v>#REF!</v>
      </c>
      <c r="K41" s="287" t="e">
        <f t="shared" si="11"/>
        <v>#REF!</v>
      </c>
      <c r="L41" s="346" t="e">
        <f t="shared" si="12"/>
        <v>#REF!</v>
      </c>
    </row>
    <row r="42" spans="3:12" x14ac:dyDescent="0.2">
      <c r="C42" s="343">
        <v>310</v>
      </c>
      <c r="D42" s="290">
        <v>685</v>
      </c>
      <c r="E42" s="338">
        <f>VLOOKUP(C42,'[2]SLUOS Capital Charge'!$D$14:$F$220,3,FALSE)</f>
        <v>2818.5648036247544</v>
      </c>
      <c r="F42" s="339">
        <f t="shared" si="6"/>
        <v>1930716.8904829568</v>
      </c>
      <c r="G42" s="339" t="e">
        <f t="shared" si="7"/>
        <v>#REF!</v>
      </c>
      <c r="H42" s="287" t="e">
        <f t="shared" si="8"/>
        <v>#REF!</v>
      </c>
      <c r="I42" s="287" t="e">
        <f t="shared" si="9"/>
        <v>#REF!</v>
      </c>
      <c r="J42" s="287" t="e">
        <f t="shared" si="10"/>
        <v>#REF!</v>
      </c>
      <c r="K42" s="287" t="e">
        <f t="shared" si="11"/>
        <v>#REF!</v>
      </c>
      <c r="L42" s="346" t="e">
        <f t="shared" si="12"/>
        <v>#REF!</v>
      </c>
    </row>
    <row r="43" spans="3:12" x14ac:dyDescent="0.2">
      <c r="C43" s="343">
        <v>320</v>
      </c>
      <c r="D43" s="290">
        <v>1552</v>
      </c>
      <c r="E43" s="338">
        <f>VLOOKUP(C43,'[2]SLUOS Capital Charge'!$D$14:$F$220,3,FALSE)</f>
        <v>2822.4883940247546</v>
      </c>
      <c r="F43" s="339">
        <f t="shared" si="6"/>
        <v>4380501.9875264196</v>
      </c>
      <c r="G43" s="339" t="e">
        <f t="shared" si="7"/>
        <v>#REF!</v>
      </c>
      <c r="H43" s="287" t="e">
        <f t="shared" si="8"/>
        <v>#REF!</v>
      </c>
      <c r="I43" s="287" t="e">
        <f t="shared" si="9"/>
        <v>#REF!</v>
      </c>
      <c r="J43" s="287" t="e">
        <f t="shared" si="10"/>
        <v>#REF!</v>
      </c>
      <c r="K43" s="287" t="e">
        <f t="shared" si="11"/>
        <v>#REF!</v>
      </c>
      <c r="L43" s="346" t="e">
        <f t="shared" si="12"/>
        <v>#REF!</v>
      </c>
    </row>
    <row r="44" spans="3:12" x14ac:dyDescent="0.2">
      <c r="C44" s="343">
        <v>330</v>
      </c>
      <c r="D44" s="290">
        <v>166</v>
      </c>
      <c r="E44" s="338">
        <f>VLOOKUP(C44,'[2]SLUOS Capital Charge'!$D$14:$F$220,3,FALSE)</f>
        <v>2933.9515556247543</v>
      </c>
      <c r="F44" s="339">
        <f t="shared" si="6"/>
        <v>487035.95823370921</v>
      </c>
      <c r="G44" s="339" t="e">
        <f t="shared" si="7"/>
        <v>#REF!</v>
      </c>
      <c r="H44" s="287" t="e">
        <f t="shared" si="8"/>
        <v>#REF!</v>
      </c>
      <c r="I44" s="287" t="e">
        <f t="shared" si="9"/>
        <v>#REF!</v>
      </c>
      <c r="J44" s="287" t="e">
        <f t="shared" si="10"/>
        <v>#REF!</v>
      </c>
      <c r="K44" s="287" t="e">
        <f t="shared" si="11"/>
        <v>#REF!</v>
      </c>
      <c r="L44" s="346" t="e">
        <f t="shared" si="12"/>
        <v>#REF!</v>
      </c>
    </row>
    <row r="45" spans="3:12" x14ac:dyDescent="0.2">
      <c r="C45" s="343">
        <v>350</v>
      </c>
      <c r="D45" s="290">
        <v>52</v>
      </c>
      <c r="E45" s="338">
        <f>VLOOKUP(C45,'[2]SLUOS Capital Charge'!$D$14:$F$220,3,FALSE)</f>
        <v>1601.5057779125975</v>
      </c>
      <c r="F45" s="339">
        <f t="shared" si="6"/>
        <v>83278.30045145507</v>
      </c>
      <c r="G45" s="339" t="e">
        <f t="shared" si="7"/>
        <v>#REF!</v>
      </c>
      <c r="H45" s="287" t="e">
        <f t="shared" si="8"/>
        <v>#REF!</v>
      </c>
      <c r="I45" s="287" t="e">
        <f t="shared" si="9"/>
        <v>#REF!</v>
      </c>
      <c r="J45" s="287" t="e">
        <f t="shared" si="10"/>
        <v>#REF!</v>
      </c>
      <c r="K45" s="287" t="e">
        <f t="shared" si="11"/>
        <v>#REF!</v>
      </c>
      <c r="L45" s="346" t="e">
        <f t="shared" si="12"/>
        <v>#REF!</v>
      </c>
    </row>
    <row r="46" spans="3:12" x14ac:dyDescent="0.2">
      <c r="C46" s="343">
        <v>360</v>
      </c>
      <c r="D46" s="290">
        <v>928</v>
      </c>
      <c r="E46" s="338">
        <f>VLOOKUP(C46,'[2]SLUOS Capital Charge'!$D$14:$F$220,3,FALSE)</f>
        <v>2674.5087396247545</v>
      </c>
      <c r="F46" s="339">
        <f t="shared" si="6"/>
        <v>2481944.1103717722</v>
      </c>
      <c r="G46" s="339" t="e">
        <f t="shared" si="7"/>
        <v>#REF!</v>
      </c>
      <c r="H46" s="287" t="e">
        <f t="shared" si="8"/>
        <v>#REF!</v>
      </c>
      <c r="I46" s="287" t="e">
        <f t="shared" si="9"/>
        <v>#REF!</v>
      </c>
      <c r="J46" s="287" t="e">
        <f t="shared" si="10"/>
        <v>#REF!</v>
      </c>
      <c r="K46" s="287" t="e">
        <f t="shared" si="11"/>
        <v>#REF!</v>
      </c>
      <c r="L46" s="346" t="e">
        <f t="shared" si="12"/>
        <v>#REF!</v>
      </c>
    </row>
    <row r="47" spans="3:12" x14ac:dyDescent="0.2">
      <c r="C47" s="343">
        <v>370</v>
      </c>
      <c r="D47" s="290">
        <v>44</v>
      </c>
      <c r="E47" s="338">
        <f>VLOOKUP(C47,'[2]SLUOS Capital Charge'!$D$14:$F$220,3,FALSE)</f>
        <v>3233.9470881847546</v>
      </c>
      <c r="F47" s="339">
        <f t="shared" si="6"/>
        <v>142293.6718801292</v>
      </c>
      <c r="G47" s="339" t="e">
        <f t="shared" si="7"/>
        <v>#REF!</v>
      </c>
      <c r="H47" s="287" t="e">
        <f t="shared" si="8"/>
        <v>#REF!</v>
      </c>
      <c r="I47" s="287" t="e">
        <f t="shared" si="9"/>
        <v>#REF!</v>
      </c>
      <c r="J47" s="287" t="e">
        <f t="shared" si="10"/>
        <v>#REF!</v>
      </c>
      <c r="K47" s="287" t="e">
        <f t="shared" si="11"/>
        <v>#REF!</v>
      </c>
      <c r="L47" s="346" t="e">
        <f t="shared" si="12"/>
        <v>#REF!</v>
      </c>
    </row>
    <row r="48" spans="3:12" x14ac:dyDescent="0.2">
      <c r="C48" s="343">
        <v>380</v>
      </c>
      <c r="D48" s="290">
        <v>2</v>
      </c>
      <c r="E48" s="338">
        <f>VLOOKUP(C48,'[2]SLUOS Capital Charge'!$D$14:$F$220,3,FALSE)</f>
        <v>3242.5968673847547</v>
      </c>
      <c r="F48" s="339">
        <f t="shared" si="6"/>
        <v>6485.1937347695093</v>
      </c>
      <c r="G48" s="339" t="e">
        <f t="shared" si="7"/>
        <v>#REF!</v>
      </c>
      <c r="H48" s="287" t="e">
        <f t="shared" si="8"/>
        <v>#REF!</v>
      </c>
      <c r="I48" s="287" t="e">
        <f t="shared" si="9"/>
        <v>#REF!</v>
      </c>
      <c r="J48" s="287" t="e">
        <f t="shared" si="10"/>
        <v>#REF!</v>
      </c>
      <c r="K48" s="287" t="e">
        <f t="shared" si="11"/>
        <v>#REF!</v>
      </c>
      <c r="L48" s="346" t="e">
        <f t="shared" si="12"/>
        <v>#REF!</v>
      </c>
    </row>
    <row r="49" spans="3:12" x14ac:dyDescent="0.2">
      <c r="C49" s="343">
        <v>390</v>
      </c>
      <c r="D49" s="290">
        <v>117</v>
      </c>
      <c r="E49" s="338">
        <f>VLOOKUP(C49,'[2]SLUOS Capital Charge'!$D$14:$F$220,3,FALSE)</f>
        <v>3211.7808289847544</v>
      </c>
      <c r="F49" s="339">
        <f t="shared" si="6"/>
        <v>375778.35699121625</v>
      </c>
      <c r="G49" s="339" t="e">
        <f t="shared" si="7"/>
        <v>#REF!</v>
      </c>
      <c r="H49" s="287" t="e">
        <f t="shared" si="8"/>
        <v>#REF!</v>
      </c>
      <c r="I49" s="287" t="e">
        <f t="shared" si="9"/>
        <v>#REF!</v>
      </c>
      <c r="J49" s="287" t="e">
        <f t="shared" si="10"/>
        <v>#REF!</v>
      </c>
      <c r="K49" s="287" t="e">
        <f t="shared" si="11"/>
        <v>#REF!</v>
      </c>
      <c r="L49" s="346" t="e">
        <f t="shared" si="12"/>
        <v>#REF!</v>
      </c>
    </row>
    <row r="50" spans="3:12" x14ac:dyDescent="0.2">
      <c r="C50" s="343">
        <v>400</v>
      </c>
      <c r="D50" s="290">
        <v>33</v>
      </c>
      <c r="E50" s="338">
        <f>VLOOKUP(C50,'[2]SLUOS Capital Charge'!$D$14:$F$220,3,FALSE)</f>
        <v>3434.7071521847547</v>
      </c>
      <c r="F50" s="339">
        <f t="shared" si="6"/>
        <v>113345.3360220969</v>
      </c>
      <c r="G50" s="339" t="e">
        <f t="shared" si="7"/>
        <v>#REF!</v>
      </c>
      <c r="H50" s="287" t="e">
        <f t="shared" si="8"/>
        <v>#REF!</v>
      </c>
      <c r="I50" s="287" t="e">
        <f t="shared" si="9"/>
        <v>#REF!</v>
      </c>
      <c r="J50" s="287" t="e">
        <f t="shared" si="10"/>
        <v>#REF!</v>
      </c>
      <c r="K50" s="287" t="e">
        <f t="shared" si="11"/>
        <v>#REF!</v>
      </c>
      <c r="L50" s="346" t="e">
        <f t="shared" si="12"/>
        <v>#REF!</v>
      </c>
    </row>
    <row r="51" spans="3:12" x14ac:dyDescent="0.2">
      <c r="C51" s="343">
        <v>430</v>
      </c>
      <c r="D51" s="290">
        <v>3</v>
      </c>
      <c r="E51" s="338">
        <f>VLOOKUP(C51,'[2]SLUOS Capital Charge'!$D$14:$F$220,3,FALSE)</f>
        <v>3601.0732639447542</v>
      </c>
      <c r="F51" s="339">
        <f t="shared" si="6"/>
        <v>10803.219791834263</v>
      </c>
      <c r="G51" s="339" t="e">
        <f t="shared" si="7"/>
        <v>#REF!</v>
      </c>
      <c r="H51" s="287" t="e">
        <f t="shared" si="8"/>
        <v>#REF!</v>
      </c>
      <c r="I51" s="287" t="e">
        <f t="shared" si="9"/>
        <v>#REF!</v>
      </c>
      <c r="J51" s="287" t="e">
        <f t="shared" si="10"/>
        <v>#REF!</v>
      </c>
      <c r="K51" s="287" t="e">
        <f t="shared" si="11"/>
        <v>#REF!</v>
      </c>
      <c r="L51" s="346" t="e">
        <f t="shared" si="12"/>
        <v>#REF!</v>
      </c>
    </row>
    <row r="52" spans="3:12" x14ac:dyDescent="0.2">
      <c r="C52" s="343">
        <v>440</v>
      </c>
      <c r="D52" s="290">
        <v>9</v>
      </c>
      <c r="E52" s="338">
        <f>VLOOKUP(C52,'[2]SLUOS Capital Charge'!$D$14:$F$220,3,FALSE)</f>
        <v>3935.4627487447542</v>
      </c>
      <c r="F52" s="339">
        <f t="shared" si="6"/>
        <v>35419.164738702792</v>
      </c>
      <c r="G52" s="339" t="e">
        <f t="shared" si="7"/>
        <v>#REF!</v>
      </c>
      <c r="H52" s="287" t="e">
        <f t="shared" si="8"/>
        <v>#REF!</v>
      </c>
      <c r="I52" s="287" t="e">
        <f t="shared" si="9"/>
        <v>#REF!</v>
      </c>
      <c r="J52" s="287" t="e">
        <f t="shared" si="10"/>
        <v>#REF!</v>
      </c>
      <c r="K52" s="287" t="e">
        <f t="shared" si="11"/>
        <v>#REF!</v>
      </c>
      <c r="L52" s="346" t="e">
        <f t="shared" si="12"/>
        <v>#REF!</v>
      </c>
    </row>
    <row r="53" spans="3:12" x14ac:dyDescent="0.2">
      <c r="C53" s="343">
        <v>450</v>
      </c>
      <c r="D53" s="290">
        <v>4</v>
      </c>
      <c r="E53" s="338">
        <f>VLOOKUP(C53,'[2]SLUOS Capital Charge'!$D$14:$F$220,3,FALSE)</f>
        <v>4034.6982173047545</v>
      </c>
      <c r="F53" s="339">
        <f t="shared" si="6"/>
        <v>16138.792869219018</v>
      </c>
      <c r="G53" s="339" t="e">
        <f t="shared" si="7"/>
        <v>#REF!</v>
      </c>
      <c r="H53" s="287" t="e">
        <f t="shared" si="8"/>
        <v>#REF!</v>
      </c>
      <c r="I53" s="287" t="e">
        <f t="shared" si="9"/>
        <v>#REF!</v>
      </c>
      <c r="J53" s="287" t="e">
        <f t="shared" si="10"/>
        <v>#REF!</v>
      </c>
      <c r="K53" s="287" t="e">
        <f t="shared" si="11"/>
        <v>#REF!</v>
      </c>
      <c r="L53" s="346" t="e">
        <f t="shared" si="12"/>
        <v>#REF!</v>
      </c>
    </row>
    <row r="54" spans="3:12" x14ac:dyDescent="0.2">
      <c r="C54" s="343">
        <v>460</v>
      </c>
      <c r="D54" s="290">
        <v>4</v>
      </c>
      <c r="E54" s="338">
        <f>VLOOKUP(C54,'[2]SLUOS Capital Charge'!$D$14:$F$220,3,FALSE)</f>
        <v>4051.9977757047545</v>
      </c>
      <c r="F54" s="339">
        <f t="shared" si="6"/>
        <v>16207.991102819018</v>
      </c>
      <c r="G54" s="339" t="e">
        <f t="shared" si="7"/>
        <v>#REF!</v>
      </c>
      <c r="H54" s="287" t="e">
        <f t="shared" si="8"/>
        <v>#REF!</v>
      </c>
      <c r="I54" s="287" t="e">
        <f t="shared" si="9"/>
        <v>#REF!</v>
      </c>
      <c r="J54" s="287" t="e">
        <f t="shared" si="10"/>
        <v>#REF!</v>
      </c>
      <c r="K54" s="287" t="e">
        <f t="shared" si="11"/>
        <v>#REF!</v>
      </c>
      <c r="L54" s="346" t="e">
        <f t="shared" si="12"/>
        <v>#REF!</v>
      </c>
    </row>
    <row r="55" spans="3:12" x14ac:dyDescent="0.2">
      <c r="C55" s="343">
        <v>470</v>
      </c>
      <c r="D55" s="290">
        <v>48</v>
      </c>
      <c r="E55" s="338">
        <f>VLOOKUP(C55,'[2]SLUOS Capital Charge'!$D$14:$F$220,3,FALSE)</f>
        <v>3990.3656989047545</v>
      </c>
      <c r="F55" s="339">
        <f t="shared" si="6"/>
        <v>191537.55354742822</v>
      </c>
      <c r="G55" s="339" t="e">
        <f t="shared" si="7"/>
        <v>#REF!</v>
      </c>
      <c r="H55" s="287" t="e">
        <f t="shared" si="8"/>
        <v>#REF!</v>
      </c>
      <c r="I55" s="287" t="e">
        <f t="shared" si="9"/>
        <v>#REF!</v>
      </c>
      <c r="J55" s="287" t="e">
        <f t="shared" si="10"/>
        <v>#REF!</v>
      </c>
      <c r="K55" s="287" t="e">
        <f t="shared" si="11"/>
        <v>#REF!</v>
      </c>
      <c r="L55" s="346" t="e">
        <f t="shared" si="12"/>
        <v>#REF!</v>
      </c>
    </row>
    <row r="56" spans="3:12" x14ac:dyDescent="0.2">
      <c r="C56" s="343">
        <v>550</v>
      </c>
      <c r="D56" s="290">
        <v>15</v>
      </c>
      <c r="E56" s="338">
        <f>VLOOKUP(C56,'[2]SLUOS Capital Charge'!$D$14:$F$220,3,FALSE)</f>
        <v>5435.4021721466188</v>
      </c>
      <c r="F56" s="339">
        <f t="shared" si="6"/>
        <v>81531.032582199288</v>
      </c>
      <c r="G56" s="339" t="e">
        <f t="shared" si="7"/>
        <v>#REF!</v>
      </c>
      <c r="H56" s="287" t="e">
        <f t="shared" si="8"/>
        <v>#REF!</v>
      </c>
      <c r="I56" s="287" t="e">
        <f t="shared" si="9"/>
        <v>#REF!</v>
      </c>
      <c r="J56" s="287" t="e">
        <f t="shared" si="10"/>
        <v>#REF!</v>
      </c>
      <c r="K56" s="287" t="e">
        <f t="shared" si="11"/>
        <v>#REF!</v>
      </c>
      <c r="L56" s="346" t="e">
        <f t="shared" si="12"/>
        <v>#REF!</v>
      </c>
    </row>
    <row r="57" spans="3:12" x14ac:dyDescent="0.2">
      <c r="C57" s="343">
        <v>580</v>
      </c>
      <c r="D57" s="290">
        <v>8</v>
      </c>
      <c r="E57" s="338">
        <f>VLOOKUP(C57,'[2]SLUOS Capital Charge'!$D$14:$F$220,3,FALSE)</f>
        <v>5886.3266839066182</v>
      </c>
      <c r="F57" s="339">
        <f t="shared" si="6"/>
        <v>47090.613471252946</v>
      </c>
      <c r="G57" s="339" t="e">
        <f t="shared" si="7"/>
        <v>#REF!</v>
      </c>
      <c r="H57" s="287" t="e">
        <f t="shared" si="8"/>
        <v>#REF!</v>
      </c>
      <c r="I57" s="287" t="e">
        <f t="shared" si="9"/>
        <v>#REF!</v>
      </c>
      <c r="J57" s="287" t="e">
        <f t="shared" si="10"/>
        <v>#REF!</v>
      </c>
      <c r="K57" s="287" t="e">
        <f t="shared" si="11"/>
        <v>#REF!</v>
      </c>
      <c r="L57" s="346" t="e">
        <f t="shared" si="12"/>
        <v>#REF!</v>
      </c>
    </row>
    <row r="58" spans="3:12" x14ac:dyDescent="0.2">
      <c r="C58" s="343">
        <v>590</v>
      </c>
      <c r="D58" s="290">
        <v>52</v>
      </c>
      <c r="E58" s="338">
        <f>VLOOKUP(C58,'[2]SLUOS Capital Charge'!$D$14:$F$220,3,FALSE)</f>
        <v>5824.6946071066186</v>
      </c>
      <c r="F58" s="339">
        <f t="shared" si="6"/>
        <v>302884.11956954416</v>
      </c>
      <c r="G58" s="339" t="e">
        <f t="shared" si="7"/>
        <v>#REF!</v>
      </c>
      <c r="H58" s="287" t="e">
        <f t="shared" si="8"/>
        <v>#REF!</v>
      </c>
      <c r="I58" s="287" t="e">
        <f t="shared" si="9"/>
        <v>#REF!</v>
      </c>
      <c r="J58" s="287" t="e">
        <f t="shared" si="10"/>
        <v>#REF!</v>
      </c>
      <c r="K58" s="287" t="e">
        <f t="shared" si="11"/>
        <v>#REF!</v>
      </c>
      <c r="L58" s="346" t="e">
        <f t="shared" si="12"/>
        <v>#REF!</v>
      </c>
    </row>
    <row r="59" spans="3:12" x14ac:dyDescent="0.2">
      <c r="C59" s="343">
        <v>610</v>
      </c>
      <c r="D59" s="290">
        <v>28</v>
      </c>
      <c r="E59" s="338">
        <f>VLOOKUP(C59,'[2]SLUOS Capital Charge'!$D$14:$F$220,3,FALSE)</f>
        <v>1137.7567647199999</v>
      </c>
      <c r="F59" s="339">
        <f t="shared" si="6"/>
        <v>31857.189412159998</v>
      </c>
      <c r="G59" s="339" t="e">
        <f t="shared" si="7"/>
        <v>#REF!</v>
      </c>
      <c r="H59" s="287" t="e">
        <f t="shared" si="8"/>
        <v>#REF!</v>
      </c>
      <c r="I59" s="287" t="e">
        <f t="shared" si="9"/>
        <v>#REF!</v>
      </c>
      <c r="J59" s="287" t="e">
        <f t="shared" si="10"/>
        <v>#REF!</v>
      </c>
      <c r="K59" s="287" t="e">
        <f t="shared" si="11"/>
        <v>#REF!</v>
      </c>
      <c r="L59" s="346" t="e">
        <f t="shared" si="12"/>
        <v>#REF!</v>
      </c>
    </row>
    <row r="60" spans="3:12" x14ac:dyDescent="0.2">
      <c r="C60" s="343">
        <v>620</v>
      </c>
      <c r="D60" s="290">
        <v>30</v>
      </c>
      <c r="E60" s="338">
        <f>VLOOKUP(C60,'[2]SLUOS Capital Charge'!$D$14:$F$220,3,FALSE)</f>
        <v>1053.36623672</v>
      </c>
      <c r="F60" s="339">
        <f t="shared" si="6"/>
        <v>31600.9871016</v>
      </c>
      <c r="G60" s="339" t="e">
        <f t="shared" si="7"/>
        <v>#REF!</v>
      </c>
      <c r="H60" s="287" t="e">
        <f t="shared" si="8"/>
        <v>#REF!</v>
      </c>
      <c r="I60" s="287" t="e">
        <f t="shared" si="9"/>
        <v>#REF!</v>
      </c>
      <c r="J60" s="287" t="e">
        <f t="shared" si="10"/>
        <v>#REF!</v>
      </c>
      <c r="K60" s="287" t="e">
        <f t="shared" si="11"/>
        <v>#REF!</v>
      </c>
      <c r="L60" s="346" t="e">
        <f t="shared" si="12"/>
        <v>#REF!</v>
      </c>
    </row>
    <row r="61" spans="3:12" x14ac:dyDescent="0.2">
      <c r="C61" s="343">
        <v>640</v>
      </c>
      <c r="D61" s="290">
        <v>6</v>
      </c>
      <c r="E61" s="338">
        <f>VLOOKUP(C61,'[2]SLUOS Capital Charge'!$D$14:$F$220,3,FALSE)</f>
        <v>1053.36623672</v>
      </c>
      <c r="F61" s="339">
        <f t="shared" si="6"/>
        <v>6320.1974203199998</v>
      </c>
      <c r="G61" s="339" t="e">
        <f t="shared" si="7"/>
        <v>#REF!</v>
      </c>
      <c r="H61" s="287" t="e">
        <f t="shared" si="8"/>
        <v>#REF!</v>
      </c>
      <c r="I61" s="287" t="e">
        <f t="shared" si="9"/>
        <v>#REF!</v>
      </c>
      <c r="J61" s="287" t="e">
        <f t="shared" si="10"/>
        <v>#REF!</v>
      </c>
      <c r="K61" s="287" t="e">
        <f t="shared" si="11"/>
        <v>#REF!</v>
      </c>
      <c r="L61" s="346" t="e">
        <f t="shared" si="12"/>
        <v>#REF!</v>
      </c>
    </row>
    <row r="62" spans="3:12" x14ac:dyDescent="0.2">
      <c r="C62" s="343">
        <v>660</v>
      </c>
      <c r="D62" s="290">
        <v>2</v>
      </c>
      <c r="E62" s="338">
        <f>VLOOKUP(C62,'[2]SLUOS Capital Charge'!$D$14:$F$220,3,FALSE)</f>
        <v>1513.49642528</v>
      </c>
      <c r="F62" s="339">
        <f t="shared" si="6"/>
        <v>3026.9928505600001</v>
      </c>
      <c r="G62" s="339" t="e">
        <f t="shared" si="7"/>
        <v>#REF!</v>
      </c>
      <c r="H62" s="287" t="e">
        <f t="shared" si="8"/>
        <v>#REF!</v>
      </c>
      <c r="I62" s="287" t="e">
        <f t="shared" si="9"/>
        <v>#REF!</v>
      </c>
      <c r="J62" s="287" t="e">
        <f t="shared" si="10"/>
        <v>#REF!</v>
      </c>
      <c r="K62" s="287" t="e">
        <f t="shared" si="11"/>
        <v>#REF!</v>
      </c>
      <c r="L62" s="346" t="e">
        <f t="shared" si="12"/>
        <v>#REF!</v>
      </c>
    </row>
    <row r="63" spans="3:12" x14ac:dyDescent="0.2">
      <c r="C63" s="343">
        <v>690</v>
      </c>
      <c r="D63" s="290">
        <v>128</v>
      </c>
      <c r="E63" s="338">
        <f>VLOOKUP(C63,'[2]SLUOS Capital Charge'!$D$14:$F$220,3,FALSE)</f>
        <v>3203.9336481847545</v>
      </c>
      <c r="F63" s="339">
        <f t="shared" si="6"/>
        <v>410103.50696764857</v>
      </c>
      <c r="G63" s="339" t="e">
        <f t="shared" si="7"/>
        <v>#REF!</v>
      </c>
      <c r="H63" s="287" t="e">
        <f t="shared" si="8"/>
        <v>#REF!</v>
      </c>
      <c r="I63" s="287" t="e">
        <f t="shared" si="9"/>
        <v>#REF!</v>
      </c>
      <c r="J63" s="287" t="e">
        <f t="shared" si="10"/>
        <v>#REF!</v>
      </c>
      <c r="K63" s="287" t="e">
        <f t="shared" si="11"/>
        <v>#REF!</v>
      </c>
      <c r="L63" s="346" t="e">
        <f t="shared" si="12"/>
        <v>#REF!</v>
      </c>
    </row>
    <row r="64" spans="3:12" x14ac:dyDescent="0.2">
      <c r="C64" s="343">
        <v>720</v>
      </c>
      <c r="D64" s="290">
        <v>4</v>
      </c>
      <c r="E64" s="338">
        <f>VLOOKUP(C64,'[2]SLUOS Capital Charge'!$D$14:$F$220,3,FALSE)</f>
        <v>3974.6713373047542</v>
      </c>
      <c r="F64" s="339">
        <f t="shared" si="6"/>
        <v>15898.685349219017</v>
      </c>
      <c r="G64" s="339" t="e">
        <f t="shared" si="7"/>
        <v>#REF!</v>
      </c>
      <c r="H64" s="287" t="e">
        <f t="shared" si="8"/>
        <v>#REF!</v>
      </c>
      <c r="I64" s="287" t="e">
        <f t="shared" si="9"/>
        <v>#REF!</v>
      </c>
      <c r="J64" s="287" t="e">
        <f t="shared" si="10"/>
        <v>#REF!</v>
      </c>
      <c r="K64" s="287" t="e">
        <f t="shared" si="11"/>
        <v>#REF!</v>
      </c>
      <c r="L64" s="346" t="e">
        <f t="shared" si="12"/>
        <v>#REF!</v>
      </c>
    </row>
    <row r="65" spans="3:12" x14ac:dyDescent="0.2">
      <c r="C65" s="343">
        <v>730</v>
      </c>
      <c r="D65" s="290">
        <v>28</v>
      </c>
      <c r="E65" s="338">
        <f>VLOOKUP(C65,'[2]SLUOS Capital Charge'!$D$14:$F$220,3,FALSE)</f>
        <v>2915.8215201847547</v>
      </c>
      <c r="F65" s="339">
        <f t="shared" si="6"/>
        <v>81643.002565173127</v>
      </c>
      <c r="G65" s="339" t="e">
        <f t="shared" si="7"/>
        <v>#REF!</v>
      </c>
      <c r="H65" s="287" t="e">
        <f t="shared" si="8"/>
        <v>#REF!</v>
      </c>
      <c r="I65" s="287" t="e">
        <f t="shared" si="9"/>
        <v>#REF!</v>
      </c>
      <c r="J65" s="287" t="e">
        <f t="shared" si="10"/>
        <v>#REF!</v>
      </c>
      <c r="K65" s="287" t="e">
        <f t="shared" si="11"/>
        <v>#REF!</v>
      </c>
      <c r="L65" s="346" t="e">
        <f t="shared" si="12"/>
        <v>#REF!</v>
      </c>
    </row>
    <row r="66" spans="3:12" x14ac:dyDescent="0.2">
      <c r="C66" s="343">
        <v>740</v>
      </c>
      <c r="D66" s="290">
        <v>70</v>
      </c>
      <c r="E66" s="338">
        <f>VLOOKUP(C66,'[2]SLUOS Capital Charge'!$D$14:$F$220,3,FALSE)</f>
        <v>731.27671327999997</v>
      </c>
      <c r="F66" s="339">
        <f t="shared" si="6"/>
        <v>51189.369929599998</v>
      </c>
      <c r="G66" s="339" t="e">
        <f t="shared" si="7"/>
        <v>#REF!</v>
      </c>
      <c r="H66" s="287" t="e">
        <f t="shared" si="8"/>
        <v>#REF!</v>
      </c>
      <c r="I66" s="287" t="e">
        <f t="shared" si="9"/>
        <v>#REF!</v>
      </c>
      <c r="J66" s="287" t="e">
        <f t="shared" si="10"/>
        <v>#REF!</v>
      </c>
      <c r="K66" s="287" t="e">
        <f t="shared" si="11"/>
        <v>#REF!</v>
      </c>
      <c r="L66" s="346" t="e">
        <f t="shared" si="12"/>
        <v>#REF!</v>
      </c>
    </row>
    <row r="67" spans="3:12" x14ac:dyDescent="0.2">
      <c r="C67" s="343">
        <v>750</v>
      </c>
      <c r="D67" s="290">
        <v>3</v>
      </c>
      <c r="E67" s="338">
        <f>VLOOKUP(C67,'[2]SLUOS Capital Charge'!$D$14:$F$220,3,FALSE)</f>
        <v>1047.7046938400001</v>
      </c>
      <c r="F67" s="339">
        <f t="shared" si="6"/>
        <v>3143.1140815200006</v>
      </c>
      <c r="G67" s="339" t="e">
        <f t="shared" si="7"/>
        <v>#REF!</v>
      </c>
      <c r="H67" s="287" t="e">
        <f t="shared" si="8"/>
        <v>#REF!</v>
      </c>
      <c r="I67" s="287" t="e">
        <f t="shared" si="9"/>
        <v>#REF!</v>
      </c>
      <c r="J67" s="287" t="e">
        <f t="shared" si="10"/>
        <v>#REF!</v>
      </c>
      <c r="K67" s="287" t="e">
        <f t="shared" si="11"/>
        <v>#REF!</v>
      </c>
      <c r="L67" s="346" t="e">
        <f t="shared" si="12"/>
        <v>#REF!</v>
      </c>
    </row>
    <row r="68" spans="3:12" x14ac:dyDescent="0.2">
      <c r="C68" s="343">
        <v>760</v>
      </c>
      <c r="D68" s="290">
        <v>6</v>
      </c>
      <c r="E68" s="338">
        <f>VLOOKUP(C68,'[2]SLUOS Capital Charge'!$D$14:$F$220,3,FALSE)</f>
        <v>2408.2475632725973</v>
      </c>
      <c r="F68" s="339">
        <f t="shared" si="6"/>
        <v>14449.485379635584</v>
      </c>
      <c r="G68" s="339" t="e">
        <f t="shared" si="7"/>
        <v>#REF!</v>
      </c>
      <c r="H68" s="287" t="e">
        <f t="shared" si="8"/>
        <v>#REF!</v>
      </c>
      <c r="I68" s="287" t="e">
        <f t="shared" si="9"/>
        <v>#REF!</v>
      </c>
      <c r="J68" s="287" t="e">
        <f t="shared" si="10"/>
        <v>#REF!</v>
      </c>
      <c r="K68" s="287" t="e">
        <f t="shared" si="11"/>
        <v>#REF!</v>
      </c>
      <c r="L68" s="346" t="e">
        <f t="shared" si="12"/>
        <v>#REF!</v>
      </c>
    </row>
    <row r="69" spans="3:12" x14ac:dyDescent="0.2">
      <c r="C69" s="343">
        <v>790</v>
      </c>
      <c r="D69" s="290">
        <v>18</v>
      </c>
      <c r="E69" s="338">
        <f>VLOOKUP(C69,'[2]SLUOS Capital Charge'!$D$14:$F$220,3,FALSE)</f>
        <v>2439.0636016725975</v>
      </c>
      <c r="F69" s="339">
        <f t="shared" si="6"/>
        <v>43903.144830106758</v>
      </c>
      <c r="G69" s="339" t="e">
        <f t="shared" si="7"/>
        <v>#REF!</v>
      </c>
      <c r="H69" s="287" t="e">
        <f t="shared" si="8"/>
        <v>#REF!</v>
      </c>
      <c r="I69" s="287" t="e">
        <f t="shared" si="9"/>
        <v>#REF!</v>
      </c>
      <c r="J69" s="287" t="e">
        <f t="shared" si="10"/>
        <v>#REF!</v>
      </c>
      <c r="K69" s="287" t="e">
        <f t="shared" si="11"/>
        <v>#REF!</v>
      </c>
      <c r="L69" s="346" t="e">
        <f t="shared" si="12"/>
        <v>#REF!</v>
      </c>
    </row>
    <row r="70" spans="3:12" x14ac:dyDescent="0.2">
      <c r="C70" s="343">
        <v>810</v>
      </c>
      <c r="D70" s="290">
        <v>363</v>
      </c>
      <c r="E70" s="338">
        <f>VLOOKUP(C70,'[2]SLUOS Capital Charge'!$D$14:$F$220,3,FALSE)</f>
        <v>1563.9481779125977</v>
      </c>
      <c r="F70" s="339">
        <f t="shared" si="6"/>
        <v>567713.18858227297</v>
      </c>
      <c r="G70" s="339" t="e">
        <f t="shared" si="7"/>
        <v>#REF!</v>
      </c>
      <c r="H70" s="287" t="e">
        <f t="shared" si="8"/>
        <v>#REF!</v>
      </c>
      <c r="I70" s="287" t="e">
        <f t="shared" si="9"/>
        <v>#REF!</v>
      </c>
      <c r="J70" s="287" t="e">
        <f t="shared" si="10"/>
        <v>#REF!</v>
      </c>
      <c r="K70" s="287" t="e">
        <f t="shared" si="11"/>
        <v>#REF!</v>
      </c>
      <c r="L70" s="346" t="e">
        <f t="shared" si="12"/>
        <v>#REF!</v>
      </c>
    </row>
    <row r="71" spans="3:12" x14ac:dyDescent="0.2">
      <c r="C71" s="343">
        <v>820</v>
      </c>
      <c r="D71" s="290">
        <v>12</v>
      </c>
      <c r="E71" s="338">
        <f>VLOOKUP(C71,'[2]SLUOS Capital Charge'!$D$14:$F$220,3,FALSE)</f>
        <v>935.03189384000007</v>
      </c>
      <c r="F71" s="339">
        <f t="shared" si="6"/>
        <v>11220.382726080001</v>
      </c>
      <c r="G71" s="339" t="e">
        <f t="shared" si="7"/>
        <v>#REF!</v>
      </c>
      <c r="H71" s="287" t="e">
        <f t="shared" si="8"/>
        <v>#REF!</v>
      </c>
      <c r="I71" s="287" t="e">
        <f t="shared" si="9"/>
        <v>#REF!</v>
      </c>
      <c r="J71" s="287" t="e">
        <f t="shared" si="10"/>
        <v>#REF!</v>
      </c>
      <c r="K71" s="287" t="e">
        <f t="shared" si="11"/>
        <v>#REF!</v>
      </c>
      <c r="L71" s="346" t="e">
        <f t="shared" si="12"/>
        <v>#REF!</v>
      </c>
    </row>
    <row r="72" spans="3:12" x14ac:dyDescent="0.2">
      <c r="C72" s="343">
        <v>840</v>
      </c>
      <c r="D72" s="290">
        <v>6</v>
      </c>
      <c r="E72" s="338">
        <f>VLOOKUP(C72,'[2]SLUOS Capital Charge'!$D$14:$F$220,3,FALSE)</f>
        <v>6122.1980569466186</v>
      </c>
      <c r="F72" s="339">
        <f t="shared" si="6"/>
        <v>36733.188341679714</v>
      </c>
      <c r="G72" s="339" t="e">
        <f t="shared" si="7"/>
        <v>#REF!</v>
      </c>
      <c r="H72" s="287" t="e">
        <f t="shared" si="8"/>
        <v>#REF!</v>
      </c>
      <c r="I72" s="287" t="e">
        <f t="shared" si="9"/>
        <v>#REF!</v>
      </c>
      <c r="J72" s="287" t="e">
        <f t="shared" si="10"/>
        <v>#REF!</v>
      </c>
      <c r="K72" s="287" t="e">
        <f t="shared" si="11"/>
        <v>#REF!</v>
      </c>
      <c r="L72" s="346" t="e">
        <f t="shared" si="12"/>
        <v>#REF!</v>
      </c>
    </row>
    <row r="73" spans="3:12" x14ac:dyDescent="0.2">
      <c r="C73" s="343">
        <v>850</v>
      </c>
      <c r="D73" s="290">
        <v>4</v>
      </c>
      <c r="E73" s="338">
        <f>VLOOKUP(C73,'[2]SLUOS Capital Charge'!$D$14:$F$220,3,FALSE)</f>
        <v>5503.9736603866186</v>
      </c>
      <c r="F73" s="339">
        <f t="shared" si="6"/>
        <v>22015.894641546474</v>
      </c>
      <c r="G73" s="339" t="e">
        <f t="shared" si="7"/>
        <v>#REF!</v>
      </c>
      <c r="H73" s="287" t="e">
        <f t="shared" si="8"/>
        <v>#REF!</v>
      </c>
      <c r="I73" s="287" t="e">
        <f t="shared" si="9"/>
        <v>#REF!</v>
      </c>
      <c r="J73" s="287" t="e">
        <f t="shared" si="10"/>
        <v>#REF!</v>
      </c>
      <c r="K73" s="287" t="e">
        <f t="shared" si="11"/>
        <v>#REF!</v>
      </c>
      <c r="L73" s="346" t="e">
        <f t="shared" si="12"/>
        <v>#REF!</v>
      </c>
    </row>
    <row r="74" spans="3:12" x14ac:dyDescent="0.2">
      <c r="C74" s="343">
        <v>860</v>
      </c>
      <c r="D74" s="290">
        <v>12</v>
      </c>
      <c r="E74" s="338">
        <f>VLOOKUP(C74,'[2]SLUOS Capital Charge'!$D$14:$F$220,3,FALSE)</f>
        <v>6122.1980569466186</v>
      </c>
      <c r="F74" s="339">
        <f t="shared" si="6"/>
        <v>73466.376683359427</v>
      </c>
      <c r="G74" s="339" t="e">
        <f t="shared" si="7"/>
        <v>#REF!</v>
      </c>
      <c r="H74" s="287" t="e">
        <f t="shared" si="8"/>
        <v>#REF!</v>
      </c>
      <c r="I74" s="287" t="e">
        <f t="shared" si="9"/>
        <v>#REF!</v>
      </c>
      <c r="J74" s="287" t="e">
        <f t="shared" si="10"/>
        <v>#REF!</v>
      </c>
      <c r="K74" s="287" t="e">
        <f t="shared" si="11"/>
        <v>#REF!</v>
      </c>
      <c r="L74" s="346" t="e">
        <f t="shared" si="12"/>
        <v>#REF!</v>
      </c>
    </row>
    <row r="75" spans="3:12" x14ac:dyDescent="0.2">
      <c r="C75" s="343">
        <v>870</v>
      </c>
      <c r="D75" s="290">
        <v>36</v>
      </c>
      <c r="E75" s="338">
        <f>VLOOKUP(C75,'[2]SLUOS Capital Charge'!$D$14:$F$220,3,FALSE)</f>
        <v>6740.4224535066187</v>
      </c>
      <c r="F75" s="339">
        <f t="shared" si="6"/>
        <v>242655.20832623827</v>
      </c>
      <c r="G75" s="339" t="e">
        <f t="shared" si="7"/>
        <v>#REF!</v>
      </c>
      <c r="H75" s="287" t="e">
        <f t="shared" si="8"/>
        <v>#REF!</v>
      </c>
      <c r="I75" s="287" t="e">
        <f t="shared" si="9"/>
        <v>#REF!</v>
      </c>
      <c r="J75" s="287" t="e">
        <f t="shared" si="10"/>
        <v>#REF!</v>
      </c>
      <c r="K75" s="287" t="e">
        <f t="shared" si="11"/>
        <v>#REF!</v>
      </c>
      <c r="L75" s="346" t="e">
        <f t="shared" si="12"/>
        <v>#REF!</v>
      </c>
    </row>
    <row r="76" spans="3:12" x14ac:dyDescent="0.2">
      <c r="C76" s="343">
        <v>890</v>
      </c>
      <c r="D76" s="290">
        <v>5</v>
      </c>
      <c r="E76" s="338">
        <f>VLOOKUP(C76,'[2]SLUOS Capital Charge'!$D$14:$F$220,3,FALSE)</f>
        <v>806.39191328000004</v>
      </c>
      <c r="F76" s="339">
        <f t="shared" si="6"/>
        <v>4031.9595664000003</v>
      </c>
      <c r="G76" s="339" t="e">
        <f t="shared" si="7"/>
        <v>#REF!</v>
      </c>
      <c r="H76" s="287" t="e">
        <f t="shared" si="8"/>
        <v>#REF!</v>
      </c>
      <c r="I76" s="287" t="e">
        <f t="shared" si="9"/>
        <v>#REF!</v>
      </c>
      <c r="J76" s="287" t="e">
        <f t="shared" si="10"/>
        <v>#REF!</v>
      </c>
      <c r="K76" s="287" t="e">
        <f t="shared" si="11"/>
        <v>#REF!</v>
      </c>
      <c r="L76" s="346" t="e">
        <f t="shared" si="12"/>
        <v>#REF!</v>
      </c>
    </row>
    <row r="77" spans="3:12" x14ac:dyDescent="0.2">
      <c r="C77" s="343">
        <v>910</v>
      </c>
      <c r="D77" s="290">
        <v>4</v>
      </c>
      <c r="E77" s="338">
        <f>VLOOKUP(C77,'[2]SLUOS Capital Charge'!$D$14:$F$220,3,FALSE)</f>
        <v>1842.8185584725975</v>
      </c>
      <c r="F77" s="339">
        <f t="shared" si="6"/>
        <v>7371.27423389039</v>
      </c>
      <c r="G77" s="339" t="e">
        <f t="shared" si="7"/>
        <v>#REF!</v>
      </c>
      <c r="H77" s="287" t="e">
        <f t="shared" si="8"/>
        <v>#REF!</v>
      </c>
      <c r="I77" s="287" t="e">
        <f t="shared" si="9"/>
        <v>#REF!</v>
      </c>
      <c r="J77" s="287" t="e">
        <f t="shared" si="10"/>
        <v>#REF!</v>
      </c>
      <c r="K77" s="287" t="e">
        <f t="shared" si="11"/>
        <v>#REF!</v>
      </c>
      <c r="L77" s="346" t="e">
        <f t="shared" si="12"/>
        <v>#REF!</v>
      </c>
    </row>
    <row r="78" spans="3:12" x14ac:dyDescent="0.2">
      <c r="C78" s="343">
        <v>940</v>
      </c>
      <c r="D78" s="290">
        <v>36</v>
      </c>
      <c r="E78" s="338">
        <f>VLOOKUP(C78,'[2]SLUOS Capital Charge'!$D$14:$F$220,3,FALSE)</f>
        <v>1393.9871772799997</v>
      </c>
      <c r="F78" s="339">
        <f t="shared" si="6"/>
        <v>50183.538382079991</v>
      </c>
      <c r="G78" s="339" t="e">
        <f t="shared" si="7"/>
        <v>#REF!</v>
      </c>
      <c r="H78" s="287" t="e">
        <f t="shared" si="8"/>
        <v>#REF!</v>
      </c>
      <c r="I78" s="287" t="e">
        <f t="shared" si="9"/>
        <v>#REF!</v>
      </c>
      <c r="J78" s="287" t="e">
        <f t="shared" si="10"/>
        <v>#REF!</v>
      </c>
      <c r="K78" s="287" t="e">
        <f t="shared" si="11"/>
        <v>#REF!</v>
      </c>
      <c r="L78" s="346" t="e">
        <f t="shared" si="12"/>
        <v>#REF!</v>
      </c>
    </row>
    <row r="79" spans="3:12" x14ac:dyDescent="0.2">
      <c r="C79" s="343">
        <v>950</v>
      </c>
      <c r="D79" s="290">
        <v>38</v>
      </c>
      <c r="E79" s="338">
        <f>VLOOKUP(C79,'[2]SLUOS Capital Charge'!$D$14:$F$220,3,FALSE)</f>
        <v>1402.6369564799998</v>
      </c>
      <c r="F79" s="339">
        <f t="shared" si="6"/>
        <v>53300.204346239989</v>
      </c>
      <c r="G79" s="339" t="e">
        <f t="shared" si="7"/>
        <v>#REF!</v>
      </c>
      <c r="H79" s="287" t="e">
        <f t="shared" si="8"/>
        <v>#REF!</v>
      </c>
      <c r="I79" s="287" t="e">
        <f t="shared" si="9"/>
        <v>#REF!</v>
      </c>
      <c r="J79" s="287" t="e">
        <f t="shared" si="10"/>
        <v>#REF!</v>
      </c>
      <c r="K79" s="287" t="e">
        <f t="shared" si="11"/>
        <v>#REF!</v>
      </c>
      <c r="L79" s="346" t="e">
        <f t="shared" si="12"/>
        <v>#REF!</v>
      </c>
    </row>
    <row r="80" spans="3:12" x14ac:dyDescent="0.2">
      <c r="C80" s="343">
        <v>960</v>
      </c>
      <c r="D80" s="290">
        <v>20</v>
      </c>
      <c r="E80" s="338">
        <f>VLOOKUP(C80,'[2]SLUOS Capital Charge'!$D$14:$F$220,3,FALSE)</f>
        <v>1371.82091808</v>
      </c>
      <c r="F80" s="339">
        <f t="shared" si="6"/>
        <v>27436.418361600001</v>
      </c>
      <c r="G80" s="339" t="e">
        <f t="shared" si="7"/>
        <v>#REF!</v>
      </c>
      <c r="H80" s="287" t="e">
        <f t="shared" si="8"/>
        <v>#REF!</v>
      </c>
      <c r="I80" s="287" t="e">
        <f t="shared" si="9"/>
        <v>#REF!</v>
      </c>
      <c r="J80" s="287" t="e">
        <f t="shared" si="10"/>
        <v>#REF!</v>
      </c>
      <c r="K80" s="287" t="e">
        <f t="shared" si="11"/>
        <v>#REF!</v>
      </c>
      <c r="L80" s="346" t="e">
        <f t="shared" si="12"/>
        <v>#REF!</v>
      </c>
    </row>
    <row r="81" spans="3:12" x14ac:dyDescent="0.2">
      <c r="C81" s="343">
        <v>990</v>
      </c>
      <c r="D81" s="290">
        <v>6360</v>
      </c>
      <c r="E81" s="338">
        <f>VLOOKUP(C81,'[2]SLUOS Capital Charge'!$D$14:$F$220,3,FALSE)</f>
        <v>2636.9511396247544</v>
      </c>
      <c r="F81" s="339">
        <f t="shared" si="6"/>
        <v>16771009.248013439</v>
      </c>
      <c r="G81" s="339" t="e">
        <f t="shared" si="7"/>
        <v>#REF!</v>
      </c>
      <c r="H81" s="287" t="e">
        <f t="shared" si="8"/>
        <v>#REF!</v>
      </c>
      <c r="I81" s="287" t="e">
        <f t="shared" si="9"/>
        <v>#REF!</v>
      </c>
      <c r="J81" s="287" t="e">
        <f t="shared" si="10"/>
        <v>#REF!</v>
      </c>
      <c r="K81" s="287" t="e">
        <f t="shared" si="11"/>
        <v>#REF!</v>
      </c>
      <c r="L81" s="346" t="e">
        <f t="shared" si="12"/>
        <v>#REF!</v>
      </c>
    </row>
    <row r="82" spans="3:12" x14ac:dyDescent="0.2">
      <c r="C82" s="343">
        <v>1010</v>
      </c>
      <c r="D82" s="290">
        <v>3</v>
      </c>
      <c r="E82" s="338">
        <f>VLOOKUP(C82,'[2]SLUOS Capital Charge'!$D$14:$F$220,3,FALSE)</f>
        <v>1363.9737372799998</v>
      </c>
      <c r="F82" s="339">
        <f t="shared" si="6"/>
        <v>4091.9212118399992</v>
      </c>
      <c r="G82" s="339" t="e">
        <f t="shared" si="7"/>
        <v>#REF!</v>
      </c>
      <c r="H82" s="287" t="e">
        <f t="shared" si="8"/>
        <v>#REF!</v>
      </c>
      <c r="I82" s="287" t="e">
        <f t="shared" si="9"/>
        <v>#REF!</v>
      </c>
      <c r="J82" s="287" t="e">
        <f t="shared" si="10"/>
        <v>#REF!</v>
      </c>
      <c r="K82" s="287" t="e">
        <f t="shared" si="11"/>
        <v>#REF!</v>
      </c>
      <c r="L82" s="346" t="e">
        <f t="shared" si="12"/>
        <v>#REF!</v>
      </c>
    </row>
    <row r="83" spans="3:12" x14ac:dyDescent="0.2">
      <c r="C83" s="343">
        <v>1020</v>
      </c>
      <c r="D83" s="290">
        <v>3</v>
      </c>
      <c r="E83" s="338">
        <f>VLOOKUP(C83,'[2]SLUOS Capital Charge'!$D$14:$F$220,3,FALSE)</f>
        <v>1761.1133530399998</v>
      </c>
      <c r="F83" s="339">
        <f t="shared" si="6"/>
        <v>5283.3400591199988</v>
      </c>
      <c r="G83" s="339" t="e">
        <f t="shared" si="7"/>
        <v>#REF!</v>
      </c>
      <c r="H83" s="287" t="e">
        <f t="shared" si="8"/>
        <v>#REF!</v>
      </c>
      <c r="I83" s="287" t="e">
        <f t="shared" si="9"/>
        <v>#REF!</v>
      </c>
      <c r="J83" s="287" t="e">
        <f t="shared" si="10"/>
        <v>#REF!</v>
      </c>
      <c r="K83" s="287" t="e">
        <f t="shared" si="11"/>
        <v>#REF!</v>
      </c>
      <c r="L83" s="346" t="e">
        <f t="shared" si="12"/>
        <v>#REF!</v>
      </c>
    </row>
    <row r="84" spans="3:12" x14ac:dyDescent="0.2">
      <c r="C84" s="343">
        <v>1030</v>
      </c>
      <c r="D84" s="290">
        <v>97</v>
      </c>
      <c r="E84" s="338">
        <f>VLOOKUP(C84,'[2]SLUOS Capital Charge'!$D$14:$F$220,3,FALSE)</f>
        <v>1594.7472412799998</v>
      </c>
      <c r="F84" s="339">
        <f t="shared" ref="F84:F94" si="13">E84*D84</f>
        <v>154690.48240415999</v>
      </c>
      <c r="G84" s="339" t="e">
        <f t="shared" ref="G84:G94" si="14">F84*$E$15</f>
        <v>#REF!</v>
      </c>
      <c r="H84" s="287" t="e">
        <f t="shared" ref="H84:H94" si="15">G84/D84</f>
        <v>#REF!</v>
      </c>
      <c r="I84" s="287" t="e">
        <f t="shared" ref="I84:I94" si="16">H84/($E$11-$E$10)</f>
        <v>#REF!</v>
      </c>
      <c r="J84" s="287" t="e">
        <f t="shared" ref="J84:J95" si="17">$I$11*F84/$F$95</f>
        <v>#REF!</v>
      </c>
      <c r="K84" s="287" t="e">
        <f t="shared" ref="K84:K94" si="18">J84/D84</f>
        <v>#REF!</v>
      </c>
      <c r="L84" s="346" t="e">
        <f t="shared" ref="L84:L94" si="19">K84+I84</f>
        <v>#REF!</v>
      </c>
    </row>
    <row r="85" spans="3:12" x14ac:dyDescent="0.2">
      <c r="C85" s="343">
        <v>1050</v>
      </c>
      <c r="D85" s="290">
        <v>4</v>
      </c>
      <c r="E85" s="338">
        <f>VLOOKUP(C85,'[2]SLUOS Capital Charge'!$D$14:$F$220,3,FALSE)</f>
        <v>6740.4224535066187</v>
      </c>
      <c r="F85" s="339">
        <f t="shared" si="13"/>
        <v>26961.689814026475</v>
      </c>
      <c r="G85" s="339" t="e">
        <f t="shared" si="14"/>
        <v>#REF!</v>
      </c>
      <c r="H85" s="287" t="e">
        <f t="shared" si="15"/>
        <v>#REF!</v>
      </c>
      <c r="I85" s="287" t="e">
        <f t="shared" si="16"/>
        <v>#REF!</v>
      </c>
      <c r="J85" s="287" t="e">
        <f t="shared" si="17"/>
        <v>#REF!</v>
      </c>
      <c r="K85" s="287" t="e">
        <f t="shared" si="18"/>
        <v>#REF!</v>
      </c>
      <c r="L85" s="346" t="e">
        <f t="shared" si="19"/>
        <v>#REF!</v>
      </c>
    </row>
    <row r="86" spans="3:12" x14ac:dyDescent="0.2">
      <c r="C86" s="343">
        <v>1070</v>
      </c>
      <c r="D86" s="290">
        <v>10</v>
      </c>
      <c r="E86" s="338">
        <f>VLOOKUP(C86,'[2]SLUOS Capital Charge'!$D$14:$F$220,3,FALSE)</f>
        <v>2174.1834099125972</v>
      </c>
      <c r="F86" s="339">
        <f t="shared" si="13"/>
        <v>21741.834099125972</v>
      </c>
      <c r="G86" s="339" t="e">
        <f t="shared" si="14"/>
        <v>#REF!</v>
      </c>
      <c r="H86" s="287" t="e">
        <f t="shared" si="15"/>
        <v>#REF!</v>
      </c>
      <c r="I86" s="287" t="e">
        <f t="shared" si="16"/>
        <v>#REF!</v>
      </c>
      <c r="J86" s="287" t="e">
        <f t="shared" si="17"/>
        <v>#REF!</v>
      </c>
      <c r="K86" s="287" t="e">
        <f t="shared" si="18"/>
        <v>#REF!</v>
      </c>
      <c r="L86" s="346" t="e">
        <f t="shared" si="19"/>
        <v>#REF!</v>
      </c>
    </row>
    <row r="87" spans="3:12" x14ac:dyDescent="0.2">
      <c r="C87" s="343">
        <v>1100</v>
      </c>
      <c r="D87" s="290">
        <v>10</v>
      </c>
      <c r="E87" s="338">
        <f>VLOOKUP(C87,'[2]SLUOS Capital Charge'!$D$14:$F$220,3,FALSE)</f>
        <v>2247.8870899125977</v>
      </c>
      <c r="F87" s="339">
        <f t="shared" si="13"/>
        <v>22478.870899125977</v>
      </c>
      <c r="G87" s="339" t="e">
        <f t="shared" si="14"/>
        <v>#REF!</v>
      </c>
      <c r="H87" s="287" t="e">
        <f t="shared" si="15"/>
        <v>#REF!</v>
      </c>
      <c r="I87" s="287" t="e">
        <f t="shared" si="16"/>
        <v>#REF!</v>
      </c>
      <c r="J87" s="287" t="e">
        <f t="shared" si="17"/>
        <v>#REF!</v>
      </c>
      <c r="K87" s="287" t="e">
        <f t="shared" si="18"/>
        <v>#REF!</v>
      </c>
      <c r="L87" s="346" t="e">
        <f t="shared" si="19"/>
        <v>#REF!</v>
      </c>
    </row>
    <row r="88" spans="3:12" x14ac:dyDescent="0.2">
      <c r="C88" s="343">
        <v>1120</v>
      </c>
      <c r="D88" s="290">
        <v>6</v>
      </c>
      <c r="E88" s="338">
        <f>VLOOKUP(C88,'[2]SLUOS Capital Charge'!$D$14:$F$220,3,FALSE)</f>
        <v>2977.7166756247543</v>
      </c>
      <c r="F88" s="339">
        <f t="shared" si="13"/>
        <v>17866.300053748528</v>
      </c>
      <c r="G88" s="339" t="e">
        <f t="shared" si="14"/>
        <v>#REF!</v>
      </c>
      <c r="H88" s="287" t="e">
        <f t="shared" si="15"/>
        <v>#REF!</v>
      </c>
      <c r="I88" s="287" t="e">
        <f t="shared" si="16"/>
        <v>#REF!</v>
      </c>
      <c r="J88" s="287" t="e">
        <f t="shared" si="17"/>
        <v>#REF!</v>
      </c>
      <c r="K88" s="287" t="e">
        <f t="shared" si="18"/>
        <v>#REF!</v>
      </c>
      <c r="L88" s="346" t="e">
        <f t="shared" si="19"/>
        <v>#REF!</v>
      </c>
    </row>
    <row r="89" spans="3:12" x14ac:dyDescent="0.2">
      <c r="C89" s="343">
        <v>1130</v>
      </c>
      <c r="D89" s="290">
        <v>4</v>
      </c>
      <c r="E89" s="338">
        <f>VLOOKUP(C89,'[2]SLUOS Capital Charge'!$D$14:$F$220,3,FALSE)</f>
        <v>3669.6447521847549</v>
      </c>
      <c r="F89" s="339">
        <f t="shared" si="13"/>
        <v>14678.57900873902</v>
      </c>
      <c r="G89" s="339" t="e">
        <f t="shared" si="14"/>
        <v>#REF!</v>
      </c>
      <c r="H89" s="287" t="e">
        <f t="shared" si="15"/>
        <v>#REF!</v>
      </c>
      <c r="I89" s="287" t="e">
        <f t="shared" si="16"/>
        <v>#REF!</v>
      </c>
      <c r="J89" s="287" t="e">
        <f t="shared" si="17"/>
        <v>#REF!</v>
      </c>
      <c r="K89" s="287" t="e">
        <f t="shared" si="18"/>
        <v>#REF!</v>
      </c>
      <c r="L89" s="346" t="e">
        <f t="shared" si="19"/>
        <v>#REF!</v>
      </c>
    </row>
    <row r="90" spans="3:12" x14ac:dyDescent="0.2">
      <c r="C90" s="343">
        <v>1160</v>
      </c>
      <c r="D90" s="290">
        <v>2</v>
      </c>
      <c r="E90" s="338">
        <f>VLOOKUP(C90,'[2]SLUOS Capital Charge'!$D$14:$F$220,3,FALSE)</f>
        <v>2718.7041264725976</v>
      </c>
      <c r="F90" s="339">
        <f t="shared" si="13"/>
        <v>5437.4082529451953</v>
      </c>
      <c r="G90" s="339" t="e">
        <f t="shared" si="14"/>
        <v>#REF!</v>
      </c>
      <c r="H90" s="287" t="e">
        <f t="shared" si="15"/>
        <v>#REF!</v>
      </c>
      <c r="I90" s="287" t="e">
        <f t="shared" si="16"/>
        <v>#REF!</v>
      </c>
      <c r="J90" s="287" t="e">
        <f t="shared" si="17"/>
        <v>#REF!</v>
      </c>
      <c r="K90" s="287" t="e">
        <f t="shared" si="18"/>
        <v>#REF!</v>
      </c>
      <c r="L90" s="346" t="e">
        <f t="shared" si="19"/>
        <v>#REF!</v>
      </c>
    </row>
    <row r="91" spans="3:12" x14ac:dyDescent="0.2">
      <c r="C91" s="343">
        <v>1170</v>
      </c>
      <c r="D91" s="290">
        <v>3</v>
      </c>
      <c r="E91" s="338">
        <f>VLOOKUP(C91,'[2]SLUOS Capital Charge'!$D$14:$F$220,3,FALSE)</f>
        <v>3051.4203556247548</v>
      </c>
      <c r="F91" s="339">
        <f t="shared" si="13"/>
        <v>9154.2610668742636</v>
      </c>
      <c r="G91" s="339" t="e">
        <f t="shared" si="14"/>
        <v>#REF!</v>
      </c>
      <c r="H91" s="287" t="e">
        <f t="shared" si="15"/>
        <v>#REF!</v>
      </c>
      <c r="I91" s="287" t="e">
        <f t="shared" si="16"/>
        <v>#REF!</v>
      </c>
      <c r="J91" s="287" t="e">
        <f t="shared" si="17"/>
        <v>#REF!</v>
      </c>
      <c r="K91" s="287" t="e">
        <f t="shared" si="18"/>
        <v>#REF!</v>
      </c>
      <c r="L91" s="346" t="e">
        <f t="shared" si="19"/>
        <v>#REF!</v>
      </c>
    </row>
    <row r="92" spans="3:12" x14ac:dyDescent="0.2">
      <c r="C92" s="343">
        <v>1180</v>
      </c>
      <c r="D92" s="290">
        <v>2</v>
      </c>
      <c r="E92" s="338">
        <f>VLOOKUP(C92,'[2]SLUOS Capital Charge'!$D$14:$F$220,3,FALSE)</f>
        <v>872.38619828000014</v>
      </c>
      <c r="F92" s="339">
        <f t="shared" si="13"/>
        <v>1744.7723965600003</v>
      </c>
      <c r="G92" s="339" t="e">
        <f t="shared" si="14"/>
        <v>#REF!</v>
      </c>
      <c r="H92" s="287" t="e">
        <f t="shared" si="15"/>
        <v>#REF!</v>
      </c>
      <c r="I92" s="287" t="e">
        <f t="shared" si="16"/>
        <v>#REF!</v>
      </c>
      <c r="J92" s="287" t="e">
        <f t="shared" si="17"/>
        <v>#REF!</v>
      </c>
      <c r="K92" s="287" t="e">
        <f t="shared" si="18"/>
        <v>#REF!</v>
      </c>
      <c r="L92" s="346" t="e">
        <f t="shared" si="19"/>
        <v>#REF!</v>
      </c>
    </row>
    <row r="93" spans="3:12" x14ac:dyDescent="0.2">
      <c r="C93" s="343">
        <v>1200</v>
      </c>
      <c r="D93" s="290">
        <v>4</v>
      </c>
      <c r="E93" s="338">
        <f>VLOOKUP(C93,'[2]SLUOS Capital Charge'!$D$14:$F$220,3,FALSE)</f>
        <v>1421.0060444000001</v>
      </c>
      <c r="F93" s="339">
        <f t="shared" si="13"/>
        <v>5684.0241776000003</v>
      </c>
      <c r="G93" s="339" t="e">
        <f t="shared" si="14"/>
        <v>#REF!</v>
      </c>
      <c r="H93" s="287" t="e">
        <f t="shared" si="15"/>
        <v>#REF!</v>
      </c>
      <c r="I93" s="287" t="e">
        <f t="shared" si="16"/>
        <v>#REF!</v>
      </c>
      <c r="J93" s="287" t="e">
        <f t="shared" si="17"/>
        <v>#REF!</v>
      </c>
      <c r="K93" s="287" t="e">
        <f t="shared" si="18"/>
        <v>#REF!</v>
      </c>
      <c r="L93" s="346" t="e">
        <f t="shared" si="19"/>
        <v>#REF!</v>
      </c>
    </row>
    <row r="94" spans="3:12" x14ac:dyDescent="0.2">
      <c r="C94" s="344">
        <v>1250</v>
      </c>
      <c r="D94" s="291">
        <v>3</v>
      </c>
      <c r="E94" s="340">
        <f>VLOOKUP(C94,'[2]SLUOS Capital Charge'!$D$14:$F$220,3,FALSE)</f>
        <v>3484.3358830325978</v>
      </c>
      <c r="F94" s="341">
        <f t="shared" si="13"/>
        <v>10453.007649097794</v>
      </c>
      <c r="G94" s="341" t="e">
        <f t="shared" si="14"/>
        <v>#REF!</v>
      </c>
      <c r="H94" s="288" t="e">
        <f t="shared" si="15"/>
        <v>#REF!</v>
      </c>
      <c r="I94" s="288" t="e">
        <f t="shared" si="16"/>
        <v>#REF!</v>
      </c>
      <c r="J94" s="288" t="e">
        <f t="shared" si="17"/>
        <v>#REF!</v>
      </c>
      <c r="K94" s="288" t="e">
        <f t="shared" si="18"/>
        <v>#REF!</v>
      </c>
      <c r="L94" s="347" t="e">
        <f t="shared" si="19"/>
        <v>#REF!</v>
      </c>
    </row>
    <row r="95" spans="3:12" x14ac:dyDescent="0.2">
      <c r="D95" s="292">
        <f>SUM(D19:D94)</f>
        <v>58084</v>
      </c>
      <c r="F95" s="348" t="e">
        <f>SUM(F19:F94)</f>
        <v>#REF!</v>
      </c>
      <c r="G95" s="349"/>
      <c r="J95" s="350" t="e">
        <f t="shared" si="17"/>
        <v>#REF!</v>
      </c>
    </row>
  </sheetData>
  <mergeCells count="4">
    <mergeCell ref="G10:H10"/>
    <mergeCell ref="G11:H11"/>
    <mergeCell ref="G12:H12"/>
    <mergeCell ref="G13:H13"/>
  </mergeCells>
  <phoneticPr fontId="2"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N822"/>
  <sheetViews>
    <sheetView topLeftCell="A4" workbookViewId="0">
      <selection activeCell="E15" sqref="E15"/>
    </sheetView>
  </sheetViews>
  <sheetFormatPr defaultRowHeight="12.75" x14ac:dyDescent="0.2"/>
  <cols>
    <col min="1" max="1" width="12.7109375" customWidth="1"/>
    <col min="2" max="2" width="13" customWidth="1"/>
    <col min="3" max="5" width="12.85546875" customWidth="1"/>
    <col min="6" max="6" width="14.7109375" customWidth="1"/>
    <col min="7" max="7" width="10.42578125" customWidth="1"/>
    <col min="8" max="14" width="10.85546875" customWidth="1"/>
  </cols>
  <sheetData>
    <row r="1" spans="1:40" ht="25.5" x14ac:dyDescent="0.35">
      <c r="A1" s="5" t="s">
        <v>200</v>
      </c>
      <c r="E1" s="516"/>
      <c r="F1" s="51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row>
    <row r="2" spans="1:40" ht="13.7" customHeight="1" x14ac:dyDescent="0.2">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row>
    <row r="3" spans="1:40" x14ac:dyDescent="0.2">
      <c r="A3" s="8" t="s">
        <v>965</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row>
    <row r="4" spans="1:40" x14ac:dyDescent="0.2">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row>
    <row r="5" spans="1:40" x14ac:dyDescent="0.2">
      <c r="A5" s="6" t="s">
        <v>209</v>
      </c>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row>
    <row r="6" spans="1:40" x14ac:dyDescent="0.2">
      <c r="A6" s="6" t="s">
        <v>255</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row>
    <row r="7" spans="1:40" x14ac:dyDescent="0.2">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row>
    <row r="8" spans="1:40" x14ac:dyDescent="0.2">
      <c r="A8" s="8" t="s">
        <v>270</v>
      </c>
      <c r="B8" s="6"/>
      <c r="D8" s="560"/>
      <c r="E8" s="560"/>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row>
    <row r="9" spans="1:40" ht="13.5" thickBot="1" x14ac:dyDescent="0.25">
      <c r="A9" s="6"/>
      <c r="B9" s="6"/>
      <c r="C9" s="6"/>
      <c r="D9" s="6"/>
      <c r="E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row>
    <row r="10" spans="1:40" x14ac:dyDescent="0.2">
      <c r="A10" s="561" t="s">
        <v>2054</v>
      </c>
      <c r="B10" s="562"/>
      <c r="C10" s="563"/>
      <c r="E10" s="568" t="s">
        <v>2054</v>
      </c>
      <c r="F10" s="568"/>
      <c r="G10" s="568"/>
      <c r="H10" s="391"/>
      <c r="I10" s="571" t="s">
        <v>2054</v>
      </c>
      <c r="J10" s="572"/>
      <c r="K10" s="572"/>
      <c r="L10" s="573"/>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row>
    <row r="11" spans="1:40" ht="36.75" customHeight="1" x14ac:dyDescent="0.2">
      <c r="A11" s="564" t="s">
        <v>2055</v>
      </c>
      <c r="B11" s="565"/>
      <c r="C11" s="566"/>
      <c r="E11" s="567" t="s">
        <v>2055</v>
      </c>
      <c r="F11" s="567"/>
      <c r="G11" s="567"/>
      <c r="H11" s="377"/>
      <c r="I11" s="574" t="s">
        <v>2055</v>
      </c>
      <c r="J11" s="575"/>
      <c r="K11" s="575"/>
      <c r="L11" s="57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row>
    <row r="12" spans="1:40" x14ac:dyDescent="0.2">
      <c r="A12" s="577" t="s">
        <v>2056</v>
      </c>
      <c r="B12" s="62" t="s">
        <v>1290</v>
      </c>
      <c r="C12" s="62" t="s">
        <v>1291</v>
      </c>
      <c r="E12" s="577" t="s">
        <v>2056</v>
      </c>
      <c r="F12" s="62" t="s">
        <v>1290</v>
      </c>
      <c r="G12" s="62" t="s">
        <v>1291</v>
      </c>
      <c r="H12" s="6"/>
      <c r="I12" s="569" t="s">
        <v>2056</v>
      </c>
      <c r="J12" s="387" t="s">
        <v>1290</v>
      </c>
      <c r="K12" s="387" t="s">
        <v>1290</v>
      </c>
      <c r="L12" s="392" t="s">
        <v>1291</v>
      </c>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40" x14ac:dyDescent="0.2">
      <c r="A13" s="578"/>
      <c r="B13" s="368" t="s">
        <v>831</v>
      </c>
      <c r="C13" s="62"/>
      <c r="E13" s="578"/>
      <c r="F13" s="368" t="s">
        <v>830</v>
      </c>
      <c r="G13" s="62"/>
      <c r="H13" s="6"/>
      <c r="I13" s="569"/>
      <c r="J13" s="388" t="s">
        <v>831</v>
      </c>
      <c r="K13" s="388" t="s">
        <v>830</v>
      </c>
      <c r="L13" s="388" t="s">
        <v>830</v>
      </c>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40" ht="13.5" thickBot="1" x14ac:dyDescent="0.25">
      <c r="A14" s="579"/>
      <c r="B14" s="272" t="s">
        <v>1292</v>
      </c>
      <c r="C14" s="272" t="s">
        <v>1293</v>
      </c>
      <c r="E14" s="579"/>
      <c r="F14" s="272" t="s">
        <v>1292</v>
      </c>
      <c r="G14" s="272" t="s">
        <v>1293</v>
      </c>
      <c r="H14" s="6"/>
      <c r="I14" s="570"/>
      <c r="J14" s="403" t="s">
        <v>1292</v>
      </c>
      <c r="K14" s="403" t="s">
        <v>1292</v>
      </c>
      <c r="L14" s="404" t="s">
        <v>1293</v>
      </c>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40" x14ac:dyDescent="0.2">
      <c r="A15" s="322">
        <v>1</v>
      </c>
      <c r="B15" s="325">
        <f>VLOOKUP(A15,'RAB Calculations 10yr'!$A$22:$J$119,10,FALSE)</f>
        <v>0</v>
      </c>
      <c r="C15" s="323">
        <v>0</v>
      </c>
      <c r="E15" s="322">
        <v>1</v>
      </c>
      <c r="F15" s="325">
        <v>0</v>
      </c>
      <c r="G15" s="323">
        <v>0</v>
      </c>
      <c r="H15" s="6"/>
      <c r="I15" s="400">
        <v>1</v>
      </c>
      <c r="J15" s="401">
        <f>VLOOKUP(I15,'RAB Calculations 10yr'!$A$22:$J$119,10,FALSE)</f>
        <v>0</v>
      </c>
      <c r="K15" s="401">
        <v>0</v>
      </c>
      <c r="L15" s="402">
        <v>0</v>
      </c>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40" x14ac:dyDescent="0.2">
      <c r="A16" s="324">
        <v>5</v>
      </c>
      <c r="B16" s="325">
        <f>VLOOKUP(A16,'RAB Calculations 10yr'!$A$22:$J$119,10,FALSE)</f>
        <v>0</v>
      </c>
      <c r="C16" s="325">
        <v>0</v>
      </c>
      <c r="E16" s="324">
        <v>5</v>
      </c>
      <c r="F16" s="325">
        <v>0</v>
      </c>
      <c r="G16" s="325">
        <v>0</v>
      </c>
      <c r="H16" s="6"/>
      <c r="I16" s="393">
        <v>5</v>
      </c>
      <c r="J16" s="389">
        <f>VLOOKUP(I16,'RAB Calculations 10yr'!$A$22:$J$119,10,FALSE)</f>
        <v>0</v>
      </c>
      <c r="K16" s="389">
        <v>0</v>
      </c>
      <c r="L16" s="394">
        <v>0</v>
      </c>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x14ac:dyDescent="0.2">
      <c r="A17" s="324">
        <v>10</v>
      </c>
      <c r="B17" s="325">
        <f>VLOOKUP(A17,'RAB Calculations 10yr'!$A$22:$J$119,10,FALSE)</f>
        <v>17.255027166785979</v>
      </c>
      <c r="C17" s="325">
        <v>0</v>
      </c>
      <c r="E17" s="324">
        <v>10</v>
      </c>
      <c r="F17" s="325">
        <v>21.887497717034414</v>
      </c>
      <c r="G17" s="325">
        <v>0</v>
      </c>
      <c r="H17" s="6"/>
      <c r="I17" s="393">
        <v>10</v>
      </c>
      <c r="J17" s="389">
        <f>VLOOKUP(I17,'RAB Calculations 10yr'!$A$22:$J$119,10,FALSE)</f>
        <v>17.255027166785979</v>
      </c>
      <c r="K17" s="389">
        <v>21.887497717034414</v>
      </c>
      <c r="L17" s="394">
        <v>0</v>
      </c>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x14ac:dyDescent="0.2">
      <c r="A18" s="324">
        <v>20</v>
      </c>
      <c r="B18" s="325">
        <f>VLOOKUP(A18,'RAB Calculations 10yr'!$A$22:$J$119,10,FALSE)</f>
        <v>32.500655058222634</v>
      </c>
      <c r="C18" s="325">
        <v>0</v>
      </c>
      <c r="E18" s="324">
        <v>20</v>
      </c>
      <c r="F18" s="325">
        <v>41.226131174006881</v>
      </c>
      <c r="G18" s="325">
        <v>0</v>
      </c>
      <c r="H18" s="6"/>
      <c r="I18" s="393">
        <v>20</v>
      </c>
      <c r="J18" s="389">
        <f>VLOOKUP(I18,'RAB Calculations 10yr'!$A$22:$J$119,10,FALSE)</f>
        <v>32.500655058222634</v>
      </c>
      <c r="K18" s="389">
        <v>41.226131174006881</v>
      </c>
      <c r="L18" s="394">
        <v>0</v>
      </c>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x14ac:dyDescent="0.2">
      <c r="A19" s="324">
        <v>30</v>
      </c>
      <c r="B19" s="325">
        <f>VLOOKUP(A19,'RAB Calculations 10yr'!$A$22:$J$119,10,FALSE)</f>
        <v>32.642120539558654</v>
      </c>
      <c r="C19" s="325">
        <v>0</v>
      </c>
      <c r="E19" s="324">
        <v>30</v>
      </c>
      <c r="F19" s="325">
        <v>41.405576003032792</v>
      </c>
      <c r="G19" s="325">
        <v>0</v>
      </c>
      <c r="H19" s="6"/>
      <c r="I19" s="393">
        <v>30</v>
      </c>
      <c r="J19" s="389">
        <f>VLOOKUP(I19,'RAB Calculations 10yr'!$A$22:$J$119,10,FALSE)</f>
        <v>32.642120539558654</v>
      </c>
      <c r="K19" s="389">
        <v>41.405576003032792</v>
      </c>
      <c r="L19" s="394">
        <v>0</v>
      </c>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x14ac:dyDescent="0.2">
      <c r="A20" s="324">
        <v>40</v>
      </c>
      <c r="B20" s="325">
        <f>VLOOKUP(A20,'RAB Calculations 10yr'!$A$22:$J$119,10,FALSE)</f>
        <v>18.483521869130684</v>
      </c>
      <c r="C20" s="325">
        <v>0</v>
      </c>
      <c r="E20" s="324">
        <v>40</v>
      </c>
      <c r="F20" s="325">
        <v>23.445807346631316</v>
      </c>
      <c r="G20" s="325">
        <v>0</v>
      </c>
      <c r="H20" s="6"/>
      <c r="I20" s="393">
        <v>40</v>
      </c>
      <c r="J20" s="389">
        <f>VLOOKUP(I20,'RAB Calculations 10yr'!$A$22:$J$119,10,FALSE)</f>
        <v>18.483521869130684</v>
      </c>
      <c r="K20" s="389">
        <v>23.445807346631316</v>
      </c>
      <c r="L20" s="394">
        <v>0</v>
      </c>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x14ac:dyDescent="0.2">
      <c r="A21" s="324">
        <v>50</v>
      </c>
      <c r="B21" s="325">
        <f>VLOOKUP(A21,'RAB Calculations 10yr'!$A$22:$J$119,10,FALSE)</f>
        <v>32.009790998230237</v>
      </c>
      <c r="C21" s="325">
        <v>0</v>
      </c>
      <c r="E21" s="324">
        <v>50</v>
      </c>
      <c r="F21" s="325">
        <v>40.603484458437606</v>
      </c>
      <c r="G21" s="325">
        <v>0</v>
      </c>
      <c r="H21" s="6"/>
      <c r="I21" s="393">
        <v>50</v>
      </c>
      <c r="J21" s="389">
        <f>VLOOKUP(I21,'RAB Calculations 10yr'!$A$22:$J$119,10,FALSE)</f>
        <v>32.009790998230237</v>
      </c>
      <c r="K21" s="389">
        <v>40.603484458437606</v>
      </c>
      <c r="L21" s="394">
        <v>0</v>
      </c>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x14ac:dyDescent="0.2">
      <c r="A22" s="324">
        <v>60</v>
      </c>
      <c r="B22" s="325">
        <f>VLOOKUP(A22,'RAB Calculations 10yr'!$A$22:$J$119,10,FALSE)</f>
        <v>32.138130136529035</v>
      </c>
      <c r="C22" s="325">
        <v>0</v>
      </c>
      <c r="E22" s="324">
        <v>60</v>
      </c>
      <c r="F22" s="325">
        <v>40.766278904912198</v>
      </c>
      <c r="G22" s="325">
        <v>0</v>
      </c>
      <c r="H22" s="6"/>
      <c r="I22" s="393">
        <v>60</v>
      </c>
      <c r="J22" s="389">
        <f>VLOOKUP(I22,'RAB Calculations 10yr'!$A$22:$J$119,10,FALSE)</f>
        <v>32.138130136529035</v>
      </c>
      <c r="K22" s="389">
        <v>40.766278904912198</v>
      </c>
      <c r="L22" s="394">
        <v>0</v>
      </c>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x14ac:dyDescent="0.2">
      <c r="A23" s="324">
        <v>70</v>
      </c>
      <c r="B23" s="325">
        <f>VLOOKUP(A23,'RAB Calculations 10yr'!$A$22:$J$119,10,FALSE)</f>
        <v>35.784047435083579</v>
      </c>
      <c r="C23" s="325">
        <v>0</v>
      </c>
      <c r="E23" s="324">
        <v>70</v>
      </c>
      <c r="F23" s="325">
        <v>45.391018453408257</v>
      </c>
      <c r="G23" s="325">
        <v>0</v>
      </c>
      <c r="H23" s="6"/>
      <c r="I23" s="393">
        <v>70</v>
      </c>
      <c r="J23" s="389">
        <f>VLOOKUP(I23,'RAB Calculations 10yr'!$A$22:$J$119,10,FALSE)</f>
        <v>35.784047435083579</v>
      </c>
      <c r="K23" s="389">
        <v>45.391018453408257</v>
      </c>
      <c r="L23" s="394">
        <v>0</v>
      </c>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x14ac:dyDescent="0.2">
      <c r="A24" s="324">
        <v>80</v>
      </c>
      <c r="B24" s="325" t="e">
        <f>VLOOKUP(A24,'RAB Calculations 10yr'!$A$22:$J$119,10,FALSE)</f>
        <v>#N/A</v>
      </c>
      <c r="C24" s="325">
        <v>0</v>
      </c>
      <c r="E24" s="324">
        <v>80</v>
      </c>
      <c r="F24" s="325" t="e">
        <v>#N/A</v>
      </c>
      <c r="G24" s="325">
        <v>0</v>
      </c>
      <c r="H24" s="6"/>
      <c r="I24" s="393">
        <v>80</v>
      </c>
      <c r="J24" s="389" t="e">
        <f>VLOOKUP(I24,'RAB Calculations 10yr'!$A$22:$J$119,10,FALSE)</f>
        <v>#N/A</v>
      </c>
      <c r="K24" s="389" t="e">
        <v>#N/A</v>
      </c>
      <c r="L24" s="394">
        <v>0</v>
      </c>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x14ac:dyDescent="0.2">
      <c r="A25" s="324">
        <v>90</v>
      </c>
      <c r="B25" s="325">
        <f>VLOOKUP(A25,'RAB Calculations 10yr'!$A$22:$J$119,10,FALSE)</f>
        <v>19.562845754409921</v>
      </c>
      <c r="C25" s="325">
        <v>0</v>
      </c>
      <c r="E25" s="324">
        <v>90</v>
      </c>
      <c r="F25" s="325">
        <v>24.814898154002691</v>
      </c>
      <c r="G25" s="325">
        <v>0</v>
      </c>
      <c r="H25" s="6"/>
      <c r="I25" s="393">
        <v>90</v>
      </c>
      <c r="J25" s="389">
        <f>VLOOKUP(I25,'RAB Calculations 10yr'!$A$22:$J$119,10,FALSE)</f>
        <v>19.562845754409921</v>
      </c>
      <c r="K25" s="389">
        <v>24.814898154002691</v>
      </c>
      <c r="L25" s="394">
        <v>0</v>
      </c>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x14ac:dyDescent="0.2">
      <c r="A26" s="324">
        <v>100</v>
      </c>
      <c r="B26" s="325" t="e">
        <f>VLOOKUP(A26,'RAB Calculations 10yr'!$A$22:$J$119,10,FALSE)</f>
        <v>#N/A</v>
      </c>
      <c r="C26" s="325">
        <v>0</v>
      </c>
      <c r="E26" s="324">
        <v>100</v>
      </c>
      <c r="F26" s="325" t="e">
        <v>#N/A</v>
      </c>
      <c r="G26" s="325">
        <v>0</v>
      </c>
      <c r="H26" s="6"/>
      <c r="I26" s="393">
        <v>100</v>
      </c>
      <c r="J26" s="389" t="e">
        <f>VLOOKUP(I26,'RAB Calculations 10yr'!$A$22:$J$119,10,FALSE)</f>
        <v>#N/A</v>
      </c>
      <c r="K26" s="389" t="e">
        <v>#N/A</v>
      </c>
      <c r="L26" s="394">
        <v>0</v>
      </c>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x14ac:dyDescent="0.2">
      <c r="A27" s="324">
        <v>110</v>
      </c>
      <c r="B27" s="325">
        <f>VLOOKUP(A27,'RAB Calculations 10yr'!$A$22:$J$119,10,FALSE)</f>
        <v>8.1913367400317085</v>
      </c>
      <c r="C27" s="325">
        <v>0</v>
      </c>
      <c r="E27" s="324">
        <v>110</v>
      </c>
      <c r="F27" s="325">
        <v>10.390471279118792</v>
      </c>
      <c r="G27" s="325">
        <v>0</v>
      </c>
      <c r="H27" s="6"/>
      <c r="I27" s="393">
        <v>110</v>
      </c>
      <c r="J27" s="389">
        <f>VLOOKUP(I27,'RAB Calculations 10yr'!$A$22:$J$119,10,FALSE)</f>
        <v>8.1913367400317085</v>
      </c>
      <c r="K27" s="389">
        <v>10.390471279118792</v>
      </c>
      <c r="L27" s="394">
        <v>0</v>
      </c>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x14ac:dyDescent="0.2">
      <c r="A28" s="324">
        <v>120</v>
      </c>
      <c r="B28" s="325">
        <f>VLOOKUP(A28,'RAB Calculations 10yr'!$A$22:$J$119,10,FALSE)</f>
        <v>60.355285078550516</v>
      </c>
      <c r="C28" s="325">
        <v>0</v>
      </c>
      <c r="E28" s="324">
        <v>120</v>
      </c>
      <c r="F28" s="325">
        <v>76.558915358334843</v>
      </c>
      <c r="G28" s="325">
        <v>0</v>
      </c>
      <c r="H28" s="6"/>
      <c r="I28" s="393">
        <v>120</v>
      </c>
      <c r="J28" s="389">
        <f>VLOOKUP(I28,'RAB Calculations 10yr'!$A$22:$J$119,10,FALSE)</f>
        <v>60.355285078550516</v>
      </c>
      <c r="K28" s="389">
        <v>76.558915358334843</v>
      </c>
      <c r="L28" s="394">
        <v>0</v>
      </c>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x14ac:dyDescent="0.2">
      <c r="A29" s="324">
        <v>130</v>
      </c>
      <c r="B29" s="325" t="e">
        <f>VLOOKUP(A29,'RAB Calculations 10yr'!$A$22:$J$119,10,FALSE)</f>
        <v>#N/A</v>
      </c>
      <c r="C29" s="325">
        <v>0</v>
      </c>
      <c r="E29" s="324">
        <v>130</v>
      </c>
      <c r="F29" s="325" t="e">
        <v>#N/A</v>
      </c>
      <c r="G29" s="325">
        <v>0</v>
      </c>
      <c r="H29" s="6"/>
      <c r="I29" s="393">
        <v>130</v>
      </c>
      <c r="J29" s="389" t="e">
        <f>VLOOKUP(I29,'RAB Calculations 10yr'!$A$22:$J$119,10,FALSE)</f>
        <v>#N/A</v>
      </c>
      <c r="K29" s="389" t="e">
        <v>#N/A</v>
      </c>
      <c r="L29" s="394">
        <v>0</v>
      </c>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x14ac:dyDescent="0.2">
      <c r="A30" s="324">
        <v>140</v>
      </c>
      <c r="B30" s="325">
        <f>VLOOKUP(A30,'RAB Calculations 10yr'!$A$22:$J$119,10,FALSE)</f>
        <v>53.463964116286228</v>
      </c>
      <c r="C30" s="325">
        <v>0</v>
      </c>
      <c r="E30" s="324">
        <v>140</v>
      </c>
      <c r="F30" s="325">
        <v>67.817476102924729</v>
      </c>
      <c r="G30" s="325">
        <v>0</v>
      </c>
      <c r="H30" s="6"/>
      <c r="I30" s="393">
        <v>140</v>
      </c>
      <c r="J30" s="389">
        <f>VLOOKUP(I30,'RAB Calculations 10yr'!$A$22:$J$119,10,FALSE)</f>
        <v>53.463964116286228</v>
      </c>
      <c r="K30" s="389">
        <v>67.817476102924729</v>
      </c>
      <c r="L30" s="394">
        <v>0</v>
      </c>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x14ac:dyDescent="0.2">
      <c r="A31" s="324">
        <v>150</v>
      </c>
      <c r="B31" s="325" t="e">
        <f>VLOOKUP(A31,'RAB Calculations 10yr'!$A$22:$J$119,10,FALSE)</f>
        <v>#N/A</v>
      </c>
      <c r="C31" s="325">
        <v>0</v>
      </c>
      <c r="E31" s="324">
        <v>150</v>
      </c>
      <c r="F31" s="325" t="e">
        <v>#N/A</v>
      </c>
      <c r="G31" s="325">
        <v>0</v>
      </c>
      <c r="H31" s="6"/>
      <c r="I31" s="393">
        <v>150</v>
      </c>
      <c r="J31" s="389" t="e">
        <f>VLOOKUP(I31,'RAB Calculations 10yr'!$A$22:$J$119,10,FALSE)</f>
        <v>#N/A</v>
      </c>
      <c r="K31" s="389" t="e">
        <v>#N/A</v>
      </c>
      <c r="L31" s="394">
        <v>0</v>
      </c>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x14ac:dyDescent="0.2">
      <c r="A32" s="324">
        <v>140</v>
      </c>
      <c r="B32" s="325">
        <f>VLOOKUP(A32,'RAB Calculations 10yr'!$A$22:$J$119,10,FALSE)</f>
        <v>53.463964116286228</v>
      </c>
      <c r="C32" s="325">
        <v>0</v>
      </c>
      <c r="E32" s="324">
        <v>140</v>
      </c>
      <c r="F32" s="325">
        <v>67.817476102924729</v>
      </c>
      <c r="G32" s="325">
        <v>0</v>
      </c>
      <c r="H32" s="6"/>
      <c r="I32" s="393">
        <v>140</v>
      </c>
      <c r="J32" s="389">
        <f>VLOOKUP(I32,'RAB Calculations 10yr'!$A$22:$J$119,10,FALSE)</f>
        <v>53.463964116286228</v>
      </c>
      <c r="K32" s="389">
        <v>67.817476102924729</v>
      </c>
      <c r="L32" s="394">
        <v>0</v>
      </c>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x14ac:dyDescent="0.2">
      <c r="A33" s="324">
        <v>170</v>
      </c>
      <c r="B33" s="325">
        <f>VLOOKUP(A33,'RAB Calculations 10yr'!$A$22:$J$119,10,FALSE)</f>
        <v>88.561479773931197</v>
      </c>
      <c r="C33" s="325">
        <v>0</v>
      </c>
      <c r="E33" s="324">
        <v>170</v>
      </c>
      <c r="F33" s="325">
        <v>112.33764905918515</v>
      </c>
      <c r="G33" s="325">
        <v>0</v>
      </c>
      <c r="H33" s="6"/>
      <c r="I33" s="393">
        <v>170</v>
      </c>
      <c r="J33" s="389">
        <f>VLOOKUP(I33,'RAB Calculations 10yr'!$A$22:$J$119,10,FALSE)</f>
        <v>88.561479773931197</v>
      </c>
      <c r="K33" s="389">
        <v>112.33764905918515</v>
      </c>
      <c r="L33" s="394">
        <v>0</v>
      </c>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x14ac:dyDescent="0.2">
      <c r="A34" s="324">
        <v>180</v>
      </c>
      <c r="B34" s="325" t="e">
        <f>VLOOKUP(A34,'RAB Calculations 10yr'!$A$22:$J$119,10,FALSE)</f>
        <v>#N/A</v>
      </c>
      <c r="C34" s="325">
        <v>0</v>
      </c>
      <c r="E34" s="324">
        <v>180</v>
      </c>
      <c r="F34" s="325" t="e">
        <v>#N/A</v>
      </c>
      <c r="G34" s="325">
        <v>0</v>
      </c>
      <c r="H34" s="6"/>
      <c r="I34" s="393">
        <v>180</v>
      </c>
      <c r="J34" s="389" t="e">
        <f>VLOOKUP(I34,'RAB Calculations 10yr'!$A$22:$J$119,10,FALSE)</f>
        <v>#N/A</v>
      </c>
      <c r="K34" s="389" t="e">
        <v>#N/A</v>
      </c>
      <c r="L34" s="394">
        <v>0</v>
      </c>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x14ac:dyDescent="0.2">
      <c r="A35" s="324">
        <v>190</v>
      </c>
      <c r="B35" s="325">
        <f>VLOOKUP(A35,'RAB Calculations 10yr'!$A$22:$J$119,10,FALSE)</f>
        <v>137.96112170810926</v>
      </c>
      <c r="C35" s="325">
        <v>0</v>
      </c>
      <c r="E35" s="324">
        <v>190</v>
      </c>
      <c r="F35" s="325">
        <v>174.99965124588107</v>
      </c>
      <c r="G35" s="325">
        <v>0</v>
      </c>
      <c r="H35" s="6"/>
      <c r="I35" s="393">
        <v>190</v>
      </c>
      <c r="J35" s="389">
        <f>VLOOKUP(I35,'RAB Calculations 10yr'!$A$22:$J$119,10,FALSE)</f>
        <v>137.96112170810926</v>
      </c>
      <c r="K35" s="389">
        <v>174.99965124588107</v>
      </c>
      <c r="L35" s="394">
        <v>0</v>
      </c>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x14ac:dyDescent="0.2">
      <c r="A36" s="324">
        <v>200</v>
      </c>
      <c r="B36" s="325">
        <f>VLOOKUP(A36,'RAB Calculations 10yr'!$A$22:$J$119,10,FALSE)</f>
        <v>66.401773420098948</v>
      </c>
      <c r="C36" s="325">
        <v>0</v>
      </c>
      <c r="E36" s="324">
        <v>200</v>
      </c>
      <c r="F36" s="325">
        <v>84.228709122928919</v>
      </c>
      <c r="G36" s="325">
        <v>0</v>
      </c>
      <c r="H36" s="6"/>
      <c r="I36" s="393">
        <v>200</v>
      </c>
      <c r="J36" s="389">
        <f>VLOOKUP(I36,'RAB Calculations 10yr'!$A$22:$J$119,10,FALSE)</f>
        <v>66.401773420098948</v>
      </c>
      <c r="K36" s="389">
        <v>84.228709122928919</v>
      </c>
      <c r="L36" s="394">
        <v>0</v>
      </c>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x14ac:dyDescent="0.2">
      <c r="A37" s="324">
        <v>210</v>
      </c>
      <c r="B37" s="325">
        <f>VLOOKUP(A37,'RAB Calculations 10yr'!$A$22:$J$119,10,FALSE)</f>
        <v>66.543238901434947</v>
      </c>
      <c r="C37" s="325">
        <v>0</v>
      </c>
      <c r="E37" s="324">
        <v>210</v>
      </c>
      <c r="F37" s="325">
        <v>84.40815395195483</v>
      </c>
      <c r="G37" s="325">
        <v>0</v>
      </c>
      <c r="H37" s="6"/>
      <c r="I37" s="393">
        <v>210</v>
      </c>
      <c r="J37" s="389">
        <f>VLOOKUP(I37,'RAB Calculations 10yr'!$A$22:$J$119,10,FALSE)</f>
        <v>66.543238901434947</v>
      </c>
      <c r="K37" s="389">
        <v>84.40815395195483</v>
      </c>
      <c r="L37" s="394">
        <v>0</v>
      </c>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x14ac:dyDescent="0.2">
      <c r="A38" s="324">
        <v>220</v>
      </c>
      <c r="B38" s="325">
        <f>VLOOKUP(A38,'RAB Calculations 10yr'!$A$22:$J$119,10,FALSE)</f>
        <v>65.91090936010653</v>
      </c>
      <c r="C38" s="325">
        <v>0</v>
      </c>
      <c r="E38" s="324">
        <v>220</v>
      </c>
      <c r="F38" s="325">
        <v>83.606062407359644</v>
      </c>
      <c r="G38" s="325">
        <v>0</v>
      </c>
      <c r="H38" s="6"/>
      <c r="I38" s="393">
        <v>220</v>
      </c>
      <c r="J38" s="389">
        <f>VLOOKUP(I38,'RAB Calculations 10yr'!$A$22:$J$119,10,FALSE)</f>
        <v>65.91090936010653</v>
      </c>
      <c r="K38" s="389">
        <v>83.606062407359644</v>
      </c>
      <c r="L38" s="394">
        <v>0</v>
      </c>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x14ac:dyDescent="0.2">
      <c r="A39" s="324">
        <v>230</v>
      </c>
      <c r="B39" s="325">
        <f>VLOOKUP(A39,'RAB Calculations 10yr'!$A$22:$J$119,10,FALSE)</f>
        <v>66.039248498405314</v>
      </c>
      <c r="C39" s="325">
        <v>0</v>
      </c>
      <c r="E39" s="324">
        <v>230</v>
      </c>
      <c r="F39" s="325">
        <v>83.768856853834222</v>
      </c>
      <c r="G39" s="325">
        <v>0</v>
      </c>
      <c r="H39" s="6"/>
      <c r="I39" s="393">
        <v>230</v>
      </c>
      <c r="J39" s="389">
        <f>VLOOKUP(I39,'RAB Calculations 10yr'!$A$22:$J$119,10,FALSE)</f>
        <v>66.039248498405314</v>
      </c>
      <c r="K39" s="389">
        <v>83.768856853834222</v>
      </c>
      <c r="L39" s="394">
        <v>0</v>
      </c>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x14ac:dyDescent="0.2">
      <c r="A40" s="324">
        <v>240</v>
      </c>
      <c r="B40" s="325">
        <f>VLOOKUP(A40,'RAB Calculations 10yr'!$A$22:$J$119,10,FALSE)</f>
        <v>69.685165796959865</v>
      </c>
      <c r="C40" s="325">
        <v>0</v>
      </c>
      <c r="E40" s="324">
        <v>240</v>
      </c>
      <c r="F40" s="325">
        <v>88.393596402330274</v>
      </c>
      <c r="G40" s="325">
        <v>0</v>
      </c>
      <c r="H40" s="6"/>
      <c r="I40" s="393">
        <v>240</v>
      </c>
      <c r="J40" s="389">
        <f>VLOOKUP(I40,'RAB Calculations 10yr'!$A$22:$J$119,10,FALSE)</f>
        <v>69.685165796959865</v>
      </c>
      <c r="K40" s="389">
        <v>88.393596402330274</v>
      </c>
      <c r="L40" s="394">
        <v>0</v>
      </c>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2">
      <c r="A41" s="324">
        <v>250</v>
      </c>
      <c r="B41" s="325">
        <f>VLOOKUP(A41,'RAB Calculations 10yr'!$A$22:$J$119,10,FALSE)</f>
        <v>171.86224006998557</v>
      </c>
      <c r="C41" s="325">
        <v>0</v>
      </c>
      <c r="E41" s="324">
        <v>250</v>
      </c>
      <c r="F41" s="325">
        <v>218.00222919480308</v>
      </c>
      <c r="G41" s="325">
        <v>0</v>
      </c>
      <c r="H41" s="6"/>
      <c r="I41" s="393">
        <v>250</v>
      </c>
      <c r="J41" s="389">
        <f>VLOOKUP(I41,'RAB Calculations 10yr'!$A$22:$J$119,10,FALSE)</f>
        <v>171.86224006998557</v>
      </c>
      <c r="K41" s="389">
        <v>218.00222919480308</v>
      </c>
      <c r="L41" s="394">
        <v>0</v>
      </c>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2">
      <c r="A42" s="324">
        <v>260</v>
      </c>
      <c r="B42" s="325" t="e">
        <f>VLOOKUP(A42,'RAB Calculations 10yr'!$A$22:$J$119,10,FALSE)</f>
        <v>#N/A</v>
      </c>
      <c r="C42" s="325">
        <v>0</v>
      </c>
      <c r="E42" s="324">
        <v>260</v>
      </c>
      <c r="F42" s="325" t="e">
        <v>#N/A</v>
      </c>
      <c r="G42" s="325">
        <v>0</v>
      </c>
      <c r="H42" s="6"/>
      <c r="I42" s="393">
        <v>260</v>
      </c>
      <c r="J42" s="389" t="e">
        <f>VLOOKUP(I42,'RAB Calculations 10yr'!$A$22:$J$119,10,FALSE)</f>
        <v>#N/A</v>
      </c>
      <c r="K42" s="389" t="e">
        <v>#N/A</v>
      </c>
      <c r="L42" s="394">
        <v>0</v>
      </c>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2">
      <c r="A43" s="324">
        <v>270</v>
      </c>
      <c r="B43" s="325">
        <f>VLOOKUP(A43,'RAB Calculations 10yr'!$A$22:$J$119,10,FALSE)</f>
        <v>200.25475215839111</v>
      </c>
      <c r="C43" s="325">
        <v>0</v>
      </c>
      <c r="E43" s="324">
        <v>270</v>
      </c>
      <c r="F43" s="325" t="e">
        <v>#N/A</v>
      </c>
      <c r="G43" s="325">
        <v>0</v>
      </c>
      <c r="H43" s="6"/>
      <c r="I43" s="393">
        <v>270</v>
      </c>
      <c r="J43" s="389">
        <f>VLOOKUP(I43,'RAB Calculations 10yr'!$A$22:$J$119,10,FALSE)</f>
        <v>200.25475215839111</v>
      </c>
      <c r="K43" s="389" t="e">
        <v>#N/A</v>
      </c>
      <c r="L43" s="394">
        <v>0</v>
      </c>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2">
      <c r="A44" s="324">
        <v>280</v>
      </c>
      <c r="B44" s="325" t="e">
        <f>VLOOKUP(A44,'RAB Calculations 10yr'!$A$22:$J$119,10,FALSE)</f>
        <v>#N/A</v>
      </c>
      <c r="C44" s="325">
        <v>0</v>
      </c>
      <c r="E44" s="324">
        <v>280</v>
      </c>
      <c r="F44" s="325" t="e">
        <v>#N/A</v>
      </c>
      <c r="G44" s="325">
        <v>0</v>
      </c>
      <c r="H44" s="6"/>
      <c r="I44" s="393">
        <v>280</v>
      </c>
      <c r="J44" s="389" t="e">
        <f>VLOOKUP(I44,'RAB Calculations 10yr'!$A$22:$J$119,10,FALSE)</f>
        <v>#N/A</v>
      </c>
      <c r="K44" s="389" t="e">
        <v>#N/A</v>
      </c>
      <c r="L44" s="394">
        <v>0</v>
      </c>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x14ac:dyDescent="0.2">
      <c r="A45" s="324">
        <v>290</v>
      </c>
      <c r="B45" s="325">
        <f>VLOOKUP(A45,'RAB Calculations 10yr'!$A$22:$J$119,10,FALSE)</f>
        <v>92.68503859372899</v>
      </c>
      <c r="C45" s="325">
        <v>0</v>
      </c>
      <c r="E45" s="324">
        <v>290</v>
      </c>
      <c r="F45" s="325">
        <v>117.5682629192497</v>
      </c>
      <c r="G45" s="325">
        <v>0</v>
      </c>
      <c r="H45" s="6"/>
      <c r="I45" s="393">
        <v>290</v>
      </c>
      <c r="J45" s="389">
        <f>VLOOKUP(I45,'RAB Calculations 10yr'!$A$22:$J$119,10,FALSE)</f>
        <v>92.68503859372899</v>
      </c>
      <c r="K45" s="389">
        <v>117.5682629192497</v>
      </c>
      <c r="L45" s="394">
        <v>0</v>
      </c>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x14ac:dyDescent="0.2">
      <c r="A46" s="324">
        <v>300</v>
      </c>
      <c r="B46" s="325">
        <f>VLOOKUP(A46,'RAB Calculations 10yr'!$A$22:$J$119,10,FALSE)</f>
        <v>92.826504075065003</v>
      </c>
      <c r="C46" s="325">
        <v>0</v>
      </c>
      <c r="E46" s="324">
        <v>300</v>
      </c>
      <c r="F46" s="325">
        <v>117.74770774827562</v>
      </c>
      <c r="G46" s="325">
        <v>0</v>
      </c>
      <c r="H46" s="6"/>
      <c r="I46" s="393">
        <v>300</v>
      </c>
      <c r="J46" s="389">
        <f>VLOOKUP(I46,'RAB Calculations 10yr'!$A$22:$J$119,10,FALSE)</f>
        <v>92.826504075065003</v>
      </c>
      <c r="K46" s="389">
        <v>117.74770774827562</v>
      </c>
      <c r="L46" s="394">
        <v>0</v>
      </c>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
      <c r="A47" s="324">
        <v>310</v>
      </c>
      <c r="B47" s="325">
        <f>VLOOKUP(A47,'RAB Calculations 10yr'!$A$22:$J$119,10,FALSE)</f>
        <v>92.1941745337366</v>
      </c>
      <c r="C47" s="325">
        <v>0</v>
      </c>
      <c r="E47" s="324">
        <v>310</v>
      </c>
      <c r="F47" s="325">
        <v>116.94561620368043</v>
      </c>
      <c r="G47" s="325">
        <v>0</v>
      </c>
      <c r="H47" s="6"/>
      <c r="I47" s="393">
        <v>310</v>
      </c>
      <c r="J47" s="389">
        <f>VLOOKUP(I47,'RAB Calculations 10yr'!$A$22:$J$119,10,FALSE)</f>
        <v>92.1941745337366</v>
      </c>
      <c r="K47" s="389">
        <v>116.94561620368043</v>
      </c>
      <c r="L47" s="394">
        <v>0</v>
      </c>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
      <c r="A48" s="324">
        <v>320</v>
      </c>
      <c r="B48" s="325">
        <f>VLOOKUP(A48,'RAB Calculations 10yr'!$A$22:$J$119,10,FALSE)</f>
        <v>92.322513672035399</v>
      </c>
      <c r="C48" s="325">
        <v>0</v>
      </c>
      <c r="E48" s="324">
        <v>320</v>
      </c>
      <c r="F48" s="325">
        <v>117.10841065015505</v>
      </c>
      <c r="G48" s="325">
        <v>0</v>
      </c>
      <c r="H48" s="6"/>
      <c r="I48" s="393">
        <v>320</v>
      </c>
      <c r="J48" s="389">
        <f>VLOOKUP(I48,'RAB Calculations 10yr'!$A$22:$J$119,10,FALSE)</f>
        <v>92.322513672035399</v>
      </c>
      <c r="K48" s="389">
        <v>117.10841065015505</v>
      </c>
      <c r="L48" s="394">
        <v>0</v>
      </c>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x14ac:dyDescent="0.2">
      <c r="A49" s="324">
        <v>330</v>
      </c>
      <c r="B49" s="325">
        <f>VLOOKUP(A49,'RAB Calculations 10yr'!$A$22:$J$119,10,FALSE)</f>
        <v>95.968430970589921</v>
      </c>
      <c r="C49" s="325">
        <v>0</v>
      </c>
      <c r="E49" s="324">
        <v>330</v>
      </c>
      <c r="F49" s="325">
        <v>121.73315019865107</v>
      </c>
      <c r="G49" s="325">
        <v>0</v>
      </c>
      <c r="H49" s="6"/>
      <c r="I49" s="393">
        <v>330</v>
      </c>
      <c r="J49" s="389">
        <f>VLOOKUP(I49,'RAB Calculations 10yr'!$A$22:$J$119,10,FALSE)</f>
        <v>95.968430970589921</v>
      </c>
      <c r="K49" s="389">
        <v>121.73315019865107</v>
      </c>
      <c r="L49" s="394">
        <v>0</v>
      </c>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x14ac:dyDescent="0.2">
      <c r="A50" s="324">
        <v>340</v>
      </c>
      <c r="B50" s="325" t="e">
        <f>VLOOKUP(A50,'RAB Calculations 10yr'!$A$22:$J$119,10,FALSE)</f>
        <v>#N/A</v>
      </c>
      <c r="C50" s="325">
        <v>0</v>
      </c>
      <c r="E50" s="324">
        <v>340</v>
      </c>
      <c r="F50" s="325" t="e">
        <v>#N/A</v>
      </c>
      <c r="G50" s="325">
        <v>0</v>
      </c>
      <c r="H50" s="6"/>
      <c r="I50" s="393">
        <v>340</v>
      </c>
      <c r="J50" s="389" t="e">
        <f>VLOOKUP(I50,'RAB Calculations 10yr'!$A$22:$J$119,10,FALSE)</f>
        <v>#N/A</v>
      </c>
      <c r="K50" s="389" t="e">
        <v>#N/A</v>
      </c>
      <c r="L50" s="394">
        <v>0</v>
      </c>
      <c r="M50" s="6"/>
      <c r="N50" s="6"/>
      <c r="O50" s="6"/>
      <c r="P50" s="6"/>
      <c r="Q50" s="6"/>
      <c r="R50" s="6"/>
      <c r="S50" s="6"/>
      <c r="T50" s="6"/>
      <c r="U50" s="6"/>
      <c r="V50" s="6"/>
      <c r="W50" s="6"/>
      <c r="X50" s="6"/>
      <c r="Y50" s="6"/>
      <c r="Z50" s="6"/>
      <c r="AA50" s="6"/>
      <c r="AB50" s="6"/>
      <c r="AC50" s="6"/>
      <c r="AD50" s="6"/>
      <c r="AE50" s="6"/>
      <c r="AF50" s="6"/>
      <c r="AG50" s="6"/>
      <c r="AH50" s="6"/>
      <c r="AI50" s="6"/>
      <c r="AJ50" s="6"/>
      <c r="AK50" s="6"/>
    </row>
    <row r="51" spans="1:37" x14ac:dyDescent="0.2">
      <c r="A51" s="324">
        <v>350</v>
      </c>
      <c r="B51" s="325">
        <f>VLOOKUP(A51,'RAB Calculations 10yr'!$A$22:$J$119,10,FALSE)</f>
        <v>52.384640231006998</v>
      </c>
      <c r="C51" s="325">
        <v>0</v>
      </c>
      <c r="E51" s="324">
        <v>350</v>
      </c>
      <c r="F51" s="325">
        <v>66.448385295553337</v>
      </c>
      <c r="G51" s="325">
        <v>0</v>
      </c>
      <c r="H51" s="6"/>
      <c r="I51" s="393">
        <v>350</v>
      </c>
      <c r="J51" s="389">
        <f>VLOOKUP(I51,'RAB Calculations 10yr'!$A$22:$J$119,10,FALSE)</f>
        <v>52.384640231006998</v>
      </c>
      <c r="K51" s="389">
        <v>66.448385295553337</v>
      </c>
      <c r="L51" s="394">
        <v>0</v>
      </c>
      <c r="M51" s="6"/>
      <c r="N51" s="6"/>
      <c r="O51" s="6"/>
      <c r="P51" s="6"/>
      <c r="Q51" s="6"/>
      <c r="R51" s="6"/>
      <c r="S51" s="6"/>
      <c r="T51" s="6"/>
      <c r="U51" s="6"/>
      <c r="V51" s="6"/>
      <c r="W51" s="6"/>
      <c r="X51" s="6"/>
      <c r="Y51" s="6"/>
      <c r="Z51" s="6"/>
      <c r="AA51" s="6"/>
      <c r="AB51" s="6"/>
      <c r="AC51" s="6"/>
      <c r="AD51" s="6"/>
      <c r="AE51" s="6"/>
      <c r="AF51" s="6"/>
      <c r="AG51" s="6"/>
      <c r="AH51" s="6"/>
      <c r="AI51" s="6"/>
      <c r="AJ51" s="6"/>
      <c r="AK51" s="6"/>
    </row>
    <row r="52" spans="1:37" x14ac:dyDescent="0.2">
      <c r="A52" s="324">
        <v>360</v>
      </c>
      <c r="B52" s="325">
        <f>VLOOKUP(A52,'RAB Calculations 10yr'!$A$22:$J$119,10,FALSE)</f>
        <v>87.482155888651974</v>
      </c>
      <c r="C52" s="325">
        <v>0</v>
      </c>
      <c r="E52" s="324">
        <v>360</v>
      </c>
      <c r="F52" s="325">
        <v>110.96855825181379</v>
      </c>
      <c r="G52" s="325">
        <v>0</v>
      </c>
      <c r="H52" s="6"/>
      <c r="I52" s="393">
        <v>360</v>
      </c>
      <c r="J52" s="389">
        <f>VLOOKUP(I52,'RAB Calculations 10yr'!$A$22:$J$119,10,FALSE)</f>
        <v>87.482155888651974</v>
      </c>
      <c r="K52" s="389">
        <v>110.96855825181379</v>
      </c>
      <c r="L52" s="394">
        <v>0</v>
      </c>
      <c r="M52" s="6"/>
      <c r="N52" s="6"/>
      <c r="O52" s="6"/>
      <c r="P52" s="6"/>
      <c r="Q52" s="6"/>
      <c r="R52" s="6"/>
      <c r="S52" s="6"/>
      <c r="T52" s="6"/>
      <c r="U52" s="6"/>
      <c r="V52" s="6"/>
      <c r="W52" s="6"/>
      <c r="X52" s="6"/>
      <c r="Y52" s="6"/>
      <c r="Z52" s="6"/>
      <c r="AA52" s="6"/>
      <c r="AB52" s="6"/>
      <c r="AC52" s="6"/>
      <c r="AD52" s="6"/>
      <c r="AE52" s="6"/>
      <c r="AF52" s="6"/>
      <c r="AG52" s="6"/>
      <c r="AH52" s="6"/>
      <c r="AI52" s="6"/>
      <c r="AJ52" s="6"/>
      <c r="AK52" s="6"/>
    </row>
    <row r="53" spans="1:37" x14ac:dyDescent="0.2">
      <c r="A53" s="324">
        <v>370</v>
      </c>
      <c r="B53" s="325">
        <f>VLOOKUP(A53,'RAB Calculations 10yr'!$A$22:$J$119,10,FALSE)</f>
        <v>105.78116986969529</v>
      </c>
      <c r="C53" s="325">
        <v>0</v>
      </c>
      <c r="E53" s="324">
        <v>370</v>
      </c>
      <c r="F53" s="325">
        <v>134.18032273428432</v>
      </c>
      <c r="G53" s="325">
        <v>0</v>
      </c>
      <c r="H53" s="6"/>
      <c r="I53" s="393">
        <v>370</v>
      </c>
      <c r="J53" s="389">
        <f>VLOOKUP(I53,'RAB Calculations 10yr'!$A$22:$J$119,10,FALSE)</f>
        <v>105.78116986969529</v>
      </c>
      <c r="K53" s="389">
        <v>134.18032273428432</v>
      </c>
      <c r="L53" s="394">
        <v>0</v>
      </c>
      <c r="M53" s="6"/>
      <c r="N53" s="6"/>
      <c r="O53" s="6"/>
      <c r="P53" s="6"/>
      <c r="Q53" s="6"/>
      <c r="R53" s="6"/>
      <c r="S53" s="6"/>
      <c r="T53" s="6"/>
      <c r="U53" s="6"/>
      <c r="V53" s="6"/>
      <c r="W53" s="6"/>
      <c r="X53" s="6"/>
      <c r="Y53" s="6"/>
      <c r="Z53" s="6"/>
      <c r="AA53" s="6"/>
      <c r="AB53" s="6"/>
      <c r="AC53" s="6"/>
      <c r="AD53" s="6"/>
      <c r="AE53" s="6"/>
      <c r="AF53" s="6"/>
      <c r="AG53" s="6"/>
      <c r="AH53" s="6"/>
      <c r="AI53" s="6"/>
      <c r="AJ53" s="6"/>
      <c r="AK53" s="6"/>
    </row>
    <row r="54" spans="1:37" x14ac:dyDescent="0.2">
      <c r="A54" s="324">
        <v>380</v>
      </c>
      <c r="B54" s="325">
        <f>VLOOKUP(A54,'RAB Calculations 10yr'!$A$22:$J$119,10,FALSE)</f>
        <v>106.06410083236733</v>
      </c>
      <c r="C54" s="325">
        <v>0</v>
      </c>
      <c r="E54" s="324">
        <v>380</v>
      </c>
      <c r="F54" s="325">
        <v>134.53921239233614</v>
      </c>
      <c r="G54" s="325">
        <v>0</v>
      </c>
      <c r="H54" s="6"/>
      <c r="I54" s="393">
        <v>380</v>
      </c>
      <c r="J54" s="389">
        <f>VLOOKUP(I54,'RAB Calculations 10yr'!$A$22:$J$119,10,FALSE)</f>
        <v>106.06410083236733</v>
      </c>
      <c r="K54" s="389">
        <v>134.53921239233614</v>
      </c>
      <c r="L54" s="394">
        <v>0</v>
      </c>
      <c r="M54" s="6"/>
      <c r="N54" s="6"/>
      <c r="O54" s="6"/>
      <c r="P54" s="6"/>
      <c r="Q54" s="6"/>
      <c r="R54" s="6"/>
      <c r="S54" s="6"/>
      <c r="T54" s="6"/>
      <c r="U54" s="6"/>
      <c r="V54" s="6"/>
      <c r="W54" s="6"/>
      <c r="X54" s="6"/>
      <c r="Y54" s="6"/>
      <c r="Z54" s="6"/>
      <c r="AA54" s="6"/>
      <c r="AB54" s="6"/>
      <c r="AC54" s="6"/>
      <c r="AD54" s="6"/>
      <c r="AE54" s="6"/>
      <c r="AF54" s="6"/>
      <c r="AG54" s="6"/>
      <c r="AH54" s="6"/>
      <c r="AI54" s="6"/>
      <c r="AJ54" s="6"/>
      <c r="AK54" s="6"/>
    </row>
    <row r="55" spans="1:37" x14ac:dyDescent="0.2">
      <c r="A55" s="324">
        <v>390</v>
      </c>
      <c r="B55" s="325">
        <f>VLOOKUP(A55,'RAB Calculations 10yr'!$A$22:$J$119,10,FALSE)</f>
        <v>105.05612002630808</v>
      </c>
      <c r="C55" s="325">
        <v>0</v>
      </c>
      <c r="E55" s="324">
        <v>390</v>
      </c>
      <c r="F55" s="325">
        <v>133.26061819609492</v>
      </c>
      <c r="G55" s="325">
        <v>0</v>
      </c>
      <c r="H55" s="6"/>
      <c r="I55" s="393">
        <v>390</v>
      </c>
      <c r="J55" s="389">
        <f>VLOOKUP(I55,'RAB Calculations 10yr'!$A$22:$J$119,10,FALSE)</f>
        <v>105.05612002630808</v>
      </c>
      <c r="K55" s="389">
        <v>133.26061819609492</v>
      </c>
      <c r="L55" s="394">
        <v>0</v>
      </c>
      <c r="M55" s="6"/>
      <c r="N55" s="6"/>
      <c r="O55" s="6"/>
      <c r="P55" s="6"/>
      <c r="Q55" s="6"/>
      <c r="R55" s="6"/>
      <c r="S55" s="6"/>
      <c r="T55" s="6"/>
      <c r="U55" s="6"/>
      <c r="V55" s="6"/>
      <c r="W55" s="6"/>
      <c r="X55" s="6"/>
      <c r="Y55" s="6"/>
      <c r="Z55" s="6"/>
      <c r="AA55" s="6"/>
      <c r="AB55" s="6"/>
      <c r="AC55" s="6"/>
      <c r="AD55" s="6"/>
      <c r="AE55" s="6"/>
      <c r="AF55" s="6"/>
      <c r="AG55" s="6"/>
      <c r="AH55" s="6"/>
      <c r="AI55" s="6"/>
      <c r="AJ55" s="6"/>
      <c r="AK55" s="6"/>
    </row>
    <row r="56" spans="1:37" x14ac:dyDescent="0.2">
      <c r="A56" s="324">
        <v>400</v>
      </c>
      <c r="B56" s="325">
        <f>VLOOKUP(A56,'RAB Calculations 10yr'!$A$22:$J$119,10,FALSE)</f>
        <v>112.34795462341719</v>
      </c>
      <c r="C56" s="325">
        <v>0</v>
      </c>
      <c r="E56" s="324">
        <v>400</v>
      </c>
      <c r="F56" s="325">
        <v>142.51009729308706</v>
      </c>
      <c r="G56" s="325">
        <v>0</v>
      </c>
      <c r="H56" s="6"/>
      <c r="I56" s="393">
        <v>400</v>
      </c>
      <c r="J56" s="389">
        <f>VLOOKUP(I56,'RAB Calculations 10yr'!$A$22:$J$119,10,FALSE)</f>
        <v>112.34795462341719</v>
      </c>
      <c r="K56" s="389">
        <v>142.51009729308706</v>
      </c>
      <c r="L56" s="394">
        <v>0</v>
      </c>
      <c r="M56" s="6"/>
      <c r="N56" s="6"/>
      <c r="O56" s="6"/>
      <c r="P56" s="6"/>
      <c r="Q56" s="6"/>
      <c r="R56" s="6"/>
      <c r="S56" s="6"/>
      <c r="T56" s="6"/>
      <c r="U56" s="6"/>
      <c r="V56" s="6"/>
      <c r="W56" s="6"/>
      <c r="X56" s="6"/>
      <c r="Y56" s="6"/>
      <c r="Z56" s="6"/>
      <c r="AA56" s="6"/>
      <c r="AB56" s="6"/>
      <c r="AC56" s="6"/>
      <c r="AD56" s="6"/>
      <c r="AE56" s="6"/>
      <c r="AF56" s="6"/>
      <c r="AG56" s="6"/>
      <c r="AH56" s="6"/>
      <c r="AI56" s="6"/>
      <c r="AJ56" s="6"/>
      <c r="AK56" s="6"/>
    </row>
    <row r="57" spans="1:37" x14ac:dyDescent="0.2">
      <c r="A57" s="324">
        <v>410</v>
      </c>
      <c r="B57" s="325" t="e">
        <f>VLOOKUP(A57,'RAB Calculations 10yr'!$A$22:$J$119,10,FALSE)</f>
        <v>#N/A</v>
      </c>
      <c r="C57" s="325">
        <v>0</v>
      </c>
      <c r="E57" s="324">
        <v>410</v>
      </c>
      <c r="F57" s="325" t="e">
        <v>#N/A</v>
      </c>
      <c r="G57" s="325">
        <v>0</v>
      </c>
      <c r="H57" s="6"/>
      <c r="I57" s="393">
        <v>410</v>
      </c>
      <c r="J57" s="389" t="e">
        <f>VLOOKUP(I57,'RAB Calculations 10yr'!$A$22:$J$119,10,FALSE)</f>
        <v>#N/A</v>
      </c>
      <c r="K57" s="389" t="e">
        <v>#N/A</v>
      </c>
      <c r="L57" s="394">
        <v>0</v>
      </c>
      <c r="M57" s="6"/>
      <c r="N57" s="6"/>
      <c r="O57" s="6"/>
      <c r="P57" s="6"/>
      <c r="Q57" s="6"/>
      <c r="R57" s="6"/>
      <c r="S57" s="6"/>
      <c r="T57" s="6"/>
      <c r="U57" s="6"/>
      <c r="V57" s="6"/>
      <c r="W57" s="6"/>
      <c r="X57" s="6"/>
      <c r="Y57" s="6"/>
      <c r="Z57" s="6"/>
      <c r="AA57" s="6"/>
      <c r="AB57" s="6"/>
      <c r="AC57" s="6"/>
      <c r="AD57" s="6"/>
      <c r="AE57" s="6"/>
      <c r="AF57" s="6"/>
      <c r="AG57" s="6"/>
      <c r="AH57" s="6"/>
      <c r="AI57" s="6"/>
      <c r="AJ57" s="6"/>
      <c r="AK57" s="6"/>
    </row>
    <row r="58" spans="1:37" x14ac:dyDescent="0.2">
      <c r="A58" s="324">
        <v>420</v>
      </c>
      <c r="B58" s="325" t="e">
        <f>VLOOKUP(A58,'RAB Calculations 10yr'!$A$22:$J$119,10,FALSE)</f>
        <v>#N/A</v>
      </c>
      <c r="C58" s="325">
        <v>0</v>
      </c>
      <c r="E58" s="324">
        <v>420</v>
      </c>
      <c r="F58" s="325" t="e">
        <v>#N/A</v>
      </c>
      <c r="G58" s="325">
        <v>0</v>
      </c>
      <c r="H58" s="6"/>
      <c r="I58" s="393">
        <v>420</v>
      </c>
      <c r="J58" s="389" t="e">
        <f>VLOOKUP(I58,'RAB Calculations 10yr'!$A$22:$J$119,10,FALSE)</f>
        <v>#N/A</v>
      </c>
      <c r="K58" s="389" t="e">
        <v>#N/A</v>
      </c>
      <c r="L58" s="394">
        <v>0</v>
      </c>
      <c r="M58" s="6"/>
      <c r="N58" s="6"/>
      <c r="O58" s="6"/>
      <c r="P58" s="6"/>
      <c r="Q58" s="6"/>
      <c r="R58" s="6"/>
      <c r="S58" s="6"/>
      <c r="T58" s="6"/>
      <c r="U58" s="6"/>
      <c r="V58" s="6"/>
      <c r="W58" s="6"/>
      <c r="X58" s="6"/>
      <c r="Y58" s="6"/>
      <c r="Z58" s="6"/>
      <c r="AA58" s="6"/>
      <c r="AB58" s="6"/>
      <c r="AC58" s="6"/>
      <c r="AD58" s="6"/>
      <c r="AE58" s="6"/>
      <c r="AF58" s="6"/>
      <c r="AG58" s="6"/>
      <c r="AH58" s="6"/>
      <c r="AI58" s="6"/>
      <c r="AJ58" s="6"/>
      <c r="AK58" s="6"/>
    </row>
    <row r="59" spans="1:37" x14ac:dyDescent="0.2">
      <c r="A59" s="324">
        <v>430</v>
      </c>
      <c r="B59" s="325">
        <f>VLOOKUP(A59,'RAB Calculations 10yr'!$A$22:$J$119,10,FALSE)</f>
        <v>117.78972638058077</v>
      </c>
      <c r="C59" s="325">
        <v>0</v>
      </c>
      <c r="E59" s="324">
        <v>430</v>
      </c>
      <c r="F59" s="325">
        <v>149.41282574203484</v>
      </c>
      <c r="G59" s="325">
        <v>0</v>
      </c>
      <c r="H59" s="6"/>
      <c r="I59" s="393">
        <v>430</v>
      </c>
      <c r="J59" s="389">
        <f>VLOOKUP(I59,'RAB Calculations 10yr'!$A$22:$J$119,10,FALSE)</f>
        <v>117.78972638058077</v>
      </c>
      <c r="K59" s="389">
        <v>149.41282574203484</v>
      </c>
      <c r="L59" s="394">
        <v>0</v>
      </c>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2">
      <c r="A60" s="324">
        <v>440</v>
      </c>
      <c r="B60" s="325">
        <f>VLOOKUP(A60,'RAB Calculations 10yr'!$A$22:$J$119,10,FALSE)</f>
        <v>128.72747827624443</v>
      </c>
      <c r="C60" s="325">
        <v>0</v>
      </c>
      <c r="E60" s="324">
        <v>440</v>
      </c>
      <c r="F60" s="325">
        <v>163.28704438752303</v>
      </c>
      <c r="G60" s="325">
        <v>0</v>
      </c>
      <c r="H60" s="6"/>
      <c r="I60" s="393">
        <v>440</v>
      </c>
      <c r="J60" s="389">
        <f>VLOOKUP(I60,'RAB Calculations 10yr'!$A$22:$J$119,10,FALSE)</f>
        <v>128.72747827624443</v>
      </c>
      <c r="K60" s="389">
        <v>163.28704438752303</v>
      </c>
      <c r="L60" s="394">
        <v>0</v>
      </c>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2">
      <c r="A61" s="324">
        <v>450</v>
      </c>
      <c r="B61" s="325">
        <f>VLOOKUP(A61,'RAB Calculations 10yr'!$A$22:$J$119,10,FALSE)</f>
        <v>131.9734324216279</v>
      </c>
      <c r="C61" s="325">
        <v>0</v>
      </c>
      <c r="E61" s="324">
        <v>450</v>
      </c>
      <c r="F61" s="325">
        <v>167.40444236435346</v>
      </c>
      <c r="G61" s="325">
        <v>0</v>
      </c>
      <c r="H61" s="6"/>
      <c r="I61" s="393">
        <v>450</v>
      </c>
      <c r="J61" s="389">
        <f>VLOOKUP(I61,'RAB Calculations 10yr'!$A$22:$J$119,10,FALSE)</f>
        <v>131.9734324216279</v>
      </c>
      <c r="K61" s="389">
        <v>167.40444236435346</v>
      </c>
      <c r="L61" s="394">
        <v>0</v>
      </c>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2">
      <c r="A62" s="324">
        <v>460</v>
      </c>
      <c r="B62" s="325">
        <f>VLOOKUP(A62,'RAB Calculations 10yr'!$A$22:$J$119,10,FALSE)</f>
        <v>132.53929434697199</v>
      </c>
      <c r="C62" s="325">
        <v>0</v>
      </c>
      <c r="E62" s="324">
        <v>460</v>
      </c>
      <c r="F62" s="325">
        <v>168.12222168045713</v>
      </c>
      <c r="G62" s="325">
        <v>0</v>
      </c>
      <c r="H62" s="6"/>
      <c r="I62" s="393">
        <v>460</v>
      </c>
      <c r="J62" s="389">
        <f>VLOOKUP(I62,'RAB Calculations 10yr'!$A$22:$J$119,10,FALSE)</f>
        <v>132.53929434697199</v>
      </c>
      <c r="K62" s="389">
        <v>168.12222168045713</v>
      </c>
      <c r="L62" s="394">
        <v>0</v>
      </c>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2">
      <c r="A63" s="324">
        <v>470</v>
      </c>
      <c r="B63" s="325">
        <f>VLOOKUP(A63,'RAB Calculations 10yr'!$A$22:$J$119,10,FALSE)</f>
        <v>130.52333273485345</v>
      </c>
      <c r="C63" s="325">
        <v>0</v>
      </c>
      <c r="E63" s="324">
        <v>470</v>
      </c>
      <c r="F63" s="325">
        <v>165.56503328797476</v>
      </c>
      <c r="G63" s="325">
        <v>0</v>
      </c>
      <c r="H63" s="6"/>
      <c r="I63" s="393">
        <v>470</v>
      </c>
      <c r="J63" s="389">
        <f>VLOOKUP(I63,'RAB Calculations 10yr'!$A$22:$J$119,10,FALSE)</f>
        <v>130.52333273485345</v>
      </c>
      <c r="K63" s="389">
        <v>165.56503328797476</v>
      </c>
      <c r="L63" s="394">
        <v>0</v>
      </c>
      <c r="M63" s="6"/>
      <c r="N63" s="6"/>
      <c r="O63" s="6"/>
      <c r="P63" s="6"/>
      <c r="Q63" s="6"/>
      <c r="R63" s="6"/>
      <c r="S63" s="6"/>
      <c r="T63" s="6"/>
      <c r="U63" s="6"/>
      <c r="V63" s="6"/>
      <c r="W63" s="6"/>
      <c r="X63" s="6"/>
      <c r="Y63" s="6"/>
      <c r="Z63" s="6"/>
      <c r="AA63" s="6"/>
      <c r="AB63" s="6"/>
      <c r="AC63" s="6"/>
      <c r="AD63" s="6"/>
      <c r="AE63" s="6"/>
      <c r="AF63" s="6"/>
      <c r="AG63" s="6"/>
      <c r="AH63" s="6"/>
      <c r="AI63" s="6"/>
      <c r="AJ63" s="6"/>
      <c r="AK63" s="6"/>
    </row>
    <row r="64" spans="1:37" x14ac:dyDescent="0.2">
      <c r="A64" s="324">
        <v>480</v>
      </c>
      <c r="B64" s="325">
        <f>VLOOKUP(A64,'RAB Calculations 10yr'!$A$22:$J$119,10,FALSE)</f>
        <v>145.10700192907169</v>
      </c>
      <c r="C64" s="325">
        <v>0</v>
      </c>
      <c r="E64" s="324">
        <v>480</v>
      </c>
      <c r="F64" s="325" t="e">
        <v>#N/A</v>
      </c>
      <c r="G64" s="325">
        <v>0</v>
      </c>
      <c r="H64" s="6"/>
      <c r="I64" s="393">
        <v>480</v>
      </c>
      <c r="J64" s="389">
        <f>VLOOKUP(I64,'RAB Calculations 10yr'!$A$22:$J$119,10,FALSE)</f>
        <v>145.10700192907169</v>
      </c>
      <c r="K64" s="389" t="e">
        <v>#N/A</v>
      </c>
      <c r="L64" s="394">
        <v>0</v>
      </c>
      <c r="M64" s="6"/>
      <c r="N64" s="6"/>
      <c r="O64" s="6"/>
      <c r="P64" s="6"/>
      <c r="Q64" s="6"/>
      <c r="R64" s="6"/>
      <c r="S64" s="6"/>
      <c r="T64" s="6"/>
      <c r="U64" s="6"/>
      <c r="V64" s="6"/>
      <c r="W64" s="6"/>
      <c r="X64" s="6"/>
      <c r="Y64" s="6"/>
      <c r="Z64" s="6"/>
      <c r="AA64" s="6"/>
      <c r="AB64" s="6"/>
      <c r="AC64" s="6"/>
      <c r="AD64" s="6"/>
      <c r="AE64" s="6"/>
      <c r="AF64" s="6"/>
      <c r="AG64" s="6"/>
      <c r="AH64" s="6"/>
      <c r="AI64" s="6"/>
      <c r="AJ64" s="6"/>
      <c r="AK64" s="6"/>
    </row>
    <row r="65" spans="1:37" x14ac:dyDescent="0.2">
      <c r="A65" s="324">
        <v>490</v>
      </c>
      <c r="B65" s="325" t="e">
        <f>VLOOKUP(A65,'RAB Calculations 10yr'!$A$22:$J$119,10,FALSE)</f>
        <v>#N/A</v>
      </c>
      <c r="C65" s="325">
        <v>0</v>
      </c>
      <c r="E65" s="324">
        <v>490</v>
      </c>
      <c r="F65" s="325" t="e">
        <v>#N/A</v>
      </c>
      <c r="G65" s="325">
        <v>0</v>
      </c>
      <c r="H65" s="6"/>
      <c r="I65" s="393">
        <v>490</v>
      </c>
      <c r="J65" s="389" t="e">
        <f>VLOOKUP(I65,'RAB Calculations 10yr'!$A$22:$J$119,10,FALSE)</f>
        <v>#N/A</v>
      </c>
      <c r="K65" s="389" t="e">
        <v>#N/A</v>
      </c>
      <c r="L65" s="394">
        <v>0</v>
      </c>
      <c r="M65" s="6"/>
      <c r="N65" s="6"/>
      <c r="O65" s="6"/>
      <c r="P65" s="6"/>
      <c r="Q65" s="6"/>
      <c r="R65" s="6"/>
      <c r="S65" s="6"/>
      <c r="T65" s="6"/>
      <c r="U65" s="6"/>
      <c r="V65" s="6"/>
      <c r="W65" s="6"/>
      <c r="X65" s="6"/>
      <c r="Y65" s="6"/>
      <c r="Z65" s="6"/>
      <c r="AA65" s="6"/>
      <c r="AB65" s="6"/>
      <c r="AC65" s="6"/>
      <c r="AD65" s="6"/>
      <c r="AE65" s="6"/>
      <c r="AF65" s="6"/>
      <c r="AG65" s="6"/>
      <c r="AH65" s="6"/>
      <c r="AI65" s="6"/>
      <c r="AJ65" s="6"/>
      <c r="AK65" s="6"/>
    </row>
    <row r="66" spans="1:37" x14ac:dyDescent="0.2">
      <c r="A66" s="324">
        <v>500</v>
      </c>
      <c r="B66" s="325" t="e">
        <f>VLOOKUP(A66,'RAB Calculations 10yr'!$A$22:$J$119,10,FALSE)</f>
        <v>#N/A</v>
      </c>
      <c r="C66" s="325">
        <v>0</v>
      </c>
      <c r="E66" s="324">
        <v>500</v>
      </c>
      <c r="F66" s="325" t="e">
        <v>#N/A</v>
      </c>
      <c r="G66" s="325">
        <v>0</v>
      </c>
      <c r="H66" s="6"/>
      <c r="I66" s="393">
        <v>500</v>
      </c>
      <c r="J66" s="389" t="e">
        <f>VLOOKUP(I66,'RAB Calculations 10yr'!$A$22:$J$119,10,FALSE)</f>
        <v>#N/A</v>
      </c>
      <c r="K66" s="389" t="e">
        <v>#N/A</v>
      </c>
      <c r="L66" s="394">
        <v>0</v>
      </c>
      <c r="M66" s="6"/>
      <c r="N66" s="6"/>
      <c r="O66" s="6"/>
      <c r="P66" s="6"/>
      <c r="Q66" s="6"/>
      <c r="R66" s="6"/>
      <c r="S66" s="6"/>
      <c r="T66" s="6"/>
      <c r="U66" s="6"/>
      <c r="V66" s="6"/>
      <c r="W66" s="6"/>
      <c r="X66" s="6"/>
      <c r="Y66" s="6"/>
      <c r="Z66" s="6"/>
      <c r="AA66" s="6"/>
      <c r="AB66" s="6"/>
      <c r="AC66" s="6"/>
      <c r="AD66" s="6"/>
      <c r="AE66" s="6"/>
      <c r="AF66" s="6"/>
      <c r="AG66" s="6"/>
      <c r="AH66" s="6"/>
      <c r="AI66" s="6"/>
      <c r="AJ66" s="6"/>
      <c r="AK66" s="6"/>
    </row>
    <row r="67" spans="1:37" x14ac:dyDescent="0.2">
      <c r="A67" s="324">
        <v>510</v>
      </c>
      <c r="B67" s="325" t="e">
        <f>VLOOKUP(A67,'RAB Calculations 10yr'!$A$22:$J$119,10,FALSE)</f>
        <v>#N/A</v>
      </c>
      <c r="C67" s="325">
        <v>0</v>
      </c>
      <c r="E67" s="324">
        <v>510</v>
      </c>
      <c r="F67" s="325" t="e">
        <v>#N/A</v>
      </c>
      <c r="G67" s="325">
        <v>0</v>
      </c>
      <c r="H67" s="6"/>
      <c r="I67" s="393">
        <v>510</v>
      </c>
      <c r="J67" s="389" t="e">
        <f>VLOOKUP(I67,'RAB Calculations 10yr'!$A$22:$J$119,10,FALSE)</f>
        <v>#N/A</v>
      </c>
      <c r="K67" s="389" t="e">
        <v>#N/A</v>
      </c>
      <c r="L67" s="394">
        <v>0</v>
      </c>
      <c r="M67" s="6"/>
      <c r="N67" s="6"/>
      <c r="O67" s="6"/>
      <c r="P67" s="6"/>
      <c r="Q67" s="6"/>
      <c r="R67" s="6"/>
      <c r="S67" s="6"/>
      <c r="T67" s="6"/>
      <c r="U67" s="6"/>
      <c r="V67" s="6"/>
      <c r="W67" s="6"/>
      <c r="X67" s="6"/>
      <c r="Y67" s="6"/>
      <c r="Z67" s="6"/>
      <c r="AA67" s="6"/>
      <c r="AB67" s="6"/>
      <c r="AC67" s="6"/>
      <c r="AD67" s="6"/>
      <c r="AE67" s="6"/>
      <c r="AF67" s="6"/>
      <c r="AG67" s="6"/>
      <c r="AH67" s="6"/>
      <c r="AI67" s="6"/>
      <c r="AJ67" s="6"/>
      <c r="AK67" s="6"/>
    </row>
    <row r="68" spans="1:37" x14ac:dyDescent="0.2">
      <c r="A68" s="324">
        <v>520</v>
      </c>
      <c r="B68" s="325" t="e">
        <f>VLOOKUP(A68,'RAB Calculations 10yr'!$A$22:$J$119,10,FALSE)</f>
        <v>#N/A</v>
      </c>
      <c r="C68" s="325">
        <v>0</v>
      </c>
      <c r="E68" s="324">
        <v>520</v>
      </c>
      <c r="F68" s="325" t="e">
        <v>#N/A</v>
      </c>
      <c r="G68" s="325">
        <v>0</v>
      </c>
      <c r="H68" s="6"/>
      <c r="I68" s="393">
        <v>520</v>
      </c>
      <c r="J68" s="389" t="e">
        <f>VLOOKUP(I68,'RAB Calculations 10yr'!$A$22:$J$119,10,FALSE)</f>
        <v>#N/A</v>
      </c>
      <c r="K68" s="389" t="e">
        <v>#N/A</v>
      </c>
      <c r="L68" s="394">
        <v>0</v>
      </c>
      <c r="M68" s="6"/>
      <c r="N68" s="6"/>
      <c r="O68" s="6"/>
      <c r="P68" s="6"/>
      <c r="Q68" s="6"/>
      <c r="R68" s="6"/>
      <c r="S68" s="6"/>
      <c r="T68" s="6"/>
      <c r="U68" s="6"/>
      <c r="V68" s="6"/>
      <c r="W68" s="6"/>
      <c r="X68" s="6"/>
      <c r="Y68" s="6"/>
      <c r="Z68" s="6"/>
      <c r="AA68" s="6"/>
      <c r="AB68" s="6"/>
      <c r="AC68" s="6"/>
      <c r="AD68" s="6"/>
      <c r="AE68" s="6"/>
      <c r="AF68" s="6"/>
      <c r="AG68" s="6"/>
      <c r="AH68" s="6"/>
      <c r="AI68" s="6"/>
      <c r="AJ68" s="6"/>
      <c r="AK68" s="6"/>
    </row>
    <row r="69" spans="1:37" x14ac:dyDescent="0.2">
      <c r="A69" s="324">
        <v>530</v>
      </c>
      <c r="B69" s="325" t="e">
        <f>VLOOKUP(A69,'RAB Calculations 10yr'!$A$22:$J$119,10,FALSE)</f>
        <v>#N/A</v>
      </c>
      <c r="C69" s="325">
        <v>0</v>
      </c>
      <c r="E69" s="324">
        <v>530</v>
      </c>
      <c r="F69" s="325" t="e">
        <v>#N/A</v>
      </c>
      <c r="G69" s="325">
        <v>0</v>
      </c>
      <c r="H69" s="6"/>
      <c r="I69" s="393">
        <v>530</v>
      </c>
      <c r="J69" s="389" t="e">
        <f>VLOOKUP(I69,'RAB Calculations 10yr'!$A$22:$J$119,10,FALSE)</f>
        <v>#N/A</v>
      </c>
      <c r="K69" s="389" t="e">
        <v>#N/A</v>
      </c>
      <c r="L69" s="394">
        <v>0</v>
      </c>
      <c r="M69" s="6"/>
      <c r="N69" s="6"/>
      <c r="O69" s="6"/>
      <c r="P69" s="6"/>
      <c r="Q69" s="6"/>
      <c r="R69" s="6"/>
      <c r="S69" s="6"/>
      <c r="T69" s="6"/>
      <c r="U69" s="6"/>
      <c r="V69" s="6"/>
      <c r="W69" s="6"/>
      <c r="X69" s="6"/>
      <c r="Y69" s="6"/>
      <c r="Z69" s="6"/>
      <c r="AA69" s="6"/>
      <c r="AB69" s="6"/>
      <c r="AC69" s="6"/>
      <c r="AD69" s="6"/>
      <c r="AE69" s="6"/>
      <c r="AF69" s="6"/>
      <c r="AG69" s="6"/>
      <c r="AH69" s="6"/>
      <c r="AI69" s="6"/>
      <c r="AJ69" s="6"/>
      <c r="AK69" s="6"/>
    </row>
    <row r="70" spans="1:37" x14ac:dyDescent="0.2">
      <c r="A70" s="324">
        <v>540</v>
      </c>
      <c r="B70" s="325">
        <f>VLOOKUP(A70,'RAB Calculations 10yr'!$A$22:$J$119,10,FALSE)</f>
        <v>179.30189318480205</v>
      </c>
      <c r="C70" s="325">
        <v>0</v>
      </c>
      <c r="E70" s="324">
        <v>540</v>
      </c>
      <c r="F70" s="325" t="e">
        <v>#N/A</v>
      </c>
      <c r="G70" s="325">
        <v>0</v>
      </c>
      <c r="H70" s="6"/>
      <c r="I70" s="393">
        <v>540</v>
      </c>
      <c r="J70" s="389">
        <f>VLOOKUP(I70,'RAB Calculations 10yr'!$A$22:$J$119,10,FALSE)</f>
        <v>179.30189318480205</v>
      </c>
      <c r="K70" s="389" t="e">
        <v>#N/A</v>
      </c>
      <c r="L70" s="394">
        <v>0</v>
      </c>
      <c r="M70" s="6"/>
      <c r="N70" s="6"/>
      <c r="O70" s="6"/>
      <c r="P70" s="6"/>
      <c r="Q70" s="6"/>
      <c r="R70" s="6"/>
      <c r="S70" s="6"/>
      <c r="T70" s="6"/>
      <c r="U70" s="6"/>
      <c r="V70" s="6"/>
      <c r="W70" s="6"/>
      <c r="X70" s="6"/>
      <c r="Y70" s="6"/>
      <c r="Z70" s="6"/>
      <c r="AA70" s="6"/>
      <c r="AB70" s="6"/>
      <c r="AC70" s="6"/>
      <c r="AD70" s="6"/>
      <c r="AE70" s="6"/>
      <c r="AF70" s="6"/>
      <c r="AG70" s="6"/>
      <c r="AH70" s="6"/>
      <c r="AI70" s="6"/>
      <c r="AJ70" s="6"/>
      <c r="AK70" s="6"/>
    </row>
    <row r="71" spans="1:37" x14ac:dyDescent="0.2">
      <c r="A71" s="324">
        <v>550</v>
      </c>
      <c r="B71" s="325">
        <f>VLOOKUP(A71,'RAB Calculations 10yr'!$A$22:$J$119,10,FALSE)</f>
        <v>177.78992197571316</v>
      </c>
      <c r="C71" s="325">
        <v>0</v>
      </c>
      <c r="E71" s="324">
        <v>550</v>
      </c>
      <c r="F71" s="325">
        <v>225.52132046744151</v>
      </c>
      <c r="G71" s="325">
        <v>0</v>
      </c>
      <c r="H71" s="6"/>
      <c r="I71" s="393">
        <v>550</v>
      </c>
      <c r="J71" s="389">
        <f>VLOOKUP(I71,'RAB Calculations 10yr'!$A$22:$J$119,10,FALSE)</f>
        <v>177.78992197571316</v>
      </c>
      <c r="K71" s="389">
        <v>225.52132046744151</v>
      </c>
      <c r="L71" s="394">
        <v>0</v>
      </c>
      <c r="M71" s="6"/>
      <c r="N71" s="6"/>
      <c r="O71" s="6"/>
      <c r="P71" s="6"/>
      <c r="Q71" s="6"/>
      <c r="R71" s="6"/>
      <c r="S71" s="6"/>
      <c r="T71" s="6"/>
      <c r="U71" s="6"/>
      <c r="V71" s="6"/>
      <c r="W71" s="6"/>
      <c r="X71" s="6"/>
      <c r="Y71" s="6"/>
      <c r="Z71" s="6"/>
      <c r="AA71" s="6"/>
      <c r="AB71" s="6"/>
      <c r="AC71" s="6"/>
      <c r="AD71" s="6"/>
      <c r="AE71" s="6"/>
      <c r="AF71" s="6"/>
      <c r="AG71" s="6"/>
      <c r="AH71" s="6"/>
      <c r="AI71" s="6"/>
      <c r="AJ71" s="6"/>
      <c r="AK71" s="6"/>
    </row>
    <row r="72" spans="1:37" x14ac:dyDescent="0.2">
      <c r="A72" s="324">
        <v>560</v>
      </c>
      <c r="B72" s="325">
        <f>VLOOKUP(A72,'RAB Calculations 10yr'!$A$22:$J$119,10,FALSE)</f>
        <v>188.72767387137682</v>
      </c>
      <c r="C72" s="325">
        <v>0</v>
      </c>
      <c r="E72" s="324">
        <v>560</v>
      </c>
      <c r="F72" s="325" t="e">
        <v>#N/A</v>
      </c>
      <c r="G72" s="325">
        <v>0</v>
      </c>
      <c r="H72" s="6"/>
      <c r="I72" s="393">
        <v>560</v>
      </c>
      <c r="J72" s="389">
        <f>VLOOKUP(I72,'RAB Calculations 10yr'!$A$22:$J$119,10,FALSE)</f>
        <v>188.72767387137682</v>
      </c>
      <c r="K72" s="389" t="e">
        <v>#N/A</v>
      </c>
      <c r="L72" s="394">
        <v>0</v>
      </c>
      <c r="M72" s="6"/>
      <c r="N72" s="6"/>
      <c r="O72" s="6"/>
      <c r="P72" s="6"/>
      <c r="Q72" s="6"/>
      <c r="R72" s="6"/>
      <c r="S72" s="6"/>
      <c r="T72" s="6"/>
      <c r="U72" s="6"/>
      <c r="V72" s="6"/>
      <c r="W72" s="6"/>
      <c r="X72" s="6"/>
      <c r="Y72" s="6"/>
      <c r="Z72" s="6"/>
      <c r="AA72" s="6"/>
      <c r="AB72" s="6"/>
      <c r="AC72" s="6"/>
      <c r="AD72" s="6"/>
      <c r="AE72" s="6"/>
      <c r="AF72" s="6"/>
      <c r="AG72" s="6"/>
      <c r="AH72" s="6"/>
      <c r="AI72" s="6"/>
      <c r="AJ72" s="6"/>
      <c r="AK72" s="6"/>
    </row>
    <row r="73" spans="1:37" x14ac:dyDescent="0.2">
      <c r="A73" s="324">
        <v>570</v>
      </c>
      <c r="B73" s="325" t="e">
        <f>VLOOKUP(A73,'RAB Calculations 10yr'!$A$22:$J$119,10,FALSE)</f>
        <v>#N/A</v>
      </c>
      <c r="C73" s="325">
        <v>0</v>
      </c>
      <c r="E73" s="324">
        <v>570</v>
      </c>
      <c r="F73" s="325" t="e">
        <v>#N/A</v>
      </c>
      <c r="G73" s="325">
        <v>0</v>
      </c>
      <c r="H73" s="6"/>
      <c r="I73" s="393">
        <v>570</v>
      </c>
      <c r="J73" s="389" t="e">
        <f>VLOOKUP(I73,'RAB Calculations 10yr'!$A$22:$J$119,10,FALSE)</f>
        <v>#N/A</v>
      </c>
      <c r="K73" s="389" t="e">
        <v>#N/A</v>
      </c>
      <c r="L73" s="394">
        <v>0</v>
      </c>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2">
      <c r="A74" s="324">
        <v>580</v>
      </c>
      <c r="B74" s="325">
        <f>VLOOKUP(A74,'RAB Calculations 10yr'!$A$22:$J$119,10,FALSE)</f>
        <v>192.53948994210435</v>
      </c>
      <c r="C74" s="325">
        <v>0</v>
      </c>
      <c r="E74" s="324">
        <v>580</v>
      </c>
      <c r="F74" s="325">
        <v>244.23071640586372</v>
      </c>
      <c r="G74" s="325">
        <v>0</v>
      </c>
      <c r="H74" s="6"/>
      <c r="I74" s="393">
        <v>580</v>
      </c>
      <c r="J74" s="389">
        <f>VLOOKUP(I74,'RAB Calculations 10yr'!$A$22:$J$119,10,FALSE)</f>
        <v>192.53948994210435</v>
      </c>
      <c r="K74" s="389">
        <v>244.23071640586372</v>
      </c>
      <c r="L74" s="394">
        <v>0</v>
      </c>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2">
      <c r="A75" s="324">
        <v>590</v>
      </c>
      <c r="B75" s="325">
        <f>VLOOKUP(A75,'RAB Calculations 10yr'!$A$22:$J$119,10,FALSE)</f>
        <v>190.52352832998582</v>
      </c>
      <c r="C75" s="325">
        <v>0</v>
      </c>
      <c r="E75" s="324">
        <v>590</v>
      </c>
      <c r="F75" s="325">
        <v>241.67352801338137</v>
      </c>
      <c r="G75" s="325">
        <v>0</v>
      </c>
      <c r="H75" s="6"/>
      <c r="I75" s="393">
        <v>590</v>
      </c>
      <c r="J75" s="389">
        <f>VLOOKUP(I75,'RAB Calculations 10yr'!$A$22:$J$119,10,FALSE)</f>
        <v>190.52352832998582</v>
      </c>
      <c r="K75" s="389">
        <v>241.67352801338137</v>
      </c>
      <c r="L75" s="394">
        <v>0</v>
      </c>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2">
      <c r="A76" s="324">
        <v>600</v>
      </c>
      <c r="B76" s="325">
        <f>VLOOKUP(A76,'RAB Calculations 10yr'!$A$22:$J$119,10,FALSE)</f>
        <v>205.10719752420403</v>
      </c>
      <c r="C76" s="325">
        <v>0</v>
      </c>
      <c r="E76" s="324">
        <v>600</v>
      </c>
      <c r="F76" s="325" t="e">
        <v>#N/A</v>
      </c>
      <c r="G76" s="325">
        <v>0</v>
      </c>
      <c r="H76" s="6"/>
      <c r="I76" s="393">
        <v>600</v>
      </c>
      <c r="J76" s="389">
        <f>VLOOKUP(I76,'RAB Calculations 10yr'!$A$22:$J$119,10,FALSE)</f>
        <v>205.10719752420403</v>
      </c>
      <c r="K76" s="389" t="e">
        <v>#N/A</v>
      </c>
      <c r="L76" s="394">
        <v>0</v>
      </c>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2">
      <c r="A77" s="324">
        <v>610</v>
      </c>
      <c r="B77" s="325">
        <f>VLOOKUP(A77,'RAB Calculations 10yr'!$A$22:$J$119,10,FALSE)</f>
        <v>37.215587737644988</v>
      </c>
      <c r="C77" s="325">
        <v>0</v>
      </c>
      <c r="E77" s="324">
        <v>610</v>
      </c>
      <c r="F77" s="325">
        <v>47.206885493274058</v>
      </c>
      <c r="G77" s="325">
        <v>0</v>
      </c>
      <c r="H77" s="6"/>
      <c r="I77" s="393">
        <v>610</v>
      </c>
      <c r="J77" s="389">
        <f>VLOOKUP(I77,'RAB Calculations 10yr'!$A$22:$J$119,10,FALSE)</f>
        <v>37.215587737644988</v>
      </c>
      <c r="K77" s="389">
        <v>47.206885493274058</v>
      </c>
      <c r="L77" s="394">
        <v>0</v>
      </c>
      <c r="M77" s="6"/>
      <c r="N77" s="6"/>
      <c r="O77" s="6"/>
      <c r="P77" s="6"/>
      <c r="Q77" s="6"/>
      <c r="R77" s="6"/>
      <c r="S77" s="6"/>
      <c r="T77" s="6"/>
      <c r="U77" s="6"/>
      <c r="V77" s="6"/>
      <c r="W77" s="6"/>
      <c r="X77" s="6"/>
      <c r="Y77" s="6"/>
      <c r="Z77" s="6"/>
      <c r="AA77" s="6"/>
      <c r="AB77" s="6"/>
      <c r="AC77" s="6"/>
      <c r="AD77" s="6"/>
      <c r="AE77" s="6"/>
      <c r="AF77" s="6"/>
      <c r="AG77" s="6"/>
      <c r="AH77" s="6"/>
      <c r="AI77" s="6"/>
      <c r="AJ77" s="6"/>
      <c r="AK77" s="6"/>
    </row>
    <row r="78" spans="1:37" x14ac:dyDescent="0.2">
      <c r="A78" s="324">
        <v>620</v>
      </c>
      <c r="B78" s="325">
        <f>VLOOKUP(A78,'RAB Calculations 10yr'!$A$22:$J$119,10,FALSE)</f>
        <v>34.455205908772193</v>
      </c>
      <c r="C78" s="325">
        <v>0</v>
      </c>
      <c r="E78" s="324">
        <v>620</v>
      </c>
      <c r="F78" s="325">
        <v>43.705421810047042</v>
      </c>
      <c r="G78" s="325">
        <v>0</v>
      </c>
      <c r="H78" s="6"/>
      <c r="I78" s="393">
        <v>620</v>
      </c>
      <c r="J78" s="389">
        <f>VLOOKUP(I78,'RAB Calculations 10yr'!$A$22:$J$119,10,FALSE)</f>
        <v>34.455205908772193</v>
      </c>
      <c r="K78" s="389">
        <v>43.705421810047042</v>
      </c>
      <c r="L78" s="394">
        <v>0</v>
      </c>
      <c r="M78" s="6"/>
      <c r="N78" s="6"/>
      <c r="O78" s="6"/>
      <c r="P78" s="6"/>
      <c r="Q78" s="6"/>
      <c r="R78" s="6"/>
      <c r="S78" s="6"/>
      <c r="T78" s="6"/>
      <c r="U78" s="6"/>
      <c r="V78" s="6"/>
      <c r="W78" s="6"/>
      <c r="X78" s="6"/>
      <c r="Y78" s="6"/>
      <c r="Z78" s="6"/>
      <c r="AA78" s="6"/>
      <c r="AB78" s="6"/>
      <c r="AC78" s="6"/>
      <c r="AD78" s="6"/>
      <c r="AE78" s="6"/>
      <c r="AF78" s="6"/>
      <c r="AG78" s="6"/>
      <c r="AH78" s="6"/>
      <c r="AI78" s="6"/>
      <c r="AJ78" s="6"/>
      <c r="AK78" s="6"/>
    </row>
    <row r="79" spans="1:37" x14ac:dyDescent="0.2">
      <c r="A79" s="324">
        <v>630</v>
      </c>
      <c r="B79" s="325" t="e">
        <f>VLOOKUP(A79,'RAB Calculations 10yr'!$A$22:$J$119,10,FALSE)</f>
        <v>#N/A</v>
      </c>
      <c r="C79" s="325">
        <v>0</v>
      </c>
      <c r="E79" s="324">
        <v>630</v>
      </c>
      <c r="F79" s="325" t="e">
        <v>#N/A</v>
      </c>
      <c r="G79" s="325">
        <v>0</v>
      </c>
      <c r="H79" s="6"/>
      <c r="I79" s="393">
        <v>630</v>
      </c>
      <c r="J79" s="389" t="e">
        <f>VLOOKUP(I79,'RAB Calculations 10yr'!$A$22:$J$119,10,FALSE)</f>
        <v>#N/A</v>
      </c>
      <c r="K79" s="389" t="e">
        <v>#N/A</v>
      </c>
      <c r="L79" s="394">
        <v>0</v>
      </c>
      <c r="M79" s="6"/>
      <c r="N79" s="6"/>
      <c r="O79" s="6"/>
      <c r="P79" s="6"/>
      <c r="Q79" s="6"/>
      <c r="R79" s="6"/>
      <c r="S79" s="6"/>
      <c r="T79" s="6"/>
      <c r="U79" s="6"/>
      <c r="V79" s="6"/>
      <c r="W79" s="6"/>
      <c r="X79" s="6"/>
      <c r="Y79" s="6"/>
      <c r="Z79" s="6"/>
      <c r="AA79" s="6"/>
      <c r="AB79" s="6"/>
      <c r="AC79" s="6"/>
      <c r="AD79" s="6"/>
      <c r="AE79" s="6"/>
      <c r="AF79" s="6"/>
      <c r="AG79" s="6"/>
      <c r="AH79" s="6"/>
      <c r="AI79" s="6"/>
      <c r="AJ79" s="6"/>
      <c r="AK79" s="6"/>
    </row>
    <row r="80" spans="1:37" x14ac:dyDescent="0.2">
      <c r="A80" s="324">
        <v>640</v>
      </c>
      <c r="B80" s="325">
        <f>VLOOKUP(A80,'RAB Calculations 10yr'!$A$22:$J$119,10,FALSE)</f>
        <v>34.4552059087722</v>
      </c>
      <c r="C80" s="325">
        <v>0</v>
      </c>
      <c r="E80" s="324">
        <v>640</v>
      </c>
      <c r="F80" s="325">
        <v>43.705421810047049</v>
      </c>
      <c r="G80" s="325">
        <v>0</v>
      </c>
      <c r="H80" s="6"/>
      <c r="I80" s="393">
        <v>640</v>
      </c>
      <c r="J80" s="389">
        <f>VLOOKUP(I80,'RAB Calculations 10yr'!$A$22:$J$119,10,FALSE)</f>
        <v>34.4552059087722</v>
      </c>
      <c r="K80" s="389">
        <v>43.705421810047049</v>
      </c>
      <c r="L80" s="394">
        <v>0</v>
      </c>
      <c r="M80" s="6"/>
      <c r="N80" s="6"/>
      <c r="O80" s="6"/>
      <c r="P80" s="6"/>
      <c r="Q80" s="6"/>
      <c r="R80" s="6"/>
      <c r="S80" s="6"/>
      <c r="T80" s="6"/>
      <c r="U80" s="6"/>
      <c r="V80" s="6"/>
      <c r="W80" s="6"/>
      <c r="X80" s="6"/>
      <c r="Y80" s="6"/>
      <c r="Z80" s="6"/>
      <c r="AA80" s="6"/>
      <c r="AB80" s="6"/>
      <c r="AC80" s="6"/>
      <c r="AD80" s="6"/>
      <c r="AE80" s="6"/>
      <c r="AF80" s="6"/>
      <c r="AG80" s="6"/>
      <c r="AH80" s="6"/>
      <c r="AI80" s="6"/>
      <c r="AJ80" s="6"/>
      <c r="AK80" s="6"/>
    </row>
    <row r="81" spans="1:37" x14ac:dyDescent="0.2">
      <c r="A81" s="324">
        <v>650</v>
      </c>
      <c r="B81" s="325" t="e">
        <f>VLOOKUP(A81,'RAB Calculations 10yr'!$A$22:$J$119,10,FALSE)</f>
        <v>#N/A</v>
      </c>
      <c r="C81" s="325">
        <v>0</v>
      </c>
      <c r="E81" s="324">
        <v>650</v>
      </c>
      <c r="F81" s="325" t="e">
        <v>#N/A</v>
      </c>
      <c r="G81" s="325">
        <v>0</v>
      </c>
      <c r="H81" s="6"/>
      <c r="I81" s="393">
        <v>650</v>
      </c>
      <c r="J81" s="389" t="e">
        <f>VLOOKUP(I81,'RAB Calculations 10yr'!$A$22:$J$119,10,FALSE)</f>
        <v>#N/A</v>
      </c>
      <c r="K81" s="389" t="e">
        <v>#N/A</v>
      </c>
      <c r="L81" s="394">
        <v>0</v>
      </c>
      <c r="M81" s="6"/>
      <c r="N81" s="6"/>
      <c r="O81" s="6"/>
      <c r="P81" s="6"/>
      <c r="Q81" s="6"/>
      <c r="R81" s="6"/>
      <c r="S81" s="6"/>
      <c r="T81" s="6"/>
      <c r="U81" s="6"/>
      <c r="V81" s="6"/>
      <c r="W81" s="6"/>
      <c r="X81" s="6"/>
      <c r="Y81" s="6"/>
      <c r="Z81" s="6"/>
      <c r="AA81" s="6"/>
      <c r="AB81" s="6"/>
      <c r="AC81" s="6"/>
      <c r="AD81" s="6"/>
      <c r="AE81" s="6"/>
      <c r="AF81" s="6"/>
      <c r="AG81" s="6"/>
      <c r="AH81" s="6"/>
      <c r="AI81" s="6"/>
      <c r="AJ81" s="6"/>
      <c r="AK81" s="6"/>
    </row>
    <row r="82" spans="1:37" x14ac:dyDescent="0.2">
      <c r="A82" s="324">
        <v>660</v>
      </c>
      <c r="B82" s="325">
        <f>VLOOKUP(A82,'RAB Calculations 10yr'!$A$22:$J$119,10,FALSE)</f>
        <v>49.505888035288052</v>
      </c>
      <c r="C82" s="325">
        <v>0</v>
      </c>
      <c r="E82" s="324">
        <v>660</v>
      </c>
      <c r="F82" s="325">
        <v>62.796772261121802</v>
      </c>
      <c r="G82" s="325">
        <v>0</v>
      </c>
      <c r="H82" s="6"/>
      <c r="I82" s="393">
        <v>660</v>
      </c>
      <c r="J82" s="389">
        <f>VLOOKUP(I82,'RAB Calculations 10yr'!$A$22:$J$119,10,FALSE)</f>
        <v>49.505888035288052</v>
      </c>
      <c r="K82" s="389">
        <v>62.796772261121802</v>
      </c>
      <c r="L82" s="394">
        <v>0</v>
      </c>
      <c r="M82" s="6"/>
      <c r="N82" s="6"/>
      <c r="O82" s="6"/>
      <c r="P82" s="6"/>
      <c r="Q82" s="6"/>
      <c r="R82" s="6"/>
      <c r="S82" s="6"/>
      <c r="T82" s="6"/>
      <c r="U82" s="6"/>
      <c r="V82" s="6"/>
      <c r="W82" s="6"/>
      <c r="X82" s="6"/>
      <c r="Y82" s="6"/>
      <c r="Z82" s="6"/>
      <c r="AA82" s="6"/>
      <c r="AB82" s="6"/>
      <c r="AC82" s="6"/>
      <c r="AD82" s="6"/>
      <c r="AE82" s="6"/>
      <c r="AF82" s="6"/>
      <c r="AG82" s="6"/>
      <c r="AH82" s="6"/>
      <c r="AI82" s="6"/>
      <c r="AJ82" s="6"/>
      <c r="AK82" s="6"/>
    </row>
    <row r="83" spans="1:37" x14ac:dyDescent="0.2">
      <c r="A83" s="324">
        <v>670</v>
      </c>
      <c r="B83" s="325" t="e">
        <f>VLOOKUP(A83,'RAB Calculations 10yr'!$A$22:$J$119,10,FALSE)</f>
        <v>#N/A</v>
      </c>
      <c r="C83" s="325">
        <v>0</v>
      </c>
      <c r="E83" s="324">
        <v>670</v>
      </c>
      <c r="F83" s="325" t="e">
        <v>#N/A</v>
      </c>
      <c r="G83" s="325">
        <v>0</v>
      </c>
      <c r="H83" s="6"/>
      <c r="I83" s="393">
        <v>670</v>
      </c>
      <c r="J83" s="389" t="e">
        <f>VLOOKUP(I83,'RAB Calculations 10yr'!$A$22:$J$119,10,FALSE)</f>
        <v>#N/A</v>
      </c>
      <c r="K83" s="389" t="e">
        <v>#N/A</v>
      </c>
      <c r="L83" s="394">
        <v>0</v>
      </c>
      <c r="M83" s="6"/>
      <c r="N83" s="6"/>
      <c r="O83" s="6"/>
      <c r="P83" s="6"/>
      <c r="Q83" s="6"/>
      <c r="R83" s="6"/>
      <c r="S83" s="6"/>
      <c r="T83" s="6"/>
      <c r="U83" s="6"/>
      <c r="V83" s="6"/>
      <c r="W83" s="6"/>
      <c r="X83" s="6"/>
      <c r="Y83" s="6"/>
      <c r="Z83" s="6"/>
      <c r="AA83" s="6"/>
      <c r="AB83" s="6"/>
      <c r="AC83" s="6"/>
      <c r="AD83" s="6"/>
      <c r="AE83" s="6"/>
      <c r="AF83" s="6"/>
      <c r="AG83" s="6"/>
      <c r="AH83" s="6"/>
      <c r="AI83" s="6"/>
      <c r="AJ83" s="6"/>
      <c r="AK83" s="6"/>
    </row>
    <row r="84" spans="1:37" x14ac:dyDescent="0.2">
      <c r="A84" s="324">
        <v>680</v>
      </c>
      <c r="B84" s="325" t="e">
        <f>VLOOKUP(A84,'RAB Calculations 10yr'!$A$22:$J$119,10,FALSE)</f>
        <v>#N/A</v>
      </c>
      <c r="C84" s="325">
        <v>0</v>
      </c>
      <c r="E84" s="324">
        <v>680</v>
      </c>
      <c r="F84" s="325" t="e">
        <v>#N/A</v>
      </c>
      <c r="G84" s="325">
        <v>0</v>
      </c>
      <c r="H84" s="6"/>
      <c r="I84" s="393">
        <v>680</v>
      </c>
      <c r="J84" s="389" t="e">
        <f>VLOOKUP(I84,'RAB Calculations 10yr'!$A$22:$J$119,10,FALSE)</f>
        <v>#N/A</v>
      </c>
      <c r="K84" s="389" t="e">
        <v>#N/A</v>
      </c>
      <c r="L84" s="394">
        <v>0</v>
      </c>
      <c r="M84" s="6"/>
      <c r="N84" s="6"/>
      <c r="O84" s="6"/>
      <c r="P84" s="6"/>
      <c r="Q84" s="6"/>
      <c r="R84" s="6"/>
      <c r="S84" s="6"/>
      <c r="T84" s="6"/>
      <c r="U84" s="6"/>
      <c r="V84" s="6"/>
      <c r="W84" s="6"/>
      <c r="X84" s="6"/>
      <c r="Y84" s="6"/>
      <c r="Z84" s="6"/>
      <c r="AA84" s="6"/>
      <c r="AB84" s="6"/>
      <c r="AC84" s="6"/>
      <c r="AD84" s="6"/>
      <c r="AE84" s="6"/>
      <c r="AF84" s="6"/>
      <c r="AG84" s="6"/>
      <c r="AH84" s="6"/>
      <c r="AI84" s="6"/>
      <c r="AJ84" s="6"/>
      <c r="AK84" s="6"/>
    </row>
    <row r="85" spans="1:37" x14ac:dyDescent="0.2">
      <c r="A85" s="324">
        <v>690</v>
      </c>
      <c r="B85" s="325">
        <f>VLOOKUP(A85,'RAB Calculations 10yr'!$A$22:$J$119,10,FALSE)</f>
        <v>104.79944174971051</v>
      </c>
      <c r="C85" s="325">
        <v>0</v>
      </c>
      <c r="E85" s="324">
        <v>690</v>
      </c>
      <c r="F85" s="325">
        <v>132.93502930314577</v>
      </c>
      <c r="G85" s="325">
        <v>0</v>
      </c>
      <c r="H85" s="6"/>
      <c r="I85" s="393">
        <v>690</v>
      </c>
      <c r="J85" s="389">
        <f>VLOOKUP(I85,'RAB Calculations 10yr'!$A$22:$J$119,10,FALSE)</f>
        <v>104.79944174971051</v>
      </c>
      <c r="K85" s="389">
        <v>132.93502930314577</v>
      </c>
      <c r="L85" s="394">
        <v>0</v>
      </c>
      <c r="M85" s="6"/>
      <c r="N85" s="6"/>
      <c r="O85" s="6"/>
      <c r="P85" s="6"/>
      <c r="Q85" s="6"/>
      <c r="R85" s="6"/>
      <c r="S85" s="6"/>
      <c r="T85" s="6"/>
      <c r="U85" s="6"/>
      <c r="V85" s="6"/>
      <c r="W85" s="6"/>
      <c r="X85" s="6"/>
      <c r="Y85" s="6"/>
      <c r="Z85" s="6"/>
      <c r="AA85" s="6"/>
      <c r="AB85" s="6"/>
      <c r="AC85" s="6"/>
      <c r="AD85" s="6"/>
      <c r="AE85" s="6"/>
      <c r="AF85" s="6"/>
      <c r="AG85" s="6"/>
      <c r="AH85" s="6"/>
      <c r="AI85" s="6"/>
      <c r="AJ85" s="6"/>
      <c r="AK85" s="6"/>
    </row>
    <row r="86" spans="1:37" x14ac:dyDescent="0.2">
      <c r="A86" s="324">
        <v>700</v>
      </c>
      <c r="B86" s="325" t="e">
        <f>VLOOKUP(A86,'RAB Calculations 10yr'!$A$22:$J$119,10,FALSE)</f>
        <v>#N/A</v>
      </c>
      <c r="C86" s="325">
        <v>0</v>
      </c>
      <c r="E86" s="324">
        <v>700</v>
      </c>
      <c r="F86" s="325" t="e">
        <v>#N/A</v>
      </c>
      <c r="G86" s="325">
        <v>0</v>
      </c>
      <c r="H86" s="6"/>
      <c r="I86" s="393">
        <v>700</v>
      </c>
      <c r="J86" s="389" t="e">
        <f>VLOOKUP(I86,'RAB Calculations 10yr'!$A$22:$J$119,10,FALSE)</f>
        <v>#N/A</v>
      </c>
      <c r="K86" s="389" t="e">
        <v>#N/A</v>
      </c>
      <c r="L86" s="394">
        <v>0</v>
      </c>
      <c r="M86" s="6"/>
      <c r="N86" s="6"/>
      <c r="O86" s="6"/>
      <c r="P86" s="6"/>
      <c r="Q86" s="6"/>
      <c r="R86" s="6"/>
      <c r="S86" s="6"/>
      <c r="T86" s="6"/>
      <c r="U86" s="6"/>
      <c r="V86" s="6"/>
      <c r="W86" s="6"/>
      <c r="X86" s="6"/>
      <c r="Y86" s="6"/>
      <c r="Z86" s="6"/>
      <c r="AA86" s="6"/>
      <c r="AB86" s="6"/>
      <c r="AC86" s="6"/>
      <c r="AD86" s="6"/>
      <c r="AE86" s="6"/>
      <c r="AF86" s="6"/>
      <c r="AG86" s="6"/>
      <c r="AH86" s="6"/>
      <c r="AI86" s="6"/>
      <c r="AJ86" s="6"/>
      <c r="AK86" s="6"/>
    </row>
    <row r="87" spans="1:37" x14ac:dyDescent="0.2">
      <c r="A87" s="324">
        <v>710</v>
      </c>
      <c r="B87" s="325">
        <f>VLOOKUP(A87,'RAB Calculations 10yr'!$A$22:$J$119,10,FALSE)</f>
        <v>117.40470896568439</v>
      </c>
      <c r="C87" s="325">
        <v>0</v>
      </c>
      <c r="E87" s="324">
        <v>710</v>
      </c>
      <c r="F87" s="325" t="e">
        <v>#N/A</v>
      </c>
      <c r="G87" s="325">
        <v>0</v>
      </c>
      <c r="H87" s="6"/>
      <c r="I87" s="393">
        <v>710</v>
      </c>
      <c r="J87" s="389">
        <f>VLOOKUP(I87,'RAB Calculations 10yr'!$A$22:$J$119,10,FALSE)</f>
        <v>117.40470896568439</v>
      </c>
      <c r="K87" s="389" t="e">
        <v>#N/A</v>
      </c>
      <c r="L87" s="394">
        <v>0</v>
      </c>
      <c r="M87" s="6"/>
      <c r="N87" s="6"/>
      <c r="O87" s="6"/>
      <c r="P87" s="6"/>
      <c r="Q87" s="6"/>
      <c r="R87" s="6"/>
      <c r="S87" s="6"/>
      <c r="T87" s="6"/>
      <c r="U87" s="6"/>
      <c r="V87" s="6"/>
      <c r="W87" s="6"/>
      <c r="X87" s="6"/>
      <c r="Y87" s="6"/>
      <c r="Z87" s="6"/>
      <c r="AA87" s="6"/>
      <c r="AB87" s="6"/>
      <c r="AC87" s="6"/>
      <c r="AD87" s="6"/>
      <c r="AE87" s="6"/>
      <c r="AF87" s="6"/>
      <c r="AG87" s="6"/>
      <c r="AH87" s="6"/>
      <c r="AI87" s="6"/>
      <c r="AJ87" s="6"/>
      <c r="AK87" s="6"/>
    </row>
    <row r="88" spans="1:37" x14ac:dyDescent="0.2">
      <c r="A88" s="324">
        <v>720</v>
      </c>
      <c r="B88" s="325">
        <f>VLOOKUP(A88,'RAB Calculations 10yr'!$A$22:$J$119,10,FALSE)</f>
        <v>130.00997618165832</v>
      </c>
      <c r="C88" s="325">
        <v>0</v>
      </c>
      <c r="E88" s="324">
        <v>720</v>
      </c>
      <c r="F88" s="325">
        <v>164.91385550207639</v>
      </c>
      <c r="G88" s="325">
        <v>0</v>
      </c>
      <c r="H88" s="6"/>
      <c r="I88" s="393">
        <v>720</v>
      </c>
      <c r="J88" s="389">
        <f>VLOOKUP(I88,'RAB Calculations 10yr'!$A$22:$J$119,10,FALSE)</f>
        <v>130.00997618165832</v>
      </c>
      <c r="K88" s="389">
        <v>164.91385550207639</v>
      </c>
      <c r="L88" s="394">
        <v>0</v>
      </c>
      <c r="M88" s="6"/>
      <c r="N88" s="6"/>
      <c r="O88" s="6"/>
      <c r="P88" s="6"/>
      <c r="Q88" s="6"/>
      <c r="R88" s="6"/>
      <c r="S88" s="6"/>
      <c r="T88" s="6"/>
      <c r="U88" s="6"/>
      <c r="V88" s="6"/>
      <c r="W88" s="6"/>
      <c r="X88" s="6"/>
      <c r="Y88" s="6"/>
      <c r="Z88" s="6"/>
      <c r="AA88" s="6"/>
      <c r="AB88" s="6"/>
      <c r="AC88" s="6"/>
      <c r="AD88" s="6"/>
      <c r="AE88" s="6"/>
      <c r="AF88" s="6"/>
      <c r="AG88" s="6"/>
      <c r="AH88" s="6"/>
      <c r="AI88" s="6"/>
      <c r="AJ88" s="6"/>
      <c r="AK88" s="6"/>
    </row>
    <row r="89" spans="1:37" x14ac:dyDescent="0.2">
      <c r="A89" s="324">
        <v>730</v>
      </c>
      <c r="B89" s="325">
        <f>VLOOKUP(A89,'RAB Calculations 10yr'!$A$22:$J$119,10,FALSE)</f>
        <v>95.375404459541258</v>
      </c>
      <c r="C89" s="325">
        <v>0</v>
      </c>
      <c r="E89" s="324">
        <v>730</v>
      </c>
      <c r="F89" s="325">
        <v>120.98091339941246</v>
      </c>
      <c r="G89" s="325">
        <v>0</v>
      </c>
      <c r="H89" s="6"/>
      <c r="I89" s="393">
        <v>730</v>
      </c>
      <c r="J89" s="389">
        <f>VLOOKUP(I89,'RAB Calculations 10yr'!$A$22:$J$119,10,FALSE)</f>
        <v>95.375404459541258</v>
      </c>
      <c r="K89" s="389">
        <v>120.98091339941246</v>
      </c>
      <c r="L89" s="394">
        <v>0</v>
      </c>
      <c r="M89" s="6"/>
      <c r="N89" s="6"/>
      <c r="O89" s="6"/>
      <c r="P89" s="6"/>
      <c r="Q89" s="6"/>
      <c r="R89" s="6"/>
      <c r="S89" s="6"/>
      <c r="T89" s="6"/>
      <c r="U89" s="6"/>
      <c r="V89" s="6"/>
      <c r="W89" s="6"/>
      <c r="X89" s="6"/>
      <c r="Y89" s="6"/>
      <c r="Z89" s="6"/>
      <c r="AA89" s="6"/>
      <c r="AB89" s="6"/>
      <c r="AC89" s="6"/>
      <c r="AD89" s="6"/>
      <c r="AE89" s="6"/>
      <c r="AF89" s="6"/>
      <c r="AG89" s="6"/>
      <c r="AH89" s="6"/>
      <c r="AI89" s="6"/>
      <c r="AJ89" s="6"/>
      <c r="AK89" s="6"/>
    </row>
    <row r="90" spans="1:37" x14ac:dyDescent="0.2">
      <c r="A90" s="324">
        <v>740</v>
      </c>
      <c r="B90" s="325">
        <f>VLOOKUP(A90,'RAB Calculations 10yr'!$A$22:$J$119,10,FALSE)</f>
        <v>23.919781035330548</v>
      </c>
      <c r="C90" s="325">
        <v>0</v>
      </c>
      <c r="E90" s="324">
        <v>740</v>
      </c>
      <c r="F90" s="325">
        <v>30.34154323503618</v>
      </c>
      <c r="G90" s="325">
        <v>0</v>
      </c>
      <c r="H90" s="6"/>
      <c r="I90" s="393">
        <v>740</v>
      </c>
      <c r="J90" s="389">
        <f>VLOOKUP(I90,'RAB Calculations 10yr'!$A$22:$J$119,10,FALSE)</f>
        <v>23.919781035330548</v>
      </c>
      <c r="K90" s="389">
        <v>30.34154323503618</v>
      </c>
      <c r="L90" s="394">
        <v>0</v>
      </c>
      <c r="M90" s="6"/>
      <c r="N90" s="6"/>
      <c r="O90" s="6"/>
      <c r="P90" s="6"/>
      <c r="Q90" s="6"/>
      <c r="R90" s="6"/>
      <c r="S90" s="6"/>
      <c r="T90" s="6"/>
      <c r="U90" s="6"/>
      <c r="V90" s="6"/>
      <c r="W90" s="6"/>
      <c r="X90" s="6"/>
      <c r="Y90" s="6"/>
      <c r="Z90" s="6"/>
      <c r="AA90" s="6"/>
      <c r="AB90" s="6"/>
      <c r="AC90" s="6"/>
      <c r="AD90" s="6"/>
      <c r="AE90" s="6"/>
      <c r="AF90" s="6"/>
      <c r="AG90" s="6"/>
      <c r="AH90" s="6"/>
      <c r="AI90" s="6"/>
      <c r="AJ90" s="6"/>
      <c r="AK90" s="6"/>
    </row>
    <row r="91" spans="1:37" x14ac:dyDescent="0.2">
      <c r="A91" s="324">
        <v>750</v>
      </c>
      <c r="B91" s="325">
        <f>VLOOKUP(A91,'RAB Calculations 10yr'!$A$22:$J$119,10,FALSE)</f>
        <v>34.270019010909252</v>
      </c>
      <c r="C91" s="325">
        <v>0</v>
      </c>
      <c r="E91" s="324">
        <v>750</v>
      </c>
      <c r="F91" s="325">
        <v>43.47051764182865</v>
      </c>
      <c r="G91" s="325">
        <v>0</v>
      </c>
      <c r="H91" s="6"/>
      <c r="I91" s="393">
        <v>750</v>
      </c>
      <c r="J91" s="389">
        <f>VLOOKUP(I91,'RAB Calculations 10yr'!$A$22:$J$119,10,FALSE)</f>
        <v>34.270019010909252</v>
      </c>
      <c r="K91" s="389">
        <v>43.47051764182865</v>
      </c>
      <c r="L91" s="394">
        <v>0</v>
      </c>
      <c r="M91" s="6"/>
      <c r="N91" s="6"/>
      <c r="O91" s="6"/>
      <c r="P91" s="6"/>
      <c r="Q91" s="6"/>
      <c r="R91" s="6"/>
      <c r="S91" s="6"/>
      <c r="T91" s="6"/>
      <c r="U91" s="6"/>
      <c r="V91" s="6"/>
      <c r="W91" s="6"/>
      <c r="X91" s="6"/>
      <c r="Y91" s="6"/>
      <c r="Z91" s="6"/>
      <c r="AA91" s="6"/>
      <c r="AB91" s="6"/>
      <c r="AC91" s="6"/>
      <c r="AD91" s="6"/>
      <c r="AE91" s="6"/>
      <c r="AF91" s="6"/>
      <c r="AG91" s="6"/>
      <c r="AH91" s="6"/>
      <c r="AI91" s="6"/>
      <c r="AJ91" s="6"/>
      <c r="AK91" s="6"/>
    </row>
    <row r="92" spans="1:37" x14ac:dyDescent="0.2">
      <c r="A92" s="324">
        <v>760</v>
      </c>
      <c r="B92" s="325">
        <f>VLOOKUP(A92,'RAB Calculations 10yr'!$A$22:$J$119,10,FALSE)</f>
        <v>78.772854852678023</v>
      </c>
      <c r="C92" s="325">
        <v>0</v>
      </c>
      <c r="E92" s="324">
        <v>760</v>
      </c>
      <c r="F92" s="325">
        <v>99.921064399774139</v>
      </c>
      <c r="G92" s="325">
        <v>0</v>
      </c>
      <c r="H92" s="6"/>
      <c r="I92" s="393">
        <v>760</v>
      </c>
      <c r="J92" s="389">
        <f>VLOOKUP(I92,'RAB Calculations 10yr'!$A$22:$J$119,10,FALSE)</f>
        <v>78.772854852678023</v>
      </c>
      <c r="K92" s="389">
        <v>99.921064399774139</v>
      </c>
      <c r="L92" s="394">
        <v>0</v>
      </c>
      <c r="M92" s="6"/>
      <c r="N92" s="6"/>
      <c r="O92" s="6"/>
      <c r="P92" s="6"/>
      <c r="Q92" s="6"/>
      <c r="R92" s="6"/>
      <c r="S92" s="6"/>
      <c r="T92" s="6"/>
      <c r="U92" s="6"/>
      <c r="V92" s="6"/>
      <c r="W92" s="6"/>
      <c r="X92" s="6"/>
      <c r="Y92" s="6"/>
      <c r="Z92" s="6"/>
      <c r="AA92" s="6"/>
      <c r="AB92" s="6"/>
      <c r="AC92" s="6"/>
      <c r="AD92" s="6"/>
      <c r="AE92" s="6"/>
      <c r="AF92" s="6"/>
      <c r="AG92" s="6"/>
      <c r="AH92" s="6"/>
      <c r="AI92" s="6"/>
      <c r="AJ92" s="6"/>
      <c r="AK92" s="6"/>
    </row>
    <row r="93" spans="1:37" x14ac:dyDescent="0.2">
      <c r="A93" s="324">
        <v>770</v>
      </c>
      <c r="B93" s="325">
        <f>VLOOKUP(A93,'RAB Calculations 10yr'!$A$22:$J$119,10,FALSE)</f>
        <v>86.06468944978711</v>
      </c>
      <c r="C93" s="325">
        <v>0</v>
      </c>
      <c r="E93" s="324">
        <v>770</v>
      </c>
      <c r="F93" s="325" t="e">
        <v>#N/A</v>
      </c>
      <c r="G93" s="325">
        <v>0</v>
      </c>
      <c r="H93" s="6"/>
      <c r="I93" s="393">
        <v>770</v>
      </c>
      <c r="J93" s="389">
        <f>VLOOKUP(I93,'RAB Calculations 10yr'!$A$22:$J$119,10,FALSE)</f>
        <v>86.06468944978711</v>
      </c>
      <c r="K93" s="389" t="e">
        <v>#N/A</v>
      </c>
      <c r="L93" s="394">
        <v>0</v>
      </c>
      <c r="M93" s="6"/>
      <c r="N93" s="6"/>
      <c r="O93" s="6"/>
      <c r="P93" s="6"/>
      <c r="Q93" s="6"/>
      <c r="R93" s="6"/>
      <c r="S93" s="6"/>
      <c r="T93" s="6"/>
      <c r="U93" s="6"/>
      <c r="V93" s="6"/>
      <c r="W93" s="6"/>
      <c r="X93" s="6"/>
      <c r="Y93" s="6"/>
      <c r="Z93" s="6"/>
      <c r="AA93" s="6"/>
      <c r="AB93" s="6"/>
      <c r="AC93" s="6"/>
      <c r="AD93" s="6"/>
      <c r="AE93" s="6"/>
      <c r="AF93" s="6"/>
      <c r="AG93" s="6"/>
      <c r="AH93" s="6"/>
      <c r="AI93" s="6"/>
      <c r="AJ93" s="6"/>
      <c r="AK93" s="6"/>
    </row>
    <row r="94" spans="1:37" x14ac:dyDescent="0.2">
      <c r="A94" s="324">
        <v>780</v>
      </c>
      <c r="B94" s="325">
        <f>VLOOKUP(A94,'RAB Calculations 10yr'!$A$22:$J$119,10,FALSE)</f>
        <v>79.497904696065248</v>
      </c>
      <c r="C94" s="325">
        <v>0</v>
      </c>
      <c r="E94" s="324">
        <v>780</v>
      </c>
      <c r="F94" s="325" t="e">
        <v>#N/A</v>
      </c>
      <c r="G94" s="325">
        <v>0</v>
      </c>
      <c r="H94" s="6"/>
      <c r="I94" s="393">
        <v>780</v>
      </c>
      <c r="J94" s="389">
        <f>VLOOKUP(I94,'RAB Calculations 10yr'!$A$22:$J$119,10,FALSE)</f>
        <v>79.497904696065248</v>
      </c>
      <c r="K94" s="389" t="e">
        <v>#N/A</v>
      </c>
      <c r="L94" s="394">
        <v>0</v>
      </c>
      <c r="M94" s="6"/>
      <c r="N94" s="6"/>
      <c r="O94" s="6"/>
      <c r="P94" s="6"/>
      <c r="Q94" s="6"/>
      <c r="R94" s="6"/>
      <c r="S94" s="6"/>
      <c r="T94" s="6"/>
      <c r="U94" s="6"/>
      <c r="V94" s="6"/>
      <c r="W94" s="6"/>
      <c r="X94" s="6"/>
      <c r="Y94" s="6"/>
      <c r="Z94" s="6"/>
      <c r="AA94" s="6"/>
      <c r="AB94" s="6"/>
      <c r="AC94" s="6"/>
      <c r="AD94" s="6"/>
      <c r="AE94" s="6"/>
      <c r="AF94" s="6"/>
      <c r="AG94" s="6"/>
      <c r="AH94" s="6"/>
      <c r="AI94" s="6"/>
      <c r="AJ94" s="6"/>
      <c r="AK94" s="6"/>
    </row>
    <row r="95" spans="1:37" x14ac:dyDescent="0.2">
      <c r="A95" s="324">
        <v>790</v>
      </c>
      <c r="B95" s="325">
        <f>VLOOKUP(A95,'RAB Calculations 10yr'!$A$22:$J$119,10,FALSE)</f>
        <v>79.780835658737288</v>
      </c>
      <c r="C95" s="325">
        <v>0</v>
      </c>
      <c r="E95" s="324">
        <v>790</v>
      </c>
      <c r="F95" s="325">
        <v>101.19965859601533</v>
      </c>
      <c r="G95" s="325">
        <v>0</v>
      </c>
      <c r="H95" s="6"/>
      <c r="I95" s="393">
        <v>790</v>
      </c>
      <c r="J95" s="389">
        <f>VLOOKUP(I95,'RAB Calculations 10yr'!$A$22:$J$119,10,FALSE)</f>
        <v>79.780835658737288</v>
      </c>
      <c r="K95" s="389">
        <v>101.19965859601533</v>
      </c>
      <c r="L95" s="394">
        <v>0</v>
      </c>
      <c r="M95" s="6"/>
      <c r="N95" s="6"/>
      <c r="O95" s="6"/>
      <c r="P95" s="6"/>
      <c r="Q95" s="6"/>
      <c r="R95" s="6"/>
      <c r="S95" s="6"/>
      <c r="T95" s="6"/>
      <c r="U95" s="6"/>
      <c r="V95" s="6"/>
      <c r="W95" s="6"/>
      <c r="X95" s="6"/>
      <c r="Y95" s="6"/>
      <c r="Z95" s="6"/>
      <c r="AA95" s="6"/>
      <c r="AB95" s="6"/>
      <c r="AC95" s="6"/>
      <c r="AD95" s="6"/>
      <c r="AE95" s="6"/>
      <c r="AF95" s="6"/>
      <c r="AG95" s="6"/>
      <c r="AH95" s="6"/>
      <c r="AI95" s="6"/>
      <c r="AJ95" s="6"/>
      <c r="AK95" s="6"/>
    </row>
    <row r="96" spans="1:37" x14ac:dyDescent="0.2">
      <c r="A96" s="324">
        <v>800</v>
      </c>
      <c r="B96" s="325" t="e">
        <f>VLOOKUP(A96,'RAB Calculations 10yr'!$A$22:$J$119,10,FALSE)</f>
        <v>#N/A</v>
      </c>
      <c r="C96" s="325">
        <v>0</v>
      </c>
      <c r="E96" s="324">
        <v>800</v>
      </c>
      <c r="F96" s="325" t="e">
        <v>#N/A</v>
      </c>
      <c r="G96" s="325">
        <v>0</v>
      </c>
      <c r="H96" s="6"/>
      <c r="I96" s="393">
        <v>800</v>
      </c>
      <c r="J96" s="389" t="e">
        <f>VLOOKUP(I96,'RAB Calculations 10yr'!$A$22:$J$119,10,FALSE)</f>
        <v>#N/A</v>
      </c>
      <c r="K96" s="389" t="e">
        <v>#N/A</v>
      </c>
      <c r="L96" s="394">
        <v>0</v>
      </c>
      <c r="M96" s="6"/>
      <c r="N96" s="6"/>
      <c r="O96" s="6"/>
      <c r="P96" s="6"/>
      <c r="Q96" s="6"/>
      <c r="R96" s="6"/>
      <c r="S96" s="6"/>
      <c r="T96" s="6"/>
      <c r="U96" s="6"/>
      <c r="V96" s="6"/>
      <c r="W96" s="6"/>
      <c r="X96" s="6"/>
      <c r="Y96" s="6"/>
      <c r="Z96" s="6"/>
      <c r="AA96" s="6"/>
      <c r="AB96" s="6"/>
      <c r="AC96" s="6"/>
      <c r="AD96" s="6"/>
      <c r="AE96" s="6"/>
      <c r="AF96" s="6"/>
      <c r="AG96" s="6"/>
      <c r="AH96" s="6"/>
      <c r="AI96" s="6"/>
      <c r="AJ96" s="6"/>
      <c r="AK96" s="6"/>
    </row>
    <row r="97" spans="1:37" x14ac:dyDescent="0.2">
      <c r="A97" s="324">
        <v>810</v>
      </c>
      <c r="B97" s="325">
        <f>VLOOKUP(A97,'RAB Calculations 10yr'!$A$22:$J$119,10,FALSE)</f>
        <v>51.156145528662286</v>
      </c>
      <c r="C97" s="325">
        <v>0</v>
      </c>
      <c r="E97" s="324">
        <v>810</v>
      </c>
      <c r="F97" s="325">
        <v>64.890075665956445</v>
      </c>
      <c r="G97" s="325">
        <v>0</v>
      </c>
      <c r="H97" s="6"/>
      <c r="I97" s="393">
        <v>810</v>
      </c>
      <c r="J97" s="389">
        <f>VLOOKUP(I97,'RAB Calculations 10yr'!$A$22:$J$119,10,FALSE)</f>
        <v>51.156145528662286</v>
      </c>
      <c r="K97" s="389">
        <v>64.890075665956445</v>
      </c>
      <c r="L97" s="394">
        <v>0</v>
      </c>
      <c r="M97" s="6"/>
      <c r="N97" s="6"/>
      <c r="O97" s="6"/>
      <c r="P97" s="6"/>
      <c r="Q97" s="6"/>
      <c r="R97" s="6"/>
      <c r="S97" s="6"/>
      <c r="T97" s="6"/>
      <c r="U97" s="6"/>
      <c r="V97" s="6"/>
      <c r="W97" s="6"/>
      <c r="X97" s="6"/>
      <c r="Y97" s="6"/>
      <c r="Z97" s="6"/>
      <c r="AA97" s="6"/>
      <c r="AB97" s="6"/>
      <c r="AC97" s="6"/>
      <c r="AD97" s="6"/>
      <c r="AE97" s="6"/>
      <c r="AF97" s="6"/>
      <c r="AG97" s="6"/>
      <c r="AH97" s="6"/>
      <c r="AI97" s="6"/>
      <c r="AJ97" s="6"/>
      <c r="AK97" s="6"/>
    </row>
    <row r="98" spans="1:37" x14ac:dyDescent="0.2">
      <c r="A98" s="324">
        <v>820</v>
      </c>
      <c r="B98" s="325">
        <f>VLOOKUP(A98,'RAB Calculations 10yr'!$A$22:$J$119,10,FALSE)</f>
        <v>30.584534903875124</v>
      </c>
      <c r="C98" s="325">
        <v>0</v>
      </c>
      <c r="E98" s="324">
        <v>820</v>
      </c>
      <c r="F98" s="325">
        <v>38.795588753037947</v>
      </c>
      <c r="G98" s="325">
        <v>0</v>
      </c>
      <c r="H98" s="6"/>
      <c r="I98" s="393">
        <v>820</v>
      </c>
      <c r="J98" s="389">
        <f>VLOOKUP(I98,'RAB Calculations 10yr'!$A$22:$J$119,10,FALSE)</f>
        <v>30.584534903875124</v>
      </c>
      <c r="K98" s="389">
        <v>38.795588753037947</v>
      </c>
      <c r="L98" s="394">
        <v>0</v>
      </c>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2">
      <c r="A99" s="324">
        <v>830</v>
      </c>
      <c r="B99" s="325" t="e">
        <f>VLOOKUP(A99,'RAB Calculations 10yr'!$A$22:$J$119,10,FALSE)</f>
        <v>#N/A</v>
      </c>
      <c r="C99" s="325">
        <v>0</v>
      </c>
      <c r="E99" s="324">
        <v>830</v>
      </c>
      <c r="F99" s="325" t="e">
        <v>#N/A</v>
      </c>
      <c r="G99" s="325">
        <v>0</v>
      </c>
      <c r="H99" s="6"/>
      <c r="I99" s="393">
        <v>830</v>
      </c>
      <c r="J99" s="389" t="e">
        <f>VLOOKUP(I99,'RAB Calculations 10yr'!$A$22:$J$119,10,FALSE)</f>
        <v>#N/A</v>
      </c>
      <c r="K99" s="389" t="e">
        <v>#N/A</v>
      </c>
      <c r="L99" s="394">
        <v>0</v>
      </c>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2">
      <c r="A100" s="324">
        <v>840</v>
      </c>
      <c r="B100" s="325">
        <f>VLOOKUP(A100,'RAB Calculations 10yr'!$A$22:$J$119,10,FALSE)</f>
        <v>200.25475215839111</v>
      </c>
      <c r="C100" s="325">
        <v>0</v>
      </c>
      <c r="E100" s="324">
        <v>840</v>
      </c>
      <c r="F100" s="325">
        <v>254.01730106394828</v>
      </c>
      <c r="G100" s="325">
        <v>0</v>
      </c>
      <c r="H100" s="6"/>
      <c r="I100" s="393">
        <v>840</v>
      </c>
      <c r="J100" s="389">
        <f>VLOOKUP(I100,'RAB Calculations 10yr'!$A$22:$J$119,10,FALSE)</f>
        <v>200.25475215839111</v>
      </c>
      <c r="K100" s="389">
        <v>254.01730106394828</v>
      </c>
      <c r="L100" s="394">
        <v>0</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row>
    <row r="101" spans="1:37" x14ac:dyDescent="0.2">
      <c r="A101" s="324">
        <v>850</v>
      </c>
      <c r="B101" s="325">
        <f>VLOOKUP(A101,'RAB Calculations 10yr'!$A$22:$J$119,10,FALSE)</f>
        <v>180.03286907655911</v>
      </c>
      <c r="C101" s="325">
        <v>0</v>
      </c>
      <c r="E101" s="324">
        <v>850</v>
      </c>
      <c r="F101" s="325">
        <v>228.36643331917276</v>
      </c>
      <c r="G101" s="325">
        <v>0</v>
      </c>
      <c r="H101" s="6"/>
      <c r="I101" s="393">
        <v>850</v>
      </c>
      <c r="J101" s="389">
        <f>VLOOKUP(I101,'RAB Calculations 10yr'!$A$22:$J$119,10,FALSE)</f>
        <v>180.03286907655911</v>
      </c>
      <c r="K101" s="389">
        <v>228.36643331917276</v>
      </c>
      <c r="L101" s="394">
        <v>0</v>
      </c>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row>
    <row r="102" spans="1:37" x14ac:dyDescent="0.2">
      <c r="A102" s="324">
        <v>860</v>
      </c>
      <c r="B102" s="325">
        <f>VLOOKUP(A102,'RAB Calculations 10yr'!$A$22:$J$119,10,FALSE)</f>
        <v>200.25475215839111</v>
      </c>
      <c r="C102" s="325">
        <v>0</v>
      </c>
      <c r="E102" s="324">
        <v>860</v>
      </c>
      <c r="F102" s="325">
        <v>254.01730106394828</v>
      </c>
      <c r="G102" s="325">
        <v>0</v>
      </c>
      <c r="H102" s="6"/>
      <c r="I102" s="393">
        <v>860</v>
      </c>
      <c r="J102" s="389">
        <f>VLOOKUP(I102,'RAB Calculations 10yr'!$A$22:$J$119,10,FALSE)</f>
        <v>200.25475215839111</v>
      </c>
      <c r="K102" s="389">
        <v>254.01730106394828</v>
      </c>
      <c r="L102" s="394">
        <v>0</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row>
    <row r="103" spans="1:37" x14ac:dyDescent="0.2">
      <c r="A103" s="324">
        <v>870</v>
      </c>
      <c r="B103" s="325">
        <f>VLOOKUP(A103,'RAB Calculations 10yr'!$A$22:$J$119,10,FALSE)</f>
        <v>220.47663524022317</v>
      </c>
      <c r="C103" s="325">
        <v>0</v>
      </c>
      <c r="E103" s="324">
        <v>870</v>
      </c>
      <c r="F103" s="325">
        <v>279.66816880872375</v>
      </c>
      <c r="G103" s="325">
        <v>0</v>
      </c>
      <c r="H103" s="6"/>
      <c r="I103" s="393">
        <v>870</v>
      </c>
      <c r="J103" s="389">
        <f>VLOOKUP(I103,'RAB Calculations 10yr'!$A$22:$J$119,10,FALSE)</f>
        <v>220.47663524022317</v>
      </c>
      <c r="K103" s="389">
        <v>279.66816880872375</v>
      </c>
      <c r="L103" s="394">
        <v>0</v>
      </c>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row>
    <row r="104" spans="1:37" x14ac:dyDescent="0.2">
      <c r="A104" s="324">
        <v>880</v>
      </c>
      <c r="B104" s="325" t="e">
        <f>VLOOKUP(A104,'RAB Calculations 10yr'!$A$22:$J$119,10,FALSE)</f>
        <v>#N/A</v>
      </c>
      <c r="C104" s="325">
        <v>0</v>
      </c>
      <c r="E104" s="324">
        <v>880</v>
      </c>
      <c r="F104" s="325" t="e">
        <v>#N/A</v>
      </c>
      <c r="G104" s="325">
        <v>0</v>
      </c>
      <c r="H104" s="6"/>
      <c r="I104" s="393">
        <v>880</v>
      </c>
      <c r="J104" s="389" t="e">
        <f>VLOOKUP(I104,'RAB Calculations 10yr'!$A$22:$J$119,10,FALSE)</f>
        <v>#N/A</v>
      </c>
      <c r="K104" s="389" t="e">
        <v>#N/A</v>
      </c>
      <c r="L104" s="394">
        <v>0</v>
      </c>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row>
    <row r="105" spans="1:37" x14ac:dyDescent="0.2">
      <c r="A105" s="324">
        <v>890</v>
      </c>
      <c r="B105" s="325">
        <f>VLOOKUP(A105,'RAB Calculations 10yr'!$A$22:$J$119,10,FALSE)</f>
        <v>26.376770440019968</v>
      </c>
      <c r="C105" s="325">
        <v>0</v>
      </c>
      <c r="E105" s="324">
        <v>890</v>
      </c>
      <c r="F105" s="325">
        <v>33.458162494229981</v>
      </c>
      <c r="G105" s="325">
        <v>0</v>
      </c>
      <c r="H105" s="6"/>
      <c r="I105" s="393">
        <v>890</v>
      </c>
      <c r="J105" s="389">
        <f>VLOOKUP(I105,'RAB Calculations 10yr'!$A$22:$J$119,10,FALSE)</f>
        <v>26.376770440019968</v>
      </c>
      <c r="K105" s="389">
        <v>33.458162494229981</v>
      </c>
      <c r="L105" s="394">
        <v>0</v>
      </c>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row>
    <row r="106" spans="1:37" x14ac:dyDescent="0.2">
      <c r="A106" s="324">
        <v>900</v>
      </c>
      <c r="B106" s="325">
        <f>VLOOKUP(A106,'RAB Calculations 10yr'!$A$22:$J$119,10,FALSE)</f>
        <v>93.749408307796699</v>
      </c>
      <c r="C106" s="325">
        <v>0</v>
      </c>
      <c r="E106" s="324">
        <v>900</v>
      </c>
      <c r="F106" s="325" t="e">
        <v>#N/A</v>
      </c>
      <c r="G106" s="325">
        <v>0</v>
      </c>
      <c r="H106" s="6"/>
      <c r="I106" s="393">
        <v>900</v>
      </c>
      <c r="J106" s="389">
        <f>VLOOKUP(I106,'RAB Calculations 10yr'!$A$22:$J$119,10,FALSE)</f>
        <v>93.749408307796699</v>
      </c>
      <c r="K106" s="389" t="e">
        <v>#N/A</v>
      </c>
      <c r="L106" s="394">
        <v>0</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row>
    <row r="107" spans="1:37" x14ac:dyDescent="0.2">
      <c r="A107" s="324">
        <v>910</v>
      </c>
      <c r="B107" s="325">
        <f>VLOOKUP(A107,'RAB Calculations 10yr'!$A$22:$J$119,10,FALSE)</f>
        <v>60.277888801896275</v>
      </c>
      <c r="C107" s="325">
        <v>0</v>
      </c>
      <c r="E107" s="324">
        <v>910</v>
      </c>
      <c r="F107" s="325">
        <v>76.460740443151991</v>
      </c>
      <c r="G107" s="325">
        <v>0</v>
      </c>
      <c r="H107" s="6"/>
      <c r="I107" s="393">
        <v>910</v>
      </c>
      <c r="J107" s="389">
        <f>VLOOKUP(I107,'RAB Calculations 10yr'!$A$22:$J$119,10,FALSE)</f>
        <v>60.277888801896275</v>
      </c>
      <c r="K107" s="389">
        <v>76.460740443151991</v>
      </c>
      <c r="L107" s="394">
        <v>0</v>
      </c>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row>
    <row r="108" spans="1:37" x14ac:dyDescent="0.2">
      <c r="A108" s="324">
        <v>920</v>
      </c>
      <c r="B108" s="325" t="e">
        <f>VLOOKUP(A108,'RAB Calculations 10yr'!$A$22:$J$119,10,FALSE)</f>
        <v>#N/A</v>
      </c>
      <c r="C108" s="325">
        <v>0</v>
      </c>
      <c r="E108" s="324">
        <v>920</v>
      </c>
      <c r="F108" s="325" t="e">
        <v>#N/A</v>
      </c>
      <c r="G108" s="325">
        <v>0</v>
      </c>
      <c r="H108" s="6"/>
      <c r="I108" s="393">
        <v>920</v>
      </c>
      <c r="J108" s="389" t="e">
        <f>VLOOKUP(I108,'RAB Calculations 10yr'!$A$22:$J$119,10,FALSE)</f>
        <v>#N/A</v>
      </c>
      <c r="K108" s="389" t="e">
        <v>#N/A</v>
      </c>
      <c r="L108" s="394">
        <v>0</v>
      </c>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row>
    <row r="109" spans="1:37" x14ac:dyDescent="0.2">
      <c r="A109" s="324">
        <v>930</v>
      </c>
      <c r="B109" s="325">
        <f>VLOOKUP(A109,'RAB Calculations 10yr'!$A$22:$J$119,10,FALSE)</f>
        <v>91.506461206950704</v>
      </c>
      <c r="C109" s="325">
        <v>0</v>
      </c>
      <c r="E109" s="324">
        <v>930</v>
      </c>
      <c r="F109" s="325" t="e">
        <v>#N/A</v>
      </c>
      <c r="G109" s="325">
        <v>0</v>
      </c>
      <c r="H109" s="6"/>
      <c r="I109" s="393">
        <v>930</v>
      </c>
      <c r="J109" s="389">
        <f>VLOOKUP(I109,'RAB Calculations 10yr'!$A$22:$J$119,10,FALSE)</f>
        <v>91.506461206950704</v>
      </c>
      <c r="K109" s="389" t="e">
        <v>#N/A</v>
      </c>
      <c r="L109" s="394">
        <v>0</v>
      </c>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row>
    <row r="110" spans="1:37" x14ac:dyDescent="0.2">
      <c r="A110" s="324">
        <v>940</v>
      </c>
      <c r="B110" s="325">
        <f>VLOOKUP(A110,'RAB Calculations 10yr'!$A$22:$J$119,10,FALSE)</f>
        <v>45.596786334188934</v>
      </c>
      <c r="C110" s="325">
        <v>0</v>
      </c>
      <c r="E110" s="324">
        <v>940</v>
      </c>
      <c r="F110" s="325">
        <v>57.838190989041465</v>
      </c>
      <c r="G110" s="325">
        <v>0</v>
      </c>
      <c r="H110" s="6"/>
      <c r="I110" s="393">
        <v>940</v>
      </c>
      <c r="J110" s="389">
        <f>VLOOKUP(I110,'RAB Calculations 10yr'!$A$22:$J$119,10,FALSE)</f>
        <v>45.596786334188934</v>
      </c>
      <c r="K110" s="389">
        <v>57.838190989041465</v>
      </c>
      <c r="L110" s="394">
        <v>0</v>
      </c>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row>
    <row r="111" spans="1:37" x14ac:dyDescent="0.2">
      <c r="A111" s="324">
        <v>950</v>
      </c>
      <c r="B111" s="325">
        <f>VLOOKUP(A111,'RAB Calculations 10yr'!$A$22:$J$119,10,FALSE)</f>
        <v>45.879717296860981</v>
      </c>
      <c r="C111" s="325">
        <v>0</v>
      </c>
      <c r="E111" s="324">
        <v>950</v>
      </c>
      <c r="F111" s="325">
        <v>58.197080647093287</v>
      </c>
      <c r="G111" s="325">
        <v>0</v>
      </c>
      <c r="H111" s="6"/>
      <c r="I111" s="393">
        <v>950</v>
      </c>
      <c r="J111" s="389">
        <f>VLOOKUP(I111,'RAB Calculations 10yr'!$A$22:$J$119,10,FALSE)</f>
        <v>45.879717296860981</v>
      </c>
      <c r="K111" s="389">
        <v>58.197080647093287</v>
      </c>
      <c r="L111" s="394">
        <v>0</v>
      </c>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row>
    <row r="112" spans="1:37" x14ac:dyDescent="0.2">
      <c r="A112" s="324">
        <v>960</v>
      </c>
      <c r="B112" s="325">
        <f>VLOOKUP(A112,'RAB Calculations 10yr'!$A$22:$J$119,10,FALSE)</f>
        <v>44.871736490801723</v>
      </c>
      <c r="C112" s="325">
        <v>0</v>
      </c>
      <c r="E112" s="324">
        <v>960</v>
      </c>
      <c r="F112" s="325">
        <v>56.918486450852114</v>
      </c>
      <c r="G112" s="325">
        <v>0</v>
      </c>
      <c r="H112" s="6"/>
      <c r="I112" s="393">
        <v>960</v>
      </c>
      <c r="J112" s="389">
        <f>VLOOKUP(I112,'RAB Calculations 10yr'!$A$22:$J$119,10,FALSE)</f>
        <v>44.871736490801723</v>
      </c>
      <c r="K112" s="389">
        <v>56.918486450852114</v>
      </c>
      <c r="L112" s="394">
        <v>0</v>
      </c>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row>
    <row r="113" spans="1:37" x14ac:dyDescent="0.2">
      <c r="A113" s="324">
        <v>970</v>
      </c>
      <c r="B113" s="325" t="e">
        <f>VLOOKUP(A113,'RAB Calculations 10yr'!$A$22:$J$119,10,FALSE)</f>
        <v>#N/A</v>
      </c>
      <c r="C113" s="325">
        <v>0</v>
      </c>
      <c r="E113" s="324">
        <v>970</v>
      </c>
      <c r="F113" s="325" t="e">
        <v>#N/A</v>
      </c>
      <c r="G113" s="325">
        <v>0</v>
      </c>
      <c r="H113" s="6"/>
      <c r="I113" s="393">
        <v>970</v>
      </c>
      <c r="J113" s="389" t="e">
        <f>VLOOKUP(I113,'RAB Calculations 10yr'!$A$22:$J$119,10,FALSE)</f>
        <v>#N/A</v>
      </c>
      <c r="K113" s="389" t="e">
        <v>#N/A</v>
      </c>
      <c r="L113" s="394">
        <v>0</v>
      </c>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row>
    <row r="114" spans="1:37" x14ac:dyDescent="0.2">
      <c r="A114" s="324">
        <v>980</v>
      </c>
      <c r="B114" s="325">
        <f>VLOOKUP(A114,'RAB Calculations 10yr'!$A$22:$J$119,10,FALSE)</f>
        <v>78.516176576080454</v>
      </c>
      <c r="C114" s="325">
        <v>0</v>
      </c>
      <c r="E114" s="324">
        <v>980</v>
      </c>
      <c r="F114" s="325" t="e">
        <v>#N/A</v>
      </c>
      <c r="G114" s="325">
        <v>0</v>
      </c>
      <c r="H114" s="6"/>
      <c r="I114" s="393">
        <v>980</v>
      </c>
      <c r="J114" s="389">
        <f>VLOOKUP(I114,'RAB Calculations 10yr'!$A$22:$J$119,10,FALSE)</f>
        <v>78.516176576080454</v>
      </c>
      <c r="K114" s="389" t="e">
        <v>#N/A</v>
      </c>
      <c r="L114" s="394">
        <v>0</v>
      </c>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row>
    <row r="115" spans="1:37" x14ac:dyDescent="0.2">
      <c r="A115" s="324">
        <v>990</v>
      </c>
      <c r="B115" s="325">
        <f>VLOOKUP(A115,'RAB Calculations 10yr'!$A$22:$J$119,10,FALSE)</f>
        <v>86.253661186307269</v>
      </c>
      <c r="C115" s="325">
        <v>0</v>
      </c>
      <c r="E115" s="324">
        <v>990</v>
      </c>
      <c r="F115" s="325">
        <v>109.41024862221688</v>
      </c>
      <c r="G115" s="325">
        <v>0</v>
      </c>
      <c r="H115" s="6"/>
      <c r="I115" s="393">
        <v>990</v>
      </c>
      <c r="J115" s="389">
        <f>VLOOKUP(I115,'RAB Calculations 10yr'!$A$22:$J$119,10,FALSE)</f>
        <v>86.253661186307269</v>
      </c>
      <c r="K115" s="389">
        <v>109.41024862221688</v>
      </c>
      <c r="L115" s="394">
        <v>0</v>
      </c>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row>
    <row r="116" spans="1:37" x14ac:dyDescent="0.2">
      <c r="A116" s="324">
        <v>1000</v>
      </c>
      <c r="B116" s="325">
        <f>VLOOKUP(A116,'RAB Calculations 10yr'!$A$22:$J$119,10,FALSE)</f>
        <v>92.918415054851835</v>
      </c>
      <c r="C116" s="325">
        <v>0</v>
      </c>
      <c r="E116" s="324">
        <v>1000</v>
      </c>
      <c r="F116" s="325" t="e">
        <v>#N/A</v>
      </c>
      <c r="G116" s="325">
        <v>0</v>
      </c>
      <c r="H116" s="6"/>
      <c r="I116" s="393">
        <v>1000</v>
      </c>
      <c r="J116" s="389">
        <f>VLOOKUP(I116,'RAB Calculations 10yr'!$A$22:$J$119,10,FALSE)</f>
        <v>92.918415054851835</v>
      </c>
      <c r="K116" s="389" t="e">
        <v>#N/A</v>
      </c>
      <c r="L116" s="394">
        <v>0</v>
      </c>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row>
    <row r="117" spans="1:37" x14ac:dyDescent="0.2">
      <c r="A117" s="324">
        <v>1010</v>
      </c>
      <c r="B117" s="325">
        <f>VLOOKUP(A117,'RAB Calculations 10yr'!$A$22:$J$119,10,FALSE)</f>
        <v>44.61505821420414</v>
      </c>
      <c r="C117" s="325">
        <v>0</v>
      </c>
      <c r="E117" s="324">
        <v>1010</v>
      </c>
      <c r="F117" s="325">
        <v>56.592897557902937</v>
      </c>
      <c r="G117" s="325">
        <v>0</v>
      </c>
      <c r="H117" s="6"/>
      <c r="I117" s="393">
        <v>1010</v>
      </c>
      <c r="J117" s="389">
        <f>VLOOKUP(I117,'RAB Calculations 10yr'!$A$22:$J$119,10,FALSE)</f>
        <v>44.61505821420414</v>
      </c>
      <c r="K117" s="389">
        <v>56.592897557902937</v>
      </c>
      <c r="L117" s="394">
        <v>0</v>
      </c>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row>
    <row r="118" spans="1:37" x14ac:dyDescent="0.2">
      <c r="A118" s="324">
        <v>1020</v>
      </c>
      <c r="B118" s="325">
        <f>VLOOKUP(A118,'RAB Calculations 10yr'!$A$22:$J$119,10,FALSE)</f>
        <v>57.605342845074404</v>
      </c>
      <c r="C118" s="325">
        <v>0</v>
      </c>
      <c r="E118" s="324">
        <v>1020</v>
      </c>
      <c r="F118" s="325">
        <v>73.070693996792002</v>
      </c>
      <c r="G118" s="325">
        <v>0</v>
      </c>
      <c r="H118" s="6"/>
      <c r="I118" s="393">
        <v>1020</v>
      </c>
      <c r="J118" s="389">
        <f>VLOOKUP(I118,'RAB Calculations 10yr'!$A$22:$J$119,10,FALSE)</f>
        <v>57.605342845074404</v>
      </c>
      <c r="K118" s="389">
        <v>73.070693996792002</v>
      </c>
      <c r="L118" s="394">
        <v>0</v>
      </c>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row>
    <row r="119" spans="1:37" x14ac:dyDescent="0.2">
      <c r="A119" s="324">
        <v>1030</v>
      </c>
      <c r="B119" s="325">
        <f>VLOOKUP(A119,'RAB Calculations 10yr'!$A$22:$J$119,10,FALSE)</f>
        <v>52.163571087910817</v>
      </c>
      <c r="C119" s="325">
        <v>0</v>
      </c>
      <c r="E119" s="324">
        <v>1030</v>
      </c>
      <c r="F119" s="325">
        <v>66.167965547844219</v>
      </c>
      <c r="G119" s="325">
        <v>0</v>
      </c>
      <c r="H119" s="6"/>
      <c r="I119" s="393">
        <v>1030</v>
      </c>
      <c r="J119" s="389">
        <f>VLOOKUP(I119,'RAB Calculations 10yr'!$A$22:$J$119,10,FALSE)</f>
        <v>52.163571087910817</v>
      </c>
      <c r="K119" s="389">
        <v>66.167965547844219</v>
      </c>
      <c r="L119" s="394">
        <v>0</v>
      </c>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7" x14ac:dyDescent="0.2">
      <c r="A120" s="324">
        <v>1040</v>
      </c>
      <c r="B120" s="325" t="e">
        <f>VLOOKUP(A120,'RAB Calculations 10yr'!$A$22:$J$119,10,FALSE)</f>
        <v>#N/A</v>
      </c>
      <c r="C120" s="325">
        <v>0</v>
      </c>
      <c r="E120" s="324">
        <v>1040</v>
      </c>
      <c r="F120" s="325" t="e">
        <v>#N/A</v>
      </c>
      <c r="G120" s="325">
        <v>0</v>
      </c>
      <c r="H120" s="6"/>
      <c r="I120" s="393">
        <v>1040</v>
      </c>
      <c r="J120" s="389" t="e">
        <f>VLOOKUP(I120,'RAB Calculations 10yr'!$A$22:$J$119,10,FALSE)</f>
        <v>#N/A</v>
      </c>
      <c r="K120" s="389" t="e">
        <v>#N/A</v>
      </c>
      <c r="L120" s="394">
        <v>0</v>
      </c>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7" x14ac:dyDescent="0.2">
      <c r="A121" s="324">
        <v>1050</v>
      </c>
      <c r="B121" s="325">
        <f>VLOOKUP(A121,'RAB Calculations 10yr'!$A$22:$J$119,10,FALSE)</f>
        <v>220.47663524022317</v>
      </c>
      <c r="C121" s="325">
        <v>0</v>
      </c>
      <c r="E121" s="324">
        <v>1050</v>
      </c>
      <c r="F121" s="325">
        <v>279.66816880872375</v>
      </c>
      <c r="G121" s="325">
        <v>0</v>
      </c>
      <c r="H121" s="6"/>
      <c r="I121" s="393">
        <v>1050</v>
      </c>
      <c r="J121" s="389">
        <f>VLOOKUP(I121,'RAB Calculations 10yr'!$A$22:$J$119,10,FALSE)</f>
        <v>220.47663524022317</v>
      </c>
      <c r="K121" s="389">
        <v>279.66816880872375</v>
      </c>
      <c r="L121" s="394">
        <v>0</v>
      </c>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row>
    <row r="122" spans="1:37" x14ac:dyDescent="0.2">
      <c r="A122" s="324">
        <v>1060</v>
      </c>
      <c r="B122" s="325" t="e">
        <f>VLOOKUP(A122,'RAB Calculations 10yr'!$A$22:$J$119,10,FALSE)</f>
        <v>#N/A</v>
      </c>
      <c r="C122" s="325">
        <v>0</v>
      </c>
      <c r="E122" s="324">
        <v>1060</v>
      </c>
      <c r="F122" s="325" t="e">
        <v>#N/A</v>
      </c>
      <c r="G122" s="325">
        <v>0</v>
      </c>
      <c r="H122" s="6"/>
      <c r="I122" s="393">
        <v>1060</v>
      </c>
      <c r="J122" s="389" t="e">
        <f>VLOOKUP(I122,'RAB Calculations 10yr'!$A$22:$J$119,10,FALSE)</f>
        <v>#N/A</v>
      </c>
      <c r="K122" s="389" t="e">
        <v>#N/A</v>
      </c>
      <c r="L122" s="394">
        <v>0</v>
      </c>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row>
    <row r="123" spans="1:37" x14ac:dyDescent="0.2">
      <c r="A123" s="324">
        <v>1070</v>
      </c>
      <c r="B123" s="325">
        <f>VLOOKUP(A123,'RAB Calculations 10yr'!$A$22:$J$119,10,FALSE)</f>
        <v>71.116706099521267</v>
      </c>
      <c r="C123" s="325">
        <v>0</v>
      </c>
      <c r="E123" s="324">
        <v>1070</v>
      </c>
      <c r="F123" s="325">
        <v>90.209463442196068</v>
      </c>
      <c r="G123" s="325">
        <v>0</v>
      </c>
      <c r="H123" s="6"/>
      <c r="I123" s="393">
        <v>1070</v>
      </c>
      <c r="J123" s="389">
        <f>VLOOKUP(I123,'RAB Calculations 10yr'!$A$22:$J$119,10,FALSE)</f>
        <v>71.116706099521267</v>
      </c>
      <c r="K123" s="389">
        <v>90.209463442196068</v>
      </c>
      <c r="L123" s="394">
        <v>0</v>
      </c>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row>
    <row r="124" spans="1:37" x14ac:dyDescent="0.2">
      <c r="A124" s="324">
        <v>1080</v>
      </c>
      <c r="B124" s="325">
        <f>VLOOKUP(A124,'RAB Calculations 10yr'!$A$22:$J$119,10,FALSE)</f>
        <v>73.527525225964666</v>
      </c>
      <c r="C124" s="325">
        <v>0</v>
      </c>
      <c r="E124" s="324">
        <v>1080</v>
      </c>
      <c r="F124" s="325" t="e">
        <v>#N/A</v>
      </c>
      <c r="G124" s="325">
        <v>0</v>
      </c>
      <c r="H124" s="6"/>
      <c r="I124" s="393">
        <v>1080</v>
      </c>
      <c r="J124" s="389">
        <f>VLOOKUP(I124,'RAB Calculations 10yr'!$A$22:$J$119,10,FALSE)</f>
        <v>73.527525225964666</v>
      </c>
      <c r="K124" s="389" t="e">
        <v>#N/A</v>
      </c>
      <c r="L124" s="394">
        <v>0</v>
      </c>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row>
    <row r="125" spans="1:37" x14ac:dyDescent="0.2">
      <c r="A125" s="324">
        <v>1070</v>
      </c>
      <c r="B125" s="325">
        <f>VLOOKUP(A125,'RAB Calculations 10yr'!$A$22:$J$119,10,FALSE)</f>
        <v>71.116706099521267</v>
      </c>
      <c r="C125" s="325">
        <v>0</v>
      </c>
      <c r="E125" s="324">
        <v>1070</v>
      </c>
      <c r="F125" s="325">
        <v>90.209463442196068</v>
      </c>
      <c r="G125" s="325">
        <v>0</v>
      </c>
      <c r="H125" s="6"/>
      <c r="I125" s="393">
        <v>1070</v>
      </c>
      <c r="J125" s="389">
        <f>VLOOKUP(I125,'RAB Calculations 10yr'!$A$22:$J$119,10,FALSE)</f>
        <v>71.116706099521267</v>
      </c>
      <c r="K125" s="389">
        <v>90.209463442196068</v>
      </c>
      <c r="L125" s="394">
        <v>0</v>
      </c>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row>
    <row r="126" spans="1:37" x14ac:dyDescent="0.2">
      <c r="A126" s="324">
        <v>1100</v>
      </c>
      <c r="B126" s="325">
        <f>VLOOKUP(A126,'RAB Calculations 10yr'!$A$22:$J$119,10,FALSE)</f>
        <v>73.527525225964666</v>
      </c>
      <c r="C126" s="325">
        <v>0</v>
      </c>
      <c r="E126" s="324">
        <v>1100</v>
      </c>
      <c r="F126" s="325">
        <v>93.267517052669831</v>
      </c>
      <c r="G126" s="325">
        <v>0</v>
      </c>
      <c r="H126" s="6"/>
      <c r="I126" s="393">
        <v>1100</v>
      </c>
      <c r="J126" s="389">
        <f>VLOOKUP(I126,'RAB Calculations 10yr'!$A$22:$J$119,10,FALSE)</f>
        <v>73.527525225964666</v>
      </c>
      <c r="K126" s="389">
        <v>93.267517052669831</v>
      </c>
      <c r="L126" s="394">
        <v>0</v>
      </c>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row>
    <row r="127" spans="1:37" x14ac:dyDescent="0.2">
      <c r="A127" s="324">
        <v>1110</v>
      </c>
      <c r="B127" s="325" t="e">
        <f>VLOOKUP(A127,'RAB Calculations 10yr'!$A$22:$J$119,10,FALSE)</f>
        <v>#N/A</v>
      </c>
      <c r="C127" s="325">
        <v>0</v>
      </c>
      <c r="E127" s="324">
        <v>1110</v>
      </c>
      <c r="F127" s="325" t="e">
        <v>#N/A</v>
      </c>
      <c r="G127" s="325">
        <v>0</v>
      </c>
      <c r="H127" s="6"/>
      <c r="I127" s="393">
        <v>1110</v>
      </c>
      <c r="J127" s="389" t="e">
        <f>VLOOKUP(I127,'RAB Calculations 10yr'!$A$22:$J$119,10,FALSE)</f>
        <v>#N/A</v>
      </c>
      <c r="K127" s="389" t="e">
        <v>#N/A</v>
      </c>
      <c r="L127" s="394">
        <v>0</v>
      </c>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row>
    <row r="128" spans="1:37" x14ac:dyDescent="0.2">
      <c r="A128" s="324">
        <v>1120</v>
      </c>
      <c r="B128" s="325">
        <f>VLOOKUP(A128,'RAB Calculations 10yr'!$A$22:$J$119,10,FALSE)</f>
        <v>97.399971273151337</v>
      </c>
      <c r="C128" s="325">
        <v>0</v>
      </c>
      <c r="E128" s="324">
        <v>1120</v>
      </c>
      <c r="F128" s="325">
        <v>123.5490172385169</v>
      </c>
      <c r="G128" s="325">
        <v>0</v>
      </c>
      <c r="H128" s="6"/>
      <c r="I128" s="393">
        <v>1120</v>
      </c>
      <c r="J128" s="389">
        <f>VLOOKUP(I128,'RAB Calculations 10yr'!$A$22:$J$119,10,FALSE)</f>
        <v>97.399971273151337</v>
      </c>
      <c r="K128" s="389">
        <v>123.5490172385169</v>
      </c>
      <c r="L128" s="394">
        <v>0</v>
      </c>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row>
    <row r="129" spans="1:37" x14ac:dyDescent="0.2">
      <c r="A129" s="324">
        <v>1130</v>
      </c>
      <c r="B129" s="325">
        <f>VLOOKUP(A129,'RAB Calculations 10yr'!$A$22:$J$119,10,FALSE)</f>
        <v>120.03267348142677</v>
      </c>
      <c r="C129" s="325">
        <v>0</v>
      </c>
      <c r="E129" s="324">
        <v>1130</v>
      </c>
      <c r="F129" s="325">
        <v>152.25793859376614</v>
      </c>
      <c r="G129" s="325">
        <v>0</v>
      </c>
      <c r="H129" s="6"/>
      <c r="I129" s="393">
        <v>1130</v>
      </c>
      <c r="J129" s="389">
        <f>VLOOKUP(I129,'RAB Calculations 10yr'!$A$22:$J$119,10,FALSE)</f>
        <v>120.03267348142677</v>
      </c>
      <c r="K129" s="389">
        <v>152.25793859376614</v>
      </c>
      <c r="L129" s="394">
        <v>0</v>
      </c>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row>
    <row r="130" spans="1:37" x14ac:dyDescent="0.2">
      <c r="A130" s="324">
        <v>1140</v>
      </c>
      <c r="B130" s="325" t="e">
        <f>VLOOKUP(A130,'RAB Calculations 10yr'!$A$22:$J$119,10,FALSE)</f>
        <v>#N/A</v>
      </c>
      <c r="C130" s="325">
        <v>0</v>
      </c>
      <c r="E130" s="324">
        <v>1140</v>
      </c>
      <c r="F130" s="325" t="e">
        <v>#N/A</v>
      </c>
      <c r="G130" s="325">
        <v>0</v>
      </c>
      <c r="H130" s="6"/>
      <c r="I130" s="393">
        <v>1140</v>
      </c>
      <c r="J130" s="389" t="e">
        <f>VLOOKUP(I130,'RAB Calculations 10yr'!$A$22:$J$119,10,FALSE)</f>
        <v>#N/A</v>
      </c>
      <c r="K130" s="389" t="e">
        <v>#N/A</v>
      </c>
      <c r="L130" s="394">
        <v>0</v>
      </c>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row>
    <row r="131" spans="1:37" x14ac:dyDescent="0.2">
      <c r="A131" s="324">
        <v>1150</v>
      </c>
      <c r="B131" s="325" t="e">
        <f>VLOOKUP(A131,'RAB Calculations 10yr'!$A$22:$J$119,10,FALSE)</f>
        <v>#N/A</v>
      </c>
      <c r="C131" s="325">
        <v>0</v>
      </c>
      <c r="E131" s="324">
        <v>1150</v>
      </c>
      <c r="F131" s="325" t="e">
        <v>#N/A</v>
      </c>
      <c r="G131" s="325">
        <v>0</v>
      </c>
      <c r="H131" s="6"/>
      <c r="I131" s="393">
        <v>1150</v>
      </c>
      <c r="J131" s="389" t="e">
        <f>VLOOKUP(I131,'RAB Calculations 10yr'!$A$22:$J$119,10,FALSE)</f>
        <v>#N/A</v>
      </c>
      <c r="K131" s="389" t="e">
        <v>#N/A</v>
      </c>
      <c r="L131" s="394">
        <v>0</v>
      </c>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row>
    <row r="132" spans="1:37" x14ac:dyDescent="0.2">
      <c r="A132" s="324">
        <v>1160</v>
      </c>
      <c r="B132" s="325">
        <f>VLOOKUP(A132,'RAB Calculations 10yr'!$A$22:$J$119,10,FALSE)</f>
        <v>88.927770054909942</v>
      </c>
      <c r="C132" s="325">
        <v>0</v>
      </c>
      <c r="E132" s="324">
        <v>1160</v>
      </c>
      <c r="F132" s="325">
        <v>112.80227757649784</v>
      </c>
      <c r="G132" s="325">
        <v>0</v>
      </c>
      <c r="H132" s="6"/>
      <c r="I132" s="393">
        <v>1160</v>
      </c>
      <c r="J132" s="389">
        <f>VLOOKUP(I132,'RAB Calculations 10yr'!$A$22:$J$119,10,FALSE)</f>
        <v>88.927770054909942</v>
      </c>
      <c r="K132" s="389">
        <v>112.80227757649784</v>
      </c>
      <c r="L132" s="394">
        <v>0</v>
      </c>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row>
    <row r="133" spans="1:37" x14ac:dyDescent="0.2">
      <c r="A133" s="324">
        <v>1170</v>
      </c>
      <c r="B133" s="325">
        <f>VLOOKUP(A133,'RAB Calculations 10yr'!$A$22:$J$119,10,FALSE)</f>
        <v>99.810790399594723</v>
      </c>
      <c r="C133" s="325">
        <v>0</v>
      </c>
      <c r="E133" s="324">
        <v>1170</v>
      </c>
      <c r="F133" s="325">
        <v>126.60707084899062</v>
      </c>
      <c r="G133" s="325">
        <v>0</v>
      </c>
      <c r="H133" s="6"/>
      <c r="I133" s="393">
        <v>1170</v>
      </c>
      <c r="J133" s="389">
        <f>VLOOKUP(I133,'RAB Calculations 10yr'!$A$22:$J$119,10,FALSE)</f>
        <v>99.810790399594723</v>
      </c>
      <c r="K133" s="389">
        <v>126.60707084899062</v>
      </c>
      <c r="L133" s="394">
        <v>0</v>
      </c>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row>
    <row r="134" spans="1:37" x14ac:dyDescent="0.2">
      <c r="A134" s="324">
        <v>1180</v>
      </c>
      <c r="B134" s="325">
        <f>VLOOKUP(A134,'RAB Calculations 10yr'!$A$22:$J$119,10,FALSE)</f>
        <v>28.535418210578442</v>
      </c>
      <c r="C134" s="325">
        <v>0</v>
      </c>
      <c r="E134" s="324">
        <v>1180</v>
      </c>
      <c r="F134" s="325">
        <v>36.196344108972738</v>
      </c>
      <c r="G134" s="325">
        <v>0</v>
      </c>
      <c r="H134" s="6"/>
      <c r="I134" s="393">
        <v>1180</v>
      </c>
      <c r="J134" s="389">
        <f>VLOOKUP(I134,'RAB Calculations 10yr'!$A$22:$J$119,10,FALSE)</f>
        <v>28.535418210578442</v>
      </c>
      <c r="K134" s="389">
        <v>36.196344108972738</v>
      </c>
      <c r="L134" s="394">
        <v>0</v>
      </c>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row>
    <row r="135" spans="1:37" x14ac:dyDescent="0.2">
      <c r="A135" s="324">
        <v>1190</v>
      </c>
      <c r="B135" s="325" t="e">
        <f>VLOOKUP(A135,'RAB Calculations 10yr'!$A$22:$J$119,10,FALSE)</f>
        <v>#N/A</v>
      </c>
      <c r="C135" s="325">
        <v>0</v>
      </c>
      <c r="E135" s="324">
        <v>1190</v>
      </c>
      <c r="F135" s="325" t="e">
        <v>#N/A</v>
      </c>
      <c r="G135" s="325">
        <v>0</v>
      </c>
      <c r="H135" s="6"/>
      <c r="I135" s="393">
        <v>1190</v>
      </c>
      <c r="J135" s="389" t="e">
        <f>VLOOKUP(I135,'RAB Calculations 10yr'!$A$22:$J$119,10,FALSE)</f>
        <v>#N/A</v>
      </c>
      <c r="K135" s="389" t="e">
        <v>#N/A</v>
      </c>
      <c r="L135" s="394">
        <v>0</v>
      </c>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row>
    <row r="136" spans="1:37" x14ac:dyDescent="0.2">
      <c r="A136" s="324">
        <v>1200</v>
      </c>
      <c r="B136" s="325">
        <f>VLOOKUP(A136,'RAB Calculations 10yr'!$A$22:$J$119,10,FALSE)</f>
        <v>46.480563122915477</v>
      </c>
      <c r="C136" s="325">
        <v>0</v>
      </c>
      <c r="E136" s="324">
        <v>1200</v>
      </c>
      <c r="F136" s="325">
        <v>58.959236018912797</v>
      </c>
      <c r="G136" s="325">
        <v>0</v>
      </c>
      <c r="H136" s="6"/>
      <c r="I136" s="393">
        <v>1200</v>
      </c>
      <c r="J136" s="389">
        <f>VLOOKUP(I136,'RAB Calculations 10yr'!$A$22:$J$119,10,FALSE)</f>
        <v>46.480563122915477</v>
      </c>
      <c r="K136" s="389">
        <v>58.959236018912797</v>
      </c>
      <c r="L136" s="394">
        <v>0</v>
      </c>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row>
    <row r="137" spans="1:37" x14ac:dyDescent="0.2">
      <c r="A137" s="324">
        <v>1210</v>
      </c>
      <c r="B137" s="325">
        <f>VLOOKUP(A137,'RAB Calculations 10yr'!$A$22:$J$119,10,FALSE)</f>
        <v>62.436536572454742</v>
      </c>
      <c r="C137" s="325">
        <v>0</v>
      </c>
      <c r="E137" s="324">
        <v>1210</v>
      </c>
      <c r="F137" s="325" t="e">
        <v>#N/A</v>
      </c>
      <c r="G137" s="325">
        <v>0</v>
      </c>
      <c r="H137" s="6"/>
      <c r="I137" s="393">
        <v>1210</v>
      </c>
      <c r="J137" s="389">
        <f>VLOOKUP(I137,'RAB Calculations 10yr'!$A$22:$J$119,10,FALSE)</f>
        <v>62.436536572454742</v>
      </c>
      <c r="K137" s="389" t="e">
        <v>#N/A</v>
      </c>
      <c r="L137" s="394">
        <v>0</v>
      </c>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row>
    <row r="138" spans="1:37" x14ac:dyDescent="0.2">
      <c r="A138" s="324">
        <v>1220</v>
      </c>
      <c r="B138" s="325" t="e">
        <f>VLOOKUP(A138,'RAB Calculations 10yr'!$A$22:$J$119,10,FALSE)</f>
        <v>#N/A</v>
      </c>
      <c r="C138" s="325">
        <v>0</v>
      </c>
      <c r="E138" s="324">
        <v>1220</v>
      </c>
      <c r="F138" s="325" t="e">
        <v>#N/A</v>
      </c>
      <c r="G138" s="325">
        <v>0</v>
      </c>
      <c r="H138" s="6"/>
      <c r="I138" s="393">
        <v>1220</v>
      </c>
      <c r="J138" s="389" t="e">
        <f>VLOOKUP(I138,'RAB Calculations 10yr'!$A$22:$J$119,10,FALSE)</f>
        <v>#N/A</v>
      </c>
      <c r="K138" s="389" t="e">
        <v>#N/A</v>
      </c>
      <c r="L138" s="394">
        <v>0</v>
      </c>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row>
    <row r="139" spans="1:37" x14ac:dyDescent="0.2">
      <c r="A139" s="324">
        <v>1230</v>
      </c>
      <c r="B139" s="325" t="e">
        <f>VLOOKUP(A139,'RAB Calculations 10yr'!$A$22:$J$119,10,FALSE)</f>
        <v>#N/A</v>
      </c>
      <c r="C139" s="325">
        <v>0</v>
      </c>
      <c r="E139" s="324">
        <v>1230</v>
      </c>
      <c r="F139" s="325" t="e">
        <v>#N/A</v>
      </c>
      <c r="G139" s="325">
        <v>0</v>
      </c>
      <c r="H139" s="6"/>
      <c r="I139" s="393">
        <v>1230</v>
      </c>
      <c r="J139" s="389" t="e">
        <f>VLOOKUP(I139,'RAB Calculations 10yr'!$A$22:$J$119,10,FALSE)</f>
        <v>#N/A</v>
      </c>
      <c r="K139" s="389" t="e">
        <v>#N/A</v>
      </c>
      <c r="L139" s="394">
        <v>0</v>
      </c>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2">
      <c r="A140" s="324">
        <v>1240</v>
      </c>
      <c r="B140" s="325" t="e">
        <f>VLOOKUP(A140,'RAB Calculations 10yr'!$A$22:$J$119,10,FALSE)</f>
        <v>#N/A</v>
      </c>
      <c r="C140" s="325">
        <v>0</v>
      </c>
      <c r="E140" s="324">
        <v>1240</v>
      </c>
      <c r="F140" s="325" t="e">
        <v>#N/A</v>
      </c>
      <c r="G140" s="325">
        <v>0</v>
      </c>
      <c r="H140" s="6"/>
      <c r="I140" s="393">
        <v>1240</v>
      </c>
      <c r="J140" s="389" t="e">
        <f>VLOOKUP(I140,'RAB Calculations 10yr'!$A$22:$J$119,10,FALSE)</f>
        <v>#N/A</v>
      </c>
      <c r="K140" s="389" t="e">
        <v>#N/A</v>
      </c>
      <c r="L140" s="394">
        <v>0</v>
      </c>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2">
      <c r="A141" s="324">
        <v>1250</v>
      </c>
      <c r="B141" s="325">
        <f>VLOOKUP(A141,'RAB Calculations 10yr'!$A$22:$J$119,10,FALSE)</f>
        <v>113.97129138962873</v>
      </c>
      <c r="C141" s="325">
        <v>0</v>
      </c>
      <c r="E141" s="324">
        <v>1250</v>
      </c>
      <c r="F141" s="325">
        <v>144.56925254222082</v>
      </c>
      <c r="G141" s="325">
        <v>0</v>
      </c>
      <c r="H141" s="6"/>
      <c r="I141" s="393">
        <v>1250</v>
      </c>
      <c r="J141" s="389">
        <f>VLOOKUP(I141,'RAB Calculations 10yr'!$A$22:$J$119,10,FALSE)</f>
        <v>113.97129138962873</v>
      </c>
      <c r="K141" s="389">
        <v>144.56925254222082</v>
      </c>
      <c r="L141" s="394">
        <v>0</v>
      </c>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2">
      <c r="A142" s="324">
        <v>1260</v>
      </c>
      <c r="B142" s="325">
        <f>VLOOKUP(A142,'RAB Calculations 10yr'!$A$22:$J$119,10,FALSE)</f>
        <v>57.820899397206851</v>
      </c>
      <c r="C142" s="325">
        <v>0</v>
      </c>
      <c r="E142" s="324">
        <v>1260</v>
      </c>
      <c r="F142" s="325" t="e">
        <v>#N/A</v>
      </c>
      <c r="G142" s="325">
        <v>0</v>
      </c>
      <c r="H142" s="6"/>
      <c r="I142" s="393">
        <v>1260</v>
      </c>
      <c r="J142" s="389">
        <f>VLOOKUP(I142,'RAB Calculations 10yr'!$A$22:$J$119,10,FALSE)</f>
        <v>57.820899397206851</v>
      </c>
      <c r="K142" s="389" t="e">
        <v>#N/A</v>
      </c>
      <c r="L142" s="394">
        <v>0</v>
      </c>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row>
    <row r="143" spans="1:37" x14ac:dyDescent="0.2">
      <c r="A143" s="324">
        <v>1270</v>
      </c>
      <c r="B143" s="325" t="e">
        <f>VLOOKUP(A143,'RAB Calculations 10yr'!$A$22:$J$119,10,FALSE)</f>
        <v>#N/A</v>
      </c>
      <c r="C143" s="325">
        <v>0</v>
      </c>
      <c r="E143" s="324">
        <v>1270</v>
      </c>
      <c r="F143" s="325" t="e">
        <v>#N/A</v>
      </c>
      <c r="G143" s="325">
        <v>0</v>
      </c>
      <c r="H143" s="6"/>
      <c r="I143" s="393">
        <v>1270</v>
      </c>
      <c r="J143" s="389" t="e">
        <f>VLOOKUP(I143,'RAB Calculations 10yr'!$A$22:$J$119,10,FALSE)</f>
        <v>#N/A</v>
      </c>
      <c r="K143" s="389" t="e">
        <v>#N/A</v>
      </c>
      <c r="L143" s="394">
        <v>0</v>
      </c>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row>
    <row r="144" spans="1:37" x14ac:dyDescent="0.2">
      <c r="A144" s="324">
        <v>1280</v>
      </c>
      <c r="B144" s="325" t="e">
        <f>VLOOKUP(A144,'RAB Calculations 10yr'!$A$22:$J$119,10,FALSE)</f>
        <v>#N/A</v>
      </c>
      <c r="C144" s="325">
        <v>0</v>
      </c>
      <c r="E144" s="324">
        <v>1280</v>
      </c>
      <c r="F144" s="325" t="e">
        <v>#N/A</v>
      </c>
      <c r="G144" s="325">
        <v>0</v>
      </c>
      <c r="H144" s="6"/>
      <c r="I144" s="393">
        <v>1280</v>
      </c>
      <c r="J144" s="389" t="e">
        <f>VLOOKUP(I144,'RAB Calculations 10yr'!$A$22:$J$119,10,FALSE)</f>
        <v>#N/A</v>
      </c>
      <c r="K144" s="389" t="e">
        <v>#N/A</v>
      </c>
      <c r="L144" s="394">
        <v>0</v>
      </c>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row>
    <row r="145" spans="1:37" x14ac:dyDescent="0.2">
      <c r="A145" s="324">
        <v>1290</v>
      </c>
      <c r="B145" s="325" t="e">
        <f>VLOOKUP(A145,'RAB Calculations 10yr'!$A$22:$J$119,10,FALSE)</f>
        <v>#N/A</v>
      </c>
      <c r="C145" s="325">
        <v>0</v>
      </c>
      <c r="E145" s="324">
        <v>1290</v>
      </c>
      <c r="F145" s="325" t="e">
        <v>#N/A</v>
      </c>
      <c r="G145" s="325">
        <v>0</v>
      </c>
      <c r="H145" s="6"/>
      <c r="I145" s="393">
        <v>1290</v>
      </c>
      <c r="J145" s="389" t="e">
        <f>VLOOKUP(I145,'RAB Calculations 10yr'!$A$22:$J$119,10,FALSE)</f>
        <v>#N/A</v>
      </c>
      <c r="K145" s="389" t="e">
        <v>#N/A</v>
      </c>
      <c r="L145" s="394">
        <v>0</v>
      </c>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row>
    <row r="146" spans="1:37" x14ac:dyDescent="0.2">
      <c r="A146" s="324">
        <v>1300</v>
      </c>
      <c r="B146" s="325" t="e">
        <f>VLOOKUP(A146,'RAB Calculations 10yr'!$A$22:$J$119,10,FALSE)</f>
        <v>#N/A</v>
      </c>
      <c r="C146" s="325">
        <v>0</v>
      </c>
      <c r="E146" s="324">
        <v>1300</v>
      </c>
      <c r="F146" s="325" t="e">
        <v>#N/A</v>
      </c>
      <c r="G146" s="325">
        <v>0</v>
      </c>
      <c r="H146" s="6"/>
      <c r="I146" s="393">
        <v>1300</v>
      </c>
      <c r="J146" s="389" t="e">
        <f>VLOOKUP(I146,'RAB Calculations 10yr'!$A$22:$J$119,10,FALSE)</f>
        <v>#N/A</v>
      </c>
      <c r="K146" s="389" t="e">
        <v>#N/A</v>
      </c>
      <c r="L146" s="394">
        <v>0</v>
      </c>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row>
    <row r="147" spans="1:37" x14ac:dyDescent="0.2">
      <c r="A147" s="324">
        <v>1310</v>
      </c>
      <c r="B147" s="325" t="e">
        <f>VLOOKUP(A147,'RAB Calculations 10yr'!$A$22:$J$119,10,FALSE)</f>
        <v>#N/A</v>
      </c>
      <c r="C147" s="325">
        <v>0</v>
      </c>
      <c r="E147" s="324">
        <v>1310</v>
      </c>
      <c r="F147" s="325" t="e">
        <v>#N/A</v>
      </c>
      <c r="G147" s="325">
        <v>0</v>
      </c>
      <c r="H147" s="6"/>
      <c r="I147" s="393">
        <v>1310</v>
      </c>
      <c r="J147" s="389" t="e">
        <f>VLOOKUP(I147,'RAB Calculations 10yr'!$A$22:$J$119,10,FALSE)</f>
        <v>#N/A</v>
      </c>
      <c r="K147" s="389" t="e">
        <v>#N/A</v>
      </c>
      <c r="L147" s="394">
        <v>0</v>
      </c>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row>
    <row r="148" spans="1:37" x14ac:dyDescent="0.2">
      <c r="A148" s="324">
        <v>1320</v>
      </c>
      <c r="B148" s="325" t="e">
        <f>VLOOKUP(A148,'RAB Calculations 10yr'!$A$22:$J$119,10,FALSE)</f>
        <v>#N/A</v>
      </c>
      <c r="C148" s="325">
        <v>0</v>
      </c>
      <c r="E148" s="324">
        <v>1320</v>
      </c>
      <c r="F148" s="325" t="e">
        <v>#N/A</v>
      </c>
      <c r="G148" s="325">
        <v>0</v>
      </c>
      <c r="H148" s="6"/>
      <c r="I148" s="393">
        <v>1320</v>
      </c>
      <c r="J148" s="389" t="e">
        <f>VLOOKUP(I148,'RAB Calculations 10yr'!$A$22:$J$119,10,FALSE)</f>
        <v>#N/A</v>
      </c>
      <c r="K148" s="389" t="e">
        <v>#N/A</v>
      </c>
      <c r="L148" s="394">
        <v>0</v>
      </c>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row>
    <row r="149" spans="1:37" x14ac:dyDescent="0.2">
      <c r="A149" s="324">
        <v>1330</v>
      </c>
      <c r="B149" s="325" t="e">
        <f>VLOOKUP(A149,'RAB Calculations 10yr'!$A$22:$J$119,10,FALSE)</f>
        <v>#N/A</v>
      </c>
      <c r="C149" s="325">
        <v>0</v>
      </c>
      <c r="E149" s="324">
        <v>1330</v>
      </c>
      <c r="F149" s="325" t="e">
        <v>#N/A</v>
      </c>
      <c r="G149" s="325">
        <v>0</v>
      </c>
      <c r="H149" s="6"/>
      <c r="I149" s="393">
        <v>1330</v>
      </c>
      <c r="J149" s="389" t="e">
        <f>VLOOKUP(I149,'RAB Calculations 10yr'!$A$22:$J$119,10,FALSE)</f>
        <v>#N/A</v>
      </c>
      <c r="K149" s="389" t="e">
        <v>#N/A</v>
      </c>
      <c r="L149" s="394">
        <v>0</v>
      </c>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row>
    <row r="150" spans="1:37" x14ac:dyDescent="0.2">
      <c r="A150" s="324">
        <v>1340</v>
      </c>
      <c r="B150" s="325" t="e">
        <f>VLOOKUP(A150,'RAB Calculations 10yr'!$A$22:$J$119,10,FALSE)</f>
        <v>#N/A</v>
      </c>
      <c r="C150" s="325">
        <v>0</v>
      </c>
      <c r="E150" s="324">
        <v>1340</v>
      </c>
      <c r="F150" s="325" t="e">
        <v>#N/A</v>
      </c>
      <c r="G150" s="325">
        <v>0</v>
      </c>
      <c r="H150" s="6"/>
      <c r="I150" s="393">
        <v>1340</v>
      </c>
      <c r="J150" s="389" t="e">
        <f>VLOOKUP(I150,'RAB Calculations 10yr'!$A$22:$J$119,10,FALSE)</f>
        <v>#N/A</v>
      </c>
      <c r="K150" s="389" t="e">
        <v>#N/A</v>
      </c>
      <c r="L150" s="394">
        <v>0</v>
      </c>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row>
    <row r="151" spans="1:37" x14ac:dyDescent="0.2">
      <c r="A151" s="324">
        <v>1350</v>
      </c>
      <c r="B151" s="325" t="e">
        <f>VLOOKUP(A151,'RAB Calculations 10yr'!$A$22:$J$119,10,FALSE)</f>
        <v>#N/A</v>
      </c>
      <c r="C151" s="325">
        <v>0</v>
      </c>
      <c r="E151" s="324">
        <v>1350</v>
      </c>
      <c r="F151" s="325" t="e">
        <v>#N/A</v>
      </c>
      <c r="G151" s="325">
        <v>0</v>
      </c>
      <c r="H151" s="6"/>
      <c r="I151" s="393">
        <v>1350</v>
      </c>
      <c r="J151" s="389" t="e">
        <f>VLOOKUP(I151,'RAB Calculations 10yr'!$A$22:$J$119,10,FALSE)</f>
        <v>#N/A</v>
      </c>
      <c r="K151" s="389" t="e">
        <v>#N/A</v>
      </c>
      <c r="L151" s="394">
        <v>0</v>
      </c>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row>
    <row r="152" spans="1:37" x14ac:dyDescent="0.2">
      <c r="A152" s="324">
        <v>1360</v>
      </c>
      <c r="B152" s="325">
        <f>VLOOKUP(A152,'RAB Calculations 10yr'!$A$22:$J$119,10,FALSE)</f>
        <v>177.40490456081676</v>
      </c>
      <c r="C152" s="325">
        <v>0</v>
      </c>
      <c r="E152" s="324">
        <v>1360</v>
      </c>
      <c r="F152" s="325" t="e">
        <v>#N/A</v>
      </c>
      <c r="G152" s="325">
        <v>0</v>
      </c>
      <c r="H152" s="6"/>
      <c r="I152" s="393">
        <v>1360</v>
      </c>
      <c r="J152" s="389">
        <f>VLOOKUP(I152,'RAB Calculations 10yr'!$A$22:$J$119,10,FALSE)</f>
        <v>177.40490456081676</v>
      </c>
      <c r="K152" s="389" t="e">
        <v>#N/A</v>
      </c>
      <c r="L152" s="394">
        <v>0</v>
      </c>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row>
    <row r="153" spans="1:37" x14ac:dyDescent="0.2">
      <c r="A153" s="324">
        <v>1370</v>
      </c>
      <c r="B153" s="325">
        <f>VLOOKUP(A153,'RAB Calculations 10yr'!$A$22:$J$119,10,FALSE)</f>
        <v>190.01017177679068</v>
      </c>
      <c r="C153" s="325">
        <v>0</v>
      </c>
      <c r="E153" s="324">
        <v>1370</v>
      </c>
      <c r="F153" s="325" t="e">
        <v>#N/A</v>
      </c>
      <c r="G153" s="325">
        <v>0</v>
      </c>
      <c r="H153" s="6"/>
      <c r="I153" s="393">
        <v>1370</v>
      </c>
      <c r="J153" s="389">
        <f>VLOOKUP(I153,'RAB Calculations 10yr'!$A$22:$J$119,10,FALSE)</f>
        <v>190.01017177679068</v>
      </c>
      <c r="K153" s="389" t="e">
        <v>#N/A</v>
      </c>
      <c r="L153" s="394">
        <v>0</v>
      </c>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row>
    <row r="154" spans="1:37" x14ac:dyDescent="0.2">
      <c r="A154" s="324">
        <v>1380</v>
      </c>
      <c r="B154" s="325" t="e">
        <f>VLOOKUP(A154,'RAB Calculations 10yr'!$A$22:$J$119,10,FALSE)</f>
        <v>#N/A</v>
      </c>
      <c r="C154" s="325">
        <v>0</v>
      </c>
      <c r="E154" s="324">
        <v>1380</v>
      </c>
      <c r="F154" s="325" t="e">
        <v>#N/A</v>
      </c>
      <c r="G154" s="325">
        <v>0</v>
      </c>
      <c r="H154" s="6"/>
      <c r="I154" s="393">
        <v>1380</v>
      </c>
      <c r="J154" s="389" t="e">
        <f>VLOOKUP(I154,'RAB Calculations 10yr'!$A$22:$J$119,10,FALSE)</f>
        <v>#N/A</v>
      </c>
      <c r="K154" s="389" t="e">
        <v>#N/A</v>
      </c>
      <c r="L154" s="394">
        <v>0</v>
      </c>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row>
    <row r="155" spans="1:37" x14ac:dyDescent="0.2">
      <c r="A155" s="324">
        <v>1450</v>
      </c>
      <c r="B155" s="325">
        <f>VLOOKUP(A155,'RAB Calculations 10yr'!$A$22:$J$119,10,FALSE)</f>
        <v>210.83335873444966</v>
      </c>
      <c r="C155" s="325">
        <v>0</v>
      </c>
      <c r="E155" s="324">
        <v>1450</v>
      </c>
      <c r="F155" s="325" t="e">
        <v>#N/A</v>
      </c>
      <c r="G155" s="325">
        <v>0</v>
      </c>
      <c r="H155" s="6"/>
      <c r="I155" s="393">
        <v>1450</v>
      </c>
      <c r="J155" s="389">
        <f>VLOOKUP(I155,'RAB Calculations 10yr'!$A$22:$J$119,10,FALSE)</f>
        <v>210.83335873444966</v>
      </c>
      <c r="K155" s="389" t="e">
        <v>#N/A</v>
      </c>
      <c r="L155" s="394">
        <v>0</v>
      </c>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row>
    <row r="156" spans="1:37" x14ac:dyDescent="0.2">
      <c r="A156" s="324">
        <v>1460</v>
      </c>
      <c r="B156" s="325" t="e">
        <f>VLOOKUP(A156,'RAB Calculations 10yr'!$A$22:$J$119,10,FALSE)</f>
        <v>#N/A</v>
      </c>
      <c r="C156" s="325">
        <v>0</v>
      </c>
      <c r="E156" s="324">
        <v>1460</v>
      </c>
      <c r="F156" s="325" t="e">
        <v>#N/A</v>
      </c>
      <c r="G156" s="325">
        <v>0</v>
      </c>
      <c r="H156" s="6"/>
      <c r="I156" s="393">
        <v>1460</v>
      </c>
      <c r="J156" s="389" t="e">
        <f>VLOOKUP(I156,'RAB Calculations 10yr'!$A$22:$J$119,10,FALSE)</f>
        <v>#N/A</v>
      </c>
      <c r="K156" s="389" t="e">
        <v>#N/A</v>
      </c>
      <c r="L156" s="394">
        <v>0</v>
      </c>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row>
    <row r="157" spans="1:37" x14ac:dyDescent="0.2">
      <c r="A157" s="324">
        <v>1470</v>
      </c>
      <c r="B157" s="325">
        <f>VLOOKUP(A157,'RAB Calculations 10yr'!$A$22:$J$119,10,FALSE)</f>
        <v>213.81041197104136</v>
      </c>
      <c r="C157" s="325">
        <v>0</v>
      </c>
      <c r="E157" s="324">
        <v>1470</v>
      </c>
      <c r="F157" s="325" t="e">
        <v>#N/A</v>
      </c>
      <c r="G157" s="325">
        <v>0</v>
      </c>
      <c r="H157" s="6"/>
      <c r="I157" s="393">
        <v>1470</v>
      </c>
      <c r="J157" s="389">
        <f>VLOOKUP(I157,'RAB Calculations 10yr'!$A$22:$J$119,10,FALSE)</f>
        <v>213.81041197104136</v>
      </c>
      <c r="K157" s="389" t="e">
        <v>#N/A</v>
      </c>
      <c r="L157" s="394">
        <v>0</v>
      </c>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row>
    <row r="158" spans="1:37" x14ac:dyDescent="0.2">
      <c r="A158" s="324">
        <v>1480</v>
      </c>
      <c r="B158" s="325" t="e">
        <f>VLOOKUP(A158,'RAB Calculations 10yr'!$A$22:$J$119,10,FALSE)</f>
        <v>#N/A</v>
      </c>
      <c r="C158" s="325">
        <v>0</v>
      </c>
      <c r="E158" s="324">
        <v>1480</v>
      </c>
      <c r="F158" s="325" t="e">
        <v>#N/A</v>
      </c>
      <c r="G158" s="325">
        <v>0</v>
      </c>
      <c r="H158" s="6"/>
      <c r="I158" s="393">
        <v>1480</v>
      </c>
      <c r="J158" s="389" t="e">
        <f>VLOOKUP(I158,'RAB Calculations 10yr'!$A$22:$J$119,10,FALSE)</f>
        <v>#N/A</v>
      </c>
      <c r="K158" s="389" t="e">
        <v>#N/A</v>
      </c>
      <c r="L158" s="394">
        <v>0</v>
      </c>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row>
    <row r="159" spans="1:37" x14ac:dyDescent="0.2">
      <c r="A159" s="324">
        <v>1490</v>
      </c>
      <c r="B159" s="325">
        <f>VLOOKUP(A159,'RAB Calculations 10yr'!$A$22:$J$119,10,FALSE)</f>
        <v>180.03286907655911</v>
      </c>
      <c r="C159" s="325">
        <v>0</v>
      </c>
      <c r="E159" s="324">
        <v>1490</v>
      </c>
      <c r="F159" s="325" t="e">
        <v>#N/A</v>
      </c>
      <c r="G159" s="325">
        <v>0</v>
      </c>
      <c r="H159" s="6"/>
      <c r="I159" s="393">
        <v>1490</v>
      </c>
      <c r="J159" s="389">
        <f>VLOOKUP(I159,'RAB Calculations 10yr'!$A$22:$J$119,10,FALSE)</f>
        <v>180.03286907655911</v>
      </c>
      <c r="K159" s="389" t="e">
        <v>#N/A</v>
      </c>
      <c r="L159" s="394">
        <v>0</v>
      </c>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row>
    <row r="160" spans="1:37" x14ac:dyDescent="0.2">
      <c r="A160" s="324">
        <v>1500</v>
      </c>
      <c r="B160" s="325" t="e">
        <f>VLOOKUP(A160,'RAB Calculations 10yr'!$A$22:$J$119,10,FALSE)</f>
        <v>#N/A</v>
      </c>
      <c r="C160" s="325">
        <v>0</v>
      </c>
      <c r="E160" s="324">
        <v>1500</v>
      </c>
      <c r="F160" s="325" t="e">
        <v>#N/A</v>
      </c>
      <c r="G160" s="325">
        <v>0</v>
      </c>
      <c r="H160" s="6"/>
      <c r="I160" s="393">
        <v>1500</v>
      </c>
      <c r="J160" s="389" t="e">
        <f>VLOOKUP(I160,'RAB Calculations 10yr'!$A$22:$J$119,10,FALSE)</f>
        <v>#N/A</v>
      </c>
      <c r="K160" s="389" t="e">
        <v>#N/A</v>
      </c>
      <c r="L160" s="394">
        <v>0</v>
      </c>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7" x14ac:dyDescent="0.2">
      <c r="A161" s="324">
        <v>1600</v>
      </c>
      <c r="B161" s="325" t="e">
        <f>VLOOKUP(A161,'RAB Calculations 10yr'!$A$22:$J$119,10,FALSE)</f>
        <v>#N/A</v>
      </c>
      <c r="C161" s="325">
        <v>0</v>
      </c>
      <c r="E161" s="324">
        <v>1600</v>
      </c>
      <c r="F161" s="325" t="e">
        <v>#N/A</v>
      </c>
      <c r="G161" s="325">
        <v>0</v>
      </c>
      <c r="H161" s="6"/>
      <c r="I161" s="393">
        <v>1600</v>
      </c>
      <c r="J161" s="389" t="e">
        <f>VLOOKUP(I161,'RAB Calculations 10yr'!$A$22:$J$119,10,FALSE)</f>
        <v>#N/A</v>
      </c>
      <c r="K161" s="389" t="e">
        <v>#N/A</v>
      </c>
      <c r="L161" s="394">
        <v>0</v>
      </c>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7" x14ac:dyDescent="0.2">
      <c r="A162" s="324">
        <v>1610</v>
      </c>
      <c r="B162" s="325" t="e">
        <f>VLOOKUP(A162,'RAB Calculations 10yr'!$A$22:$J$119,10,FALSE)</f>
        <v>#N/A</v>
      </c>
      <c r="C162" s="325">
        <v>0</v>
      </c>
      <c r="E162" s="324">
        <v>1610</v>
      </c>
      <c r="F162" s="325" t="e">
        <v>#N/A</v>
      </c>
      <c r="G162" s="325">
        <v>0</v>
      </c>
      <c r="H162" s="6"/>
      <c r="I162" s="393">
        <v>1610</v>
      </c>
      <c r="J162" s="389" t="e">
        <f>VLOOKUP(I162,'RAB Calculations 10yr'!$A$22:$J$119,10,FALSE)</f>
        <v>#N/A</v>
      </c>
      <c r="K162" s="389" t="e">
        <v>#N/A</v>
      </c>
      <c r="L162" s="394">
        <v>0</v>
      </c>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7" x14ac:dyDescent="0.2">
      <c r="A163" s="324">
        <v>7080</v>
      </c>
      <c r="B163" s="325" t="e">
        <f>VLOOKUP(A163,'RAB Calculations 10yr'!$A$22:$J$119,10,FALSE)</f>
        <v>#N/A</v>
      </c>
      <c r="C163" s="325">
        <v>0</v>
      </c>
      <c r="E163" s="324">
        <v>7080</v>
      </c>
      <c r="F163" s="325" t="e">
        <v>#N/A</v>
      </c>
      <c r="G163" s="325">
        <v>0</v>
      </c>
      <c r="H163" s="6"/>
      <c r="I163" s="393">
        <v>7080</v>
      </c>
      <c r="J163" s="389" t="e">
        <f>VLOOKUP(I163,'RAB Calculations 10yr'!$A$22:$J$119,10,FALSE)</f>
        <v>#N/A</v>
      </c>
      <c r="K163" s="389" t="e">
        <v>#N/A</v>
      </c>
      <c r="L163" s="394">
        <v>0</v>
      </c>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row>
    <row r="164" spans="1:37" x14ac:dyDescent="0.2">
      <c r="A164" s="324">
        <v>7130</v>
      </c>
      <c r="B164" s="325" t="e">
        <f>VLOOKUP(A164,'RAB Calculations 10yr'!$A$22:$J$119,10,FALSE)</f>
        <v>#N/A</v>
      </c>
      <c r="C164" s="325">
        <v>0</v>
      </c>
      <c r="E164" s="324">
        <v>7130</v>
      </c>
      <c r="F164" s="325" t="e">
        <v>#N/A</v>
      </c>
      <c r="G164" s="325">
        <v>0</v>
      </c>
      <c r="H164" s="6"/>
      <c r="I164" s="393">
        <v>7130</v>
      </c>
      <c r="J164" s="389" t="e">
        <f>VLOOKUP(I164,'RAB Calculations 10yr'!$A$22:$J$119,10,FALSE)</f>
        <v>#N/A</v>
      </c>
      <c r="K164" s="389" t="e">
        <v>#N/A</v>
      </c>
      <c r="L164" s="394">
        <v>0</v>
      </c>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row>
    <row r="165" spans="1:37" x14ac:dyDescent="0.2">
      <c r="A165" s="324">
        <v>7160</v>
      </c>
      <c r="B165" s="325" t="e">
        <f>VLOOKUP(A165,'RAB Calculations 10yr'!$A$22:$J$119,10,FALSE)</f>
        <v>#N/A</v>
      </c>
      <c r="C165" s="325">
        <v>0</v>
      </c>
      <c r="E165" s="324">
        <v>7160</v>
      </c>
      <c r="F165" s="325" t="e">
        <v>#N/A</v>
      </c>
      <c r="G165" s="325">
        <v>0</v>
      </c>
      <c r="H165" s="6"/>
      <c r="I165" s="393">
        <v>7160</v>
      </c>
      <c r="J165" s="389" t="e">
        <f>VLOOKUP(I165,'RAB Calculations 10yr'!$A$22:$J$119,10,FALSE)</f>
        <v>#N/A</v>
      </c>
      <c r="K165" s="389" t="e">
        <v>#N/A</v>
      </c>
      <c r="L165" s="394">
        <v>0</v>
      </c>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row>
    <row r="166" spans="1:37" x14ac:dyDescent="0.2">
      <c r="A166" s="324">
        <v>7090</v>
      </c>
      <c r="B166" s="325" t="e">
        <f>VLOOKUP(A166,'RAB Calculations 10yr'!$A$22:$J$119,10,FALSE)</f>
        <v>#N/A</v>
      </c>
      <c r="C166" s="325">
        <v>0</v>
      </c>
      <c r="E166" s="324">
        <v>7090</v>
      </c>
      <c r="F166" s="325" t="e">
        <v>#N/A</v>
      </c>
      <c r="G166" s="325">
        <v>0</v>
      </c>
      <c r="H166" s="6"/>
      <c r="I166" s="393">
        <v>7090</v>
      </c>
      <c r="J166" s="389" t="e">
        <f>VLOOKUP(I166,'RAB Calculations 10yr'!$A$22:$J$119,10,FALSE)</f>
        <v>#N/A</v>
      </c>
      <c r="K166" s="389" t="e">
        <v>#N/A</v>
      </c>
      <c r="L166" s="394">
        <v>0</v>
      </c>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row>
    <row r="167" spans="1:37" x14ac:dyDescent="0.2">
      <c r="A167" s="324">
        <v>7140</v>
      </c>
      <c r="B167" s="325" t="e">
        <f>VLOOKUP(A167,'RAB Calculations 10yr'!$A$22:$J$119,10,FALSE)</f>
        <v>#N/A</v>
      </c>
      <c r="C167" s="325">
        <v>0</v>
      </c>
      <c r="E167" s="324">
        <v>7140</v>
      </c>
      <c r="F167" s="325" t="e">
        <v>#N/A</v>
      </c>
      <c r="G167" s="325">
        <v>0</v>
      </c>
      <c r="H167" s="6"/>
      <c r="I167" s="393">
        <v>7140</v>
      </c>
      <c r="J167" s="389" t="e">
        <f>VLOOKUP(I167,'RAB Calculations 10yr'!$A$22:$J$119,10,FALSE)</f>
        <v>#N/A</v>
      </c>
      <c r="K167" s="389" t="e">
        <v>#N/A</v>
      </c>
      <c r="L167" s="394">
        <v>0</v>
      </c>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row>
    <row r="168" spans="1:37" x14ac:dyDescent="0.2">
      <c r="A168" s="324">
        <v>7170</v>
      </c>
      <c r="B168" s="325" t="e">
        <f>VLOOKUP(A168,'RAB Calculations 10yr'!$A$22:$J$119,10,FALSE)</f>
        <v>#N/A</v>
      </c>
      <c r="C168" s="325">
        <v>0</v>
      </c>
      <c r="E168" s="324">
        <v>7170</v>
      </c>
      <c r="F168" s="325" t="e">
        <v>#N/A</v>
      </c>
      <c r="G168" s="325">
        <v>0</v>
      </c>
      <c r="H168" s="6"/>
      <c r="I168" s="393">
        <v>7170</v>
      </c>
      <c r="J168" s="389" t="e">
        <f>VLOOKUP(I168,'RAB Calculations 10yr'!$A$22:$J$119,10,FALSE)</f>
        <v>#N/A</v>
      </c>
      <c r="K168" s="389" t="e">
        <v>#N/A</v>
      </c>
      <c r="L168" s="394">
        <v>0</v>
      </c>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row>
    <row r="169" spans="1:37" x14ac:dyDescent="0.2">
      <c r="A169" s="324">
        <v>8090</v>
      </c>
      <c r="B169" s="325" t="e">
        <f>VLOOKUP(A169,'RAB Calculations 10yr'!$A$22:$J$119,10,FALSE)</f>
        <v>#N/A</v>
      </c>
      <c r="C169" s="325">
        <v>0</v>
      </c>
      <c r="E169" s="324">
        <v>8090</v>
      </c>
      <c r="F169" s="325" t="e">
        <v>#N/A</v>
      </c>
      <c r="G169" s="325">
        <v>0</v>
      </c>
      <c r="H169" s="6"/>
      <c r="I169" s="393">
        <v>8090</v>
      </c>
      <c r="J169" s="389" t="e">
        <f>VLOOKUP(I169,'RAB Calculations 10yr'!$A$22:$J$119,10,FALSE)</f>
        <v>#N/A</v>
      </c>
      <c r="K169" s="389" t="e">
        <v>#N/A</v>
      </c>
      <c r="L169" s="394">
        <v>0</v>
      </c>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row>
    <row r="170" spans="1:37" x14ac:dyDescent="0.2">
      <c r="A170" s="326">
        <v>8140</v>
      </c>
      <c r="B170" s="325" t="e">
        <f>VLOOKUP(A170,'RAB Calculations 10yr'!$A$22:$J$119,10,FALSE)</f>
        <v>#N/A</v>
      </c>
      <c r="C170" s="325">
        <v>0</v>
      </c>
      <c r="E170" s="326">
        <v>8140</v>
      </c>
      <c r="F170" s="325" t="e">
        <v>#N/A</v>
      </c>
      <c r="G170" s="325">
        <v>0</v>
      </c>
      <c r="H170" s="6"/>
      <c r="I170" s="395">
        <v>8140</v>
      </c>
      <c r="J170" s="389" t="e">
        <f>VLOOKUP(I170,'RAB Calculations 10yr'!$A$22:$J$119,10,FALSE)</f>
        <v>#N/A</v>
      </c>
      <c r="K170" s="389" t="e">
        <v>#N/A</v>
      </c>
      <c r="L170" s="394">
        <v>0</v>
      </c>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row>
    <row r="171" spans="1:37" x14ac:dyDescent="0.2">
      <c r="A171" s="327">
        <v>8170</v>
      </c>
      <c r="B171" s="325" t="e">
        <f>VLOOKUP(A171,'RAB Calculations 10yr'!$A$22:$J$119,10,FALSE)</f>
        <v>#N/A</v>
      </c>
      <c r="C171" s="325">
        <v>0</v>
      </c>
      <c r="E171" s="327">
        <v>8170</v>
      </c>
      <c r="F171" s="325" t="e">
        <v>#N/A</v>
      </c>
      <c r="G171" s="325">
        <v>0</v>
      </c>
      <c r="H171" s="6"/>
      <c r="I171" s="396">
        <v>8170</v>
      </c>
      <c r="J171" s="389" t="e">
        <f>VLOOKUP(I171,'RAB Calculations 10yr'!$A$22:$J$119,10,FALSE)</f>
        <v>#N/A</v>
      </c>
      <c r="K171" s="389" t="e">
        <v>#N/A</v>
      </c>
      <c r="L171" s="394">
        <v>0</v>
      </c>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row>
    <row r="172" spans="1:37" x14ac:dyDescent="0.2">
      <c r="A172" s="327">
        <v>1390</v>
      </c>
      <c r="B172" s="325" t="e">
        <f>VLOOKUP(A172,'RAB Calculations 10yr'!$A$22:$J$119,10,FALSE)</f>
        <v>#N/A</v>
      </c>
      <c r="C172" s="325">
        <v>0</v>
      </c>
      <c r="E172" s="327">
        <v>1390</v>
      </c>
      <c r="F172" s="325" t="e">
        <v>#N/A</v>
      </c>
      <c r="G172" s="325">
        <v>0</v>
      </c>
      <c r="H172" s="6"/>
      <c r="I172" s="396">
        <v>1390</v>
      </c>
      <c r="J172" s="389" t="e">
        <f>VLOOKUP(I172,'RAB Calculations 10yr'!$A$22:$J$119,10,FALSE)</f>
        <v>#N/A</v>
      </c>
      <c r="K172" s="389" t="e">
        <v>#N/A</v>
      </c>
      <c r="L172" s="394">
        <v>0</v>
      </c>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row>
    <row r="173" spans="1:37" x14ac:dyDescent="0.2">
      <c r="A173" s="327">
        <v>1395</v>
      </c>
      <c r="B173" s="325" t="e">
        <f>VLOOKUP(A173,'RAB Calculations 10yr'!$A$22:$J$119,10,FALSE)</f>
        <v>#N/A</v>
      </c>
      <c r="C173" s="325">
        <v>0</v>
      </c>
      <c r="E173" s="327">
        <v>1395</v>
      </c>
      <c r="F173" s="325" t="e">
        <v>#N/A</v>
      </c>
      <c r="G173" s="325">
        <v>0</v>
      </c>
      <c r="H173" s="6"/>
      <c r="I173" s="396">
        <v>1395</v>
      </c>
      <c r="J173" s="389" t="e">
        <f>VLOOKUP(I173,'RAB Calculations 10yr'!$A$22:$J$119,10,FALSE)</f>
        <v>#N/A</v>
      </c>
      <c r="K173" s="389" t="e">
        <v>#N/A</v>
      </c>
      <c r="L173" s="394">
        <v>0</v>
      </c>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row>
    <row r="174" spans="1:37" x14ac:dyDescent="0.2">
      <c r="A174" s="327">
        <v>1400</v>
      </c>
      <c r="B174" s="325" t="e">
        <f>VLOOKUP(A174,'RAB Calculations 10yr'!$A$22:$J$119,10,FALSE)</f>
        <v>#N/A</v>
      </c>
      <c r="C174" s="325">
        <v>0</v>
      </c>
      <c r="E174" s="327">
        <v>1400</v>
      </c>
      <c r="F174" s="325" t="e">
        <v>#N/A</v>
      </c>
      <c r="G174" s="325">
        <v>0</v>
      </c>
      <c r="H174" s="6"/>
      <c r="I174" s="396">
        <v>1400</v>
      </c>
      <c r="J174" s="389" t="e">
        <f>VLOOKUP(I174,'RAB Calculations 10yr'!$A$22:$J$119,10,FALSE)</f>
        <v>#N/A</v>
      </c>
      <c r="K174" s="389" t="e">
        <v>#N/A</v>
      </c>
      <c r="L174" s="394">
        <v>0</v>
      </c>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row>
    <row r="175" spans="1:37" x14ac:dyDescent="0.2">
      <c r="A175" s="327">
        <v>1410</v>
      </c>
      <c r="B175" s="325" t="e">
        <f>VLOOKUP(A175,'RAB Calculations 10yr'!$A$22:$J$119,10,FALSE)</f>
        <v>#N/A</v>
      </c>
      <c r="C175" s="325">
        <v>0</v>
      </c>
      <c r="E175" s="327">
        <v>1410</v>
      </c>
      <c r="F175" s="325" t="e">
        <v>#N/A</v>
      </c>
      <c r="G175" s="325">
        <v>0</v>
      </c>
      <c r="H175" s="6"/>
      <c r="I175" s="396">
        <v>1410</v>
      </c>
      <c r="J175" s="389" t="e">
        <f>VLOOKUP(I175,'RAB Calculations 10yr'!$A$22:$J$119,10,FALSE)</f>
        <v>#N/A</v>
      </c>
      <c r="K175" s="389" t="e">
        <v>#N/A</v>
      </c>
      <c r="L175" s="394">
        <v>0</v>
      </c>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row>
    <row r="176" spans="1:37" x14ac:dyDescent="0.2">
      <c r="A176" s="327">
        <v>1420</v>
      </c>
      <c r="B176" s="325" t="e">
        <f>VLOOKUP(A176,'RAB Calculations 10yr'!$A$22:$J$119,10,FALSE)</f>
        <v>#N/A</v>
      </c>
      <c r="C176" s="325">
        <v>0</v>
      </c>
      <c r="E176" s="327">
        <v>1420</v>
      </c>
      <c r="F176" s="325" t="e">
        <v>#N/A</v>
      </c>
      <c r="G176" s="325">
        <v>0</v>
      </c>
      <c r="H176" s="6"/>
      <c r="I176" s="396">
        <v>1420</v>
      </c>
      <c r="J176" s="389" t="e">
        <f>VLOOKUP(I176,'RAB Calculations 10yr'!$A$22:$J$119,10,FALSE)</f>
        <v>#N/A</v>
      </c>
      <c r="K176" s="389" t="e">
        <v>#N/A</v>
      </c>
      <c r="L176" s="394">
        <v>0</v>
      </c>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row>
    <row r="177" spans="1:37" x14ac:dyDescent="0.2">
      <c r="A177" s="327">
        <v>1430</v>
      </c>
      <c r="B177" s="325" t="e">
        <f>VLOOKUP(A177,'RAB Calculations 10yr'!$A$22:$J$119,10,FALSE)</f>
        <v>#N/A</v>
      </c>
      <c r="C177" s="325">
        <v>0</v>
      </c>
      <c r="E177" s="327">
        <v>1430</v>
      </c>
      <c r="F177" s="325" t="e">
        <v>#N/A</v>
      </c>
      <c r="G177" s="325">
        <v>0</v>
      </c>
      <c r="H177" s="6"/>
      <c r="I177" s="396">
        <v>1430</v>
      </c>
      <c r="J177" s="389" t="e">
        <f>VLOOKUP(I177,'RAB Calculations 10yr'!$A$22:$J$119,10,FALSE)</f>
        <v>#N/A</v>
      </c>
      <c r="K177" s="389" t="e">
        <v>#N/A</v>
      </c>
      <c r="L177" s="394">
        <v>0</v>
      </c>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row>
    <row r="178" spans="1:37" x14ac:dyDescent="0.2">
      <c r="A178" s="327">
        <v>1440</v>
      </c>
      <c r="B178" s="325" t="e">
        <f>VLOOKUP(A178,'RAB Calculations 10yr'!$A$22:$J$119,10,FALSE)</f>
        <v>#N/A</v>
      </c>
      <c r="C178" s="325">
        <v>0</v>
      </c>
      <c r="E178" s="327">
        <v>1440</v>
      </c>
      <c r="F178" s="325" t="e">
        <v>#N/A</v>
      </c>
      <c r="G178" s="325">
        <v>0</v>
      </c>
      <c r="H178" s="6"/>
      <c r="I178" s="396">
        <v>1440</v>
      </c>
      <c r="J178" s="389" t="e">
        <f>VLOOKUP(I178,'RAB Calculations 10yr'!$A$22:$J$119,10,FALSE)</f>
        <v>#N/A</v>
      </c>
      <c r="K178" s="389" t="e">
        <v>#N/A</v>
      </c>
      <c r="L178" s="394">
        <v>0</v>
      </c>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row>
    <row r="179" spans="1:37" x14ac:dyDescent="0.2">
      <c r="A179" s="327">
        <v>1445</v>
      </c>
      <c r="B179" s="325" t="e">
        <f>VLOOKUP(A179,'RAB Calculations 10yr'!$A$22:$J$119,10,FALSE)</f>
        <v>#N/A</v>
      </c>
      <c r="C179" s="325">
        <v>0</v>
      </c>
      <c r="E179" s="327">
        <v>1445</v>
      </c>
      <c r="F179" s="325" t="e">
        <v>#N/A</v>
      </c>
      <c r="G179" s="325">
        <v>0</v>
      </c>
      <c r="H179" s="6"/>
      <c r="I179" s="396">
        <v>1445</v>
      </c>
      <c r="J179" s="389" t="e">
        <f>VLOOKUP(I179,'RAB Calculations 10yr'!$A$22:$J$119,10,FALSE)</f>
        <v>#N/A</v>
      </c>
      <c r="K179" s="389" t="e">
        <v>#N/A</v>
      </c>
      <c r="L179" s="394">
        <v>0</v>
      </c>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row>
    <row r="180" spans="1:37" x14ac:dyDescent="0.2">
      <c r="A180" s="327">
        <v>1510</v>
      </c>
      <c r="B180" s="325" t="e">
        <f>VLOOKUP(A180,'RAB Calculations 10yr'!$A$22:$J$119,10,FALSE)</f>
        <v>#N/A</v>
      </c>
      <c r="C180" s="325">
        <v>0</v>
      </c>
      <c r="E180" s="327">
        <v>1510</v>
      </c>
      <c r="F180" s="325" t="e">
        <v>#N/A</v>
      </c>
      <c r="G180" s="325">
        <v>0</v>
      </c>
      <c r="H180" s="6"/>
      <c r="I180" s="396">
        <v>1510</v>
      </c>
      <c r="J180" s="389" t="e">
        <f>VLOOKUP(I180,'RAB Calculations 10yr'!$A$22:$J$119,10,FALSE)</f>
        <v>#N/A</v>
      </c>
      <c r="K180" s="389" t="e">
        <v>#N/A</v>
      </c>
      <c r="L180" s="394">
        <v>0</v>
      </c>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row>
    <row r="181" spans="1:37" x14ac:dyDescent="0.2">
      <c r="A181" s="327">
        <v>1520</v>
      </c>
      <c r="B181" s="325" t="e">
        <f>VLOOKUP(A181,'RAB Calculations 10yr'!$A$22:$J$119,10,FALSE)</f>
        <v>#N/A</v>
      </c>
      <c r="C181" s="325">
        <v>0</v>
      </c>
      <c r="E181" s="327">
        <v>1520</v>
      </c>
      <c r="F181" s="325" t="e">
        <v>#N/A</v>
      </c>
      <c r="G181" s="325">
        <v>0</v>
      </c>
      <c r="H181" s="6"/>
      <c r="I181" s="396">
        <v>1520</v>
      </c>
      <c r="J181" s="389" t="e">
        <f>VLOOKUP(I181,'RAB Calculations 10yr'!$A$22:$J$119,10,FALSE)</f>
        <v>#N/A</v>
      </c>
      <c r="K181" s="389" t="e">
        <v>#N/A</v>
      </c>
      <c r="L181" s="394">
        <v>0</v>
      </c>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row>
    <row r="182" spans="1:37" x14ac:dyDescent="0.2">
      <c r="A182" s="327">
        <v>1530</v>
      </c>
      <c r="B182" s="325" t="e">
        <f>VLOOKUP(A182,'RAB Calculations 10yr'!$A$22:$J$119,10,FALSE)</f>
        <v>#N/A</v>
      </c>
      <c r="C182" s="325">
        <v>0</v>
      </c>
      <c r="E182" s="327">
        <v>1530</v>
      </c>
      <c r="F182" s="325" t="e">
        <v>#N/A</v>
      </c>
      <c r="G182" s="325">
        <v>0</v>
      </c>
      <c r="H182" s="6"/>
      <c r="I182" s="396">
        <v>1530</v>
      </c>
      <c r="J182" s="389" t="e">
        <f>VLOOKUP(I182,'RAB Calculations 10yr'!$A$22:$J$119,10,FALSE)</f>
        <v>#N/A</v>
      </c>
      <c r="K182" s="389" t="e">
        <v>#N/A</v>
      </c>
      <c r="L182" s="394">
        <v>0</v>
      </c>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row>
    <row r="183" spans="1:37" x14ac:dyDescent="0.2">
      <c r="A183" s="327">
        <v>8180</v>
      </c>
      <c r="B183" s="325" t="e">
        <f>VLOOKUP(A183,'RAB Calculations 10yr'!$A$22:$J$119,10,FALSE)</f>
        <v>#N/A</v>
      </c>
      <c r="C183" s="325">
        <v>0</v>
      </c>
      <c r="E183" s="327">
        <v>8180</v>
      </c>
      <c r="F183" s="325" t="e">
        <v>#N/A</v>
      </c>
      <c r="G183" s="325">
        <v>0</v>
      </c>
      <c r="H183" s="6"/>
      <c r="I183" s="396">
        <v>8180</v>
      </c>
      <c r="J183" s="389" t="e">
        <f>VLOOKUP(I183,'RAB Calculations 10yr'!$A$22:$J$119,10,FALSE)</f>
        <v>#N/A</v>
      </c>
      <c r="K183" s="389" t="e">
        <v>#N/A</v>
      </c>
      <c r="L183" s="394">
        <v>0</v>
      </c>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row>
    <row r="184" spans="1:37" x14ac:dyDescent="0.2">
      <c r="A184" s="327">
        <v>8190</v>
      </c>
      <c r="B184" s="325" t="e">
        <f>VLOOKUP(A184,'RAB Calculations 10yr'!$A$22:$J$119,10,FALSE)</f>
        <v>#N/A</v>
      </c>
      <c r="C184" s="325">
        <v>0</v>
      </c>
      <c r="E184" s="327">
        <v>8190</v>
      </c>
      <c r="F184" s="325" t="e">
        <v>#N/A</v>
      </c>
      <c r="G184" s="325">
        <v>0</v>
      </c>
      <c r="H184" s="6"/>
      <c r="I184" s="396">
        <v>8190</v>
      </c>
      <c r="J184" s="389" t="e">
        <f>VLOOKUP(I184,'RAB Calculations 10yr'!$A$22:$J$119,10,FALSE)</f>
        <v>#N/A</v>
      </c>
      <c r="K184" s="389" t="e">
        <v>#N/A</v>
      </c>
      <c r="L184" s="394">
        <v>0</v>
      </c>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row>
    <row r="185" spans="1:37" x14ac:dyDescent="0.2">
      <c r="A185" s="327">
        <v>8200</v>
      </c>
      <c r="B185" s="325" t="e">
        <f>VLOOKUP(A185,'RAB Calculations 10yr'!$A$22:$J$119,10,FALSE)</f>
        <v>#N/A</v>
      </c>
      <c r="C185" s="325">
        <v>0</v>
      </c>
      <c r="E185" s="327">
        <v>8200</v>
      </c>
      <c r="F185" s="325" t="e">
        <v>#N/A</v>
      </c>
      <c r="G185" s="325">
        <v>0</v>
      </c>
      <c r="H185" s="6"/>
      <c r="I185" s="396">
        <v>8200</v>
      </c>
      <c r="J185" s="389" t="e">
        <f>VLOOKUP(I185,'RAB Calculations 10yr'!$A$22:$J$119,10,FALSE)</f>
        <v>#N/A</v>
      </c>
      <c r="K185" s="389" t="e">
        <v>#N/A</v>
      </c>
      <c r="L185" s="394">
        <v>0</v>
      </c>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row>
    <row r="186" spans="1:37" x14ac:dyDescent="0.2">
      <c r="A186" s="327">
        <v>1620</v>
      </c>
      <c r="B186" s="325">
        <f>VLOOKUP(A186,'RAB Calculations 10yr'!$A$22:$J$119,10,FALSE)</f>
        <v>19.218771251383032</v>
      </c>
      <c r="C186" s="325">
        <v>0</v>
      </c>
      <c r="E186" s="327">
        <v>1620</v>
      </c>
      <c r="F186" s="325" t="e">
        <v>#N/A</v>
      </c>
      <c r="G186" s="325">
        <v>0</v>
      </c>
      <c r="H186" s="6"/>
      <c r="I186" s="396">
        <v>1620</v>
      </c>
      <c r="J186" s="389">
        <f>VLOOKUP(I186,'RAB Calculations 10yr'!$A$22:$J$119,10,FALSE)</f>
        <v>19.218771251383032</v>
      </c>
      <c r="K186" s="389" t="e">
        <v>#N/A</v>
      </c>
      <c r="L186" s="394">
        <v>0</v>
      </c>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row>
    <row r="187" spans="1:37" x14ac:dyDescent="0.2">
      <c r="A187" s="327">
        <v>1630</v>
      </c>
      <c r="B187" s="325" t="e">
        <f>VLOOKUP(A187,'RAB Calculations 10yr'!$A$22:$J$119,10,FALSE)</f>
        <v>#N/A</v>
      </c>
      <c r="C187" s="325">
        <v>0</v>
      </c>
      <c r="E187" s="327">
        <v>1630</v>
      </c>
      <c r="F187" s="325" t="e">
        <v>#N/A</v>
      </c>
      <c r="G187" s="325">
        <v>0</v>
      </c>
      <c r="H187" s="6"/>
      <c r="I187" s="396">
        <v>1630</v>
      </c>
      <c r="J187" s="389" t="e">
        <f>VLOOKUP(I187,'RAB Calculations 10yr'!$A$22:$J$119,10,FALSE)</f>
        <v>#N/A</v>
      </c>
      <c r="K187" s="389" t="e">
        <v>#N/A</v>
      </c>
      <c r="L187" s="394">
        <v>0</v>
      </c>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row>
    <row r="188" spans="1:37" x14ac:dyDescent="0.2">
      <c r="A188" s="327">
        <v>1640</v>
      </c>
      <c r="B188" s="325" t="e">
        <f>VLOOKUP(A188,'RAB Calculations 10yr'!$A$22:$J$119,10,FALSE)</f>
        <v>#N/A</v>
      </c>
      <c r="C188" s="325">
        <v>0</v>
      </c>
      <c r="E188" s="327">
        <v>1640</v>
      </c>
      <c r="F188" s="325" t="e">
        <v>#N/A</v>
      </c>
      <c r="G188" s="325">
        <v>0</v>
      </c>
      <c r="H188" s="6"/>
      <c r="I188" s="396">
        <v>1640</v>
      </c>
      <c r="J188" s="389" t="e">
        <f>VLOOKUP(I188,'RAB Calculations 10yr'!$A$22:$J$119,10,FALSE)</f>
        <v>#N/A</v>
      </c>
      <c r="K188" s="389" t="e">
        <v>#N/A</v>
      </c>
      <c r="L188" s="394">
        <v>0</v>
      </c>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7" x14ac:dyDescent="0.2">
      <c r="A189" s="327">
        <v>1650</v>
      </c>
      <c r="B189" s="325" t="e">
        <f>VLOOKUP(A189,'RAB Calculations 10yr'!$A$22:$J$119,10,FALSE)</f>
        <v>#N/A</v>
      </c>
      <c r="C189" s="325">
        <v>0</v>
      </c>
      <c r="E189" s="327">
        <v>1650</v>
      </c>
      <c r="F189" s="325" t="e">
        <v>#N/A</v>
      </c>
      <c r="G189" s="325">
        <v>0</v>
      </c>
      <c r="H189" s="6"/>
      <c r="I189" s="396">
        <v>1650</v>
      </c>
      <c r="J189" s="389" t="e">
        <f>VLOOKUP(I189,'RAB Calculations 10yr'!$A$22:$J$119,10,FALSE)</f>
        <v>#N/A</v>
      </c>
      <c r="K189" s="389" t="e">
        <v>#N/A</v>
      </c>
      <c r="L189" s="394">
        <v>0</v>
      </c>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row>
    <row r="190" spans="1:37" x14ac:dyDescent="0.2">
      <c r="A190" s="327">
        <v>1660</v>
      </c>
      <c r="B190" s="325" t="e">
        <f>VLOOKUP(A190,'RAB Calculations 10yr'!$A$22:$J$119,10,FALSE)</f>
        <v>#N/A</v>
      </c>
      <c r="C190" s="325">
        <v>0</v>
      </c>
      <c r="E190" s="327">
        <v>1660</v>
      </c>
      <c r="F190" s="325" t="e">
        <v>#N/A</v>
      </c>
      <c r="G190" s="325">
        <v>0</v>
      </c>
      <c r="H190" s="6"/>
      <c r="I190" s="396">
        <v>1660</v>
      </c>
      <c r="J190" s="389" t="e">
        <f>VLOOKUP(I190,'RAB Calculations 10yr'!$A$22:$J$119,10,FALSE)</f>
        <v>#N/A</v>
      </c>
      <c r="K190" s="389" t="e">
        <v>#N/A</v>
      </c>
      <c r="L190" s="394">
        <v>0</v>
      </c>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row>
    <row r="191" spans="1:37" x14ac:dyDescent="0.2">
      <c r="A191" s="327">
        <v>1670</v>
      </c>
      <c r="B191" s="325" t="e">
        <f>VLOOKUP(A191,'RAB Calculations 10yr'!$A$22:$J$119,10,FALSE)</f>
        <v>#N/A</v>
      </c>
      <c r="C191" s="325">
        <v>0</v>
      </c>
      <c r="E191" s="327">
        <v>1670</v>
      </c>
      <c r="F191" s="325" t="e">
        <v>#N/A</v>
      </c>
      <c r="G191" s="325">
        <v>0</v>
      </c>
      <c r="H191" s="6"/>
      <c r="I191" s="396">
        <v>1670</v>
      </c>
      <c r="J191" s="389" t="e">
        <f>VLOOKUP(I191,'RAB Calculations 10yr'!$A$22:$J$119,10,FALSE)</f>
        <v>#N/A</v>
      </c>
      <c r="K191" s="389" t="e">
        <v>#N/A</v>
      </c>
      <c r="L191" s="394">
        <v>0</v>
      </c>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row>
    <row r="192" spans="1:37" x14ac:dyDescent="0.2">
      <c r="A192" s="327">
        <v>1680</v>
      </c>
      <c r="B192" s="325" t="e">
        <f>VLOOKUP(A192,'RAB Calculations 10yr'!$A$22:$J$119,10,FALSE)</f>
        <v>#N/A</v>
      </c>
      <c r="C192" s="325">
        <v>0</v>
      </c>
      <c r="E192" s="327">
        <v>1680</v>
      </c>
      <c r="F192" s="325" t="e">
        <v>#N/A</v>
      </c>
      <c r="G192" s="325">
        <v>0</v>
      </c>
      <c r="H192" s="6"/>
      <c r="I192" s="396">
        <v>1680</v>
      </c>
      <c r="J192" s="389" t="e">
        <f>VLOOKUP(I192,'RAB Calculations 10yr'!$A$22:$J$119,10,FALSE)</f>
        <v>#N/A</v>
      </c>
      <c r="K192" s="389" t="e">
        <v>#N/A</v>
      </c>
      <c r="L192" s="394">
        <v>0</v>
      </c>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row>
    <row r="193" spans="1:37" x14ac:dyDescent="0.2">
      <c r="A193" s="327">
        <v>1690</v>
      </c>
      <c r="B193" s="325" t="e">
        <f>VLOOKUP(A193,'RAB Calculations 10yr'!$A$22:$J$119,10,FALSE)</f>
        <v>#N/A</v>
      </c>
      <c r="C193" s="325">
        <v>0</v>
      </c>
      <c r="E193" s="327">
        <v>1690</v>
      </c>
      <c r="F193" s="325" t="e">
        <v>#N/A</v>
      </c>
      <c r="G193" s="325">
        <v>0</v>
      </c>
      <c r="H193" s="6"/>
      <c r="I193" s="396">
        <v>1690</v>
      </c>
      <c r="J193" s="389" t="e">
        <f>VLOOKUP(I193,'RAB Calculations 10yr'!$A$22:$J$119,10,FALSE)</f>
        <v>#N/A</v>
      </c>
      <c r="K193" s="389" t="e">
        <v>#N/A</v>
      </c>
      <c r="L193" s="394">
        <v>0</v>
      </c>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row>
    <row r="194" spans="1:37" ht="13.5" thickBot="1" x14ac:dyDescent="0.25">
      <c r="A194" s="327">
        <v>1700</v>
      </c>
      <c r="B194" s="325">
        <f>VLOOKUP(A194,'RAB Calculations 10yr'!$A$22:$J$119,10,FALSE)</f>
        <v>88.217405270904322</v>
      </c>
      <c r="C194" s="325">
        <v>0</v>
      </c>
      <c r="E194" s="327">
        <v>1700</v>
      </c>
      <c r="F194" s="325" t="e">
        <v>#N/A</v>
      </c>
      <c r="G194" s="325">
        <v>0</v>
      </c>
      <c r="H194" s="6"/>
      <c r="I194" s="397">
        <v>1700</v>
      </c>
      <c r="J194" s="398">
        <f>VLOOKUP(I194,'RAB Calculations 10yr'!$A$22:$J$119,10,FALSE)</f>
        <v>88.217405270904322</v>
      </c>
      <c r="K194" s="398" t="e">
        <v>#N/A</v>
      </c>
      <c r="L194" s="399">
        <v>0</v>
      </c>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row>
    <row r="195" spans="1:37" x14ac:dyDescent="0.2">
      <c r="A195" s="327">
        <v>1710</v>
      </c>
      <c r="B195" s="325" t="e">
        <f>VLOOKUP(A195,'RAB Calculations 10yr'!$A$22:$J$119,10,FALSE)</f>
        <v>#N/A</v>
      </c>
      <c r="C195" s="325">
        <v>0</v>
      </c>
      <c r="E195" s="327">
        <v>1710</v>
      </c>
      <c r="F195" s="325" t="e">
        <v>#N/A</v>
      </c>
      <c r="G195" s="325">
        <v>0</v>
      </c>
      <c r="H195" s="6"/>
      <c r="I195" s="390"/>
      <c r="J195" s="330"/>
      <c r="K195" s="330"/>
      <c r="L195" s="330"/>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row>
    <row r="196" spans="1:37" x14ac:dyDescent="0.2">
      <c r="A196" s="327">
        <v>1720</v>
      </c>
      <c r="B196" s="325" t="e">
        <f>VLOOKUP(A196,'RAB Calculations 10yr'!$A$22:$J$119,10,FALSE)</f>
        <v>#N/A</v>
      </c>
      <c r="C196" s="325">
        <v>0</v>
      </c>
      <c r="E196" s="327">
        <v>1720</v>
      </c>
      <c r="F196" s="325" t="e">
        <v>#N/A</v>
      </c>
      <c r="G196" s="325">
        <v>0</v>
      </c>
      <c r="H196" s="6"/>
      <c r="I196" s="390"/>
      <c r="J196" s="330"/>
      <c r="K196" s="330"/>
      <c r="L196" s="330"/>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7" x14ac:dyDescent="0.2">
      <c r="A197" s="327">
        <v>1730</v>
      </c>
      <c r="B197" s="325" t="e">
        <f>VLOOKUP(A197,'RAB Calculations 10yr'!$A$22:$J$119,10,FALSE)</f>
        <v>#N/A</v>
      </c>
      <c r="C197" s="325">
        <v>0</v>
      </c>
      <c r="E197" s="327">
        <v>1730</v>
      </c>
      <c r="F197" s="325" t="e">
        <v>#N/A</v>
      </c>
      <c r="G197" s="325">
        <v>0</v>
      </c>
      <c r="H197" s="6"/>
      <c r="I197" s="390"/>
      <c r="J197" s="330"/>
      <c r="K197" s="330"/>
      <c r="L197" s="330"/>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row>
    <row r="198" spans="1:37" x14ac:dyDescent="0.2">
      <c r="A198" s="327">
        <v>1740</v>
      </c>
      <c r="B198" s="325" t="e">
        <f>VLOOKUP(A198,'RAB Calculations 10yr'!$A$22:$J$119,10,FALSE)</f>
        <v>#N/A</v>
      </c>
      <c r="C198" s="325">
        <v>0</v>
      </c>
      <c r="E198" s="327">
        <v>1740</v>
      </c>
      <c r="F198" s="325" t="e">
        <v>#N/A</v>
      </c>
      <c r="G198" s="325">
        <v>0</v>
      </c>
      <c r="H198" s="6"/>
      <c r="I198" s="390"/>
      <c r="J198" s="330"/>
      <c r="K198" s="330"/>
      <c r="L198" s="330"/>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row>
    <row r="199" spans="1:37" x14ac:dyDescent="0.2">
      <c r="A199" s="327">
        <v>1750</v>
      </c>
      <c r="B199" s="325" t="e">
        <f>VLOOKUP(A199,'RAB Calculations 10yr'!$A$22:$J$119,10,FALSE)</f>
        <v>#N/A</v>
      </c>
      <c r="C199" s="325">
        <v>0</v>
      </c>
      <c r="E199" s="327">
        <v>1750</v>
      </c>
      <c r="F199" s="325" t="e">
        <v>#N/A</v>
      </c>
      <c r="G199" s="325">
        <v>0</v>
      </c>
      <c r="H199" s="6"/>
      <c r="I199" s="390"/>
      <c r="J199" s="330"/>
      <c r="K199" s="330"/>
      <c r="L199" s="330"/>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7" x14ac:dyDescent="0.2">
      <c r="A200" s="327">
        <v>1760</v>
      </c>
      <c r="B200" s="325" t="e">
        <f>VLOOKUP(A200,'RAB Calculations 10yr'!$A$22:$J$119,10,FALSE)</f>
        <v>#N/A</v>
      </c>
      <c r="C200" s="325">
        <v>0</v>
      </c>
      <c r="E200" s="327">
        <v>1760</v>
      </c>
      <c r="F200" s="325" t="e">
        <v>#N/A</v>
      </c>
      <c r="G200" s="325">
        <v>0</v>
      </c>
      <c r="H200" s="6"/>
      <c r="I200" s="390"/>
      <c r="J200" s="330"/>
      <c r="K200" s="330"/>
      <c r="L200" s="330"/>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7" x14ac:dyDescent="0.2">
      <c r="A201" s="327">
        <v>1770</v>
      </c>
      <c r="B201" s="325" t="e">
        <f>VLOOKUP(A201,'RAB Calculations 10yr'!$A$22:$J$119,10,FALSE)</f>
        <v>#N/A</v>
      </c>
      <c r="C201" s="325">
        <v>0</v>
      </c>
      <c r="E201" s="327">
        <v>1770</v>
      </c>
      <c r="F201" s="325" t="e">
        <v>#N/A</v>
      </c>
      <c r="G201" s="325">
        <v>0</v>
      </c>
      <c r="H201" s="6"/>
      <c r="I201" s="390"/>
      <c r="J201" s="330"/>
      <c r="K201" s="330"/>
      <c r="L201" s="330"/>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row>
    <row r="202" spans="1:37" x14ac:dyDescent="0.2">
      <c r="A202" s="327">
        <v>1780</v>
      </c>
      <c r="B202" s="325" t="e">
        <f>VLOOKUP(A202,'RAB Calculations 10yr'!$A$22:$J$119,10,FALSE)</f>
        <v>#N/A</v>
      </c>
      <c r="C202" s="325">
        <v>0</v>
      </c>
      <c r="E202" s="327">
        <v>1780</v>
      </c>
      <c r="F202" s="325" t="e">
        <v>#N/A</v>
      </c>
      <c r="G202" s="325">
        <v>0</v>
      </c>
      <c r="H202" s="6"/>
      <c r="I202" s="390"/>
      <c r="J202" s="330"/>
      <c r="K202" s="330"/>
      <c r="L202" s="330"/>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row>
    <row r="203" spans="1:37" x14ac:dyDescent="0.2">
      <c r="A203" s="327">
        <v>1790</v>
      </c>
      <c r="B203" s="325" t="e">
        <f>VLOOKUP(A203,'RAB Calculations 10yr'!$A$22:$J$119,10,FALSE)</f>
        <v>#N/A</v>
      </c>
      <c r="C203" s="325">
        <v>0</v>
      </c>
      <c r="E203" s="327">
        <v>1790</v>
      </c>
      <c r="F203" s="325" t="e">
        <v>#N/A</v>
      </c>
      <c r="G203" s="325">
        <v>0</v>
      </c>
      <c r="H203" s="6"/>
      <c r="I203" s="390"/>
      <c r="J203" s="330"/>
      <c r="K203" s="330"/>
      <c r="L203" s="330"/>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row>
    <row r="204" spans="1:37" x14ac:dyDescent="0.2">
      <c r="A204" s="327">
        <v>1800</v>
      </c>
      <c r="B204" s="325" t="e">
        <f>VLOOKUP(A204,'RAB Calculations 10yr'!$A$22:$J$119,10,FALSE)</f>
        <v>#N/A</v>
      </c>
      <c r="C204" s="325">
        <v>0</v>
      </c>
      <c r="E204" s="327">
        <v>1800</v>
      </c>
      <c r="F204" s="325" t="e">
        <v>#N/A</v>
      </c>
      <c r="G204" s="325">
        <v>0</v>
      </c>
      <c r="H204" s="6"/>
      <c r="I204" s="390"/>
      <c r="J204" s="330"/>
      <c r="K204" s="330"/>
      <c r="L204" s="330"/>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row>
    <row r="205" spans="1:37" x14ac:dyDescent="0.2">
      <c r="A205" s="327">
        <v>1810</v>
      </c>
      <c r="B205" s="325" t="e">
        <f>VLOOKUP(A205,'RAB Calculations 10yr'!$A$22:$J$119,10,FALSE)</f>
        <v>#N/A</v>
      </c>
      <c r="C205" s="325">
        <v>0</v>
      </c>
      <c r="E205" s="327">
        <v>1810</v>
      </c>
      <c r="F205" s="325" t="e">
        <v>#N/A</v>
      </c>
      <c r="G205" s="325">
        <v>0</v>
      </c>
      <c r="H205" s="6"/>
      <c r="I205" s="390"/>
      <c r="J205" s="330"/>
      <c r="K205" s="330"/>
      <c r="L205" s="330"/>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7" x14ac:dyDescent="0.2">
      <c r="A206" s="327">
        <v>1820</v>
      </c>
      <c r="B206" s="325" t="e">
        <f>VLOOKUP(A206,'RAB Calculations 10yr'!$A$22:$J$119,10,FALSE)</f>
        <v>#N/A</v>
      </c>
      <c r="C206" s="325">
        <v>0</v>
      </c>
      <c r="E206" s="327">
        <v>1820</v>
      </c>
      <c r="F206" s="325" t="e">
        <v>#N/A</v>
      </c>
      <c r="G206" s="325">
        <v>0</v>
      </c>
      <c r="H206" s="6"/>
      <c r="I206" s="390"/>
      <c r="J206" s="330"/>
      <c r="K206" s="330"/>
      <c r="L206" s="330"/>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7" x14ac:dyDescent="0.2">
      <c r="A207" s="327">
        <v>1830</v>
      </c>
      <c r="B207" s="325" t="e">
        <f>VLOOKUP(A207,'RAB Calculations 10yr'!$A$22:$J$119,10,FALSE)</f>
        <v>#N/A</v>
      </c>
      <c r="C207" s="325">
        <v>0</v>
      </c>
      <c r="E207" s="327">
        <v>1830</v>
      </c>
      <c r="F207" s="325" t="e">
        <v>#N/A</v>
      </c>
      <c r="G207" s="325">
        <v>0</v>
      </c>
      <c r="H207" s="6"/>
      <c r="I207" s="390"/>
      <c r="J207" s="330"/>
      <c r="K207" s="330"/>
      <c r="L207" s="330"/>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7" x14ac:dyDescent="0.2">
      <c r="A208" s="327">
        <v>1840</v>
      </c>
      <c r="B208" s="325" t="e">
        <f>VLOOKUP(A208,'RAB Calculations 10yr'!$A$22:$J$119,10,FALSE)</f>
        <v>#N/A</v>
      </c>
      <c r="C208" s="325">
        <v>0</v>
      </c>
      <c r="E208" s="327">
        <v>1840</v>
      </c>
      <c r="F208" s="325" t="e">
        <v>#N/A</v>
      </c>
      <c r="G208" s="325">
        <v>0</v>
      </c>
      <c r="H208" s="6"/>
      <c r="I208" s="390"/>
      <c r="J208" s="330"/>
      <c r="K208" s="330"/>
      <c r="L208" s="330"/>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40" x14ac:dyDescent="0.2">
      <c r="A209" s="327">
        <v>1850</v>
      </c>
      <c r="B209" s="325" t="e">
        <f>VLOOKUP(A209,'RAB Calculations 10yr'!$A$22:$J$119,10,FALSE)</f>
        <v>#N/A</v>
      </c>
      <c r="C209" s="325">
        <v>0</v>
      </c>
      <c r="E209" s="327">
        <v>1850</v>
      </c>
      <c r="F209" s="325" t="e">
        <v>#N/A</v>
      </c>
      <c r="G209" s="325">
        <v>0</v>
      </c>
      <c r="H209" s="6"/>
      <c r="I209" s="390"/>
      <c r="J209" s="330"/>
      <c r="K209" s="330"/>
      <c r="L209" s="330"/>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40" x14ac:dyDescent="0.2">
      <c r="A210" s="327">
        <v>1860</v>
      </c>
      <c r="B210" s="325" t="e">
        <f>VLOOKUP(A210,'RAB Calculations 10yr'!$A$22:$J$119,10,FALSE)</f>
        <v>#N/A</v>
      </c>
      <c r="C210" s="325">
        <v>0</v>
      </c>
      <c r="E210" s="327">
        <v>1860</v>
      </c>
      <c r="F210" s="325" t="e">
        <v>#N/A</v>
      </c>
      <c r="G210" s="325">
        <v>0</v>
      </c>
      <c r="H210" s="6"/>
      <c r="I210" s="390"/>
      <c r="J210" s="330"/>
      <c r="K210" s="330"/>
      <c r="L210" s="330"/>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40" x14ac:dyDescent="0.2">
      <c r="A211" s="327">
        <v>1870</v>
      </c>
      <c r="B211" s="325" t="e">
        <f>VLOOKUP(A211,'RAB Calculations 10yr'!$A$22:$J$119,10,FALSE)</f>
        <v>#N/A</v>
      </c>
      <c r="C211" s="325">
        <v>0</v>
      </c>
      <c r="E211" s="327">
        <v>1870</v>
      </c>
      <c r="F211" s="325" t="e">
        <v>#N/A</v>
      </c>
      <c r="G211" s="325">
        <v>0</v>
      </c>
      <c r="H211" s="6"/>
      <c r="I211" s="390"/>
      <c r="J211" s="330"/>
      <c r="K211" s="330"/>
      <c r="L211" s="330"/>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40" x14ac:dyDescent="0.2">
      <c r="A212" s="327">
        <v>1880</v>
      </c>
      <c r="B212" s="325" t="e">
        <f>VLOOKUP(A212,'RAB Calculations 10yr'!$A$22:$J$119,10,FALSE)</f>
        <v>#N/A</v>
      </c>
      <c r="C212" s="325">
        <v>0</v>
      </c>
      <c r="E212" s="327">
        <v>1880</v>
      </c>
      <c r="F212" s="325" t="e">
        <v>#N/A</v>
      </c>
      <c r="G212" s="325">
        <v>0</v>
      </c>
      <c r="H212" s="6"/>
      <c r="I212" s="390"/>
      <c r="J212" s="330"/>
      <c r="K212" s="330"/>
      <c r="L212" s="330"/>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40" x14ac:dyDescent="0.2">
      <c r="A213" s="327">
        <v>1890</v>
      </c>
      <c r="B213" s="325" t="e">
        <f>VLOOKUP(A213,'RAB Calculations 10yr'!$A$22:$J$119,10,FALSE)</f>
        <v>#N/A</v>
      </c>
      <c r="C213" s="325">
        <v>0</v>
      </c>
      <c r="E213" s="327">
        <v>1890</v>
      </c>
      <c r="F213" s="325" t="e">
        <v>#N/A</v>
      </c>
      <c r="G213" s="325">
        <v>0</v>
      </c>
      <c r="H213" s="6"/>
      <c r="I213" s="390"/>
      <c r="J213" s="330"/>
      <c r="K213" s="330"/>
      <c r="L213" s="330"/>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40" x14ac:dyDescent="0.2">
      <c r="A214" s="327">
        <v>1900</v>
      </c>
      <c r="B214" s="325" t="e">
        <f>VLOOKUP(A214,'RAB Calculations 10yr'!$A$22:$J$119,10,FALSE)</f>
        <v>#N/A</v>
      </c>
      <c r="C214" s="325">
        <v>0</v>
      </c>
      <c r="E214" s="327">
        <v>1900</v>
      </c>
      <c r="F214" s="325" t="e">
        <v>#N/A</v>
      </c>
      <c r="G214" s="325">
        <v>0</v>
      </c>
      <c r="H214" s="6"/>
      <c r="I214" s="390"/>
      <c r="J214" s="330"/>
      <c r="K214" s="330"/>
      <c r="L214" s="330"/>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40" x14ac:dyDescent="0.2">
      <c r="A215" s="327">
        <v>1910</v>
      </c>
      <c r="B215" s="325" t="e">
        <f>VLOOKUP(A215,'RAB Calculations 10yr'!$A$22:$J$119,10,FALSE)</f>
        <v>#N/A</v>
      </c>
      <c r="C215" s="325">
        <v>0</v>
      </c>
      <c r="E215" s="327">
        <v>1910</v>
      </c>
      <c r="F215" s="325" t="e">
        <v>#N/A</v>
      </c>
      <c r="G215" s="325">
        <v>0</v>
      </c>
      <c r="H215" s="6"/>
      <c r="I215" s="390"/>
      <c r="J215" s="330"/>
      <c r="K215" s="330"/>
      <c r="L215" s="330"/>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40" x14ac:dyDescent="0.2">
      <c r="A216" s="327">
        <v>1920</v>
      </c>
      <c r="B216" s="325" t="e">
        <f>VLOOKUP(A216,'RAB Calculations 10yr'!$A$22:$J$119,10,FALSE)</f>
        <v>#N/A</v>
      </c>
      <c r="C216" s="325">
        <v>0</v>
      </c>
      <c r="E216" s="327">
        <v>1920</v>
      </c>
      <c r="F216" s="325" t="e">
        <v>#N/A</v>
      </c>
      <c r="G216" s="325">
        <v>0</v>
      </c>
      <c r="H216" s="6"/>
      <c r="I216" s="390"/>
      <c r="J216" s="330"/>
      <c r="K216" s="330"/>
      <c r="L216" s="330"/>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40" x14ac:dyDescent="0.2">
      <c r="A217" s="327">
        <v>1930</v>
      </c>
      <c r="B217" s="325" t="e">
        <f>VLOOKUP(A217,'RAB Calculations 10yr'!$A$22:$J$119,10,FALSE)</f>
        <v>#N/A</v>
      </c>
      <c r="C217" s="325">
        <v>0</v>
      </c>
      <c r="E217" s="327">
        <v>1930</v>
      </c>
      <c r="F217" s="325" t="e">
        <v>#N/A</v>
      </c>
      <c r="G217" s="325">
        <v>0</v>
      </c>
      <c r="H217" s="6"/>
      <c r="I217" s="390"/>
      <c r="J217" s="330"/>
      <c r="K217" s="330"/>
      <c r="L217" s="330"/>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40" x14ac:dyDescent="0.2">
      <c r="A218" s="327">
        <v>1940</v>
      </c>
      <c r="B218" s="325" t="e">
        <f>VLOOKUP(A218,'RAB Calculations 10yr'!$A$22:$J$119,10,FALSE)</f>
        <v>#N/A</v>
      </c>
      <c r="C218" s="325">
        <v>0</v>
      </c>
      <c r="E218" s="327">
        <v>1940</v>
      </c>
      <c r="F218" s="325" t="e">
        <v>#N/A</v>
      </c>
      <c r="G218" s="325">
        <v>0</v>
      </c>
      <c r="H218" s="6"/>
      <c r="I218" s="390"/>
      <c r="J218" s="330"/>
      <c r="K218" s="330"/>
      <c r="L218" s="330"/>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40" x14ac:dyDescent="0.2">
      <c r="A219" s="327">
        <v>1950</v>
      </c>
      <c r="B219" s="325" t="e">
        <f>VLOOKUP(A219,'RAB Calculations 10yr'!$A$22:$J$119,10,FALSE)</f>
        <v>#N/A</v>
      </c>
      <c r="C219" s="325">
        <v>0</v>
      </c>
      <c r="E219" s="327">
        <v>1950</v>
      </c>
      <c r="F219" s="325" t="e">
        <v>#N/A</v>
      </c>
      <c r="G219" s="325">
        <v>0</v>
      </c>
      <c r="H219" s="6"/>
      <c r="I219" s="390"/>
      <c r="J219" s="330"/>
      <c r="K219" s="330"/>
      <c r="L219" s="330"/>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40" x14ac:dyDescent="0.2">
      <c r="A220" s="327">
        <v>1960</v>
      </c>
      <c r="B220" s="325" t="e">
        <f>VLOOKUP(A220,'RAB Calculations 10yr'!$A$22:$J$119,10,FALSE)</f>
        <v>#N/A</v>
      </c>
      <c r="C220" s="325">
        <v>0</v>
      </c>
      <c r="E220" s="327">
        <v>1960</v>
      </c>
      <c r="F220" s="325" t="e">
        <v>#N/A</v>
      </c>
      <c r="G220" s="325">
        <v>0</v>
      </c>
      <c r="H220" s="6"/>
      <c r="I220" s="390"/>
      <c r="J220" s="330"/>
      <c r="K220" s="330"/>
      <c r="L220" s="330"/>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40" x14ac:dyDescent="0.2">
      <c r="A221" s="328">
        <v>1970</v>
      </c>
      <c r="B221" s="325" t="e">
        <f>VLOOKUP(A221,'RAB Calculations 10yr'!$A$22:$J$119,10,FALSE)</f>
        <v>#N/A</v>
      </c>
      <c r="C221" s="329">
        <v>0</v>
      </c>
      <c r="E221" s="328">
        <v>1970</v>
      </c>
      <c r="F221" s="325" t="e">
        <v>#N/A</v>
      </c>
      <c r="G221" s="329">
        <v>0</v>
      </c>
      <c r="H221" s="6"/>
      <c r="I221" s="390"/>
      <c r="J221" s="330"/>
      <c r="K221" s="330"/>
      <c r="L221" s="330"/>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40" x14ac:dyDescent="0.2">
      <c r="B222" s="330"/>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row>
    <row r="223" spans="1:40" x14ac:dyDescent="0.2">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row>
    <row r="224" spans="1:40" x14ac:dyDescent="0.2">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row>
    <row r="225" spans="7:40" x14ac:dyDescent="0.2">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row>
    <row r="226" spans="7:40" x14ac:dyDescent="0.2">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row>
    <row r="227" spans="7:40" x14ac:dyDescent="0.2">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row>
    <row r="228" spans="7:40" x14ac:dyDescent="0.2">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row>
    <row r="229" spans="7:40" x14ac:dyDescent="0.2">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row>
    <row r="230" spans="7:40" x14ac:dyDescent="0.2">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row>
    <row r="231" spans="7:40" x14ac:dyDescent="0.2">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row>
    <row r="232" spans="7:40" x14ac:dyDescent="0.2">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row>
    <row r="233" spans="7:40" x14ac:dyDescent="0.2">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row>
    <row r="234" spans="7:40" x14ac:dyDescent="0.2">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row>
    <row r="235" spans="7:40" x14ac:dyDescent="0.2">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row>
    <row r="236" spans="7:40" x14ac:dyDescent="0.2">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row>
    <row r="237" spans="7:40" x14ac:dyDescent="0.2">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row>
    <row r="238" spans="7:40" x14ac:dyDescent="0.2">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row>
    <row r="239" spans="7:40" x14ac:dyDescent="0.2">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row>
    <row r="240" spans="7:40" x14ac:dyDescent="0.2">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row>
    <row r="241" spans="7:40" x14ac:dyDescent="0.2">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row>
    <row r="242" spans="7:40" x14ac:dyDescent="0.2">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row>
    <row r="243" spans="7:40" x14ac:dyDescent="0.2">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row>
    <row r="244" spans="7:40" x14ac:dyDescent="0.2">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row>
    <row r="245" spans="7:40" x14ac:dyDescent="0.2">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row>
    <row r="246" spans="7:40" x14ac:dyDescent="0.2">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row>
    <row r="247" spans="7:40" x14ac:dyDescent="0.2">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row>
    <row r="248" spans="7:40" x14ac:dyDescent="0.2">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row>
    <row r="249" spans="7:40" x14ac:dyDescent="0.2">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row>
    <row r="250" spans="7:40" x14ac:dyDescent="0.2">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row>
    <row r="251" spans="7:40" x14ac:dyDescent="0.2">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row>
    <row r="252" spans="7:40" x14ac:dyDescent="0.2">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row>
    <row r="253" spans="7:40" x14ac:dyDescent="0.2">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row>
    <row r="254" spans="7:40" x14ac:dyDescent="0.2">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row>
    <row r="255" spans="7:40" x14ac:dyDescent="0.2">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row>
    <row r="256" spans="7:40" x14ac:dyDescent="0.2">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row>
    <row r="257" spans="7:40" x14ac:dyDescent="0.2">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row>
    <row r="258" spans="7:40" x14ac:dyDescent="0.2">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row>
    <row r="259" spans="7:40" x14ac:dyDescent="0.2">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row>
    <row r="260" spans="7:40" x14ac:dyDescent="0.2">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row>
    <row r="261" spans="7:40" x14ac:dyDescent="0.2">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row>
    <row r="262" spans="7:40" x14ac:dyDescent="0.2">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row>
    <row r="263" spans="7:40" x14ac:dyDescent="0.2">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row>
    <row r="264" spans="7:40" x14ac:dyDescent="0.2">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row>
    <row r="265" spans="7:40" x14ac:dyDescent="0.2">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row>
    <row r="266" spans="7:40" x14ac:dyDescent="0.2">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row>
    <row r="267" spans="7:40" x14ac:dyDescent="0.2">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row>
    <row r="268" spans="7:40" x14ac:dyDescent="0.2">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row>
    <row r="269" spans="7:40" x14ac:dyDescent="0.2">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row>
    <row r="270" spans="7:40" x14ac:dyDescent="0.2">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row>
    <row r="271" spans="7:40" x14ac:dyDescent="0.2">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row>
    <row r="272" spans="7:40" x14ac:dyDescent="0.2">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row>
    <row r="273" spans="7:40" x14ac:dyDescent="0.2">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row>
    <row r="274" spans="7:40" x14ac:dyDescent="0.2">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row>
    <row r="275" spans="7:40" x14ac:dyDescent="0.2">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row>
    <row r="276" spans="7:40" x14ac:dyDescent="0.2">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row>
    <row r="277" spans="7:40" x14ac:dyDescent="0.2">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row>
    <row r="278" spans="7:40" x14ac:dyDescent="0.2">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row>
    <row r="279" spans="7:40" x14ac:dyDescent="0.2">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row>
    <row r="280" spans="7:40" x14ac:dyDescent="0.2">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row>
    <row r="281" spans="7:40" x14ac:dyDescent="0.2">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row>
    <row r="282" spans="7:40" x14ac:dyDescent="0.2">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row>
    <row r="283" spans="7:40" x14ac:dyDescent="0.2">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row>
    <row r="284" spans="7:40" x14ac:dyDescent="0.2">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row>
    <row r="285" spans="7:40" x14ac:dyDescent="0.2">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row>
    <row r="286" spans="7:40" x14ac:dyDescent="0.2">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row>
    <row r="287" spans="7:40" x14ac:dyDescent="0.2">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row>
    <row r="288" spans="7:40" x14ac:dyDescent="0.2">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row>
    <row r="289" spans="7:40" x14ac:dyDescent="0.2">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row>
    <row r="290" spans="7:40" x14ac:dyDescent="0.2">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row>
    <row r="291" spans="7:40" x14ac:dyDescent="0.2">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row>
    <row r="292" spans="7:40" x14ac:dyDescent="0.2">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row>
    <row r="293" spans="7:40" x14ac:dyDescent="0.2">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row>
    <row r="294" spans="7:40" x14ac:dyDescent="0.2">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row>
    <row r="295" spans="7:40" x14ac:dyDescent="0.2">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row>
    <row r="296" spans="7:40" x14ac:dyDescent="0.2">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row>
    <row r="297" spans="7:40" x14ac:dyDescent="0.2">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row>
    <row r="298" spans="7:40" x14ac:dyDescent="0.2">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row>
    <row r="299" spans="7:40" x14ac:dyDescent="0.2">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row>
    <row r="300" spans="7:40" x14ac:dyDescent="0.2">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row>
    <row r="301" spans="7:40" x14ac:dyDescent="0.2">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row>
    <row r="302" spans="7:40" x14ac:dyDescent="0.2">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row>
    <row r="303" spans="7:40" x14ac:dyDescent="0.2">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row>
    <row r="304" spans="7:40" x14ac:dyDescent="0.2">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row>
    <row r="305" spans="7:40" x14ac:dyDescent="0.2">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row>
    <row r="306" spans="7:40" x14ac:dyDescent="0.2">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row>
    <row r="307" spans="7:40" x14ac:dyDescent="0.2">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row>
    <row r="308" spans="7:40" x14ac:dyDescent="0.2">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row>
    <row r="309" spans="7:40" x14ac:dyDescent="0.2">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row>
    <row r="310" spans="7:40" x14ac:dyDescent="0.2">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row>
    <row r="311" spans="7:40" x14ac:dyDescent="0.2">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row>
    <row r="312" spans="7:40" x14ac:dyDescent="0.2">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row>
    <row r="313" spans="7:40" x14ac:dyDescent="0.2">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row>
    <row r="314" spans="7:40" x14ac:dyDescent="0.2">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row>
    <row r="315" spans="7:40" x14ac:dyDescent="0.2">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row>
    <row r="316" spans="7:40" x14ac:dyDescent="0.2">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row>
    <row r="317" spans="7:40" x14ac:dyDescent="0.2">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row>
    <row r="318" spans="7:40" x14ac:dyDescent="0.2">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row>
    <row r="319" spans="7:40" x14ac:dyDescent="0.2">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row>
    <row r="320" spans="7:40" x14ac:dyDescent="0.2">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row>
    <row r="321" spans="7:40" x14ac:dyDescent="0.2">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row>
    <row r="322" spans="7:40" x14ac:dyDescent="0.2">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row>
    <row r="323" spans="7:40" x14ac:dyDescent="0.2">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row>
    <row r="324" spans="7:40" x14ac:dyDescent="0.2">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row>
    <row r="325" spans="7:40" x14ac:dyDescent="0.2">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row>
    <row r="326" spans="7:40" x14ac:dyDescent="0.2">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row>
    <row r="327" spans="7:40" x14ac:dyDescent="0.2">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row>
    <row r="328" spans="7:40" x14ac:dyDescent="0.2">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row>
    <row r="329" spans="7:40" x14ac:dyDescent="0.2">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row>
    <row r="330" spans="7:40" x14ac:dyDescent="0.2">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row>
    <row r="331" spans="7:40" x14ac:dyDescent="0.2">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row>
    <row r="332" spans="7:40" x14ac:dyDescent="0.2">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row>
    <row r="333" spans="7:40" x14ac:dyDescent="0.2">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row>
    <row r="334" spans="7:40" x14ac:dyDescent="0.2">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row>
    <row r="335" spans="7:40" x14ac:dyDescent="0.2">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row>
    <row r="336" spans="7:40" x14ac:dyDescent="0.2">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row>
    <row r="337" spans="7:40" x14ac:dyDescent="0.2">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row>
    <row r="338" spans="7:40" x14ac:dyDescent="0.2">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row>
    <row r="339" spans="7:40" x14ac:dyDescent="0.2">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row>
    <row r="340" spans="7:40" x14ac:dyDescent="0.2">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row>
    <row r="341" spans="7:40" x14ac:dyDescent="0.2">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row>
    <row r="342" spans="7:40" x14ac:dyDescent="0.2">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row>
    <row r="343" spans="7:40" x14ac:dyDescent="0.2">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row>
    <row r="344" spans="7:40" x14ac:dyDescent="0.2">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row>
    <row r="345" spans="7:40" x14ac:dyDescent="0.2">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row>
    <row r="346" spans="7:40" x14ac:dyDescent="0.2">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row>
    <row r="347" spans="7:40" x14ac:dyDescent="0.2">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row>
    <row r="348" spans="7:40" x14ac:dyDescent="0.2">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row>
    <row r="349" spans="7:40" x14ac:dyDescent="0.2">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row>
    <row r="350" spans="7:40" x14ac:dyDescent="0.2">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row>
    <row r="351" spans="7:40" x14ac:dyDescent="0.2">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row>
    <row r="352" spans="7:40" x14ac:dyDescent="0.2">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row>
    <row r="353" spans="7:40" x14ac:dyDescent="0.2">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row>
    <row r="354" spans="7:40" x14ac:dyDescent="0.2">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row>
    <row r="355" spans="7:40" x14ac:dyDescent="0.2">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row>
    <row r="356" spans="7:40" x14ac:dyDescent="0.2">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row>
    <row r="357" spans="7:40" x14ac:dyDescent="0.2">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row>
    <row r="358" spans="7:40" x14ac:dyDescent="0.2">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row>
    <row r="359" spans="7:40" x14ac:dyDescent="0.2">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row>
    <row r="360" spans="7:40" x14ac:dyDescent="0.2">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row>
    <row r="361" spans="7:40" x14ac:dyDescent="0.2">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row>
    <row r="362" spans="7:40" x14ac:dyDescent="0.2">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row>
    <row r="363" spans="7:40" x14ac:dyDescent="0.2">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row>
    <row r="364" spans="7:40" x14ac:dyDescent="0.2">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row>
    <row r="365" spans="7:40" x14ac:dyDescent="0.2">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row>
    <row r="366" spans="7:40" x14ac:dyDescent="0.2">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row>
    <row r="367" spans="7:40" x14ac:dyDescent="0.2">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row>
    <row r="368" spans="7:40" x14ac:dyDescent="0.2">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row>
    <row r="369" spans="7:40" x14ac:dyDescent="0.2">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row>
    <row r="370" spans="7:40" x14ac:dyDescent="0.2">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row>
    <row r="371" spans="7:40" x14ac:dyDescent="0.2">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row>
    <row r="372" spans="7:40" x14ac:dyDescent="0.2">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row>
    <row r="373" spans="7:40" x14ac:dyDescent="0.2">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row>
    <row r="374" spans="7:40" x14ac:dyDescent="0.2">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row>
    <row r="375" spans="7:40" x14ac:dyDescent="0.2">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row>
    <row r="376" spans="7:40" x14ac:dyDescent="0.2">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row>
    <row r="377" spans="7:40" x14ac:dyDescent="0.2">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row>
    <row r="378" spans="7:40" x14ac:dyDescent="0.2">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row>
    <row r="379" spans="7:40" x14ac:dyDescent="0.2">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row>
    <row r="380" spans="7:40" x14ac:dyDescent="0.2">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row>
    <row r="381" spans="7:40" x14ac:dyDescent="0.2">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row>
    <row r="382" spans="7:40" x14ac:dyDescent="0.2">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row>
    <row r="383" spans="7:40" x14ac:dyDescent="0.2">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row>
    <row r="384" spans="7:40" x14ac:dyDescent="0.2">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row>
    <row r="385" spans="7:40" x14ac:dyDescent="0.2">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row>
    <row r="386" spans="7:40" x14ac:dyDescent="0.2">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row>
    <row r="387" spans="7:40" x14ac:dyDescent="0.2">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row>
    <row r="388" spans="7:40" x14ac:dyDescent="0.2">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row>
    <row r="389" spans="7:40" x14ac:dyDescent="0.2">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row>
    <row r="390" spans="7:40" x14ac:dyDescent="0.2">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row>
    <row r="391" spans="7:40" x14ac:dyDescent="0.2">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row>
    <row r="392" spans="7:40" x14ac:dyDescent="0.2">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row>
    <row r="393" spans="7:40" x14ac:dyDescent="0.2">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row>
    <row r="394" spans="7:40" x14ac:dyDescent="0.2">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row>
    <row r="395" spans="7:40" x14ac:dyDescent="0.2">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row>
    <row r="396" spans="7:40" x14ac:dyDescent="0.2">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row>
    <row r="397" spans="7:40" x14ac:dyDescent="0.2">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row>
    <row r="398" spans="7:40" x14ac:dyDescent="0.2">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row>
    <row r="399" spans="7:40" x14ac:dyDescent="0.2">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row>
    <row r="400" spans="7:40" x14ac:dyDescent="0.2">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row>
    <row r="401" spans="7:40" x14ac:dyDescent="0.2">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row>
    <row r="402" spans="7:40" x14ac:dyDescent="0.2">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row>
    <row r="403" spans="7:40" x14ac:dyDescent="0.2">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row>
    <row r="404" spans="7:40" x14ac:dyDescent="0.2">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row>
    <row r="405" spans="7:40" x14ac:dyDescent="0.2">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row>
    <row r="406" spans="7:40" x14ac:dyDescent="0.2">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row>
    <row r="407" spans="7:40" x14ac:dyDescent="0.2">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row>
    <row r="408" spans="7:40" x14ac:dyDescent="0.2">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row>
    <row r="409" spans="7:40" x14ac:dyDescent="0.2">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row>
    <row r="410" spans="7:40" x14ac:dyDescent="0.2">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row>
    <row r="411" spans="7:40" x14ac:dyDescent="0.2">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row>
    <row r="412" spans="7:40" x14ac:dyDescent="0.2">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row>
    <row r="413" spans="7:40" x14ac:dyDescent="0.2">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row>
    <row r="414" spans="7:40" x14ac:dyDescent="0.2">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row>
    <row r="415" spans="7:40" x14ac:dyDescent="0.2">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row>
    <row r="416" spans="7:40" x14ac:dyDescent="0.2">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row>
    <row r="417" spans="7:40" x14ac:dyDescent="0.2">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row>
    <row r="418" spans="7:40" x14ac:dyDescent="0.2">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row>
    <row r="419" spans="7:40" x14ac:dyDescent="0.2">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row>
    <row r="420" spans="7:40" x14ac:dyDescent="0.2">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row>
    <row r="421" spans="7:40" x14ac:dyDescent="0.2">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row>
    <row r="422" spans="7:40" x14ac:dyDescent="0.2">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row>
    <row r="423" spans="7:40" x14ac:dyDescent="0.2">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row>
    <row r="424" spans="7:40" x14ac:dyDescent="0.2">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row>
    <row r="425" spans="7:40" x14ac:dyDescent="0.2">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row>
    <row r="426" spans="7:40" x14ac:dyDescent="0.2">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row>
    <row r="427" spans="7:40" x14ac:dyDescent="0.2">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row>
    <row r="428" spans="7:40" x14ac:dyDescent="0.2">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row>
    <row r="429" spans="7:40" x14ac:dyDescent="0.2">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row>
    <row r="430" spans="7:40" x14ac:dyDescent="0.2">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row>
    <row r="431" spans="7:40" x14ac:dyDescent="0.2">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row>
    <row r="432" spans="7:40" x14ac:dyDescent="0.2">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row>
    <row r="433" spans="7:40" x14ac:dyDescent="0.2">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row>
    <row r="434" spans="7:40" x14ac:dyDescent="0.2">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row>
    <row r="435" spans="7:40" x14ac:dyDescent="0.2">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row>
    <row r="436" spans="7:40" x14ac:dyDescent="0.2">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row>
    <row r="437" spans="7:40" x14ac:dyDescent="0.2">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row>
    <row r="438" spans="7:40" x14ac:dyDescent="0.2">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row>
    <row r="439" spans="7:40" x14ac:dyDescent="0.2">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row>
    <row r="440" spans="7:40" x14ac:dyDescent="0.2">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row>
    <row r="441" spans="7:40" x14ac:dyDescent="0.2">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row>
    <row r="442" spans="7:40" x14ac:dyDescent="0.2">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row>
    <row r="443" spans="7:40" x14ac:dyDescent="0.2">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row>
    <row r="444" spans="7:40" x14ac:dyDescent="0.2">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row>
    <row r="445" spans="7:40" x14ac:dyDescent="0.2">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row>
    <row r="446" spans="7:40" x14ac:dyDescent="0.2">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row>
    <row r="447" spans="7:40" x14ac:dyDescent="0.2">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row>
    <row r="448" spans="7:40" x14ac:dyDescent="0.2">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row>
    <row r="449" spans="7:40" x14ac:dyDescent="0.2">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row>
    <row r="450" spans="7:40" x14ac:dyDescent="0.2">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row>
    <row r="451" spans="7:40" x14ac:dyDescent="0.2">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row>
    <row r="452" spans="7:40" x14ac:dyDescent="0.2">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row>
    <row r="453" spans="7:40" x14ac:dyDescent="0.2">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row>
    <row r="454" spans="7:40" x14ac:dyDescent="0.2">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row>
    <row r="455" spans="7:40" x14ac:dyDescent="0.2">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row>
    <row r="456" spans="7:40" x14ac:dyDescent="0.2">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row>
    <row r="457" spans="7:40" x14ac:dyDescent="0.2">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row>
    <row r="458" spans="7:40" x14ac:dyDescent="0.2">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row>
    <row r="459" spans="7:40" x14ac:dyDescent="0.2">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row>
    <row r="460" spans="7:40" x14ac:dyDescent="0.2">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row>
    <row r="461" spans="7:40" x14ac:dyDescent="0.2">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row>
    <row r="462" spans="7:40" x14ac:dyDescent="0.2">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row>
    <row r="463" spans="7:40" x14ac:dyDescent="0.2">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row>
    <row r="464" spans="7:40" x14ac:dyDescent="0.2">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row>
    <row r="465" spans="7:40" x14ac:dyDescent="0.2">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row>
    <row r="466" spans="7:40" x14ac:dyDescent="0.2">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row>
    <row r="467" spans="7:40" x14ac:dyDescent="0.2">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row>
    <row r="468" spans="7:40" x14ac:dyDescent="0.2">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row>
    <row r="469" spans="7:40" x14ac:dyDescent="0.2">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row>
    <row r="470" spans="7:40" x14ac:dyDescent="0.2">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row>
    <row r="471" spans="7:40" x14ac:dyDescent="0.2">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row>
    <row r="472" spans="7:40" x14ac:dyDescent="0.2">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row>
    <row r="473" spans="7:40" x14ac:dyDescent="0.2">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row>
    <row r="474" spans="7:40" x14ac:dyDescent="0.2">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row>
    <row r="475" spans="7:40" x14ac:dyDescent="0.2">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row>
    <row r="476" spans="7:40" x14ac:dyDescent="0.2">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row>
    <row r="477" spans="7:40" x14ac:dyDescent="0.2">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row>
    <row r="478" spans="7:40" x14ac:dyDescent="0.2">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row>
    <row r="479" spans="7:40" x14ac:dyDescent="0.2">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row>
    <row r="480" spans="7:40" x14ac:dyDescent="0.2">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row>
    <row r="481" spans="7:40" x14ac:dyDescent="0.2">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row>
    <row r="482" spans="7:40" x14ac:dyDescent="0.2">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row>
    <row r="483" spans="7:40" x14ac:dyDescent="0.2">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row>
    <row r="484" spans="7:40" x14ac:dyDescent="0.2">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row>
    <row r="485" spans="7:40" x14ac:dyDescent="0.2">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row>
    <row r="486" spans="7:40" x14ac:dyDescent="0.2">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row>
    <row r="487" spans="7:40" x14ac:dyDescent="0.2">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row>
    <row r="488" spans="7:40" x14ac:dyDescent="0.2">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row>
    <row r="489" spans="7:40" x14ac:dyDescent="0.2">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row>
    <row r="490" spans="7:40" x14ac:dyDescent="0.2">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row>
    <row r="491" spans="7:40" x14ac:dyDescent="0.2">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row>
    <row r="492" spans="7:40" x14ac:dyDescent="0.2">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row>
    <row r="493" spans="7:40" x14ac:dyDescent="0.2">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row>
    <row r="494" spans="7:40" x14ac:dyDescent="0.2">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row>
    <row r="495" spans="7:40" x14ac:dyDescent="0.2">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row>
    <row r="496" spans="7:40" x14ac:dyDescent="0.2">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row>
    <row r="497" spans="7:40" x14ac:dyDescent="0.2">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row>
    <row r="498" spans="7:40" x14ac:dyDescent="0.2">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row>
    <row r="499" spans="7:40" x14ac:dyDescent="0.2">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row>
    <row r="500" spans="7:40" x14ac:dyDescent="0.2">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row>
    <row r="501" spans="7:40" x14ac:dyDescent="0.2">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row>
    <row r="502" spans="7:40" x14ac:dyDescent="0.2">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row>
    <row r="503" spans="7:40" x14ac:dyDescent="0.2">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row>
    <row r="504" spans="7:40" x14ac:dyDescent="0.2">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row>
    <row r="505" spans="7:40" x14ac:dyDescent="0.2">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row>
    <row r="506" spans="7:40" x14ac:dyDescent="0.2">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row>
    <row r="507" spans="7:40" x14ac:dyDescent="0.2">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row>
    <row r="508" spans="7:40" x14ac:dyDescent="0.2">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row>
    <row r="509" spans="7:40" x14ac:dyDescent="0.2">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row>
    <row r="510" spans="7:40" x14ac:dyDescent="0.2">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row>
    <row r="511" spans="7:40" x14ac:dyDescent="0.2">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row>
    <row r="512" spans="7:40" x14ac:dyDescent="0.2">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row>
    <row r="513" spans="7:40" x14ac:dyDescent="0.2">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row>
    <row r="514" spans="7:40" x14ac:dyDescent="0.2">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row>
    <row r="515" spans="7:40" x14ac:dyDescent="0.2">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row>
    <row r="516" spans="7:40" x14ac:dyDescent="0.2">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row>
    <row r="517" spans="7:40" x14ac:dyDescent="0.2">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row>
    <row r="518" spans="7:40" x14ac:dyDescent="0.2">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row>
    <row r="519" spans="7:40" x14ac:dyDescent="0.2">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row>
    <row r="520" spans="7:40" x14ac:dyDescent="0.2">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row>
    <row r="521" spans="7:40" x14ac:dyDescent="0.2">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row>
    <row r="522" spans="7:40" x14ac:dyDescent="0.2">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row>
    <row r="523" spans="7:40" x14ac:dyDescent="0.2">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row>
    <row r="524" spans="7:40" x14ac:dyDescent="0.2">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row>
    <row r="525" spans="7:40" x14ac:dyDescent="0.2">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row>
    <row r="526" spans="7:40" x14ac:dyDescent="0.2">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row>
    <row r="527" spans="7:40" x14ac:dyDescent="0.2">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row>
    <row r="528" spans="7:40" x14ac:dyDescent="0.2">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row>
    <row r="529" spans="7:40" x14ac:dyDescent="0.2">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row>
    <row r="530" spans="7:40" x14ac:dyDescent="0.2">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row>
    <row r="531" spans="7:40" x14ac:dyDescent="0.2">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row>
    <row r="532" spans="7:40" x14ac:dyDescent="0.2">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row>
    <row r="533" spans="7:40" x14ac:dyDescent="0.2">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row>
    <row r="534" spans="7:40" x14ac:dyDescent="0.2">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row>
    <row r="535" spans="7:40" x14ac:dyDescent="0.2">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row>
    <row r="536" spans="7:40" x14ac:dyDescent="0.2">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row>
    <row r="537" spans="7:40" x14ac:dyDescent="0.2">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row>
    <row r="538" spans="7:40" x14ac:dyDescent="0.2">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row>
    <row r="539" spans="7:40" x14ac:dyDescent="0.2">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row>
    <row r="540" spans="7:40" x14ac:dyDescent="0.2">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row>
    <row r="541" spans="7:40" x14ac:dyDescent="0.2">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row>
    <row r="542" spans="7:40" x14ac:dyDescent="0.2">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row>
    <row r="543" spans="7:40" x14ac:dyDescent="0.2">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row>
    <row r="544" spans="7:40" x14ac:dyDescent="0.2">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row>
    <row r="545" spans="7:40" x14ac:dyDescent="0.2">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row>
    <row r="546" spans="7:40" x14ac:dyDescent="0.2">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row>
    <row r="547" spans="7:40" x14ac:dyDescent="0.2">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row>
    <row r="548" spans="7:40" x14ac:dyDescent="0.2">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row>
    <row r="549" spans="7:40" x14ac:dyDescent="0.2">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row>
    <row r="550" spans="7:40" x14ac:dyDescent="0.2">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row>
    <row r="551" spans="7:40" x14ac:dyDescent="0.2">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row>
    <row r="552" spans="7:40" x14ac:dyDescent="0.2">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row>
    <row r="553" spans="7:40" x14ac:dyDescent="0.2">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row>
    <row r="554" spans="7:40" x14ac:dyDescent="0.2">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row>
    <row r="555" spans="7:40" x14ac:dyDescent="0.2">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row>
    <row r="556" spans="7:40" x14ac:dyDescent="0.2">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row>
    <row r="557" spans="7:40" x14ac:dyDescent="0.2">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row>
    <row r="558" spans="7:40" x14ac:dyDescent="0.2">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row>
    <row r="559" spans="7:40" x14ac:dyDescent="0.2">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row>
    <row r="560" spans="7:40" x14ac:dyDescent="0.2">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row>
    <row r="561" spans="7:40" x14ac:dyDescent="0.2">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row>
    <row r="562" spans="7:40" x14ac:dyDescent="0.2">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row>
    <row r="563" spans="7:40" x14ac:dyDescent="0.2">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row>
    <row r="564" spans="7:40" x14ac:dyDescent="0.2">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row>
    <row r="565" spans="7:40" x14ac:dyDescent="0.2">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row>
    <row r="566" spans="7:40" x14ac:dyDescent="0.2">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row>
    <row r="567" spans="7:40" x14ac:dyDescent="0.2">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row>
    <row r="568" spans="7:40" x14ac:dyDescent="0.2">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row>
    <row r="569" spans="7:40" x14ac:dyDescent="0.2">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row>
    <row r="570" spans="7:40" x14ac:dyDescent="0.2">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row>
    <row r="571" spans="7:40" x14ac:dyDescent="0.2">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row>
    <row r="572" spans="7:40" x14ac:dyDescent="0.2">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row>
    <row r="573" spans="7:40" x14ac:dyDescent="0.2">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row>
    <row r="574" spans="7:40" x14ac:dyDescent="0.2">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row>
    <row r="575" spans="7:40" x14ac:dyDescent="0.2">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row>
    <row r="576" spans="7:40" x14ac:dyDescent="0.2">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row>
    <row r="577" spans="7:40" x14ac:dyDescent="0.2">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row>
    <row r="578" spans="7:40" x14ac:dyDescent="0.2">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row>
    <row r="579" spans="7:40" x14ac:dyDescent="0.2">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row>
    <row r="580" spans="7:40" x14ac:dyDescent="0.2">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row>
    <row r="581" spans="7:40" x14ac:dyDescent="0.2">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row>
    <row r="582" spans="7:40" x14ac:dyDescent="0.2">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row>
    <row r="583" spans="7:40" x14ac:dyDescent="0.2">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row>
    <row r="584" spans="7:40" x14ac:dyDescent="0.2">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row>
    <row r="585" spans="7:40" x14ac:dyDescent="0.2">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row>
    <row r="586" spans="7:40" x14ac:dyDescent="0.2">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row>
    <row r="587" spans="7:40" x14ac:dyDescent="0.2">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row>
    <row r="588" spans="7:40" x14ac:dyDescent="0.2">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row>
    <row r="589" spans="7:40" x14ac:dyDescent="0.2">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row>
    <row r="590" spans="7:40" x14ac:dyDescent="0.2">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row>
    <row r="591" spans="7:40" x14ac:dyDescent="0.2">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row>
    <row r="592" spans="7:40" x14ac:dyDescent="0.2">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row>
    <row r="593" spans="7:40" x14ac:dyDescent="0.2">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row>
    <row r="594" spans="7:40" x14ac:dyDescent="0.2">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row>
    <row r="595" spans="7:40" x14ac:dyDescent="0.2">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row>
    <row r="596" spans="7:40" x14ac:dyDescent="0.2">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row>
    <row r="597" spans="7:40" x14ac:dyDescent="0.2">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row>
    <row r="598" spans="7:40" x14ac:dyDescent="0.2">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row>
    <row r="599" spans="7:40" x14ac:dyDescent="0.2">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row>
    <row r="600" spans="7:40" x14ac:dyDescent="0.2">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row>
    <row r="601" spans="7:40" x14ac:dyDescent="0.2">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row>
    <row r="602" spans="7:40" x14ac:dyDescent="0.2">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row>
    <row r="603" spans="7:40" x14ac:dyDescent="0.2">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row>
    <row r="604" spans="7:40" x14ac:dyDescent="0.2">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row>
    <row r="605" spans="7:40" x14ac:dyDescent="0.2">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row>
    <row r="606" spans="7:40" x14ac:dyDescent="0.2">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row>
    <row r="607" spans="7:40" x14ac:dyDescent="0.2">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row>
    <row r="608" spans="7:40" x14ac:dyDescent="0.2">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row>
    <row r="609" spans="7:40" x14ac:dyDescent="0.2">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row>
    <row r="610" spans="7:40" x14ac:dyDescent="0.2">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row>
    <row r="611" spans="7:40" x14ac:dyDescent="0.2">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row>
    <row r="612" spans="7:40" x14ac:dyDescent="0.2">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row>
    <row r="613" spans="7:40" x14ac:dyDescent="0.2">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row>
    <row r="614" spans="7:40" x14ac:dyDescent="0.2">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row>
    <row r="615" spans="7:40" x14ac:dyDescent="0.2">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row>
    <row r="616" spans="7:40" x14ac:dyDescent="0.2">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row>
    <row r="617" spans="7:40" x14ac:dyDescent="0.2">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row>
    <row r="618" spans="7:40" x14ac:dyDescent="0.2">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row>
    <row r="619" spans="7:40" x14ac:dyDescent="0.2">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row>
    <row r="620" spans="7:40" x14ac:dyDescent="0.2">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row>
    <row r="621" spans="7:40" x14ac:dyDescent="0.2">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row>
    <row r="622" spans="7:40" x14ac:dyDescent="0.2">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row>
    <row r="623" spans="7:40" x14ac:dyDescent="0.2">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row>
    <row r="624" spans="7:40" x14ac:dyDescent="0.2">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row>
    <row r="625" spans="7:40" x14ac:dyDescent="0.2">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row>
    <row r="626" spans="7:40" x14ac:dyDescent="0.2">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row>
    <row r="627" spans="7:40" x14ac:dyDescent="0.2">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row>
    <row r="628" spans="7:40" x14ac:dyDescent="0.2">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row>
    <row r="629" spans="7:40" x14ac:dyDescent="0.2">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row>
    <row r="630" spans="7:40" x14ac:dyDescent="0.2">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row>
    <row r="631" spans="7:40" x14ac:dyDescent="0.2">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row>
    <row r="632" spans="7:40" x14ac:dyDescent="0.2">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row>
    <row r="633" spans="7:40" x14ac:dyDescent="0.2">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row>
    <row r="634" spans="7:40" x14ac:dyDescent="0.2">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row>
    <row r="635" spans="7:40" x14ac:dyDescent="0.2">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row>
    <row r="636" spans="7:40" x14ac:dyDescent="0.2">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row>
    <row r="637" spans="7:40" x14ac:dyDescent="0.2">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row>
    <row r="638" spans="7:40" x14ac:dyDescent="0.2">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row>
    <row r="639" spans="7:40" x14ac:dyDescent="0.2">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row>
    <row r="640" spans="7:40" x14ac:dyDescent="0.2">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row>
    <row r="641" spans="7:40" x14ac:dyDescent="0.2">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row>
    <row r="642" spans="7:40" x14ac:dyDescent="0.2">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row>
    <row r="643" spans="7:40" x14ac:dyDescent="0.2">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row>
    <row r="644" spans="7:40" x14ac:dyDescent="0.2">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row>
    <row r="645" spans="7:40" x14ac:dyDescent="0.2">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row>
    <row r="646" spans="7:40" x14ac:dyDescent="0.2">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row>
    <row r="647" spans="7:40" x14ac:dyDescent="0.2">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row>
    <row r="648" spans="7:40" x14ac:dyDescent="0.2">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row>
    <row r="649" spans="7:40" x14ac:dyDescent="0.2">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row>
    <row r="650" spans="7:40" x14ac:dyDescent="0.2">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row>
    <row r="651" spans="7:40" x14ac:dyDescent="0.2">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row>
    <row r="652" spans="7:40" x14ac:dyDescent="0.2">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row>
    <row r="653" spans="7:40" x14ac:dyDescent="0.2">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row>
    <row r="654" spans="7:40" x14ac:dyDescent="0.2">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row>
    <row r="655" spans="7:40" x14ac:dyDescent="0.2">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row>
    <row r="656" spans="7:40" x14ac:dyDescent="0.2">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row>
    <row r="657" spans="7:40" x14ac:dyDescent="0.2">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row>
    <row r="658" spans="7:40" x14ac:dyDescent="0.2">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row>
    <row r="659" spans="7:40" x14ac:dyDescent="0.2">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row>
    <row r="660" spans="7:40" x14ac:dyDescent="0.2">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row>
    <row r="661" spans="7:40" x14ac:dyDescent="0.2">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row>
    <row r="662" spans="7:40" x14ac:dyDescent="0.2">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row>
    <row r="663" spans="7:40" x14ac:dyDescent="0.2">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row>
    <row r="664" spans="7:40" x14ac:dyDescent="0.2">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row>
    <row r="665" spans="7:40" x14ac:dyDescent="0.2">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row>
    <row r="666" spans="7:40" x14ac:dyDescent="0.2">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row>
    <row r="667" spans="7:40" x14ac:dyDescent="0.2">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row>
    <row r="668" spans="7:40" x14ac:dyDescent="0.2">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row>
    <row r="669" spans="7:40" x14ac:dyDescent="0.2">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row>
    <row r="670" spans="7:40" x14ac:dyDescent="0.2">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row>
    <row r="671" spans="7:40" x14ac:dyDescent="0.2">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row>
    <row r="672" spans="7:40" x14ac:dyDescent="0.2">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row>
    <row r="673" spans="7:40" x14ac:dyDescent="0.2">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row>
    <row r="674" spans="7:40" x14ac:dyDescent="0.2">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row>
    <row r="675" spans="7:40" x14ac:dyDescent="0.2">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row>
    <row r="676" spans="7:40" x14ac:dyDescent="0.2">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row>
    <row r="677" spans="7:40" x14ac:dyDescent="0.2">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row>
    <row r="678" spans="7:40" x14ac:dyDescent="0.2">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row>
    <row r="679" spans="7:40" x14ac:dyDescent="0.2">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row>
    <row r="680" spans="7:40" x14ac:dyDescent="0.2">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row>
    <row r="681" spans="7:40" x14ac:dyDescent="0.2">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row>
    <row r="682" spans="7:40" x14ac:dyDescent="0.2">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row>
    <row r="683" spans="7:40" x14ac:dyDescent="0.2">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row>
    <row r="684" spans="7:40" x14ac:dyDescent="0.2">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row>
    <row r="685" spans="7:40" x14ac:dyDescent="0.2">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row>
    <row r="686" spans="7:40" x14ac:dyDescent="0.2">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row>
    <row r="687" spans="7:40" x14ac:dyDescent="0.2">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row>
    <row r="688" spans="7:40" x14ac:dyDescent="0.2">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row>
    <row r="689" spans="7:40" x14ac:dyDescent="0.2">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row>
    <row r="690" spans="7:40" x14ac:dyDescent="0.2">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row>
    <row r="691" spans="7:40" x14ac:dyDescent="0.2">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row>
    <row r="692" spans="7:40" x14ac:dyDescent="0.2">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row>
    <row r="693" spans="7:40" x14ac:dyDescent="0.2">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row>
    <row r="694" spans="7:40" x14ac:dyDescent="0.2">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row>
    <row r="695" spans="7:40" x14ac:dyDescent="0.2">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row>
    <row r="696" spans="7:40" x14ac:dyDescent="0.2">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row>
    <row r="697" spans="7:40" x14ac:dyDescent="0.2">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row>
    <row r="698" spans="7:40" x14ac:dyDescent="0.2">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row>
    <row r="699" spans="7:40" x14ac:dyDescent="0.2">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row>
    <row r="700" spans="7:40" x14ac:dyDescent="0.2">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row>
    <row r="701" spans="7:40" x14ac:dyDescent="0.2">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row>
    <row r="702" spans="7:40" x14ac:dyDescent="0.2">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row>
    <row r="703" spans="7:40" x14ac:dyDescent="0.2">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row>
    <row r="704" spans="7:40" x14ac:dyDescent="0.2">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row>
    <row r="705" spans="7:40" x14ac:dyDescent="0.2">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row>
    <row r="706" spans="7:40" x14ac:dyDescent="0.2">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row>
    <row r="707" spans="7:40" x14ac:dyDescent="0.2">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row>
    <row r="708" spans="7:40" x14ac:dyDescent="0.2">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row>
    <row r="709" spans="7:40" x14ac:dyDescent="0.2">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row>
    <row r="710" spans="7:40" x14ac:dyDescent="0.2">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row>
    <row r="711" spans="7:40" x14ac:dyDescent="0.2">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row>
    <row r="712" spans="7:40" x14ac:dyDescent="0.2">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row>
    <row r="713" spans="7:40" x14ac:dyDescent="0.2">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row>
    <row r="714" spans="7:40" x14ac:dyDescent="0.2">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row>
    <row r="715" spans="7:40" x14ac:dyDescent="0.2">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row>
    <row r="716" spans="7:40" x14ac:dyDescent="0.2">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row>
    <row r="717" spans="7:40" x14ac:dyDescent="0.2">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row>
    <row r="718" spans="7:40" x14ac:dyDescent="0.2">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row>
    <row r="719" spans="7:40" x14ac:dyDescent="0.2">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row>
    <row r="720" spans="7:40" x14ac:dyDescent="0.2">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row>
    <row r="721" spans="7:40" x14ac:dyDescent="0.2">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row>
    <row r="722" spans="7:40" x14ac:dyDescent="0.2">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row>
    <row r="723" spans="7:40" x14ac:dyDescent="0.2">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row>
    <row r="724" spans="7:40" x14ac:dyDescent="0.2">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row>
    <row r="725" spans="7:40" x14ac:dyDescent="0.2">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row>
    <row r="726" spans="7:40" x14ac:dyDescent="0.2">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row>
    <row r="727" spans="7:40" x14ac:dyDescent="0.2">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row>
    <row r="728" spans="7:40" x14ac:dyDescent="0.2">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row>
    <row r="729" spans="7:40" x14ac:dyDescent="0.2">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row>
    <row r="730" spans="7:40" x14ac:dyDescent="0.2">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row>
    <row r="731" spans="7:40" x14ac:dyDescent="0.2">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row>
    <row r="732" spans="7:40" x14ac:dyDescent="0.2">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row>
    <row r="733" spans="7:40" x14ac:dyDescent="0.2">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row>
    <row r="734" spans="7:40" x14ac:dyDescent="0.2">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row>
    <row r="735" spans="7:40" x14ac:dyDescent="0.2">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row>
    <row r="736" spans="7:40" x14ac:dyDescent="0.2">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row>
    <row r="737" spans="7:40" x14ac:dyDescent="0.2">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row>
    <row r="738" spans="7:40" x14ac:dyDescent="0.2">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row>
    <row r="739" spans="7:40" x14ac:dyDescent="0.2">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row>
    <row r="740" spans="7:40" x14ac:dyDescent="0.2">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row>
    <row r="741" spans="7:40" x14ac:dyDescent="0.2">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row>
    <row r="742" spans="7:40" x14ac:dyDescent="0.2">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row>
    <row r="743" spans="7:40" x14ac:dyDescent="0.2">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row>
    <row r="744" spans="7:40" x14ac:dyDescent="0.2">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row>
    <row r="745" spans="7:40" x14ac:dyDescent="0.2">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row>
    <row r="746" spans="7:40" x14ac:dyDescent="0.2">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row>
    <row r="747" spans="7:40" x14ac:dyDescent="0.2">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row>
    <row r="748" spans="7:40" x14ac:dyDescent="0.2">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row>
    <row r="749" spans="7:40" x14ac:dyDescent="0.2">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row>
    <row r="750" spans="7:40" x14ac:dyDescent="0.2">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row>
    <row r="751" spans="7:40" x14ac:dyDescent="0.2">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row>
    <row r="752" spans="7:40" x14ac:dyDescent="0.2">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row>
    <row r="753" spans="7:40" x14ac:dyDescent="0.2">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row>
    <row r="754" spans="7:40" x14ac:dyDescent="0.2">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row>
    <row r="755" spans="7:40" x14ac:dyDescent="0.2">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row>
    <row r="756" spans="7:40" x14ac:dyDescent="0.2">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row>
    <row r="757" spans="7:40" x14ac:dyDescent="0.2">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row>
    <row r="758" spans="7:40" x14ac:dyDescent="0.2">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row>
    <row r="759" spans="7:40" x14ac:dyDescent="0.2">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row>
    <row r="760" spans="7:40" x14ac:dyDescent="0.2">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row>
    <row r="761" spans="7:40" x14ac:dyDescent="0.2">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row>
    <row r="762" spans="7:40" x14ac:dyDescent="0.2">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row>
    <row r="763" spans="7:40" x14ac:dyDescent="0.2">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row>
    <row r="764" spans="7:40" x14ac:dyDescent="0.2">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row>
    <row r="765" spans="7:40" x14ac:dyDescent="0.2">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row>
    <row r="766" spans="7:40" x14ac:dyDescent="0.2">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row>
    <row r="767" spans="7:40" x14ac:dyDescent="0.2">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row>
    <row r="768" spans="7:40" x14ac:dyDescent="0.2">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row>
    <row r="769" spans="7:40" x14ac:dyDescent="0.2">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row>
    <row r="770" spans="7:40" x14ac:dyDescent="0.2">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row>
    <row r="771" spans="7:40" x14ac:dyDescent="0.2">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row>
    <row r="772" spans="7:40" x14ac:dyDescent="0.2">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row>
    <row r="773" spans="7:40" x14ac:dyDescent="0.2">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row>
    <row r="774" spans="7:40" x14ac:dyDescent="0.2">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row>
    <row r="775" spans="7:40" x14ac:dyDescent="0.2">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row>
    <row r="776" spans="7:40" x14ac:dyDescent="0.2">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row>
    <row r="777" spans="7:40" x14ac:dyDescent="0.2">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row>
    <row r="778" spans="7:40" x14ac:dyDescent="0.2">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row>
    <row r="779" spans="7:40" x14ac:dyDescent="0.2">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row>
    <row r="780" spans="7:40" x14ac:dyDescent="0.2">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row>
    <row r="781" spans="7:40" x14ac:dyDescent="0.2">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row>
    <row r="782" spans="7:40" x14ac:dyDescent="0.2">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row>
    <row r="783" spans="7:40" x14ac:dyDescent="0.2">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row>
    <row r="784" spans="7:40" x14ac:dyDescent="0.2">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row>
    <row r="785" spans="7:40" x14ac:dyDescent="0.2">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row>
    <row r="786" spans="7:40" x14ac:dyDescent="0.2">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row>
    <row r="787" spans="7:40" x14ac:dyDescent="0.2">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row>
    <row r="788" spans="7:40" x14ac:dyDescent="0.2">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row>
    <row r="789" spans="7:40" x14ac:dyDescent="0.2">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row>
    <row r="790" spans="7:40" x14ac:dyDescent="0.2">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row>
    <row r="791" spans="7:40" x14ac:dyDescent="0.2">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row>
    <row r="792" spans="7:40" x14ac:dyDescent="0.2">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row>
    <row r="793" spans="7:40" x14ac:dyDescent="0.2">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row>
    <row r="794" spans="7:40" x14ac:dyDescent="0.2">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row>
    <row r="795" spans="7:40" x14ac:dyDescent="0.2">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row>
    <row r="796" spans="7:40" x14ac:dyDescent="0.2">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row>
    <row r="797" spans="7:40" x14ac:dyDescent="0.2">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row>
    <row r="798" spans="7:40" x14ac:dyDescent="0.2">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row>
    <row r="799" spans="7:40" x14ac:dyDescent="0.2">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row>
    <row r="800" spans="7:40" x14ac:dyDescent="0.2">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row>
    <row r="801" spans="7:40" x14ac:dyDescent="0.2">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row>
    <row r="802" spans="7:40" x14ac:dyDescent="0.2">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row>
    <row r="803" spans="7:40" x14ac:dyDescent="0.2">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row>
    <row r="804" spans="7:40" x14ac:dyDescent="0.2">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row>
    <row r="805" spans="7:40" x14ac:dyDescent="0.2">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row>
    <row r="806" spans="7:40" x14ac:dyDescent="0.2">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row>
    <row r="807" spans="7:40" x14ac:dyDescent="0.2">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row>
    <row r="808" spans="7:40" x14ac:dyDescent="0.2">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row>
    <row r="809" spans="7:40" x14ac:dyDescent="0.2">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row>
    <row r="810" spans="7:40" x14ac:dyDescent="0.2">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row>
    <row r="811" spans="7:40" x14ac:dyDescent="0.2">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row>
    <row r="812" spans="7:40" x14ac:dyDescent="0.2">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row>
    <row r="813" spans="7:40" x14ac:dyDescent="0.2">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row>
    <row r="814" spans="7:40" x14ac:dyDescent="0.2">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row>
    <row r="815" spans="7:40" x14ac:dyDescent="0.2">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row>
    <row r="816" spans="7:40" x14ac:dyDescent="0.2">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row>
    <row r="817" spans="7:40" x14ac:dyDescent="0.2">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row>
    <row r="818" spans="7:40" x14ac:dyDescent="0.2">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row>
    <row r="819" spans="7:40" x14ac:dyDescent="0.2">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row>
    <row r="820" spans="7:40" x14ac:dyDescent="0.2">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row>
    <row r="821" spans="7:40" x14ac:dyDescent="0.2">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row>
    <row r="822" spans="7:40" x14ac:dyDescent="0.2">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row>
  </sheetData>
  <mergeCells count="11">
    <mergeCell ref="I12:I14"/>
    <mergeCell ref="I10:L10"/>
    <mergeCell ref="I11:L11"/>
    <mergeCell ref="A12:A14"/>
    <mergeCell ref="E12:E14"/>
    <mergeCell ref="E1:F1"/>
    <mergeCell ref="D8:E8"/>
    <mergeCell ref="A10:C10"/>
    <mergeCell ref="A11:C11"/>
    <mergeCell ref="E11:G11"/>
    <mergeCell ref="E10:G10"/>
  </mergeCells>
  <phoneticPr fontId="2" type="noConversion"/>
  <printOptions gridLines="1"/>
  <pageMargins left="0.75" right="0.75" top="1" bottom="1" header="0.5" footer="0.5"/>
  <pageSetup paperSize="9" scale="61" fitToHeight="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M1472"/>
  <sheetViews>
    <sheetView topLeftCell="D7" workbookViewId="0">
      <selection activeCell="B17" sqref="B17"/>
    </sheetView>
  </sheetViews>
  <sheetFormatPr defaultRowHeight="12.75" x14ac:dyDescent="0.2"/>
  <cols>
    <col min="1" max="1" width="23.85546875" customWidth="1"/>
    <col min="2" max="2" width="31" bestFit="1" customWidth="1"/>
    <col min="3" max="3" width="6.85546875" customWidth="1"/>
    <col min="4" max="4" width="10.42578125" customWidth="1"/>
    <col min="5" max="5" width="33" customWidth="1"/>
    <col min="6" max="6" width="16.42578125" customWidth="1"/>
    <col min="7" max="7" width="10.140625" customWidth="1"/>
    <col min="8" max="8" width="44.42578125" customWidth="1"/>
    <col min="9" max="9" width="9.7109375" customWidth="1"/>
    <col min="10" max="10" width="9.5703125" customWidth="1"/>
    <col min="11" max="11" width="10.7109375" customWidth="1"/>
    <col min="12" max="12" width="9.7109375" customWidth="1"/>
    <col min="14" max="14" width="13.140625" customWidth="1"/>
    <col min="15" max="16" width="11" customWidth="1"/>
    <col min="17" max="17" width="9.5703125" customWidth="1"/>
    <col min="18" max="18" width="11.28515625" customWidth="1"/>
    <col min="19" max="19" width="11.5703125" customWidth="1"/>
    <col min="20" max="20" width="11.42578125" customWidth="1"/>
    <col min="21" max="21" width="11" customWidth="1"/>
    <col min="22" max="22" width="10.7109375" customWidth="1"/>
    <col min="23" max="23" width="12" customWidth="1"/>
    <col min="24" max="24" width="11" customWidth="1"/>
    <col min="25" max="25" width="12.140625" customWidth="1"/>
    <col min="26" max="26" width="11" customWidth="1"/>
    <col min="27" max="27" width="11.28515625" customWidth="1"/>
    <col min="28" max="28" width="11" customWidth="1"/>
    <col min="29" max="29" width="10.7109375" customWidth="1"/>
    <col min="30" max="33" width="11.42578125" customWidth="1"/>
  </cols>
  <sheetData>
    <row r="1" spans="1:54" ht="25.5" x14ac:dyDescent="0.35">
      <c r="A1" s="5" t="s">
        <v>302</v>
      </c>
      <c r="F1" s="516"/>
      <c r="G1" s="516"/>
    </row>
    <row r="2" spans="1:54" x14ac:dyDescent="0.2">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25"/>
      <c r="AZ2" s="25"/>
      <c r="BA2" s="25"/>
      <c r="BB2" s="25"/>
    </row>
    <row r="3" spans="1:54" x14ac:dyDescent="0.2">
      <c r="A3" s="17" t="s">
        <v>965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25"/>
      <c r="AZ3" s="25"/>
      <c r="BA3" s="25"/>
      <c r="BB3" s="25"/>
    </row>
    <row r="4" spans="1:54"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25"/>
      <c r="AZ4" s="25"/>
      <c r="BA4" s="25"/>
      <c r="BB4" s="25"/>
    </row>
    <row r="5" spans="1:54" x14ac:dyDescent="0.2">
      <c r="A5" s="493" t="s">
        <v>1819</v>
      </c>
      <c r="B5" s="493"/>
      <c r="C5" s="493"/>
      <c r="D5" s="493"/>
      <c r="E5" s="493"/>
      <c r="F5" s="493"/>
      <c r="G5" s="493"/>
      <c r="H5" s="493"/>
      <c r="I5" s="493"/>
      <c r="J5" s="493"/>
      <c r="K5" s="493"/>
      <c r="L5" s="493"/>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25"/>
      <c r="AZ5" s="25"/>
      <c r="BA5" s="25"/>
      <c r="BB5" s="25"/>
    </row>
    <row r="6" spans="1:54"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25"/>
      <c r="AZ6" s="25"/>
      <c r="BA6" s="25"/>
      <c r="BB6" s="25"/>
    </row>
    <row r="7" spans="1:54" x14ac:dyDescent="0.2">
      <c r="A7" s="17" t="s">
        <v>270</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25"/>
      <c r="AZ7" s="25"/>
      <c r="BA7" s="25"/>
      <c r="BB7" s="25"/>
    </row>
    <row r="8" spans="1:54" x14ac:dyDescent="0.2">
      <c r="A8" s="7"/>
      <c r="B8" s="7"/>
      <c r="C8" s="7"/>
      <c r="D8" s="7"/>
      <c r="E8" s="7"/>
      <c r="F8" s="7"/>
      <c r="G8" s="7"/>
      <c r="H8" s="43"/>
      <c r="I8" s="443"/>
      <c r="J8" s="7"/>
      <c r="K8" s="7"/>
      <c r="L8" s="7"/>
      <c r="M8" s="7"/>
      <c r="N8" s="7"/>
      <c r="O8" s="436"/>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25"/>
      <c r="AZ8" s="25"/>
      <c r="BA8" s="25"/>
      <c r="BB8" s="25"/>
    </row>
    <row r="9" spans="1:54" x14ac:dyDescent="0.2">
      <c r="A9" s="50" t="s">
        <v>324</v>
      </c>
      <c r="B9" s="7"/>
      <c r="C9" s="7"/>
      <c r="D9" s="7"/>
      <c r="E9" s="7"/>
      <c r="F9" s="7"/>
      <c r="G9" s="7"/>
      <c r="H9" s="7"/>
      <c r="I9" s="7"/>
      <c r="J9" s="7"/>
      <c r="K9" s="7"/>
      <c r="L9" s="435" t="s">
        <v>853</v>
      </c>
      <c r="M9" s="435" t="s">
        <v>357</v>
      </c>
      <c r="N9" s="434" t="s">
        <v>358</v>
      </c>
      <c r="O9" s="433" t="s">
        <v>359</v>
      </c>
      <c r="P9" s="432" t="s">
        <v>360</v>
      </c>
      <c r="Q9" s="432" t="s">
        <v>361</v>
      </c>
      <c r="R9" s="417" t="s">
        <v>1573</v>
      </c>
      <c r="S9" s="445"/>
      <c r="T9" s="445"/>
      <c r="U9" s="445"/>
      <c r="V9" s="445"/>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25"/>
      <c r="AZ9" s="25"/>
      <c r="BA9" s="25"/>
      <c r="BB9" s="25"/>
    </row>
    <row r="10" spans="1:54" ht="37.5" customHeight="1" thickBot="1" x14ac:dyDescent="0.25">
      <c r="A10" s="20" t="s">
        <v>303</v>
      </c>
      <c r="B10" s="21" t="s">
        <v>965</v>
      </c>
      <c r="C10" s="21" t="s">
        <v>952</v>
      </c>
      <c r="D10" s="22" t="s">
        <v>953</v>
      </c>
      <c r="E10" s="7"/>
      <c r="F10" s="7"/>
      <c r="G10" s="7"/>
      <c r="H10" s="7"/>
      <c r="I10" s="7"/>
      <c r="J10" s="7"/>
      <c r="K10" s="363" t="s">
        <v>102</v>
      </c>
      <c r="L10" s="431">
        <v>0.65</v>
      </c>
      <c r="M10" s="431">
        <v>0.65</v>
      </c>
      <c r="N10" s="431">
        <v>0.65</v>
      </c>
      <c r="O10" s="430">
        <v>0.65</v>
      </c>
      <c r="P10" s="431">
        <v>0.65</v>
      </c>
      <c r="Q10" s="431">
        <v>0.65</v>
      </c>
      <c r="R10" s="420">
        <v>0.65</v>
      </c>
      <c r="S10" s="446"/>
      <c r="T10" s="446"/>
      <c r="U10" s="446"/>
      <c r="V10" s="446"/>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25"/>
      <c r="AZ10" s="25"/>
      <c r="BA10" s="25"/>
      <c r="BB10" s="25"/>
    </row>
    <row r="11" spans="1:54" ht="13.5" thickBot="1" x14ac:dyDescent="0.25">
      <c r="A11" s="273">
        <v>1</v>
      </c>
      <c r="B11" s="23" t="s">
        <v>846</v>
      </c>
      <c r="C11" s="23" t="s">
        <v>954</v>
      </c>
      <c r="D11" s="185" t="s">
        <v>954</v>
      </c>
      <c r="E11" s="43"/>
      <c r="K11" s="263" t="s">
        <v>140</v>
      </c>
      <c r="L11" s="429">
        <v>4.3499999999999997E-2</v>
      </c>
      <c r="M11" s="429">
        <v>2.4750000000000001E-2</v>
      </c>
      <c r="N11" s="429">
        <v>2.4750000000000001E-2</v>
      </c>
      <c r="O11" s="429">
        <v>2.8500000000000001E-2</v>
      </c>
      <c r="P11" s="428">
        <v>3.39E-2</v>
      </c>
      <c r="Q11" s="428">
        <v>1.7600000000000001E-2</v>
      </c>
      <c r="R11" s="448">
        <v>2.9100000000000001E-2</v>
      </c>
      <c r="S11" s="447"/>
      <c r="T11" s="447"/>
      <c r="U11" s="447"/>
      <c r="V11" s="44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25"/>
      <c r="AZ11" s="25"/>
      <c r="BA11" s="25"/>
      <c r="BB11" s="25"/>
    </row>
    <row r="12" spans="1:54" ht="23.25" thickBot="1" x14ac:dyDescent="0.25">
      <c r="A12" s="273">
        <v>2</v>
      </c>
      <c r="B12" s="23" t="s">
        <v>847</v>
      </c>
      <c r="C12" s="23" t="s">
        <v>955</v>
      </c>
      <c r="D12" s="185" t="s">
        <v>954</v>
      </c>
      <c r="E12" s="7"/>
      <c r="K12" s="354" t="s">
        <v>1055</v>
      </c>
      <c r="L12" s="427">
        <f>'[6]Public Lighting Charges'!L12</f>
        <v>0</v>
      </c>
      <c r="M12" s="427">
        <f>M11</f>
        <v>2.4750000000000001E-2</v>
      </c>
      <c r="N12" s="427">
        <f>M12+N11+N11*M12</f>
        <v>5.0112562499999999E-2</v>
      </c>
      <c r="O12" s="426">
        <f>N12+O11+O11*N12</f>
        <v>8.004077053125E-2</v>
      </c>
      <c r="P12" s="425">
        <f>O12+P11+P11*O12</f>
        <v>0.11665415265225937</v>
      </c>
      <c r="Q12" s="425">
        <v>0.13630726573893914</v>
      </c>
      <c r="R12" s="418">
        <v>0.16937380717194228</v>
      </c>
      <c r="S12" s="447"/>
      <c r="T12" s="447"/>
      <c r="U12" s="447"/>
      <c r="V12" s="44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25"/>
      <c r="AZ12" s="25"/>
      <c r="BA12" s="25"/>
      <c r="BB12" s="25"/>
    </row>
    <row r="13" spans="1:54" ht="23.25" thickBot="1" x14ac:dyDescent="0.25">
      <c r="A13" s="274"/>
      <c r="B13" s="275"/>
      <c r="C13" s="275"/>
      <c r="D13" s="275"/>
      <c r="E13" s="7"/>
      <c r="F13" s="7"/>
      <c r="G13" s="7"/>
      <c r="H13" s="7"/>
      <c r="I13" s="7"/>
      <c r="K13" s="354" t="s">
        <v>898</v>
      </c>
      <c r="L13" s="427">
        <f>'[6]Public Lighting Charges'!L13</f>
        <v>0</v>
      </c>
      <c r="M13" s="427">
        <v>2.5399999999999999E-2</v>
      </c>
      <c r="N13" s="424">
        <v>3.5999999999999997E-2</v>
      </c>
      <c r="O13" s="424">
        <v>2.4E-2</v>
      </c>
      <c r="P13" s="424">
        <v>1.7000000000000001E-2</v>
      </c>
      <c r="Q13" s="424">
        <v>6.0000000000000001E-3</v>
      </c>
      <c r="R13" s="448">
        <v>0</v>
      </c>
      <c r="S13" s="447"/>
      <c r="T13" s="447"/>
      <c r="U13" s="447"/>
      <c r="V13" s="44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25"/>
      <c r="AZ13" s="25"/>
      <c r="BA13" s="25"/>
      <c r="BB13" s="25"/>
    </row>
    <row r="14" spans="1:54" ht="33.75" x14ac:dyDescent="0.2">
      <c r="A14" s="276"/>
      <c r="B14" s="23"/>
      <c r="C14" s="23"/>
      <c r="D14" s="23"/>
      <c r="E14" s="7"/>
      <c r="F14" s="7"/>
      <c r="G14" s="7"/>
      <c r="H14" s="7"/>
      <c r="I14" s="7"/>
      <c r="J14" s="7"/>
      <c r="K14" s="264" t="s">
        <v>1056</v>
      </c>
      <c r="L14" s="423">
        <f>'[6]Public Lighting Charges'!L14</f>
        <v>0</v>
      </c>
      <c r="M14" s="423">
        <f>M13</f>
        <v>2.5399999999999999E-2</v>
      </c>
      <c r="N14" s="423">
        <f>M14+N13+N13*M14</f>
        <v>6.2314399999999999E-2</v>
      </c>
      <c r="O14" s="422">
        <v>8.7800000000000003E-2</v>
      </c>
      <c r="P14" s="422">
        <f>O14+P13+P13*O14</f>
        <v>0.1062926</v>
      </c>
      <c r="Q14" s="422">
        <v>0.1129303556</v>
      </c>
      <c r="R14" s="419">
        <v>0.11421260540420049</v>
      </c>
      <c r="S14" s="447"/>
      <c r="T14" s="447"/>
      <c r="U14" s="447"/>
      <c r="V14" s="44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25"/>
      <c r="AZ14" s="25"/>
      <c r="BA14" s="25"/>
      <c r="BB14" s="25"/>
    </row>
    <row r="15" spans="1:54" ht="48.4" customHeight="1" x14ac:dyDescent="0.2">
      <c r="A15" s="276"/>
      <c r="B15" s="23"/>
      <c r="C15" s="23"/>
      <c r="D15" s="23"/>
      <c r="E15" s="7"/>
      <c r="F15" s="43"/>
      <c r="G15" s="7"/>
      <c r="H15" s="7"/>
      <c r="I15" s="7"/>
      <c r="J15" s="7"/>
      <c r="K15" s="264" t="s">
        <v>940</v>
      </c>
      <c r="L15" s="423">
        <f>L11+L13</f>
        <v>4.3499999999999997E-2</v>
      </c>
      <c r="M15" s="423">
        <f>M11+M13</f>
        <v>5.015E-2</v>
      </c>
      <c r="N15" s="423">
        <f>N11+N13</f>
        <v>6.0749999999999998E-2</v>
      </c>
      <c r="O15" s="423">
        <f>O11+O13</f>
        <v>5.2500000000000005E-2</v>
      </c>
      <c r="P15" s="423">
        <f>P11+P13</f>
        <v>5.0900000000000001E-2</v>
      </c>
      <c r="Q15" s="423">
        <v>2.3600000000000003E-2</v>
      </c>
      <c r="R15" s="421">
        <v>1.0933889962913246E-2</v>
      </c>
      <c r="S15" s="447"/>
      <c r="T15" s="447"/>
      <c r="U15" s="447"/>
      <c r="V15" s="44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25"/>
      <c r="AZ15" s="25"/>
      <c r="BA15" s="25"/>
      <c r="BB15" s="25"/>
    </row>
    <row r="16" spans="1:54" ht="13.5" thickBot="1" x14ac:dyDescent="0.25">
      <c r="A16" s="147" t="s">
        <v>862</v>
      </c>
      <c r="B16" s="147" t="s">
        <v>863</v>
      </c>
      <c r="C16" s="147" t="s">
        <v>864</v>
      </c>
      <c r="D16" s="147" t="s">
        <v>865</v>
      </c>
      <c r="E16" s="147" t="s">
        <v>866</v>
      </c>
      <c r="F16" s="147" t="s">
        <v>867</v>
      </c>
      <c r="G16" s="147" t="s">
        <v>868</v>
      </c>
      <c r="H16" s="147" t="s">
        <v>869</v>
      </c>
      <c r="I16" s="147" t="s">
        <v>870</v>
      </c>
      <c r="J16" s="147" t="s">
        <v>871</v>
      </c>
      <c r="K16" s="147" t="s">
        <v>872</v>
      </c>
      <c r="L16" s="147" t="s">
        <v>873</v>
      </c>
      <c r="M16" s="147" t="s">
        <v>874</v>
      </c>
      <c r="N16" s="147" t="s">
        <v>1051</v>
      </c>
      <c r="O16" s="147" t="s">
        <v>1052</v>
      </c>
      <c r="P16" s="147" t="s">
        <v>1053</v>
      </c>
      <c r="Q16" s="147" t="s">
        <v>1054</v>
      </c>
      <c r="R16" s="147" t="s">
        <v>654</v>
      </c>
      <c r="S16" s="147" t="s">
        <v>655</v>
      </c>
      <c r="T16" s="147" t="s">
        <v>656</v>
      </c>
      <c r="U16" s="147" t="s">
        <v>657</v>
      </c>
      <c r="V16" s="147" t="s">
        <v>658</v>
      </c>
      <c r="W16" s="147" t="s">
        <v>659</v>
      </c>
      <c r="X16" s="147" t="s">
        <v>1198</v>
      </c>
      <c r="Y16" s="147" t="s">
        <v>1199</v>
      </c>
      <c r="Z16" s="147" t="s">
        <v>1200</v>
      </c>
      <c r="AA16" s="147" t="s">
        <v>1201</v>
      </c>
      <c r="AB16" s="147" t="s">
        <v>1202</v>
      </c>
      <c r="AC16" s="147"/>
      <c r="AD16" s="147"/>
      <c r="AE16" s="7"/>
      <c r="AF16" s="7"/>
      <c r="AG16" s="7"/>
      <c r="AH16" s="7"/>
      <c r="AI16" s="7"/>
      <c r="AJ16" s="7"/>
      <c r="AK16" s="7"/>
      <c r="AL16" s="7"/>
      <c r="AM16" s="7"/>
      <c r="AN16" s="7"/>
      <c r="AO16" s="7"/>
      <c r="AP16" s="7"/>
      <c r="AQ16" s="7"/>
      <c r="AR16" s="7"/>
      <c r="AS16" s="7"/>
      <c r="AT16" s="7"/>
      <c r="AU16" s="7"/>
      <c r="AV16" s="7"/>
      <c r="AW16" s="7"/>
      <c r="AX16" s="7"/>
      <c r="AY16" s="25"/>
      <c r="AZ16" s="25"/>
      <c r="BA16" s="25"/>
      <c r="BB16" s="25"/>
    </row>
    <row r="17" spans="1:65" ht="46.5" thickTop="1" thickBot="1" x14ac:dyDescent="0.25">
      <c r="A17" s="125" t="s">
        <v>303</v>
      </c>
      <c r="B17" s="126" t="s">
        <v>965</v>
      </c>
      <c r="C17" s="126" t="s">
        <v>2056</v>
      </c>
      <c r="D17" s="126" t="s">
        <v>303</v>
      </c>
      <c r="E17" s="126" t="s">
        <v>304</v>
      </c>
      <c r="F17" s="126" t="s">
        <v>305</v>
      </c>
      <c r="G17" s="126" t="s">
        <v>306</v>
      </c>
      <c r="H17" s="126" t="s">
        <v>307</v>
      </c>
      <c r="I17" s="126" t="s">
        <v>329</v>
      </c>
      <c r="J17" s="126" t="s">
        <v>832</v>
      </c>
      <c r="K17" s="126" t="s">
        <v>1344</v>
      </c>
      <c r="L17" s="126" t="s">
        <v>949</v>
      </c>
      <c r="M17" s="265" t="s">
        <v>1050</v>
      </c>
      <c r="N17" s="353" t="s">
        <v>2</v>
      </c>
      <c r="O17" s="353" t="s">
        <v>3</v>
      </c>
      <c r="P17" s="353" t="s">
        <v>1345</v>
      </c>
      <c r="Q17" s="353" t="s">
        <v>1046</v>
      </c>
      <c r="R17" s="353" t="s">
        <v>4</v>
      </c>
      <c r="S17" s="353" t="s">
        <v>8</v>
      </c>
      <c r="T17" s="353" t="s">
        <v>1047</v>
      </c>
      <c r="U17" s="407" t="s">
        <v>5</v>
      </c>
      <c r="V17" s="353" t="s">
        <v>2143</v>
      </c>
      <c r="W17" s="353" t="s">
        <v>1048</v>
      </c>
      <c r="X17" s="407" t="s">
        <v>6</v>
      </c>
      <c r="Y17" s="408" t="s">
        <v>0</v>
      </c>
      <c r="Z17" s="353" t="s">
        <v>1049</v>
      </c>
      <c r="AA17" s="407" t="s">
        <v>7</v>
      </c>
      <c r="AB17" s="444" t="s">
        <v>1</v>
      </c>
      <c r="AC17" s="408" t="s">
        <v>2148</v>
      </c>
      <c r="AD17" s="449"/>
      <c r="AE17" s="450"/>
      <c r="AF17" s="450"/>
      <c r="AG17" s="450"/>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25"/>
      <c r="BK17" s="25"/>
      <c r="BL17" s="25"/>
      <c r="BM17" s="25"/>
    </row>
    <row r="18" spans="1:65" ht="13.5" thickTop="1" x14ac:dyDescent="0.2">
      <c r="A18" s="159" t="s">
        <v>1294</v>
      </c>
      <c r="B18" s="18" t="str">
        <f>VLOOKUP(LEFT(A18,7),'Tariff Schedule Lookup Table'!$A$8:$G$186,2,FALSE)</f>
        <v>Fluorescent 9</v>
      </c>
      <c r="C18" s="160">
        <f t="shared" ref="C18:C61" si="0">1*MID(A18,12,4)</f>
        <v>10</v>
      </c>
      <c r="D18" s="18">
        <f t="shared" ref="D18:D61" si="1">1*(MID(A18,17,3))</f>
        <v>2</v>
      </c>
      <c r="E18" s="18" t="str">
        <f>VLOOKUP(C18,'Tariff Schedule Lookup Table'!I$7:L$286,2,FALSE)</f>
        <v>MERCURY VAPOUR 80W</v>
      </c>
      <c r="F18" s="18" t="str">
        <f>IF(E18 = "BULKHEADS ETC", "SHARED OR NO POLE", VLOOKUP(C18,'Tariff Schedule Lookup Table'!I$7:L$286,3,FALSE))</f>
        <v>SHARED OR NO POLE</v>
      </c>
      <c r="G18" s="18">
        <f>IF(E18 = "NO CAPITAL", 1, VLOOKUP(C18,'Tariff Schedule Lookup Table'!I$7:L$286,4,FALSE))</f>
        <v>1</v>
      </c>
      <c r="H18" s="18" t="str">
        <f t="shared" ref="H18:H81" si="2">VLOOKUP(D18,A$11:B$15, 2, FALSE)</f>
        <v>2-Unmetered, Funded by Others, CE Maintained</v>
      </c>
      <c r="I18" s="123">
        <f>VLOOKUP(F18,'Maintenance Model'!$A$57:$B$61,2,FALSE)</f>
        <v>0</v>
      </c>
      <c r="J18" s="123">
        <f>IF(D18=1,VLOOKUP(C18,'Capital Code Schedules'!A$15:F$300,2,FALSE),IF(D18=2,VLOOKUP(C18,'Capital Code Schedules'!A$15:F$300,3,FALSE),0))</f>
        <v>0</v>
      </c>
      <c r="K18" s="374">
        <v>0</v>
      </c>
      <c r="L18" s="123">
        <f>VLOOKUP(LEFT(A18,10),'Streetlight Tariff Schedule'!B$11:G$260,6, FALSE)+I18</f>
        <v>95.55017590726581</v>
      </c>
      <c r="M18" s="161">
        <f>IF(VLOOKUP(D18,A$11:D$15,3,FALSE)="Y",IF(VLOOKUP(D18,A$11:D$15,4,FALSE)="Y",K18+L18,K18),IF(VLOOKUP(D18,A$11:D$15,4,FALSE)="Y",L18,0))</f>
        <v>95.55017590726581</v>
      </c>
      <c r="N18" s="405">
        <f>($J18+$L18+$L18*$M$10*$M$14)*(1+$M$12)</f>
        <v>99.531620116954272</v>
      </c>
      <c r="O18" s="405">
        <v>57.420800471091646</v>
      </c>
      <c r="P18" s="406">
        <v>57.420800471091646</v>
      </c>
      <c r="Q18" s="406">
        <v>60.230909118130882</v>
      </c>
      <c r="R18" s="406">
        <v>60.230909118130882</v>
      </c>
      <c r="S18" s="405">
        <f>($J18+$L18+$L18*$N$10*$N$14)*(1+$N$12)</f>
        <v>104.4025843677102</v>
      </c>
      <c r="T18" s="406">
        <v>62.704663933695528</v>
      </c>
      <c r="U18" s="406">
        <v>62.933742328475617</v>
      </c>
      <c r="V18" s="405">
        <f>($J18+$L18+$L18*$O$10*$O$14)*(1+$O$12)</f>
        <v>109.08760035711559</v>
      </c>
      <c r="W18" s="406">
        <v>64.987283442545618</v>
      </c>
      <c r="X18" s="406">
        <v>65.80709048708313</v>
      </c>
      <c r="Y18" s="405">
        <f>($J18+$L18+$L18*$P$10*$P$14)*(1+$P$12)</f>
        <v>114.06818222013322</v>
      </c>
      <c r="Z18" s="406">
        <v>66.864480717568398</v>
      </c>
      <c r="AA18" s="406">
        <v>67.95574008225428</v>
      </c>
      <c r="AB18" s="442">
        <f>($J18+$L18+$L18*$Q$10*$Q$14)*(1+$Q$12)</f>
        <v>116.54423076640612</v>
      </c>
      <c r="AC18" s="439">
        <f>($J18+$L18+$L18*$R$10*$R$14)*(1+$R$12)</f>
        <v>120.02879386059398</v>
      </c>
      <c r="AD18" s="410"/>
      <c r="AE18" s="411"/>
      <c r="AF18" s="411"/>
      <c r="AG18" s="411"/>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25"/>
      <c r="BK18" s="25"/>
      <c r="BL18" s="25"/>
      <c r="BM18" s="25"/>
    </row>
    <row r="19" spans="1:65" x14ac:dyDescent="0.2">
      <c r="A19" s="159" t="s">
        <v>1295</v>
      </c>
      <c r="B19" s="18" t="str">
        <f>VLOOKUP(LEFT(A19,7),'Tariff Schedule Lookup Table'!$A$8:$G$186,2,FALSE)</f>
        <v>Fluorescent 9</v>
      </c>
      <c r="C19" s="160">
        <f t="shared" si="0"/>
        <v>110</v>
      </c>
      <c r="D19" s="18">
        <f t="shared" si="1"/>
        <v>1</v>
      </c>
      <c r="E19" s="18" t="str">
        <f>VLOOKUP(C19,'Tariff Schedule Lookup Table'!I$7:L$286,2,FALSE)</f>
        <v>BULKHEADS ETC</v>
      </c>
      <c r="F19" s="18" t="str">
        <f>IF(E19 = "BULKHEADS ETC", "SHARED OR NO POLE", VLOOKUP(C19,'Tariff Schedule Lookup Table'!I$7:L$286,3,FALSE))</f>
        <v>SHARED OR NO POLE</v>
      </c>
      <c r="G19" s="18">
        <f>IF(E19 = "NO CAPITAL", 1, VLOOKUP(C19,'Tariff Schedule Lookup Table'!I$7:L$286,4,FALSE))</f>
        <v>1</v>
      </c>
      <c r="H19" s="18" t="str">
        <f t="shared" si="2"/>
        <v>1-Unmetered, CE Funded, CE Maintained</v>
      </c>
      <c r="I19" s="123">
        <f>VLOOKUP(F19,'Maintenance Model'!$A$57:$B$61,2,FALSE)</f>
        <v>0</v>
      </c>
      <c r="J19" s="123">
        <f>IF(D19=1,VLOOKUP(C19,'Capital Code Schedules'!A$15:F$300,2,FALSE),IF(D19=2,VLOOKUP(C19,'Capital Code Schedules'!A$15:F$300,3,FALSE),0))</f>
        <v>8.1913367400317085</v>
      </c>
      <c r="K19" s="123">
        <v>10.390471279118792</v>
      </c>
      <c r="L19" s="123">
        <f>VLOOKUP(LEFT(A19,10),'Streetlight Tariff Schedule'!B$11:G$260,6, FALSE)+I19</f>
        <v>95.55017590726581</v>
      </c>
      <c r="M19" s="161">
        <f t="shared" ref="M19:M82" si="3">IF(VLOOKUP(D19,A$11:D$15,3,FALSE)="Y",IF(VLOOKUP(D19,A$11:D$15,4,FALSE)="Y",K19+L19,K19),IF(VLOOKUP(D19,A$11:D$15,4,FALSE)="Y",L19,0))</f>
        <v>105.94064718638461</v>
      </c>
      <c r="N19" s="405">
        <f t="shared" ref="N19:N82" si="4">($J19+$L19+$L19*$M$10*$M$14)*(1+$M$12)</f>
        <v>107.92569244130178</v>
      </c>
      <c r="O19" s="405">
        <v>68.539814119759484</v>
      </c>
      <c r="P19" s="406">
        <v>68.068435914368635</v>
      </c>
      <c r="Q19" s="406">
        <v>71.142073538628978</v>
      </c>
      <c r="R19" s="406">
        <v>71.625118354603259</v>
      </c>
      <c r="S19" s="405">
        <f t="shared" ref="S19:S82" si="5">($J19+$L19+$L19*$N$10*$N$14)*(1+$N$12)</f>
        <v>113.00440998208531</v>
      </c>
      <c r="T19" s="406">
        <v>73.88587967360094</v>
      </c>
      <c r="U19" s="406">
        <v>74.652686528187445</v>
      </c>
      <c r="V19" s="405">
        <f t="shared" ref="V19:V82" si="6">($J19+$L19+$L19*$O$10*$O$14)*(1+$O$12)</f>
        <v>117.93457800150038</v>
      </c>
      <c r="W19" s="406">
        <v>76.445234272013678</v>
      </c>
      <c r="X19" s="406">
        <v>77.923306895165197</v>
      </c>
      <c r="Y19" s="405">
        <f t="shared" ref="Y19:Y82" si="7">($J19+$L19+$L19*$P$10*$P$14)*(1+$P$12)</f>
        <v>123.21507240666267</v>
      </c>
      <c r="Z19" s="406">
        <v>78.6060158300658</v>
      </c>
      <c r="AA19" s="406">
        <v>80.417268657966673</v>
      </c>
      <c r="AB19" s="442">
        <f t="shared" ref="AB19:AB82" si="8">($J19+$L19+$L19*$Q$10*$Q$14)*(1+$Q$12)</f>
        <v>125.85210622021846</v>
      </c>
      <c r="AC19" s="438">
        <f t="shared" ref="AC19:AC82" si="9">($J19+$L19+$L19*$R$10*$R$14)*(1+$R$12)</f>
        <v>129.60752849011226</v>
      </c>
      <c r="AD19" s="410"/>
      <c r="AE19" s="411"/>
      <c r="AF19" s="411"/>
      <c r="AG19" s="411"/>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25"/>
      <c r="BK19" s="25"/>
      <c r="BL19" s="25"/>
      <c r="BM19" s="25"/>
    </row>
    <row r="20" spans="1:65" x14ac:dyDescent="0.2">
      <c r="A20" s="159" t="s">
        <v>1296</v>
      </c>
      <c r="B20" s="18" t="str">
        <f>VLOOKUP(LEFT(A20,7),'Tariff Schedule Lookup Table'!$A$8:$G$186,2,FALSE)</f>
        <v>Fluorescent 11</v>
      </c>
      <c r="C20" s="160">
        <f t="shared" si="0"/>
        <v>10</v>
      </c>
      <c r="D20" s="18">
        <f t="shared" si="1"/>
        <v>1</v>
      </c>
      <c r="E20" s="18" t="str">
        <f>VLOOKUP(C20,'Tariff Schedule Lookup Table'!I$7:L$286,2,FALSE)</f>
        <v>MERCURY VAPOUR 80W</v>
      </c>
      <c r="F20" s="18" t="str">
        <f>IF(E20 = "BULKHEADS ETC", "SHARED OR NO POLE", VLOOKUP(C20,'Tariff Schedule Lookup Table'!I$7:L$286,3,FALSE))</f>
        <v>SHARED OR NO POLE</v>
      </c>
      <c r="G20" s="18">
        <f>IF(E20 = "NO CAPITAL", 1, VLOOKUP(C20,'Tariff Schedule Lookup Table'!I$7:L$286,4,FALSE))</f>
        <v>1</v>
      </c>
      <c r="H20" s="18" t="str">
        <f t="shared" si="2"/>
        <v>1-Unmetered, CE Funded, CE Maintained</v>
      </c>
      <c r="I20" s="123">
        <f>VLOOKUP(F20,'Maintenance Model'!$A$57:$B$61,2,FALSE)</f>
        <v>0</v>
      </c>
      <c r="J20" s="123">
        <f>IF(D20=1,VLOOKUP(C20,'Capital Code Schedules'!A$15:F$300,2,FALSE),IF(D20=2,VLOOKUP(C20,'Capital Code Schedules'!A$15:F$300,3,FALSE),0))</f>
        <v>17.255027166785979</v>
      </c>
      <c r="K20" s="123">
        <v>21.887497717034414</v>
      </c>
      <c r="L20" s="123">
        <f>VLOOKUP(LEFT(A20,10),'Streetlight Tariff Schedule'!B$11:G$260,6, FALSE)+I20</f>
        <v>95.55017590726581</v>
      </c>
      <c r="M20" s="161">
        <f t="shared" si="3"/>
        <v>117.43767362430023</v>
      </c>
      <c r="N20" s="405">
        <f t="shared" si="4"/>
        <v>117.2137092061182</v>
      </c>
      <c r="O20" s="405">
        <v>80.8429705838155</v>
      </c>
      <c r="P20" s="406">
        <v>79.850013756622658</v>
      </c>
      <c r="Q20" s="406">
        <v>83.215245432478795</v>
      </c>
      <c r="R20" s="406">
        <v>84.232777941144647</v>
      </c>
      <c r="S20" s="405">
        <f t="shared" si="5"/>
        <v>122.52230516183096</v>
      </c>
      <c r="T20" s="406">
        <v>86.257862571823537</v>
      </c>
      <c r="U20" s="406">
        <v>87.619664412945269</v>
      </c>
      <c r="V20" s="405">
        <f t="shared" si="6"/>
        <v>127.72373319386877</v>
      </c>
      <c r="W20" s="406">
        <v>89.123423746967291</v>
      </c>
      <c r="X20" s="406">
        <v>91.329865330216322</v>
      </c>
      <c r="Y20" s="405">
        <f t="shared" si="7"/>
        <v>133.33607996005233</v>
      </c>
      <c r="Z20" s="406">
        <v>91.59799049452451</v>
      </c>
      <c r="AA20" s="406">
        <v>94.205914008416755</v>
      </c>
      <c r="AB20" s="442">
        <f t="shared" si="8"/>
        <v>136.15124350654781</v>
      </c>
      <c r="AC20" s="438">
        <f t="shared" si="9"/>
        <v>140.20637067147379</v>
      </c>
      <c r="AD20" s="410"/>
      <c r="AE20" s="411"/>
      <c r="AF20" s="411"/>
      <c r="AG20" s="411"/>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25"/>
      <c r="BK20" s="25"/>
      <c r="BL20" s="25"/>
      <c r="BM20" s="25"/>
    </row>
    <row r="21" spans="1:65" x14ac:dyDescent="0.2">
      <c r="A21" s="159" t="s">
        <v>1297</v>
      </c>
      <c r="B21" s="18" t="str">
        <f>VLOOKUP(LEFT(A21,7),'Tariff Schedule Lookup Table'!$A$8:$G$186,2,FALSE)</f>
        <v>Fluorescent 13</v>
      </c>
      <c r="C21" s="160">
        <f t="shared" si="0"/>
        <v>110</v>
      </c>
      <c r="D21" s="18">
        <f t="shared" si="1"/>
        <v>2</v>
      </c>
      <c r="E21" s="18" t="str">
        <f>VLOOKUP(C21,'Tariff Schedule Lookup Table'!I$7:L$286,2,FALSE)</f>
        <v>BULKHEADS ETC</v>
      </c>
      <c r="F21" s="18" t="str">
        <f>IF(E21 = "BULKHEADS ETC", "SHARED OR NO POLE", VLOOKUP(C21,'Tariff Schedule Lookup Table'!I$7:L$286,3,FALSE))</f>
        <v>SHARED OR NO POLE</v>
      </c>
      <c r="G21" s="18">
        <f>IF(E21 = "NO CAPITAL", 1, VLOOKUP(C21,'Tariff Schedule Lookup Table'!I$7:L$286,4,FALSE))</f>
        <v>1</v>
      </c>
      <c r="H21" s="18" t="str">
        <f t="shared" si="2"/>
        <v>2-Unmetered, Funded by Others, CE Maintained</v>
      </c>
      <c r="I21" s="123">
        <f>VLOOKUP(F21,'Maintenance Model'!$A$57:$B$61,2,FALSE)</f>
        <v>0</v>
      </c>
      <c r="J21" s="123">
        <f>IF(D21=1,VLOOKUP(C21,'Capital Code Schedules'!A$15:F$300,2,FALSE),IF(D21=2,VLOOKUP(C21,'Capital Code Schedules'!A$15:F$300,3,FALSE),0))</f>
        <v>0</v>
      </c>
      <c r="K21" s="123">
        <v>0</v>
      </c>
      <c r="L21" s="123">
        <f>VLOOKUP(LEFT(A21,10),'Streetlight Tariff Schedule'!B$11:G$260,6, FALSE)+I21</f>
        <v>95.55017590726581</v>
      </c>
      <c r="M21" s="161">
        <f t="shared" si="3"/>
        <v>95.55017590726581</v>
      </c>
      <c r="N21" s="405">
        <f t="shared" si="4"/>
        <v>99.531620116954272</v>
      </c>
      <c r="O21" s="405">
        <v>57.420800471091646</v>
      </c>
      <c r="P21" s="406">
        <v>57.420800471091646</v>
      </c>
      <c r="Q21" s="406">
        <v>60.230909118130882</v>
      </c>
      <c r="R21" s="406">
        <v>60.230909118130882</v>
      </c>
      <c r="S21" s="405">
        <f t="shared" si="5"/>
        <v>104.4025843677102</v>
      </c>
      <c r="T21" s="406">
        <v>62.704663933695528</v>
      </c>
      <c r="U21" s="406">
        <v>62.933742328475617</v>
      </c>
      <c r="V21" s="405">
        <f t="shared" si="6"/>
        <v>109.08760035711559</v>
      </c>
      <c r="W21" s="406">
        <v>64.987283442545618</v>
      </c>
      <c r="X21" s="406">
        <v>65.80709048708313</v>
      </c>
      <c r="Y21" s="405">
        <f t="shared" si="7"/>
        <v>114.06818222013322</v>
      </c>
      <c r="Z21" s="406">
        <v>66.864480717568398</v>
      </c>
      <c r="AA21" s="406">
        <v>67.95574008225428</v>
      </c>
      <c r="AB21" s="442">
        <f t="shared" si="8"/>
        <v>116.54423076640612</v>
      </c>
      <c r="AC21" s="438">
        <f t="shared" si="9"/>
        <v>120.02879386059398</v>
      </c>
      <c r="AD21" s="410"/>
      <c r="AE21" s="411"/>
      <c r="AF21" s="411"/>
      <c r="AG21" s="411"/>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25"/>
      <c r="BK21" s="25"/>
      <c r="BL21" s="25"/>
      <c r="BM21" s="25"/>
    </row>
    <row r="22" spans="1:65" x14ac:dyDescent="0.2">
      <c r="A22" s="159" t="s">
        <v>1298</v>
      </c>
      <c r="B22" s="18" t="str">
        <f>VLOOKUP(LEFT(A22,7),'Tariff Schedule Lookup Table'!$A$8:$G$186,2,FALSE)</f>
        <v>Fluorescent 15</v>
      </c>
      <c r="C22" s="160">
        <f t="shared" si="0"/>
        <v>10</v>
      </c>
      <c r="D22" s="18">
        <f t="shared" si="1"/>
        <v>2</v>
      </c>
      <c r="E22" s="18" t="str">
        <f>VLOOKUP(C22,'Tariff Schedule Lookup Table'!I$7:L$286,2,FALSE)</f>
        <v>MERCURY VAPOUR 80W</v>
      </c>
      <c r="F22" s="18" t="str">
        <f>IF(E22 = "BULKHEADS ETC", "SHARED OR NO POLE", VLOOKUP(C22,'Tariff Schedule Lookup Table'!I$7:L$286,3,FALSE))</f>
        <v>SHARED OR NO POLE</v>
      </c>
      <c r="G22" s="18">
        <f>IF(E22 = "NO CAPITAL", 1, VLOOKUP(C22,'Tariff Schedule Lookup Table'!I$7:L$286,4,FALSE))</f>
        <v>1</v>
      </c>
      <c r="H22" s="18" t="str">
        <f t="shared" si="2"/>
        <v>2-Unmetered, Funded by Others, CE Maintained</v>
      </c>
      <c r="I22" s="123">
        <f>VLOOKUP(F22,'Maintenance Model'!$A$57:$B$61,2,FALSE)</f>
        <v>0</v>
      </c>
      <c r="J22" s="123">
        <f>IF(D22=1,VLOOKUP(C22,'Capital Code Schedules'!A$15:F$300,2,FALSE),IF(D22=2,VLOOKUP(C22,'Capital Code Schedules'!A$15:F$300,3,FALSE),0))</f>
        <v>0</v>
      </c>
      <c r="K22" s="123">
        <v>0</v>
      </c>
      <c r="L22" s="123">
        <f>VLOOKUP(LEFT(A22,10),'Streetlight Tariff Schedule'!B$11:G$260,6, FALSE)+I22</f>
        <v>95.55017590726581</v>
      </c>
      <c r="M22" s="161">
        <f t="shared" si="3"/>
        <v>95.55017590726581</v>
      </c>
      <c r="N22" s="405">
        <f t="shared" si="4"/>
        <v>99.531620116954272</v>
      </c>
      <c r="O22" s="405">
        <v>57.420800471091646</v>
      </c>
      <c r="P22" s="406">
        <v>57.420800471091646</v>
      </c>
      <c r="Q22" s="406">
        <v>60.230909118130882</v>
      </c>
      <c r="R22" s="406">
        <v>60.230909118130882</v>
      </c>
      <c r="S22" s="405">
        <f t="shared" si="5"/>
        <v>104.4025843677102</v>
      </c>
      <c r="T22" s="406">
        <v>62.704663933695528</v>
      </c>
      <c r="U22" s="406">
        <v>62.933742328475617</v>
      </c>
      <c r="V22" s="405">
        <f t="shared" si="6"/>
        <v>109.08760035711559</v>
      </c>
      <c r="W22" s="406">
        <v>64.987283442545618</v>
      </c>
      <c r="X22" s="406">
        <v>65.80709048708313</v>
      </c>
      <c r="Y22" s="405">
        <f t="shared" si="7"/>
        <v>114.06818222013322</v>
      </c>
      <c r="Z22" s="406">
        <v>66.864480717568398</v>
      </c>
      <c r="AA22" s="406">
        <v>67.95574008225428</v>
      </c>
      <c r="AB22" s="442">
        <f t="shared" si="8"/>
        <v>116.54423076640612</v>
      </c>
      <c r="AC22" s="438">
        <f t="shared" si="9"/>
        <v>120.02879386059398</v>
      </c>
      <c r="AD22" s="410"/>
      <c r="AE22" s="411"/>
      <c r="AF22" s="411"/>
      <c r="AG22" s="411"/>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25"/>
      <c r="BK22" s="25"/>
      <c r="BL22" s="25"/>
      <c r="BM22" s="25"/>
    </row>
    <row r="23" spans="1:65" x14ac:dyDescent="0.2">
      <c r="A23" s="159" t="s">
        <v>1299</v>
      </c>
      <c r="B23" s="18" t="str">
        <f>VLOOKUP(LEFT(A23,7),'Tariff Schedule Lookup Table'!$A$8:$G$186,2,FALSE)</f>
        <v>Fluorescent 20</v>
      </c>
      <c r="C23" s="160">
        <f t="shared" si="0"/>
        <v>10</v>
      </c>
      <c r="D23" s="18">
        <f t="shared" si="1"/>
        <v>1</v>
      </c>
      <c r="E23" s="18" t="str">
        <f>VLOOKUP(C23,'Tariff Schedule Lookup Table'!I$7:L$286,2,FALSE)</f>
        <v>MERCURY VAPOUR 80W</v>
      </c>
      <c r="F23" s="18" t="str">
        <f>IF(E23 = "BULKHEADS ETC", "SHARED OR NO POLE", VLOOKUP(C23,'Tariff Schedule Lookup Table'!I$7:L$286,3,FALSE))</f>
        <v>SHARED OR NO POLE</v>
      </c>
      <c r="G23" s="18">
        <f>IF(E23 = "NO CAPITAL", 1, VLOOKUP(C23,'Tariff Schedule Lookup Table'!I$7:L$286,4,FALSE))</f>
        <v>1</v>
      </c>
      <c r="H23" s="18" t="str">
        <f t="shared" si="2"/>
        <v>1-Unmetered, CE Funded, CE Maintained</v>
      </c>
      <c r="I23" s="123">
        <f>VLOOKUP(F23,'Maintenance Model'!$A$57:$B$61,2,FALSE)</f>
        <v>0</v>
      </c>
      <c r="J23" s="123">
        <f>IF(D23=1,VLOOKUP(C23,'Capital Code Schedules'!A$15:F$300,2,FALSE),IF(D23=2,VLOOKUP(C23,'Capital Code Schedules'!A$15:F$300,3,FALSE),0))</f>
        <v>17.255027166785979</v>
      </c>
      <c r="K23" s="123">
        <v>21.887497717034414</v>
      </c>
      <c r="L23" s="123">
        <f>VLOOKUP(LEFT(A23,10),'Streetlight Tariff Schedule'!B$11:G$260,6, FALSE)+I23</f>
        <v>95.55017590726581</v>
      </c>
      <c r="M23" s="161">
        <f t="shared" si="3"/>
        <v>117.43767362430023</v>
      </c>
      <c r="N23" s="405">
        <f t="shared" si="4"/>
        <v>117.2137092061182</v>
      </c>
      <c r="O23" s="405">
        <v>80.8429705838155</v>
      </c>
      <c r="P23" s="406">
        <v>79.850013756622658</v>
      </c>
      <c r="Q23" s="406">
        <v>83.215245432478795</v>
      </c>
      <c r="R23" s="406">
        <v>84.232777941144647</v>
      </c>
      <c r="S23" s="405">
        <f t="shared" si="5"/>
        <v>122.52230516183096</v>
      </c>
      <c r="T23" s="406">
        <v>86.257862571823537</v>
      </c>
      <c r="U23" s="406">
        <v>87.619664412945269</v>
      </c>
      <c r="V23" s="405">
        <f t="shared" si="6"/>
        <v>127.72373319386877</v>
      </c>
      <c r="W23" s="406">
        <v>89.123423746967291</v>
      </c>
      <c r="X23" s="406">
        <v>91.329865330216322</v>
      </c>
      <c r="Y23" s="405">
        <f t="shared" si="7"/>
        <v>133.33607996005233</v>
      </c>
      <c r="Z23" s="406">
        <v>91.59799049452451</v>
      </c>
      <c r="AA23" s="406">
        <v>94.205914008416755</v>
      </c>
      <c r="AB23" s="442">
        <f t="shared" si="8"/>
        <v>136.15124350654781</v>
      </c>
      <c r="AC23" s="438">
        <f t="shared" si="9"/>
        <v>140.20637067147379</v>
      </c>
      <c r="AD23" s="410"/>
      <c r="AE23" s="411"/>
      <c r="AF23" s="411"/>
      <c r="AG23" s="411"/>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25"/>
      <c r="BK23" s="25"/>
      <c r="BL23" s="25"/>
      <c r="BM23" s="25"/>
    </row>
    <row r="24" spans="1:65" x14ac:dyDescent="0.2">
      <c r="A24" s="159" t="s">
        <v>1300</v>
      </c>
      <c r="B24" s="18" t="str">
        <f>VLOOKUP(LEFT(A24,7),'Tariff Schedule Lookup Table'!$A$8:$G$186,2,FALSE)</f>
        <v>Fluorescent 20</v>
      </c>
      <c r="C24" s="160">
        <f t="shared" si="0"/>
        <v>10</v>
      </c>
      <c r="D24" s="18">
        <f t="shared" si="1"/>
        <v>2</v>
      </c>
      <c r="E24" s="18" t="str">
        <f>VLOOKUP(C24,'Tariff Schedule Lookup Table'!I$7:L$286,2,FALSE)</f>
        <v>MERCURY VAPOUR 80W</v>
      </c>
      <c r="F24" s="18" t="str">
        <f>IF(E24 = "BULKHEADS ETC", "SHARED OR NO POLE", VLOOKUP(C24,'Tariff Schedule Lookup Table'!I$7:L$286,3,FALSE))</f>
        <v>SHARED OR NO POLE</v>
      </c>
      <c r="G24" s="18">
        <f>IF(E24 = "NO CAPITAL", 1, VLOOKUP(C24,'Tariff Schedule Lookup Table'!I$7:L$286,4,FALSE))</f>
        <v>1</v>
      </c>
      <c r="H24" s="18" t="str">
        <f t="shared" si="2"/>
        <v>2-Unmetered, Funded by Others, CE Maintained</v>
      </c>
      <c r="I24" s="123">
        <f>VLOOKUP(F24,'Maintenance Model'!$A$57:$B$61,2,FALSE)</f>
        <v>0</v>
      </c>
      <c r="J24" s="123">
        <f>IF(D24=1,VLOOKUP(C24,'Capital Code Schedules'!A$15:F$300,2,FALSE),IF(D24=2,VLOOKUP(C24,'Capital Code Schedules'!A$15:F$300,3,FALSE),0))</f>
        <v>0</v>
      </c>
      <c r="K24" s="123">
        <v>0</v>
      </c>
      <c r="L24" s="123">
        <f>VLOOKUP(LEFT(A24,10),'Streetlight Tariff Schedule'!B$11:G$260,6, FALSE)+I24</f>
        <v>95.55017590726581</v>
      </c>
      <c r="M24" s="161">
        <f t="shared" si="3"/>
        <v>95.55017590726581</v>
      </c>
      <c r="N24" s="405">
        <f t="shared" si="4"/>
        <v>99.531620116954272</v>
      </c>
      <c r="O24" s="405">
        <v>57.420800471091646</v>
      </c>
      <c r="P24" s="406">
        <v>57.420800471091646</v>
      </c>
      <c r="Q24" s="406">
        <v>60.230909118130882</v>
      </c>
      <c r="R24" s="406">
        <v>60.230909118130882</v>
      </c>
      <c r="S24" s="405">
        <f t="shared" si="5"/>
        <v>104.4025843677102</v>
      </c>
      <c r="T24" s="406">
        <v>62.704663933695528</v>
      </c>
      <c r="U24" s="406">
        <v>62.933742328475617</v>
      </c>
      <c r="V24" s="405">
        <f t="shared" si="6"/>
        <v>109.08760035711559</v>
      </c>
      <c r="W24" s="406">
        <v>64.987283442545618</v>
      </c>
      <c r="X24" s="406">
        <v>65.80709048708313</v>
      </c>
      <c r="Y24" s="405">
        <f t="shared" si="7"/>
        <v>114.06818222013322</v>
      </c>
      <c r="Z24" s="406">
        <v>66.864480717568398</v>
      </c>
      <c r="AA24" s="406">
        <v>67.95574008225428</v>
      </c>
      <c r="AB24" s="442">
        <f t="shared" si="8"/>
        <v>116.54423076640612</v>
      </c>
      <c r="AC24" s="438">
        <f t="shared" si="9"/>
        <v>120.02879386059398</v>
      </c>
      <c r="AD24" s="410"/>
      <c r="AE24" s="411"/>
      <c r="AF24" s="411"/>
      <c r="AG24" s="411"/>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25"/>
      <c r="BK24" s="25"/>
      <c r="BL24" s="25"/>
      <c r="BM24" s="25"/>
    </row>
    <row r="25" spans="1:65" x14ac:dyDescent="0.2">
      <c r="A25" s="159" t="s">
        <v>1301</v>
      </c>
      <c r="B25" s="18" t="str">
        <f>VLOOKUP(LEFT(A25,7),'Tariff Schedule Lookup Table'!$A$8:$G$186,2,FALSE)</f>
        <v>Fluorescent 20</v>
      </c>
      <c r="C25" s="160">
        <f t="shared" si="0"/>
        <v>110</v>
      </c>
      <c r="D25" s="18">
        <f t="shared" si="1"/>
        <v>2</v>
      </c>
      <c r="E25" s="18" t="str">
        <f>VLOOKUP(C25,'Tariff Schedule Lookup Table'!I$7:L$286,2,FALSE)</f>
        <v>BULKHEADS ETC</v>
      </c>
      <c r="F25" s="18" t="str">
        <f>IF(E25 = "BULKHEADS ETC", "SHARED OR NO POLE", VLOOKUP(C25,'Tariff Schedule Lookup Table'!I$7:L$286,3,FALSE))</f>
        <v>SHARED OR NO POLE</v>
      </c>
      <c r="G25" s="18">
        <f>IF(E25 = "NO CAPITAL", 1, VLOOKUP(C25,'Tariff Schedule Lookup Table'!I$7:L$286,4,FALSE))</f>
        <v>1</v>
      </c>
      <c r="H25" s="18" t="str">
        <f t="shared" si="2"/>
        <v>2-Unmetered, Funded by Others, CE Maintained</v>
      </c>
      <c r="I25" s="123">
        <f>VLOOKUP(F25,'Maintenance Model'!$A$57:$B$61,2,FALSE)</f>
        <v>0</v>
      </c>
      <c r="J25" s="123">
        <f>IF(D25=1,VLOOKUP(C25,'Capital Code Schedules'!A$15:F$300,2,FALSE),IF(D25=2,VLOOKUP(C25,'Capital Code Schedules'!A$15:F$300,3,FALSE),0))</f>
        <v>0</v>
      </c>
      <c r="K25" s="123">
        <v>0</v>
      </c>
      <c r="L25" s="123">
        <f>VLOOKUP(LEFT(A25,10),'Streetlight Tariff Schedule'!B$11:G$260,6, FALSE)+I25</f>
        <v>95.55017590726581</v>
      </c>
      <c r="M25" s="161">
        <f t="shared" si="3"/>
        <v>95.55017590726581</v>
      </c>
      <c r="N25" s="405">
        <f t="shared" si="4"/>
        <v>99.531620116954272</v>
      </c>
      <c r="O25" s="405">
        <v>57.420800471091646</v>
      </c>
      <c r="P25" s="406">
        <v>57.420800471091646</v>
      </c>
      <c r="Q25" s="406">
        <v>60.230909118130882</v>
      </c>
      <c r="R25" s="406">
        <v>60.230909118130882</v>
      </c>
      <c r="S25" s="405">
        <f t="shared" si="5"/>
        <v>104.4025843677102</v>
      </c>
      <c r="T25" s="406">
        <v>62.704663933695528</v>
      </c>
      <c r="U25" s="406">
        <v>62.933742328475617</v>
      </c>
      <c r="V25" s="405">
        <f t="shared" si="6"/>
        <v>109.08760035711559</v>
      </c>
      <c r="W25" s="406">
        <v>64.987283442545618</v>
      </c>
      <c r="X25" s="406">
        <v>65.80709048708313</v>
      </c>
      <c r="Y25" s="405">
        <f t="shared" si="7"/>
        <v>114.06818222013322</v>
      </c>
      <c r="Z25" s="406">
        <v>66.864480717568398</v>
      </c>
      <c r="AA25" s="406">
        <v>67.95574008225428</v>
      </c>
      <c r="AB25" s="442">
        <f t="shared" si="8"/>
        <v>116.54423076640612</v>
      </c>
      <c r="AC25" s="438">
        <f t="shared" si="9"/>
        <v>120.02879386059398</v>
      </c>
      <c r="AD25" s="410"/>
      <c r="AE25" s="411"/>
      <c r="AF25" s="411"/>
      <c r="AG25" s="411"/>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25"/>
      <c r="BK25" s="25"/>
      <c r="BL25" s="25"/>
      <c r="BM25" s="25"/>
    </row>
    <row r="26" spans="1:65" x14ac:dyDescent="0.2">
      <c r="A26" s="159" t="s">
        <v>1302</v>
      </c>
      <c r="B26" s="18" t="str">
        <f>VLOOKUP(LEFT(A26,7),'Tariff Schedule Lookup Table'!$A$8:$G$186,2,FALSE)</f>
        <v>Fluorescent Twin 20</v>
      </c>
      <c r="C26" s="160">
        <f t="shared" si="0"/>
        <v>10</v>
      </c>
      <c r="D26" s="18">
        <f t="shared" si="1"/>
        <v>1</v>
      </c>
      <c r="E26" s="18" t="str">
        <f>VLOOKUP(C26,'Tariff Schedule Lookup Table'!I$7:L$286,2,FALSE)</f>
        <v>MERCURY VAPOUR 80W</v>
      </c>
      <c r="F26" s="18" t="str">
        <f>IF(E26 = "BULKHEADS ETC", "SHARED OR NO POLE", VLOOKUP(C26,'Tariff Schedule Lookup Table'!I$7:L$286,3,FALSE))</f>
        <v>SHARED OR NO POLE</v>
      </c>
      <c r="G26" s="18">
        <f>IF(E26 = "NO CAPITAL", 1, VLOOKUP(C26,'Tariff Schedule Lookup Table'!I$7:L$286,4,FALSE))</f>
        <v>1</v>
      </c>
      <c r="H26" s="18" t="str">
        <f t="shared" si="2"/>
        <v>1-Unmetered, CE Funded, CE Maintained</v>
      </c>
      <c r="I26" s="123">
        <f>VLOOKUP(F26,'Maintenance Model'!$A$57:$B$61,2,FALSE)</f>
        <v>0</v>
      </c>
      <c r="J26" s="123">
        <f>IF(D26=1,VLOOKUP(C26,'Capital Code Schedules'!A$15:F$300,2,FALSE),IF(D26=2,VLOOKUP(C26,'Capital Code Schedules'!A$15:F$300,3,FALSE),0))</f>
        <v>17.255027166785979</v>
      </c>
      <c r="K26" s="123">
        <v>21.887497717034414</v>
      </c>
      <c r="L26" s="123">
        <f>VLOOKUP(LEFT(A26,10),'Streetlight Tariff Schedule'!B$11:G$260,6, FALSE)+I26</f>
        <v>100.46765101656581</v>
      </c>
      <c r="M26" s="161">
        <f t="shared" si="3"/>
        <v>122.35514873360023</v>
      </c>
      <c r="N26" s="405">
        <f t="shared" si="4"/>
        <v>122.33608872940077</v>
      </c>
      <c r="O26" s="405">
        <v>86.03702658667757</v>
      </c>
      <c r="P26" s="406">
        <v>85.044069759484728</v>
      </c>
      <c r="Q26" s="406">
        <v>88.663492626809827</v>
      </c>
      <c r="R26" s="406">
        <v>89.681025135475679</v>
      </c>
      <c r="S26" s="405">
        <f t="shared" si="5"/>
        <v>127.89536811121866</v>
      </c>
      <c r="T26" s="406">
        <v>91.92987573500173</v>
      </c>
      <c r="U26" s="406">
        <v>93.312399091702687</v>
      </c>
      <c r="V26" s="405">
        <f t="shared" si="6"/>
        <v>133.33790977068645</v>
      </c>
      <c r="W26" s="406">
        <v>95.001913543437325</v>
      </c>
      <c r="X26" s="406">
        <v>97.282511593784221</v>
      </c>
      <c r="Y26" s="405">
        <f t="shared" si="7"/>
        <v>139.20658141653317</v>
      </c>
      <c r="Z26" s="406">
        <v>97.646284050170564</v>
      </c>
      <c r="AA26" s="406">
        <v>100.35291852258871</v>
      </c>
      <c r="AB26" s="442">
        <f t="shared" si="8"/>
        <v>142.14917442069421</v>
      </c>
      <c r="AC26" s="438">
        <f t="shared" si="9"/>
        <v>146.38363408940424</v>
      </c>
      <c r="AD26" s="410"/>
      <c r="AE26" s="411"/>
      <c r="AF26" s="411"/>
      <c r="AG26" s="411"/>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25"/>
      <c r="BK26" s="25"/>
      <c r="BL26" s="25"/>
      <c r="BM26" s="25"/>
    </row>
    <row r="27" spans="1:65" x14ac:dyDescent="0.2">
      <c r="A27" s="159" t="s">
        <v>1303</v>
      </c>
      <c r="B27" s="18" t="str">
        <f>VLOOKUP(LEFT(A27,7),'Tariff Schedule Lookup Table'!$A$8:$G$186,2,FALSE)</f>
        <v>Fluorescent Twin 20</v>
      </c>
      <c r="C27" s="160">
        <f t="shared" si="0"/>
        <v>10</v>
      </c>
      <c r="D27" s="18">
        <f t="shared" si="1"/>
        <v>2</v>
      </c>
      <c r="E27" s="18" t="str">
        <f>VLOOKUP(C27,'Tariff Schedule Lookup Table'!I$7:L$286,2,FALSE)</f>
        <v>MERCURY VAPOUR 80W</v>
      </c>
      <c r="F27" s="18" t="str">
        <f>IF(E27 = "BULKHEADS ETC", "SHARED OR NO POLE", VLOOKUP(C27,'Tariff Schedule Lookup Table'!I$7:L$286,3,FALSE))</f>
        <v>SHARED OR NO POLE</v>
      </c>
      <c r="G27" s="18">
        <f>IF(E27 = "NO CAPITAL", 1, VLOOKUP(C27,'Tariff Schedule Lookup Table'!I$7:L$286,4,FALSE))</f>
        <v>1</v>
      </c>
      <c r="H27" s="18" t="str">
        <f t="shared" si="2"/>
        <v>2-Unmetered, Funded by Others, CE Maintained</v>
      </c>
      <c r="I27" s="123">
        <f>VLOOKUP(F27,'Maintenance Model'!$A$57:$B$61,2,FALSE)</f>
        <v>0</v>
      </c>
      <c r="J27" s="123">
        <f>IF(D27=1,VLOOKUP(C27,'Capital Code Schedules'!A$15:F$300,2,FALSE),IF(D27=2,VLOOKUP(C27,'Capital Code Schedules'!A$15:F$300,3,FALSE),0))</f>
        <v>0</v>
      </c>
      <c r="K27" s="123">
        <v>0</v>
      </c>
      <c r="L27" s="123">
        <f>VLOOKUP(LEFT(A27,10),'Streetlight Tariff Schedule'!B$11:G$260,6, FALSE)+I27</f>
        <v>100.46765101656581</v>
      </c>
      <c r="M27" s="161">
        <f t="shared" si="3"/>
        <v>100.46765101656581</v>
      </c>
      <c r="N27" s="405">
        <f t="shared" si="4"/>
        <v>104.65399964023685</v>
      </c>
      <c r="O27" s="405">
        <v>62.614856473953715</v>
      </c>
      <c r="P27" s="406">
        <v>62.614856473953715</v>
      </c>
      <c r="Q27" s="406">
        <v>65.679156312461913</v>
      </c>
      <c r="R27" s="406">
        <v>65.679156312461913</v>
      </c>
      <c r="S27" s="405">
        <f t="shared" si="5"/>
        <v>109.77564731709792</v>
      </c>
      <c r="T27" s="406">
        <v>68.376677096873706</v>
      </c>
      <c r="U27" s="406">
        <v>68.626477007233035</v>
      </c>
      <c r="V27" s="405">
        <f t="shared" si="6"/>
        <v>114.70177693393327</v>
      </c>
      <c r="W27" s="406">
        <v>70.865773239015624</v>
      </c>
      <c r="X27" s="406">
        <v>71.759736750651044</v>
      </c>
      <c r="Y27" s="405">
        <f t="shared" si="7"/>
        <v>119.93868367661405</v>
      </c>
      <c r="Z27" s="406">
        <v>72.912774273214453</v>
      </c>
      <c r="AA27" s="406">
        <v>74.102744596426234</v>
      </c>
      <c r="AB27" s="442">
        <f t="shared" si="8"/>
        <v>122.54216168055252</v>
      </c>
      <c r="AC27" s="438">
        <f t="shared" si="9"/>
        <v>126.20605727852441</v>
      </c>
      <c r="AD27" s="410"/>
      <c r="AE27" s="411"/>
      <c r="AF27" s="411"/>
      <c r="AG27" s="411"/>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25"/>
      <c r="BK27" s="25"/>
      <c r="BL27" s="25"/>
      <c r="BM27" s="25"/>
    </row>
    <row r="28" spans="1:65" x14ac:dyDescent="0.2">
      <c r="A28" s="159" t="s">
        <v>1304</v>
      </c>
      <c r="B28" s="18" t="str">
        <f>VLOOKUP(LEFT(A28,7),'Tariff Schedule Lookup Table'!$A$8:$G$186,2,FALSE)</f>
        <v>Fluorescent Twin 20</v>
      </c>
      <c r="C28" s="160">
        <f t="shared" si="0"/>
        <v>740</v>
      </c>
      <c r="D28" s="18">
        <f t="shared" si="1"/>
        <v>2</v>
      </c>
      <c r="E28" s="18" t="str">
        <f>VLOOKUP(C28,'Tariff Schedule Lookup Table'!I$7:L$286,2,FALSE)</f>
        <v>MERCURY VAPOUR 80W</v>
      </c>
      <c r="F28" s="18" t="str">
        <f>IF(E28 = "BULKHEADS ETC", "SHARED OR NO POLE", VLOOKUP(C28,'Tariff Schedule Lookup Table'!I$7:L$286,3,FALSE))</f>
        <v>SHARED OR NO POLE</v>
      </c>
      <c r="G28" s="18">
        <f>IF(E28 = "NO CAPITAL", 1, VLOOKUP(C28,'Tariff Schedule Lookup Table'!I$7:L$286,4,FALSE))</f>
        <v>2</v>
      </c>
      <c r="H28" s="18" t="str">
        <f t="shared" si="2"/>
        <v>2-Unmetered, Funded by Others, CE Maintained</v>
      </c>
      <c r="I28" s="123">
        <f>VLOOKUP(F28,'Maintenance Model'!$A$57:$B$61,2,FALSE)</f>
        <v>0</v>
      </c>
      <c r="J28" s="123">
        <f>IF(D28=1,VLOOKUP(C28,'Capital Code Schedules'!A$15:F$300,2,FALSE),IF(D28=2,VLOOKUP(C28,'Capital Code Schedules'!A$15:F$300,3,FALSE),0))</f>
        <v>0</v>
      </c>
      <c r="K28" s="123">
        <v>0</v>
      </c>
      <c r="L28" s="123">
        <f>VLOOKUP(LEFT(A28,10),'Streetlight Tariff Schedule'!B$11:G$260,6, FALSE)+I28</f>
        <v>100.46765101656581</v>
      </c>
      <c r="M28" s="161">
        <f t="shared" si="3"/>
        <v>100.46765101656581</v>
      </c>
      <c r="N28" s="405">
        <f t="shared" si="4"/>
        <v>104.65399964023685</v>
      </c>
      <c r="O28" s="405">
        <v>62.614856473953715</v>
      </c>
      <c r="P28" s="406">
        <v>62.614856473953715</v>
      </c>
      <c r="Q28" s="406">
        <v>65.679156312461913</v>
      </c>
      <c r="R28" s="406">
        <v>65.679156312461913</v>
      </c>
      <c r="S28" s="405">
        <f t="shared" si="5"/>
        <v>109.77564731709792</v>
      </c>
      <c r="T28" s="406">
        <v>68.376677096873706</v>
      </c>
      <c r="U28" s="406">
        <v>68.626477007233035</v>
      </c>
      <c r="V28" s="405">
        <f t="shared" si="6"/>
        <v>114.70177693393327</v>
      </c>
      <c r="W28" s="406">
        <v>70.865773239015624</v>
      </c>
      <c r="X28" s="406">
        <v>71.759736750651044</v>
      </c>
      <c r="Y28" s="405">
        <f t="shared" si="7"/>
        <v>119.93868367661405</v>
      </c>
      <c r="Z28" s="406">
        <v>72.912774273214453</v>
      </c>
      <c r="AA28" s="406">
        <v>74.102744596426234</v>
      </c>
      <c r="AB28" s="442">
        <f t="shared" si="8"/>
        <v>122.54216168055252</v>
      </c>
      <c r="AC28" s="438">
        <f t="shared" si="9"/>
        <v>126.20605727852441</v>
      </c>
      <c r="AD28" s="410"/>
      <c r="AE28" s="411"/>
      <c r="AF28" s="411"/>
      <c r="AG28" s="411"/>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25"/>
      <c r="BK28" s="25"/>
      <c r="BL28" s="25"/>
      <c r="BM28" s="25"/>
    </row>
    <row r="29" spans="1:65" x14ac:dyDescent="0.2">
      <c r="A29" s="159" t="s">
        <v>1305</v>
      </c>
      <c r="B29" s="18" t="str">
        <f>VLOOKUP(LEFT(A29,7),'Tariff Schedule Lookup Table'!$A$8:$G$186,2,FALSE)</f>
        <v>Fluorescent Twin 20</v>
      </c>
      <c r="C29" s="160">
        <f t="shared" si="0"/>
        <v>990</v>
      </c>
      <c r="D29" s="18">
        <f t="shared" si="1"/>
        <v>1</v>
      </c>
      <c r="E29" s="18" t="str">
        <f>VLOOKUP(C29,'Tariff Schedule Lookup Table'!I$7:L$286,2,FALSE)</f>
        <v>MERCURY VAPOUR 80W</v>
      </c>
      <c r="F29" s="18" t="str">
        <f>IF(E29 = "BULKHEADS ETC", "SHARED OR NO POLE", VLOOKUP(C29,'Tariff Schedule Lookup Table'!I$7:L$286,3,FALSE))</f>
        <v>STEEL POLE</v>
      </c>
      <c r="G29" s="18">
        <f>IF(E29 = "NO CAPITAL", 1, VLOOKUP(C29,'Tariff Schedule Lookup Table'!I$7:L$286,4,FALSE))</f>
        <v>1</v>
      </c>
      <c r="H29" s="18" t="str">
        <f t="shared" si="2"/>
        <v>1-Unmetered, CE Funded, CE Maintained</v>
      </c>
      <c r="I29" s="123">
        <f>VLOOKUP(F29,'Maintenance Model'!$A$57:$B$61,2,FALSE)</f>
        <v>9.9616182311111103</v>
      </c>
      <c r="J29" s="123">
        <f>IF(D29=1,VLOOKUP(C29,'Capital Code Schedules'!A$15:F$300,2,FALSE),IF(D29=2,VLOOKUP(C29,'Capital Code Schedules'!A$15:F$300,3,FALSE),0))</f>
        <v>86.253661186307269</v>
      </c>
      <c r="K29" s="123">
        <v>109.41024862221688</v>
      </c>
      <c r="L29" s="123">
        <f>VLOOKUP(LEFT(A29,10),'Streetlight Tariff Schedule'!B$11:G$260,6, FALSE)+I29</f>
        <v>110.42926924767693</v>
      </c>
      <c r="M29" s="161">
        <f t="shared" si="3"/>
        <v>219.83951786989383</v>
      </c>
      <c r="N29" s="405">
        <f t="shared" si="4"/>
        <v>203.41914408157763</v>
      </c>
      <c r="O29" s="405">
        <v>189.29067234276411</v>
      </c>
      <c r="P29" s="406">
        <v>184.32712398566963</v>
      </c>
      <c r="Q29" s="406">
        <v>190.6358731773671</v>
      </c>
      <c r="R29" s="406">
        <v>195.72226935629965</v>
      </c>
      <c r="S29" s="405">
        <f t="shared" si="5"/>
        <v>211.23622977507026</v>
      </c>
      <c r="T29" s="406">
        <v>196.59032324037358</v>
      </c>
      <c r="U29" s="406">
        <v>202.54060606496907</v>
      </c>
      <c r="V29" s="405">
        <f t="shared" si="6"/>
        <v>219.23221494788331</v>
      </c>
      <c r="W29" s="406">
        <v>202.374792139108</v>
      </c>
      <c r="X29" s="406">
        <v>210.33717951625513</v>
      </c>
      <c r="Y29" s="405">
        <f t="shared" si="7"/>
        <v>228.14641231476281</v>
      </c>
      <c r="Z29" s="406">
        <v>207.72154730796683</v>
      </c>
      <c r="AA29" s="406">
        <v>216.67528314708659</v>
      </c>
      <c r="AB29" s="442">
        <f t="shared" si="8"/>
        <v>232.70318461502379</v>
      </c>
      <c r="AC29" s="438">
        <f t="shared" si="9"/>
        <v>239.58247486308051</v>
      </c>
      <c r="AD29" s="410"/>
      <c r="AE29" s="411"/>
      <c r="AF29" s="411"/>
      <c r="AG29" s="411"/>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25"/>
      <c r="BK29" s="25"/>
      <c r="BL29" s="25"/>
      <c r="BM29" s="25"/>
    </row>
    <row r="30" spans="1:65" x14ac:dyDescent="0.2">
      <c r="A30" s="159" t="s">
        <v>1306</v>
      </c>
      <c r="B30" s="18" t="str">
        <f>VLOOKUP(LEFT(A30,7),'Tariff Schedule Lookup Table'!$A$8:$G$186,2,FALSE)</f>
        <v>Fluorescent 3x20</v>
      </c>
      <c r="C30" s="160">
        <f t="shared" si="0"/>
        <v>10</v>
      </c>
      <c r="D30" s="18">
        <f t="shared" si="1"/>
        <v>1</v>
      </c>
      <c r="E30" s="18" t="str">
        <f>VLOOKUP(C30,'Tariff Schedule Lookup Table'!I$7:L$286,2,FALSE)</f>
        <v>MERCURY VAPOUR 80W</v>
      </c>
      <c r="F30" s="18" t="str">
        <f>IF(E30 = "BULKHEADS ETC", "SHARED OR NO POLE", VLOOKUP(C30,'Tariff Schedule Lookup Table'!I$7:L$286,3,FALSE))</f>
        <v>SHARED OR NO POLE</v>
      </c>
      <c r="G30" s="18">
        <f>IF(E30 = "NO CAPITAL", 1, VLOOKUP(C30,'Tariff Schedule Lookup Table'!I$7:L$286,4,FALSE))</f>
        <v>1</v>
      </c>
      <c r="H30" s="18" t="str">
        <f t="shared" si="2"/>
        <v>1-Unmetered, CE Funded, CE Maintained</v>
      </c>
      <c r="I30" s="123">
        <f>VLOOKUP(F30,'Maintenance Model'!$A$57:$B$61,2,FALSE)</f>
        <v>0</v>
      </c>
      <c r="J30" s="123">
        <f>IF(D30=1,VLOOKUP(C30,'Capital Code Schedules'!A$15:F$300,2,FALSE),IF(D30=2,VLOOKUP(C30,'Capital Code Schedules'!A$15:F$300,3,FALSE),0))</f>
        <v>17.255027166785979</v>
      </c>
      <c r="K30" s="123">
        <v>21.887497717034414</v>
      </c>
      <c r="L30" s="123">
        <f>VLOOKUP(LEFT(A30,10),'Streetlight Tariff Schedule'!B$11:G$260,6, FALSE)+I30</f>
        <v>105.38512612586581</v>
      </c>
      <c r="M30" s="161">
        <f t="shared" si="3"/>
        <v>127.27262384290023</v>
      </c>
      <c r="N30" s="405">
        <f t="shared" si="4"/>
        <v>127.45846825268333</v>
      </c>
      <c r="O30" s="405">
        <v>91.231082589539653</v>
      </c>
      <c r="P30" s="406">
        <v>90.238125762346812</v>
      </c>
      <c r="Q30" s="406">
        <v>94.111739821140873</v>
      </c>
      <c r="R30" s="406">
        <v>95.129272329806739</v>
      </c>
      <c r="S30" s="405">
        <f t="shared" si="5"/>
        <v>133.26843106060636</v>
      </c>
      <c r="T30" s="406">
        <v>97.601888898179908</v>
      </c>
      <c r="U30" s="406">
        <v>99.00513377046012</v>
      </c>
      <c r="V30" s="405">
        <f t="shared" si="6"/>
        <v>138.95208634750415</v>
      </c>
      <c r="W30" s="406">
        <v>100.88040333990733</v>
      </c>
      <c r="X30" s="406">
        <v>103.23515785735212</v>
      </c>
      <c r="Y30" s="405">
        <f t="shared" si="7"/>
        <v>145.07708287301398</v>
      </c>
      <c r="Z30" s="406">
        <v>103.69457760581662</v>
      </c>
      <c r="AA30" s="406">
        <v>106.49992303676068</v>
      </c>
      <c r="AB30" s="442">
        <f t="shared" si="8"/>
        <v>148.14710533484063</v>
      </c>
      <c r="AC30" s="438">
        <f t="shared" si="9"/>
        <v>152.56089750733469</v>
      </c>
      <c r="AD30" s="410"/>
      <c r="AE30" s="411"/>
      <c r="AF30" s="411"/>
      <c r="AG30" s="411"/>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25"/>
      <c r="BK30" s="25"/>
      <c r="BL30" s="25"/>
      <c r="BM30" s="25"/>
    </row>
    <row r="31" spans="1:65" x14ac:dyDescent="0.2">
      <c r="A31" s="159" t="s">
        <v>1307</v>
      </c>
      <c r="B31" s="18" t="str">
        <f>VLOOKUP(LEFT(A31,7),'Tariff Schedule Lookup Table'!$A$8:$G$186,2,FALSE)</f>
        <v>Fluorescent 3x20</v>
      </c>
      <c r="C31" s="160">
        <f t="shared" si="0"/>
        <v>10</v>
      </c>
      <c r="D31" s="18">
        <f t="shared" si="1"/>
        <v>2</v>
      </c>
      <c r="E31" s="18" t="str">
        <f>VLOOKUP(C31,'Tariff Schedule Lookup Table'!I$7:L$286,2,FALSE)</f>
        <v>MERCURY VAPOUR 80W</v>
      </c>
      <c r="F31" s="18" t="str">
        <f>IF(E31 = "BULKHEADS ETC", "SHARED OR NO POLE", VLOOKUP(C31,'Tariff Schedule Lookup Table'!I$7:L$286,3,FALSE))</f>
        <v>SHARED OR NO POLE</v>
      </c>
      <c r="G31" s="18">
        <f>IF(E31 = "NO CAPITAL", 1, VLOOKUP(C31,'Tariff Schedule Lookup Table'!I$7:L$286,4,FALSE))</f>
        <v>1</v>
      </c>
      <c r="H31" s="18" t="str">
        <f t="shared" si="2"/>
        <v>2-Unmetered, Funded by Others, CE Maintained</v>
      </c>
      <c r="I31" s="123">
        <f>VLOOKUP(F31,'Maintenance Model'!$A$57:$B$61,2,FALSE)</f>
        <v>0</v>
      </c>
      <c r="J31" s="123">
        <f>IF(D31=1,VLOOKUP(C31,'Capital Code Schedules'!A$15:F$300,2,FALSE),IF(D31=2,VLOOKUP(C31,'Capital Code Schedules'!A$15:F$300,3,FALSE),0))</f>
        <v>0</v>
      </c>
      <c r="K31" s="123">
        <v>0</v>
      </c>
      <c r="L31" s="123">
        <f>VLOOKUP(LEFT(A31,10),'Streetlight Tariff Schedule'!B$11:G$260,6, FALSE)+I31</f>
        <v>105.38512612586581</v>
      </c>
      <c r="M31" s="161">
        <f t="shared" si="3"/>
        <v>105.38512612586581</v>
      </c>
      <c r="N31" s="405">
        <f t="shared" si="4"/>
        <v>109.77637916351941</v>
      </c>
      <c r="O31" s="405">
        <v>67.808912476815792</v>
      </c>
      <c r="P31" s="406">
        <v>67.808912476815792</v>
      </c>
      <c r="Q31" s="406">
        <v>71.127403506792973</v>
      </c>
      <c r="R31" s="406">
        <v>71.127403506792973</v>
      </c>
      <c r="S31" s="405">
        <f t="shared" si="5"/>
        <v>115.14871026648564</v>
      </c>
      <c r="T31" s="406">
        <v>74.048690260051899</v>
      </c>
      <c r="U31" s="406">
        <v>74.319211685990467</v>
      </c>
      <c r="V31" s="405">
        <f t="shared" si="6"/>
        <v>120.31595351075096</v>
      </c>
      <c r="W31" s="406">
        <v>76.744263035485645</v>
      </c>
      <c r="X31" s="406">
        <v>77.712383014218943</v>
      </c>
      <c r="Y31" s="405">
        <f t="shared" si="7"/>
        <v>125.80918513309486</v>
      </c>
      <c r="Z31" s="406">
        <v>78.961067828860507</v>
      </c>
      <c r="AA31" s="406">
        <v>80.249749110598202</v>
      </c>
      <c r="AB31" s="442">
        <f t="shared" si="8"/>
        <v>128.54009259469893</v>
      </c>
      <c r="AC31" s="438">
        <f t="shared" si="9"/>
        <v>132.38332069645486</v>
      </c>
      <c r="AD31" s="410"/>
      <c r="AE31" s="411"/>
      <c r="AF31" s="411"/>
      <c r="AG31" s="411"/>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25"/>
      <c r="BK31" s="25"/>
      <c r="BL31" s="25"/>
      <c r="BM31" s="25"/>
    </row>
    <row r="32" spans="1:65" x14ac:dyDescent="0.2">
      <c r="A32" s="159" t="s">
        <v>1308</v>
      </c>
      <c r="B32" s="18" t="str">
        <f>VLOOKUP(LEFT(A32,7),'Tariff Schedule Lookup Table'!$A$8:$G$186,2,FALSE)</f>
        <v>Fluorescent 4x20</v>
      </c>
      <c r="C32" s="160">
        <f t="shared" si="0"/>
        <v>10</v>
      </c>
      <c r="D32" s="18">
        <f t="shared" si="1"/>
        <v>1</v>
      </c>
      <c r="E32" s="18" t="str">
        <f>VLOOKUP(C32,'Tariff Schedule Lookup Table'!I$7:L$286,2,FALSE)</f>
        <v>MERCURY VAPOUR 80W</v>
      </c>
      <c r="F32" s="18" t="str">
        <f>IF(E32 = "BULKHEADS ETC", "SHARED OR NO POLE", VLOOKUP(C32,'Tariff Schedule Lookup Table'!I$7:L$286,3,FALSE))</f>
        <v>SHARED OR NO POLE</v>
      </c>
      <c r="G32" s="18">
        <f>IF(E32 = "NO CAPITAL", 1, VLOOKUP(C32,'Tariff Schedule Lookup Table'!I$7:L$286,4,FALSE))</f>
        <v>1</v>
      </c>
      <c r="H32" s="18" t="str">
        <f t="shared" si="2"/>
        <v>1-Unmetered, CE Funded, CE Maintained</v>
      </c>
      <c r="I32" s="123">
        <f>VLOOKUP(F32,'Maintenance Model'!$A$57:$B$61,2,FALSE)</f>
        <v>0</v>
      </c>
      <c r="J32" s="123">
        <f>IF(D32=1,VLOOKUP(C32,'Capital Code Schedules'!A$15:F$300,2,FALSE),IF(D32=2,VLOOKUP(C32,'Capital Code Schedules'!A$15:F$300,3,FALSE),0))</f>
        <v>17.255027166785979</v>
      </c>
      <c r="K32" s="123">
        <v>21.887497717034414</v>
      </c>
      <c r="L32" s="123">
        <f>VLOOKUP(LEFT(A32,10),'Streetlight Tariff Schedule'!B$11:G$260,6, FALSE)+I32</f>
        <v>110.30260123516581</v>
      </c>
      <c r="M32" s="161">
        <f t="shared" si="3"/>
        <v>132.19009895220023</v>
      </c>
      <c r="N32" s="405">
        <f t="shared" si="4"/>
        <v>132.58084777596591</v>
      </c>
      <c r="O32" s="405">
        <v>96.425138592401709</v>
      </c>
      <c r="P32" s="406">
        <v>95.432181765208881</v>
      </c>
      <c r="Q32" s="406">
        <v>99.559987015471918</v>
      </c>
      <c r="R32" s="406">
        <v>100.57751952413776</v>
      </c>
      <c r="S32" s="405">
        <f t="shared" si="5"/>
        <v>138.64149400999409</v>
      </c>
      <c r="T32" s="406">
        <v>103.27390206135811</v>
      </c>
      <c r="U32" s="406">
        <v>104.69786844921752</v>
      </c>
      <c r="V32" s="405">
        <f t="shared" si="6"/>
        <v>144.56626292432185</v>
      </c>
      <c r="W32" s="406">
        <v>106.75889313637737</v>
      </c>
      <c r="X32" s="406">
        <v>109.18780412092002</v>
      </c>
      <c r="Y32" s="405">
        <f t="shared" si="7"/>
        <v>150.94758432949479</v>
      </c>
      <c r="Z32" s="406">
        <v>109.74287116146269</v>
      </c>
      <c r="AA32" s="406">
        <v>112.64692755093262</v>
      </c>
      <c r="AB32" s="442">
        <f t="shared" si="8"/>
        <v>154.14503624898703</v>
      </c>
      <c r="AC32" s="438">
        <f t="shared" si="9"/>
        <v>158.73816092526513</v>
      </c>
      <c r="AD32" s="410"/>
      <c r="AE32" s="411"/>
      <c r="AF32" s="411"/>
      <c r="AG32" s="411"/>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25"/>
      <c r="BK32" s="25"/>
      <c r="BL32" s="25"/>
      <c r="BM32" s="25"/>
    </row>
    <row r="33" spans="1:65" x14ac:dyDescent="0.2">
      <c r="A33" s="159" t="s">
        <v>1309</v>
      </c>
      <c r="B33" s="18" t="str">
        <f>VLOOKUP(LEFT(A33,7),'Tariff Schedule Lookup Table'!$A$8:$G$186,2,FALSE)</f>
        <v>Fluorescent 4x20</v>
      </c>
      <c r="C33" s="160">
        <f t="shared" si="0"/>
        <v>10</v>
      </c>
      <c r="D33" s="18">
        <f t="shared" si="1"/>
        <v>2</v>
      </c>
      <c r="E33" s="18" t="str">
        <f>VLOOKUP(C33,'Tariff Schedule Lookup Table'!I$7:L$286,2,FALSE)</f>
        <v>MERCURY VAPOUR 80W</v>
      </c>
      <c r="F33" s="18" t="str">
        <f>IF(E33 = "BULKHEADS ETC", "SHARED OR NO POLE", VLOOKUP(C33,'Tariff Schedule Lookup Table'!I$7:L$286,3,FALSE))</f>
        <v>SHARED OR NO POLE</v>
      </c>
      <c r="G33" s="18">
        <f>IF(E33 = "NO CAPITAL", 1, VLOOKUP(C33,'Tariff Schedule Lookup Table'!I$7:L$286,4,FALSE))</f>
        <v>1</v>
      </c>
      <c r="H33" s="18" t="str">
        <f t="shared" si="2"/>
        <v>2-Unmetered, Funded by Others, CE Maintained</v>
      </c>
      <c r="I33" s="123">
        <f>VLOOKUP(F33,'Maintenance Model'!$A$57:$B$61,2,FALSE)</f>
        <v>0</v>
      </c>
      <c r="J33" s="123">
        <f>IF(D33=1,VLOOKUP(C33,'Capital Code Schedules'!A$15:F$300,2,FALSE),IF(D33=2,VLOOKUP(C33,'Capital Code Schedules'!A$15:F$300,3,FALSE),0))</f>
        <v>0</v>
      </c>
      <c r="K33" s="123">
        <v>0</v>
      </c>
      <c r="L33" s="123">
        <f>VLOOKUP(LEFT(A33,10),'Streetlight Tariff Schedule'!B$11:G$260,6, FALSE)+I33</f>
        <v>110.30260123516581</v>
      </c>
      <c r="M33" s="161">
        <f t="shared" si="3"/>
        <v>110.30260123516581</v>
      </c>
      <c r="N33" s="405">
        <f t="shared" si="4"/>
        <v>114.89875868680197</v>
      </c>
      <c r="O33" s="405">
        <v>73.002968479677861</v>
      </c>
      <c r="P33" s="406">
        <v>73.002968479677861</v>
      </c>
      <c r="Q33" s="406">
        <v>76.575650701124005</v>
      </c>
      <c r="R33" s="406">
        <v>76.575650701124005</v>
      </c>
      <c r="S33" s="405">
        <f t="shared" si="5"/>
        <v>120.52177321587334</v>
      </c>
      <c r="T33" s="406">
        <v>79.720703423230077</v>
      </c>
      <c r="U33" s="406">
        <v>80.011946364747871</v>
      </c>
      <c r="V33" s="405">
        <f t="shared" si="6"/>
        <v>125.93013008756867</v>
      </c>
      <c r="W33" s="406">
        <v>82.622752831955665</v>
      </c>
      <c r="X33" s="406">
        <v>83.665029277786843</v>
      </c>
      <c r="Y33" s="405">
        <f t="shared" si="7"/>
        <v>131.67968658957568</v>
      </c>
      <c r="Z33" s="406">
        <v>85.009361384506562</v>
      </c>
      <c r="AA33" s="406">
        <v>86.396753624770156</v>
      </c>
      <c r="AB33" s="442">
        <f t="shared" si="8"/>
        <v>134.53802350884536</v>
      </c>
      <c r="AC33" s="438">
        <f t="shared" si="9"/>
        <v>138.56058411438531</v>
      </c>
      <c r="AD33" s="410"/>
      <c r="AE33" s="411"/>
      <c r="AF33" s="411"/>
      <c r="AG33" s="411"/>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25"/>
      <c r="BK33" s="25"/>
      <c r="BL33" s="25"/>
      <c r="BM33" s="25"/>
    </row>
    <row r="34" spans="1:65" x14ac:dyDescent="0.2">
      <c r="A34" s="159" t="s">
        <v>1310</v>
      </c>
      <c r="B34" s="18" t="str">
        <f>VLOOKUP(LEFT(A34,7),'Tariff Schedule Lookup Table'!$A$8:$G$186,2,FALSE)</f>
        <v>Fluorescent 4x20</v>
      </c>
      <c r="C34" s="160">
        <f t="shared" si="0"/>
        <v>990</v>
      </c>
      <c r="D34" s="18">
        <f t="shared" si="1"/>
        <v>1</v>
      </c>
      <c r="E34" s="18" t="str">
        <f>VLOOKUP(C34,'Tariff Schedule Lookup Table'!I$7:L$286,2,FALSE)</f>
        <v>MERCURY VAPOUR 80W</v>
      </c>
      <c r="F34" s="18" t="str">
        <f>IF(E34 = "BULKHEADS ETC", "SHARED OR NO POLE", VLOOKUP(C34,'Tariff Schedule Lookup Table'!I$7:L$286,3,FALSE))</f>
        <v>STEEL POLE</v>
      </c>
      <c r="G34" s="18">
        <f>IF(E34 = "NO CAPITAL", 1, VLOOKUP(C34,'Tariff Schedule Lookup Table'!I$7:L$286,4,FALSE))</f>
        <v>1</v>
      </c>
      <c r="H34" s="18" t="str">
        <f t="shared" si="2"/>
        <v>1-Unmetered, CE Funded, CE Maintained</v>
      </c>
      <c r="I34" s="123">
        <f>VLOOKUP(F34,'Maintenance Model'!$A$57:$B$61,2,FALSE)</f>
        <v>9.9616182311111103</v>
      </c>
      <c r="J34" s="123">
        <f>IF(D34=1,VLOOKUP(C34,'Capital Code Schedules'!A$15:F$300,2,FALSE),IF(D34=2,VLOOKUP(C34,'Capital Code Schedules'!A$15:F$300,3,FALSE),0))</f>
        <v>86.253661186307269</v>
      </c>
      <c r="K34" s="123">
        <v>109.41024862221688</v>
      </c>
      <c r="L34" s="123">
        <f>VLOOKUP(LEFT(A34,10),'Streetlight Tariff Schedule'!B$11:G$260,6, FALSE)+I34</f>
        <v>120.26421946627693</v>
      </c>
      <c r="M34" s="161">
        <f t="shared" si="3"/>
        <v>229.67446808849382</v>
      </c>
      <c r="N34" s="405">
        <f t="shared" si="4"/>
        <v>213.66390312814278</v>
      </c>
      <c r="O34" s="405">
        <v>199.67878434848825</v>
      </c>
      <c r="P34" s="406">
        <v>194.7152359913938</v>
      </c>
      <c r="Q34" s="406">
        <v>201.53236756602919</v>
      </c>
      <c r="R34" s="406">
        <v>206.61876374496174</v>
      </c>
      <c r="S34" s="405">
        <f t="shared" si="5"/>
        <v>221.98235567384563</v>
      </c>
      <c r="T34" s="406">
        <v>207.93434956672996</v>
      </c>
      <c r="U34" s="406">
        <v>213.92607542248388</v>
      </c>
      <c r="V34" s="405">
        <f t="shared" si="6"/>
        <v>230.46056810151867</v>
      </c>
      <c r="W34" s="406">
        <v>214.13177173204807</v>
      </c>
      <c r="X34" s="406">
        <v>222.24247204339093</v>
      </c>
      <c r="Y34" s="405">
        <f t="shared" si="7"/>
        <v>239.88741522772443</v>
      </c>
      <c r="Z34" s="406">
        <v>219.81813441925897</v>
      </c>
      <c r="AA34" s="406">
        <v>228.9692921754305</v>
      </c>
      <c r="AB34" s="442">
        <f t="shared" si="8"/>
        <v>244.6990464433166</v>
      </c>
      <c r="AC34" s="438">
        <f t="shared" si="9"/>
        <v>251.93700169894137</v>
      </c>
      <c r="AD34" s="410"/>
      <c r="AE34" s="411"/>
      <c r="AF34" s="411"/>
      <c r="AG34" s="411"/>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25"/>
      <c r="BK34" s="25"/>
      <c r="BL34" s="25"/>
      <c r="BM34" s="25"/>
    </row>
    <row r="35" spans="1:65" x14ac:dyDescent="0.2">
      <c r="A35" s="159" t="s">
        <v>1311</v>
      </c>
      <c r="B35" s="18" t="str">
        <f>VLOOKUP(LEFT(A35,7),'Tariff Schedule Lookup Table'!$A$8:$G$186,2,FALSE)</f>
        <v>Fluorescent 26</v>
      </c>
      <c r="C35" s="160">
        <f t="shared" si="0"/>
        <v>10</v>
      </c>
      <c r="D35" s="18">
        <f t="shared" si="1"/>
        <v>1</v>
      </c>
      <c r="E35" s="18" t="str">
        <f>VLOOKUP(C35,'Tariff Schedule Lookup Table'!I$7:L$286,2,FALSE)</f>
        <v>MERCURY VAPOUR 80W</v>
      </c>
      <c r="F35" s="18" t="str">
        <f>IF(E35 = "BULKHEADS ETC", "SHARED OR NO POLE", VLOOKUP(C35,'Tariff Schedule Lookup Table'!I$7:L$286,3,FALSE))</f>
        <v>SHARED OR NO POLE</v>
      </c>
      <c r="G35" s="18">
        <f>IF(E35 = "NO CAPITAL", 1, VLOOKUP(C35,'Tariff Schedule Lookup Table'!I$7:L$286,4,FALSE))</f>
        <v>1</v>
      </c>
      <c r="H35" s="18" t="str">
        <f t="shared" si="2"/>
        <v>1-Unmetered, CE Funded, CE Maintained</v>
      </c>
      <c r="I35" s="123">
        <f>VLOOKUP(F35,'Maintenance Model'!$A$57:$B$61,2,FALSE)</f>
        <v>0</v>
      </c>
      <c r="J35" s="123">
        <f>IF(D35=1,VLOOKUP(C35,'Capital Code Schedules'!A$15:F$300,2,FALSE),IF(D35=2,VLOOKUP(C35,'Capital Code Schedules'!A$15:F$300,3,FALSE),0))</f>
        <v>17.255027166785979</v>
      </c>
      <c r="K35" s="123">
        <v>21.887497717034414</v>
      </c>
      <c r="L35" s="123">
        <f>VLOOKUP(LEFT(A35,10),'Streetlight Tariff Schedule'!B$11:G$260,6, FALSE)+I35</f>
        <v>95.55017590726581</v>
      </c>
      <c r="M35" s="161">
        <f t="shared" si="3"/>
        <v>117.43767362430023</v>
      </c>
      <c r="N35" s="405">
        <f t="shared" si="4"/>
        <v>117.2137092061182</v>
      </c>
      <c r="O35" s="405">
        <v>80.8429705838155</v>
      </c>
      <c r="P35" s="406">
        <v>79.850013756622658</v>
      </c>
      <c r="Q35" s="406">
        <v>83.215245432478795</v>
      </c>
      <c r="R35" s="406">
        <v>84.232777941144647</v>
      </c>
      <c r="S35" s="405">
        <f t="shared" si="5"/>
        <v>122.52230516183096</v>
      </c>
      <c r="T35" s="406">
        <v>86.257862571823537</v>
      </c>
      <c r="U35" s="406">
        <v>87.619664412945269</v>
      </c>
      <c r="V35" s="405">
        <f t="shared" si="6"/>
        <v>127.72373319386877</v>
      </c>
      <c r="W35" s="406">
        <v>89.123423746967291</v>
      </c>
      <c r="X35" s="406">
        <v>91.329865330216322</v>
      </c>
      <c r="Y35" s="405">
        <f t="shared" si="7"/>
        <v>133.33607996005233</v>
      </c>
      <c r="Z35" s="406">
        <v>91.59799049452451</v>
      </c>
      <c r="AA35" s="406">
        <v>94.205914008416755</v>
      </c>
      <c r="AB35" s="442">
        <f t="shared" si="8"/>
        <v>136.15124350654781</v>
      </c>
      <c r="AC35" s="438">
        <f t="shared" si="9"/>
        <v>140.20637067147379</v>
      </c>
      <c r="AD35" s="410"/>
      <c r="AE35" s="411"/>
      <c r="AF35" s="411"/>
      <c r="AG35" s="411"/>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25"/>
      <c r="BK35" s="25"/>
      <c r="BL35" s="25"/>
      <c r="BM35" s="25"/>
    </row>
    <row r="36" spans="1:65" x14ac:dyDescent="0.2">
      <c r="A36" s="159" t="s">
        <v>1312</v>
      </c>
      <c r="B36" s="18" t="str">
        <f>VLOOKUP(LEFT(A36,7),'Tariff Schedule Lookup Table'!$A$8:$G$186,2,FALSE)</f>
        <v>Fluorescent 26</v>
      </c>
      <c r="C36" s="160">
        <f t="shared" si="0"/>
        <v>10</v>
      </c>
      <c r="D36" s="18">
        <f t="shared" si="1"/>
        <v>2</v>
      </c>
      <c r="E36" s="18" t="str">
        <f>VLOOKUP(C36,'Tariff Schedule Lookup Table'!I$7:L$286,2,FALSE)</f>
        <v>MERCURY VAPOUR 80W</v>
      </c>
      <c r="F36" s="18" t="str">
        <f>IF(E36 = "BULKHEADS ETC", "SHARED OR NO POLE", VLOOKUP(C36,'Tariff Schedule Lookup Table'!I$7:L$286,3,FALSE))</f>
        <v>SHARED OR NO POLE</v>
      </c>
      <c r="G36" s="18">
        <f>IF(E36 = "NO CAPITAL", 1, VLOOKUP(C36,'Tariff Schedule Lookup Table'!I$7:L$286,4,FALSE))</f>
        <v>1</v>
      </c>
      <c r="H36" s="18" t="str">
        <f t="shared" si="2"/>
        <v>2-Unmetered, Funded by Others, CE Maintained</v>
      </c>
      <c r="I36" s="123">
        <f>VLOOKUP(F36,'Maintenance Model'!$A$57:$B$61,2,FALSE)</f>
        <v>0</v>
      </c>
      <c r="J36" s="123">
        <f>IF(D36=1,VLOOKUP(C36,'Capital Code Schedules'!A$15:F$300,2,FALSE),IF(D36=2,VLOOKUP(C36,'Capital Code Schedules'!A$15:F$300,3,FALSE),0))</f>
        <v>0</v>
      </c>
      <c r="K36" s="123">
        <v>0</v>
      </c>
      <c r="L36" s="123">
        <f>VLOOKUP(LEFT(A36,10),'Streetlight Tariff Schedule'!B$11:G$260,6, FALSE)+I36</f>
        <v>95.55017590726581</v>
      </c>
      <c r="M36" s="161">
        <f t="shared" si="3"/>
        <v>95.55017590726581</v>
      </c>
      <c r="N36" s="405">
        <f t="shared" si="4"/>
        <v>99.531620116954272</v>
      </c>
      <c r="O36" s="405">
        <v>57.420800471091646</v>
      </c>
      <c r="P36" s="406">
        <v>57.420800471091646</v>
      </c>
      <c r="Q36" s="406">
        <v>60.230909118130882</v>
      </c>
      <c r="R36" s="406">
        <v>60.230909118130882</v>
      </c>
      <c r="S36" s="405">
        <f t="shared" si="5"/>
        <v>104.4025843677102</v>
      </c>
      <c r="T36" s="406">
        <v>62.704663933695528</v>
      </c>
      <c r="U36" s="406">
        <v>62.933742328475617</v>
      </c>
      <c r="V36" s="405">
        <f t="shared" si="6"/>
        <v>109.08760035711559</v>
      </c>
      <c r="W36" s="406">
        <v>64.987283442545618</v>
      </c>
      <c r="X36" s="406">
        <v>65.80709048708313</v>
      </c>
      <c r="Y36" s="405">
        <f t="shared" si="7"/>
        <v>114.06818222013322</v>
      </c>
      <c r="Z36" s="406">
        <v>66.864480717568398</v>
      </c>
      <c r="AA36" s="406">
        <v>67.95574008225428</v>
      </c>
      <c r="AB36" s="442">
        <f t="shared" si="8"/>
        <v>116.54423076640612</v>
      </c>
      <c r="AC36" s="438">
        <f t="shared" si="9"/>
        <v>120.02879386059398</v>
      </c>
      <c r="AD36" s="410"/>
      <c r="AE36" s="411"/>
      <c r="AF36" s="411"/>
      <c r="AG36" s="411"/>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25"/>
      <c r="BK36" s="25"/>
      <c r="BL36" s="25"/>
      <c r="BM36" s="25"/>
    </row>
    <row r="37" spans="1:65" x14ac:dyDescent="0.2">
      <c r="A37" s="159" t="s">
        <v>1313</v>
      </c>
      <c r="B37" s="18" t="str">
        <f>VLOOKUP(LEFT(A37,7),'Tariff Schedule Lookup Table'!$A$8:$G$186,2,FALSE)</f>
        <v>Fluorescent 2x26</v>
      </c>
      <c r="C37" s="160">
        <f t="shared" si="0"/>
        <v>10</v>
      </c>
      <c r="D37" s="18">
        <f t="shared" si="1"/>
        <v>2</v>
      </c>
      <c r="E37" s="18" t="str">
        <f>VLOOKUP(C37,'Tariff Schedule Lookup Table'!I$7:L$286,2,FALSE)</f>
        <v>MERCURY VAPOUR 80W</v>
      </c>
      <c r="F37" s="18" t="str">
        <f>IF(E37 = "BULKHEADS ETC", "SHARED OR NO POLE", VLOOKUP(C37,'Tariff Schedule Lookup Table'!I$7:L$286,3,FALSE))</f>
        <v>SHARED OR NO POLE</v>
      </c>
      <c r="G37" s="18">
        <f>IF(E37 = "NO CAPITAL", 1, VLOOKUP(C37,'Tariff Schedule Lookup Table'!I$7:L$286,4,FALSE))</f>
        <v>1</v>
      </c>
      <c r="H37" s="18" t="str">
        <f t="shared" si="2"/>
        <v>2-Unmetered, Funded by Others, CE Maintained</v>
      </c>
      <c r="I37" s="123">
        <f>VLOOKUP(F37,'Maintenance Model'!$A$57:$B$61,2,FALSE)</f>
        <v>0</v>
      </c>
      <c r="J37" s="123">
        <f>IF(D37=1,VLOOKUP(C37,'Capital Code Schedules'!A$15:F$300,2,FALSE),IF(D37=2,VLOOKUP(C37,'Capital Code Schedules'!A$15:F$300,3,FALSE),0))</f>
        <v>0</v>
      </c>
      <c r="K37" s="123">
        <v>0</v>
      </c>
      <c r="L37" s="123">
        <f>VLOOKUP(LEFT(A37,10),'Streetlight Tariff Schedule'!B$11:G$260,6, FALSE)+I37</f>
        <v>100.46765101656581</v>
      </c>
      <c r="M37" s="161">
        <f t="shared" si="3"/>
        <v>100.46765101656581</v>
      </c>
      <c r="N37" s="405">
        <f t="shared" si="4"/>
        <v>104.65399964023685</v>
      </c>
      <c r="O37" s="405">
        <v>62.614856473953715</v>
      </c>
      <c r="P37" s="406">
        <v>62.614856473953715</v>
      </c>
      <c r="Q37" s="406">
        <v>65.679156312461913</v>
      </c>
      <c r="R37" s="406">
        <v>65.679156312461913</v>
      </c>
      <c r="S37" s="405">
        <f t="shared" si="5"/>
        <v>109.77564731709792</v>
      </c>
      <c r="T37" s="406">
        <v>68.376677096873706</v>
      </c>
      <c r="U37" s="406">
        <v>68.626477007233035</v>
      </c>
      <c r="V37" s="405">
        <f t="shared" si="6"/>
        <v>114.70177693393327</v>
      </c>
      <c r="W37" s="406">
        <v>70.865773239015624</v>
      </c>
      <c r="X37" s="406">
        <v>71.759736750651044</v>
      </c>
      <c r="Y37" s="405">
        <f t="shared" si="7"/>
        <v>119.93868367661405</v>
      </c>
      <c r="Z37" s="406">
        <v>72.912774273214453</v>
      </c>
      <c r="AA37" s="406">
        <v>74.102744596426234</v>
      </c>
      <c r="AB37" s="442">
        <f t="shared" si="8"/>
        <v>122.54216168055252</v>
      </c>
      <c r="AC37" s="438">
        <f t="shared" si="9"/>
        <v>126.20605727852441</v>
      </c>
      <c r="AD37" s="410"/>
      <c r="AE37" s="411"/>
      <c r="AF37" s="411"/>
      <c r="AG37" s="411"/>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25"/>
      <c r="BK37" s="25"/>
      <c r="BL37" s="25"/>
      <c r="BM37" s="25"/>
    </row>
    <row r="38" spans="1:65" x14ac:dyDescent="0.2">
      <c r="A38" s="159" t="s">
        <v>1314</v>
      </c>
      <c r="B38" s="18" t="str">
        <f>VLOOKUP(LEFT(A38,7),'Tariff Schedule Lookup Table'!$A$8:$G$186,2,FALSE)</f>
        <v>Fluorescent 40</v>
      </c>
      <c r="C38" s="160">
        <f t="shared" si="0"/>
        <v>10</v>
      </c>
      <c r="D38" s="18">
        <f t="shared" si="1"/>
        <v>1</v>
      </c>
      <c r="E38" s="18" t="str">
        <f>VLOOKUP(C38,'Tariff Schedule Lookup Table'!I$7:L$286,2,FALSE)</f>
        <v>MERCURY VAPOUR 80W</v>
      </c>
      <c r="F38" s="18" t="str">
        <f>IF(E38 = "BULKHEADS ETC", "SHARED OR NO POLE", VLOOKUP(C38,'Tariff Schedule Lookup Table'!I$7:L$286,3,FALSE))</f>
        <v>SHARED OR NO POLE</v>
      </c>
      <c r="G38" s="18">
        <f>IF(E38 = "NO CAPITAL", 1, VLOOKUP(C38,'Tariff Schedule Lookup Table'!I$7:L$286,4,FALSE))</f>
        <v>1</v>
      </c>
      <c r="H38" s="18" t="str">
        <f t="shared" si="2"/>
        <v>1-Unmetered, CE Funded, CE Maintained</v>
      </c>
      <c r="I38" s="123">
        <f>VLOOKUP(F38,'Maintenance Model'!$A$57:$B$61,2,FALSE)</f>
        <v>0</v>
      </c>
      <c r="J38" s="123">
        <f>IF(D38=1,VLOOKUP(C38,'Capital Code Schedules'!A$15:F$300,2,FALSE),IF(D38=2,VLOOKUP(C38,'Capital Code Schedules'!A$15:F$300,3,FALSE),0))</f>
        <v>17.255027166785979</v>
      </c>
      <c r="K38" s="123">
        <v>21.887497717034414</v>
      </c>
      <c r="L38" s="123">
        <f>VLOOKUP(LEFT(A38,10),'Streetlight Tariff Schedule'!B$11:G$260,6, FALSE)+I38</f>
        <v>94.619982708265809</v>
      </c>
      <c r="M38" s="161">
        <f t="shared" si="3"/>
        <v>116.50748042530023</v>
      </c>
      <c r="N38" s="405">
        <f t="shared" si="4"/>
        <v>116.24475613785701</v>
      </c>
      <c r="O38" s="405">
        <v>79.860459140097134</v>
      </c>
      <c r="P38" s="406">
        <v>78.867502312904321</v>
      </c>
      <c r="Q38" s="406">
        <v>82.184650996514478</v>
      </c>
      <c r="R38" s="406">
        <v>83.202183505180315</v>
      </c>
      <c r="S38" s="405">
        <f t="shared" si="5"/>
        <v>121.50593263279322</v>
      </c>
      <c r="T38" s="406">
        <v>85.184940401043534</v>
      </c>
      <c r="U38" s="406">
        <v>86.542822545077556</v>
      </c>
      <c r="V38" s="405">
        <f t="shared" si="6"/>
        <v>126.66175143419206</v>
      </c>
      <c r="W38" s="406">
        <v>88.011444304768219</v>
      </c>
      <c r="X38" s="406">
        <v>90.203858396301825</v>
      </c>
      <c r="Y38" s="405">
        <f t="shared" si="7"/>
        <v>132.22561159810564</v>
      </c>
      <c r="Z38" s="406">
        <v>90.453890848676323</v>
      </c>
      <c r="AA38" s="406">
        <v>93.043142125242127</v>
      </c>
      <c r="AB38" s="442">
        <f t="shared" si="8"/>
        <v>135.01667049491033</v>
      </c>
      <c r="AC38" s="438">
        <f t="shared" si="9"/>
        <v>139.03787499186714</v>
      </c>
      <c r="AD38" s="410"/>
      <c r="AE38" s="411"/>
      <c r="AF38" s="411"/>
      <c r="AG38" s="411"/>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25"/>
      <c r="BK38" s="25"/>
      <c r="BL38" s="25"/>
      <c r="BM38" s="25"/>
    </row>
    <row r="39" spans="1:65" x14ac:dyDescent="0.2">
      <c r="A39" s="159" t="s">
        <v>1315</v>
      </c>
      <c r="B39" s="18" t="str">
        <f>VLOOKUP(LEFT(A39,7),'Tariff Schedule Lookup Table'!$A$8:$G$186,2,FALSE)</f>
        <v>Fluorescent 40</v>
      </c>
      <c r="C39" s="160">
        <f t="shared" si="0"/>
        <v>10</v>
      </c>
      <c r="D39" s="18">
        <f t="shared" si="1"/>
        <v>2</v>
      </c>
      <c r="E39" s="18" t="str">
        <f>VLOOKUP(C39,'Tariff Schedule Lookup Table'!I$7:L$286,2,FALSE)</f>
        <v>MERCURY VAPOUR 80W</v>
      </c>
      <c r="F39" s="18" t="str">
        <f>IF(E39 = "BULKHEADS ETC", "SHARED OR NO POLE", VLOOKUP(C39,'Tariff Schedule Lookup Table'!I$7:L$286,3,FALSE))</f>
        <v>SHARED OR NO POLE</v>
      </c>
      <c r="G39" s="18">
        <f>IF(E39 = "NO CAPITAL", 1, VLOOKUP(C39,'Tariff Schedule Lookup Table'!I$7:L$286,4,FALSE))</f>
        <v>1</v>
      </c>
      <c r="H39" s="18" t="str">
        <f t="shared" si="2"/>
        <v>2-Unmetered, Funded by Others, CE Maintained</v>
      </c>
      <c r="I39" s="123">
        <f>VLOOKUP(F39,'Maintenance Model'!$A$57:$B$61,2,FALSE)</f>
        <v>0</v>
      </c>
      <c r="J39" s="123">
        <f>IF(D39=1,VLOOKUP(C39,'Capital Code Schedules'!A$15:F$300,2,FALSE),IF(D39=2,VLOOKUP(C39,'Capital Code Schedules'!A$15:F$300,3,FALSE),0))</f>
        <v>0</v>
      </c>
      <c r="K39" s="123">
        <v>0</v>
      </c>
      <c r="L39" s="123">
        <f>VLOOKUP(LEFT(A39,10),'Streetlight Tariff Schedule'!B$11:G$260,6, FALSE)+I39</f>
        <v>94.619982708265809</v>
      </c>
      <c r="M39" s="161">
        <f t="shared" si="3"/>
        <v>94.619982708265809</v>
      </c>
      <c r="N39" s="405">
        <f t="shared" si="4"/>
        <v>98.562667048693072</v>
      </c>
      <c r="O39" s="405">
        <v>56.438289027373287</v>
      </c>
      <c r="P39" s="406">
        <v>56.438289027373287</v>
      </c>
      <c r="Q39" s="406">
        <v>59.200314682166564</v>
      </c>
      <c r="R39" s="406">
        <v>59.200314682166564</v>
      </c>
      <c r="S39" s="405">
        <f t="shared" si="5"/>
        <v>103.38621183867248</v>
      </c>
      <c r="T39" s="406">
        <v>61.63174176291551</v>
      </c>
      <c r="U39" s="406">
        <v>61.856900460607903</v>
      </c>
      <c r="V39" s="405">
        <f t="shared" si="6"/>
        <v>108.02561859743886</v>
      </c>
      <c r="W39" s="406">
        <v>63.875304000346524</v>
      </c>
      <c r="X39" s="406">
        <v>64.681083553168662</v>
      </c>
      <c r="Y39" s="405">
        <f t="shared" si="7"/>
        <v>112.95771385818654</v>
      </c>
      <c r="Z39" s="406">
        <v>65.720381071720183</v>
      </c>
      <c r="AA39" s="406">
        <v>66.792968199079667</v>
      </c>
      <c r="AB39" s="442">
        <f t="shared" si="8"/>
        <v>115.40965775476863</v>
      </c>
      <c r="AC39" s="438">
        <f t="shared" si="9"/>
        <v>118.86029818098731</v>
      </c>
      <c r="AD39" s="410"/>
      <c r="AE39" s="411"/>
      <c r="AF39" s="411"/>
      <c r="AG39" s="411"/>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25"/>
      <c r="BK39" s="25"/>
      <c r="BL39" s="25"/>
      <c r="BM39" s="25"/>
    </row>
    <row r="40" spans="1:65" x14ac:dyDescent="0.2">
      <c r="A40" s="159" t="s">
        <v>1316</v>
      </c>
      <c r="B40" s="18" t="str">
        <f>VLOOKUP(LEFT(A40,7),'Tariff Schedule Lookup Table'!$A$8:$G$186,2,FALSE)</f>
        <v>Fluorescent 40</v>
      </c>
      <c r="C40" s="160">
        <f t="shared" si="0"/>
        <v>110</v>
      </c>
      <c r="D40" s="18">
        <f t="shared" si="1"/>
        <v>1</v>
      </c>
      <c r="E40" s="18" t="str">
        <f>VLOOKUP(C40,'Tariff Schedule Lookup Table'!I$7:L$286,2,FALSE)</f>
        <v>BULKHEADS ETC</v>
      </c>
      <c r="F40" s="18" t="str">
        <f>IF(E40 = "BULKHEADS ETC", "SHARED OR NO POLE", VLOOKUP(C40,'Tariff Schedule Lookup Table'!I$7:L$286,3,FALSE))</f>
        <v>SHARED OR NO POLE</v>
      </c>
      <c r="G40" s="18">
        <f>IF(E40 = "NO CAPITAL", 1, VLOOKUP(C40,'Tariff Schedule Lookup Table'!I$7:L$286,4,FALSE))</f>
        <v>1</v>
      </c>
      <c r="H40" s="18" t="str">
        <f t="shared" si="2"/>
        <v>1-Unmetered, CE Funded, CE Maintained</v>
      </c>
      <c r="I40" s="123">
        <f>VLOOKUP(F40,'Maintenance Model'!$A$57:$B$61,2,FALSE)</f>
        <v>0</v>
      </c>
      <c r="J40" s="123">
        <f>IF(D40=1,VLOOKUP(C40,'Capital Code Schedules'!A$15:F$300,2,FALSE),IF(D40=2,VLOOKUP(C40,'Capital Code Schedules'!A$15:F$300,3,FALSE),0))</f>
        <v>8.1913367400317085</v>
      </c>
      <c r="K40" s="123">
        <v>10.390471279118792</v>
      </c>
      <c r="L40" s="123">
        <f>VLOOKUP(LEFT(A40,10),'Streetlight Tariff Schedule'!B$11:G$260,6, FALSE)+I40</f>
        <v>94.619982708265809</v>
      </c>
      <c r="M40" s="161">
        <f t="shared" si="3"/>
        <v>105.01045398738461</v>
      </c>
      <c r="N40" s="405">
        <f t="shared" si="4"/>
        <v>106.95673937304058</v>
      </c>
      <c r="O40" s="405">
        <v>67.557302676041118</v>
      </c>
      <c r="P40" s="406">
        <v>67.085924470650284</v>
      </c>
      <c r="Q40" s="406">
        <v>70.11147910266466</v>
      </c>
      <c r="R40" s="406">
        <v>70.594523918638927</v>
      </c>
      <c r="S40" s="405">
        <f t="shared" si="5"/>
        <v>111.98803745304758</v>
      </c>
      <c r="T40" s="406">
        <v>72.812957502820922</v>
      </c>
      <c r="U40" s="406">
        <v>73.575844660319717</v>
      </c>
      <c r="V40" s="405">
        <f t="shared" si="6"/>
        <v>116.87259624182366</v>
      </c>
      <c r="W40" s="406">
        <v>75.333254829814607</v>
      </c>
      <c r="X40" s="406">
        <v>76.797299961250715</v>
      </c>
      <c r="Y40" s="405">
        <f t="shared" si="7"/>
        <v>122.10460404471597</v>
      </c>
      <c r="Z40" s="406">
        <v>77.461916184217614</v>
      </c>
      <c r="AA40" s="406">
        <v>79.254496774792045</v>
      </c>
      <c r="AB40" s="442">
        <f t="shared" si="8"/>
        <v>124.71753320858099</v>
      </c>
      <c r="AC40" s="438">
        <f t="shared" si="9"/>
        <v>128.43903281050561</v>
      </c>
      <c r="AD40" s="410"/>
      <c r="AE40" s="411"/>
      <c r="AF40" s="411"/>
      <c r="AG40" s="411"/>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25"/>
      <c r="BK40" s="25"/>
      <c r="BL40" s="25"/>
      <c r="BM40" s="25"/>
    </row>
    <row r="41" spans="1:65" x14ac:dyDescent="0.2">
      <c r="A41" s="159" t="s">
        <v>1317</v>
      </c>
      <c r="B41" s="18" t="str">
        <f>VLOOKUP(LEFT(A41,7),'Tariff Schedule Lookup Table'!$A$8:$G$186,2,FALSE)</f>
        <v>Fluorescent 40</v>
      </c>
      <c r="C41" s="160">
        <f t="shared" si="0"/>
        <v>110</v>
      </c>
      <c r="D41" s="18">
        <f t="shared" si="1"/>
        <v>2</v>
      </c>
      <c r="E41" s="18" t="str">
        <f>VLOOKUP(C41,'Tariff Schedule Lookup Table'!I$7:L$286,2,FALSE)</f>
        <v>BULKHEADS ETC</v>
      </c>
      <c r="F41" s="18" t="str">
        <f>IF(E41 = "BULKHEADS ETC", "SHARED OR NO POLE", VLOOKUP(C41,'Tariff Schedule Lookup Table'!I$7:L$286,3,FALSE))</f>
        <v>SHARED OR NO POLE</v>
      </c>
      <c r="G41" s="18">
        <f>IF(E41 = "NO CAPITAL", 1, VLOOKUP(C41,'Tariff Schedule Lookup Table'!I$7:L$286,4,FALSE))</f>
        <v>1</v>
      </c>
      <c r="H41" s="18" t="str">
        <f t="shared" si="2"/>
        <v>2-Unmetered, Funded by Others, CE Maintained</v>
      </c>
      <c r="I41" s="123">
        <f>VLOOKUP(F41,'Maintenance Model'!$A$57:$B$61,2,FALSE)</f>
        <v>0</v>
      </c>
      <c r="J41" s="123">
        <f>IF(D41=1,VLOOKUP(C41,'Capital Code Schedules'!A$15:F$300,2,FALSE),IF(D41=2,VLOOKUP(C41,'Capital Code Schedules'!A$15:F$300,3,FALSE),0))</f>
        <v>0</v>
      </c>
      <c r="K41" s="123">
        <v>0</v>
      </c>
      <c r="L41" s="123">
        <f>VLOOKUP(LEFT(A41,10),'Streetlight Tariff Schedule'!B$11:G$260,6, FALSE)+I41</f>
        <v>94.619982708265809</v>
      </c>
      <c r="M41" s="161">
        <f t="shared" si="3"/>
        <v>94.619982708265809</v>
      </c>
      <c r="N41" s="405">
        <f t="shared" si="4"/>
        <v>98.562667048693072</v>
      </c>
      <c r="O41" s="405">
        <v>56.438289027373287</v>
      </c>
      <c r="P41" s="406">
        <v>56.438289027373287</v>
      </c>
      <c r="Q41" s="406">
        <v>59.200314682166564</v>
      </c>
      <c r="R41" s="406">
        <v>59.200314682166564</v>
      </c>
      <c r="S41" s="405">
        <f t="shared" si="5"/>
        <v>103.38621183867248</v>
      </c>
      <c r="T41" s="406">
        <v>61.63174176291551</v>
      </c>
      <c r="U41" s="406">
        <v>61.856900460607903</v>
      </c>
      <c r="V41" s="405">
        <f t="shared" si="6"/>
        <v>108.02561859743886</v>
      </c>
      <c r="W41" s="406">
        <v>63.875304000346524</v>
      </c>
      <c r="X41" s="406">
        <v>64.681083553168662</v>
      </c>
      <c r="Y41" s="405">
        <f t="shared" si="7"/>
        <v>112.95771385818654</v>
      </c>
      <c r="Z41" s="406">
        <v>65.720381071720183</v>
      </c>
      <c r="AA41" s="406">
        <v>66.792968199079667</v>
      </c>
      <c r="AB41" s="442">
        <f t="shared" si="8"/>
        <v>115.40965775476863</v>
      </c>
      <c r="AC41" s="438">
        <f t="shared" si="9"/>
        <v>118.86029818098731</v>
      </c>
      <c r="AD41" s="410"/>
      <c r="AE41" s="411"/>
      <c r="AF41" s="411"/>
      <c r="AG41" s="411"/>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25"/>
      <c r="BK41" s="25"/>
      <c r="BL41" s="25"/>
      <c r="BM41" s="25"/>
    </row>
    <row r="42" spans="1:65" x14ac:dyDescent="0.2">
      <c r="A42" s="159" t="s">
        <v>1318</v>
      </c>
      <c r="B42" s="18" t="str">
        <f>VLOOKUP(LEFT(A42,7),'Tariff Schedule Lookup Table'!$A$8:$G$186,2,FALSE)</f>
        <v>Fluorescent 40</v>
      </c>
      <c r="C42" s="160">
        <f t="shared" si="0"/>
        <v>740</v>
      </c>
      <c r="D42" s="18">
        <f t="shared" si="1"/>
        <v>1</v>
      </c>
      <c r="E42" s="18" t="str">
        <f>VLOOKUP(C42,'Tariff Schedule Lookup Table'!I$7:L$286,2,FALSE)</f>
        <v>MERCURY VAPOUR 80W</v>
      </c>
      <c r="F42" s="18" t="str">
        <f>IF(E42 = "BULKHEADS ETC", "SHARED OR NO POLE", VLOOKUP(C42,'Tariff Schedule Lookup Table'!I$7:L$286,3,FALSE))</f>
        <v>SHARED OR NO POLE</v>
      </c>
      <c r="G42" s="18">
        <f>IF(E42 = "NO CAPITAL", 1, VLOOKUP(C42,'Tariff Schedule Lookup Table'!I$7:L$286,4,FALSE))</f>
        <v>2</v>
      </c>
      <c r="H42" s="18" t="str">
        <f t="shared" si="2"/>
        <v>1-Unmetered, CE Funded, CE Maintained</v>
      </c>
      <c r="I42" s="123">
        <f>VLOOKUP(F42,'Maintenance Model'!$A$57:$B$61,2,FALSE)</f>
        <v>0</v>
      </c>
      <c r="J42" s="123">
        <f>IF(D42=1,VLOOKUP(C42,'Capital Code Schedules'!A$15:F$300,2,FALSE),IF(D42=2,VLOOKUP(C42,'Capital Code Schedules'!A$15:F$300,3,FALSE),0))</f>
        <v>23.919781035330548</v>
      </c>
      <c r="K42" s="123">
        <v>30.34154323503618</v>
      </c>
      <c r="L42" s="123">
        <f>VLOOKUP(LEFT(A42,10),'Streetlight Tariff Schedule'!B$11:G$260,6, FALSE)+I42</f>
        <v>94.619982708265809</v>
      </c>
      <c r="M42" s="161">
        <f t="shared" si="3"/>
        <v>124.96152594330199</v>
      </c>
      <c r="N42" s="405">
        <f t="shared" si="4"/>
        <v>123.07446266464805</v>
      </c>
      <c r="O42" s="405">
        <v>88.907271837614431</v>
      </c>
      <c r="P42" s="406">
        <v>87.530785457476625</v>
      </c>
      <c r="Q42" s="406">
        <v>91.062350398914958</v>
      </c>
      <c r="R42" s="406">
        <v>92.472904816961176</v>
      </c>
      <c r="S42" s="405">
        <f t="shared" si="5"/>
        <v>128.50467439612234</v>
      </c>
      <c r="T42" s="406">
        <v>94.282362863653418</v>
      </c>
      <c r="U42" s="406">
        <v>96.077759414244156</v>
      </c>
      <c r="V42" s="405">
        <f t="shared" si="6"/>
        <v>133.85995733777605</v>
      </c>
      <c r="W42" s="406">
        <v>97.334027973327693</v>
      </c>
      <c r="X42" s="406">
        <v>100.06202962533318</v>
      </c>
      <c r="Y42" s="405">
        <f t="shared" si="7"/>
        <v>139.66783668182114</v>
      </c>
      <c r="Z42" s="406">
        <v>100.00720846303265</v>
      </c>
      <c r="AA42" s="406">
        <v>103.18227123430087</v>
      </c>
      <c r="AB42" s="442">
        <f t="shared" si="8"/>
        <v>142.58987874009921</v>
      </c>
      <c r="AC42" s="438">
        <f t="shared" si="9"/>
        <v>146.83146359699103</v>
      </c>
      <c r="AD42" s="410"/>
      <c r="AE42" s="411"/>
      <c r="AF42" s="411"/>
      <c r="AG42" s="411"/>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25"/>
      <c r="BK42" s="25"/>
      <c r="BL42" s="25"/>
      <c r="BM42" s="25"/>
    </row>
    <row r="43" spans="1:65" x14ac:dyDescent="0.2">
      <c r="A43" s="159" t="s">
        <v>1319</v>
      </c>
      <c r="B43" s="18" t="str">
        <f>VLOOKUP(LEFT(A43,7),'Tariff Schedule Lookup Table'!$A$8:$G$186,2,FALSE)</f>
        <v>Fluorescent 40</v>
      </c>
      <c r="C43" s="160">
        <f t="shared" si="0"/>
        <v>740</v>
      </c>
      <c r="D43" s="18">
        <f t="shared" si="1"/>
        <v>2</v>
      </c>
      <c r="E43" s="18" t="str">
        <f>VLOOKUP(C43,'Tariff Schedule Lookup Table'!I$7:L$286,2,FALSE)</f>
        <v>MERCURY VAPOUR 80W</v>
      </c>
      <c r="F43" s="18" t="str">
        <f>IF(E43 = "BULKHEADS ETC", "SHARED OR NO POLE", VLOOKUP(C43,'Tariff Schedule Lookup Table'!I$7:L$286,3,FALSE))</f>
        <v>SHARED OR NO POLE</v>
      </c>
      <c r="G43" s="18">
        <f>IF(E43 = "NO CAPITAL", 1, VLOOKUP(C43,'Tariff Schedule Lookup Table'!I$7:L$286,4,FALSE))</f>
        <v>2</v>
      </c>
      <c r="H43" s="18" t="str">
        <f t="shared" si="2"/>
        <v>2-Unmetered, Funded by Others, CE Maintained</v>
      </c>
      <c r="I43" s="123">
        <f>VLOOKUP(F43,'Maintenance Model'!$A$57:$B$61,2,FALSE)</f>
        <v>0</v>
      </c>
      <c r="J43" s="123">
        <f>IF(D43=1,VLOOKUP(C43,'Capital Code Schedules'!A$15:F$300,2,FALSE),IF(D43=2,VLOOKUP(C43,'Capital Code Schedules'!A$15:F$300,3,FALSE),0))</f>
        <v>0</v>
      </c>
      <c r="K43" s="123">
        <v>0</v>
      </c>
      <c r="L43" s="123">
        <f>VLOOKUP(LEFT(A43,10),'Streetlight Tariff Schedule'!B$11:G$260,6, FALSE)+I43</f>
        <v>94.619982708265809</v>
      </c>
      <c r="M43" s="161">
        <f t="shared" si="3"/>
        <v>94.619982708265809</v>
      </c>
      <c r="N43" s="405">
        <f t="shared" si="4"/>
        <v>98.562667048693072</v>
      </c>
      <c r="O43" s="405">
        <v>56.438289027373287</v>
      </c>
      <c r="P43" s="406">
        <v>56.438289027373287</v>
      </c>
      <c r="Q43" s="406">
        <v>59.200314682166564</v>
      </c>
      <c r="R43" s="406">
        <v>59.200314682166564</v>
      </c>
      <c r="S43" s="405">
        <f t="shared" si="5"/>
        <v>103.38621183867248</v>
      </c>
      <c r="T43" s="406">
        <v>61.63174176291551</v>
      </c>
      <c r="U43" s="406">
        <v>61.856900460607903</v>
      </c>
      <c r="V43" s="405">
        <f t="shared" si="6"/>
        <v>108.02561859743886</v>
      </c>
      <c r="W43" s="406">
        <v>63.875304000346524</v>
      </c>
      <c r="X43" s="406">
        <v>64.681083553168662</v>
      </c>
      <c r="Y43" s="405">
        <f t="shared" si="7"/>
        <v>112.95771385818654</v>
      </c>
      <c r="Z43" s="406">
        <v>65.720381071720183</v>
      </c>
      <c r="AA43" s="406">
        <v>66.792968199079667</v>
      </c>
      <c r="AB43" s="442">
        <f t="shared" si="8"/>
        <v>115.40965775476863</v>
      </c>
      <c r="AC43" s="438">
        <f t="shared" si="9"/>
        <v>118.86029818098731</v>
      </c>
      <c r="AD43" s="410"/>
      <c r="AE43" s="411"/>
      <c r="AF43" s="411"/>
      <c r="AG43" s="411"/>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25"/>
      <c r="BK43" s="25"/>
      <c r="BL43" s="25"/>
      <c r="BM43" s="25"/>
    </row>
    <row r="44" spans="1:65" x14ac:dyDescent="0.2">
      <c r="A44" s="159" t="s">
        <v>1320</v>
      </c>
      <c r="B44" s="18" t="str">
        <f>VLOOKUP(LEFT(A44,7),'Tariff Schedule Lookup Table'!$A$8:$G$186,2,FALSE)</f>
        <v>Fluorescent 40</v>
      </c>
      <c r="C44" s="160">
        <f t="shared" si="0"/>
        <v>810</v>
      </c>
      <c r="D44" s="18">
        <f t="shared" si="1"/>
        <v>1</v>
      </c>
      <c r="E44" s="18" t="str">
        <f>VLOOKUP(C44,'Tariff Schedule Lookup Table'!I$7:L$286,2,FALSE)</f>
        <v>MERCURY VAPOUR 80W</v>
      </c>
      <c r="F44" s="18" t="str">
        <f>IF(E44 = "BULKHEADS ETC", "SHARED OR NO POLE", VLOOKUP(C44,'Tariff Schedule Lookup Table'!I$7:L$286,3,FALSE))</f>
        <v>WOOD POLE</v>
      </c>
      <c r="G44" s="18">
        <f>IF(E44 = "NO CAPITAL", 1, VLOOKUP(C44,'Tariff Schedule Lookup Table'!I$7:L$286,4,FALSE))</f>
        <v>1</v>
      </c>
      <c r="H44" s="18" t="str">
        <f t="shared" si="2"/>
        <v>1-Unmetered, CE Funded, CE Maintained</v>
      </c>
      <c r="I44" s="123">
        <f>VLOOKUP(F44,'Maintenance Model'!$A$57:$B$61,2,FALSE)</f>
        <v>10.731618231111112</v>
      </c>
      <c r="J44" s="123">
        <f>IF(D44=1,VLOOKUP(C44,'Capital Code Schedules'!A$15:F$300,2,FALSE),IF(D44=2,VLOOKUP(C44,'Capital Code Schedules'!A$15:F$300,3,FALSE),0))</f>
        <v>51.156145528662286</v>
      </c>
      <c r="K44" s="123">
        <v>64.890075665956445</v>
      </c>
      <c r="L44" s="123">
        <f>VLOOKUP(LEFT(A44,10),'Streetlight Tariff Schedule'!B$11:G$260,6, FALSE)+I44</f>
        <v>105.35160093937692</v>
      </c>
      <c r="M44" s="161">
        <f t="shared" si="3"/>
        <v>170.24167660533337</v>
      </c>
      <c r="N44" s="405">
        <f t="shared" si="4"/>
        <v>162.16371715918717</v>
      </c>
      <c r="O44" s="405">
        <v>136.27442282773325</v>
      </c>
      <c r="P44" s="406">
        <v>133.3305941414863</v>
      </c>
      <c r="Q44" s="406">
        <v>138.24717659985436</v>
      </c>
      <c r="R44" s="406">
        <v>141.2638650460859</v>
      </c>
      <c r="S44" s="405">
        <f t="shared" si="5"/>
        <v>168.83179015083579</v>
      </c>
      <c r="T44" s="406">
        <v>142.81299568179008</v>
      </c>
      <c r="U44" s="406">
        <v>146.43782580832212</v>
      </c>
      <c r="V44" s="405">
        <f t="shared" si="6"/>
        <v>175.5284013536986</v>
      </c>
      <c r="W44" s="406">
        <v>147.19808548932068</v>
      </c>
      <c r="X44" s="406">
        <v>152.26326224719219</v>
      </c>
      <c r="Y44" s="405">
        <f t="shared" si="7"/>
        <v>182.89288496962024</v>
      </c>
      <c r="Z44" s="406">
        <v>151.15406153274031</v>
      </c>
      <c r="AA44" s="406">
        <v>156.92069312455999</v>
      </c>
      <c r="AB44" s="442">
        <f t="shared" si="8"/>
        <v>186.62830118627787</v>
      </c>
      <c r="AC44" s="438">
        <f t="shared" si="9"/>
        <v>192.16186348342745</v>
      </c>
      <c r="AD44" s="410"/>
      <c r="AE44" s="411"/>
      <c r="AF44" s="411"/>
      <c r="AG44" s="411"/>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25"/>
      <c r="BK44" s="25"/>
      <c r="BL44" s="25"/>
      <c r="BM44" s="25"/>
    </row>
    <row r="45" spans="1:65" x14ac:dyDescent="0.2">
      <c r="A45" s="159" t="s">
        <v>1321</v>
      </c>
      <c r="B45" s="18" t="str">
        <f>VLOOKUP(LEFT(A45,7),'Tariff Schedule Lookup Table'!$A$8:$G$186,2,FALSE)</f>
        <v>Fluorescent 40</v>
      </c>
      <c r="C45" s="160">
        <f t="shared" si="0"/>
        <v>810</v>
      </c>
      <c r="D45" s="18">
        <f t="shared" si="1"/>
        <v>2</v>
      </c>
      <c r="E45" s="18" t="str">
        <f>VLOOKUP(C45,'Tariff Schedule Lookup Table'!I$7:L$286,2,FALSE)</f>
        <v>MERCURY VAPOUR 80W</v>
      </c>
      <c r="F45" s="18" t="str">
        <f>IF(E45 = "BULKHEADS ETC", "SHARED OR NO POLE", VLOOKUP(C45,'Tariff Schedule Lookup Table'!I$7:L$286,3,FALSE))</f>
        <v>WOOD POLE</v>
      </c>
      <c r="G45" s="18">
        <f>IF(E45 = "NO CAPITAL", 1, VLOOKUP(C45,'Tariff Schedule Lookup Table'!I$7:L$286,4,FALSE))</f>
        <v>1</v>
      </c>
      <c r="H45" s="18" t="str">
        <f t="shared" si="2"/>
        <v>2-Unmetered, Funded by Others, CE Maintained</v>
      </c>
      <c r="I45" s="123">
        <f>VLOOKUP(F45,'Maintenance Model'!$A$57:$B$61,2,FALSE)</f>
        <v>10.731618231111112</v>
      </c>
      <c r="J45" s="123">
        <f>IF(D45=1,VLOOKUP(C45,'Capital Code Schedules'!A$15:F$300,2,FALSE),IF(D45=2,VLOOKUP(C45,'Capital Code Schedules'!A$15:F$300,3,FALSE),0))</f>
        <v>0</v>
      </c>
      <c r="K45" s="123">
        <v>0</v>
      </c>
      <c r="L45" s="123">
        <f>VLOOKUP(LEFT(A45,10),'Streetlight Tariff Schedule'!B$11:G$260,6, FALSE)+I45</f>
        <v>105.35160093937692</v>
      </c>
      <c r="M45" s="161">
        <f t="shared" si="3"/>
        <v>105.35160093937692</v>
      </c>
      <c r="N45" s="405">
        <f t="shared" si="4"/>
        <v>109.74145702869048</v>
      </c>
      <c r="O45" s="405">
        <v>66.834489102797463</v>
      </c>
      <c r="P45" s="406">
        <v>66.834489102797463</v>
      </c>
      <c r="Q45" s="406">
        <v>70.105292961457948</v>
      </c>
      <c r="R45" s="406">
        <v>70.105292961457948</v>
      </c>
      <c r="S45" s="405">
        <f t="shared" si="5"/>
        <v>115.1120790821093</v>
      </c>
      <c r="T45" s="406">
        <v>72.984600423343352</v>
      </c>
      <c r="U45" s="406">
        <v>73.251234419282241</v>
      </c>
      <c r="V45" s="405">
        <f t="shared" si="6"/>
        <v>120.2776785195134</v>
      </c>
      <c r="W45" s="406">
        <v>75.641437448227379</v>
      </c>
      <c r="X45" s="406">
        <v>76.595645410063867</v>
      </c>
      <c r="Y45" s="405">
        <f t="shared" si="7"/>
        <v>125.76916263135618</v>
      </c>
      <c r="Z45" s="406">
        <v>77.826386452629976</v>
      </c>
      <c r="AA45" s="406">
        <v>79.096549207573503</v>
      </c>
      <c r="AB45" s="442">
        <f t="shared" si="8"/>
        <v>128.49920133486035</v>
      </c>
      <c r="AC45" s="438">
        <f t="shared" si="9"/>
        <v>132.34120682633372</v>
      </c>
      <c r="AD45" s="410"/>
      <c r="AE45" s="411"/>
      <c r="AF45" s="411"/>
      <c r="AG45" s="411"/>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25"/>
      <c r="BK45" s="25"/>
      <c r="BL45" s="25"/>
      <c r="BM45" s="25"/>
    </row>
    <row r="46" spans="1:65" x14ac:dyDescent="0.2">
      <c r="A46" s="159" t="s">
        <v>1322</v>
      </c>
      <c r="B46" s="18" t="str">
        <f>VLOOKUP(LEFT(A46,7),'Tariff Schedule Lookup Table'!$A$8:$G$186,2,FALSE)</f>
        <v>Fluorescent 40</v>
      </c>
      <c r="C46" s="160">
        <f t="shared" si="0"/>
        <v>820</v>
      </c>
      <c r="D46" s="18">
        <f t="shared" si="1"/>
        <v>2</v>
      </c>
      <c r="E46" s="18" t="str">
        <f>VLOOKUP(C46,'Tariff Schedule Lookup Table'!I$7:L$286,2,FALSE)</f>
        <v>MERCURY VAPOUR 80W</v>
      </c>
      <c r="F46" s="18" t="str">
        <f>IF(E46 = "BULKHEADS ETC", "SHARED OR NO POLE", VLOOKUP(C46,'Tariff Schedule Lookup Table'!I$7:L$286,3,FALSE))</f>
        <v>SHARED OR NO POLE</v>
      </c>
      <c r="G46" s="18">
        <f>IF(E46 = "NO CAPITAL", 1, VLOOKUP(C46,'Tariff Schedule Lookup Table'!I$7:L$286,4,FALSE))</f>
        <v>3</v>
      </c>
      <c r="H46" s="18" t="str">
        <f t="shared" si="2"/>
        <v>2-Unmetered, Funded by Others, CE Maintained</v>
      </c>
      <c r="I46" s="123">
        <f>VLOOKUP(F46,'Maintenance Model'!$A$57:$B$61,2,FALSE)</f>
        <v>0</v>
      </c>
      <c r="J46" s="123">
        <f>IF(D46=1,VLOOKUP(C46,'Capital Code Schedules'!A$15:F$300,2,FALSE),IF(D46=2,VLOOKUP(C46,'Capital Code Schedules'!A$15:F$300,3,FALSE),0))</f>
        <v>0</v>
      </c>
      <c r="K46" s="123">
        <v>0</v>
      </c>
      <c r="L46" s="123">
        <f>VLOOKUP(LEFT(A46,10),'Streetlight Tariff Schedule'!B$11:G$260,6, FALSE)+I46</f>
        <v>94.619982708265809</v>
      </c>
      <c r="M46" s="161">
        <f t="shared" si="3"/>
        <v>94.619982708265809</v>
      </c>
      <c r="N46" s="405">
        <f t="shared" si="4"/>
        <v>98.562667048693072</v>
      </c>
      <c r="O46" s="405">
        <v>56.438289027373287</v>
      </c>
      <c r="P46" s="406">
        <v>56.438289027373287</v>
      </c>
      <c r="Q46" s="406">
        <v>59.200314682166564</v>
      </c>
      <c r="R46" s="406">
        <v>59.200314682166564</v>
      </c>
      <c r="S46" s="405">
        <f t="shared" si="5"/>
        <v>103.38621183867248</v>
      </c>
      <c r="T46" s="406">
        <v>61.63174176291551</v>
      </c>
      <c r="U46" s="406">
        <v>61.856900460607903</v>
      </c>
      <c r="V46" s="405">
        <f t="shared" si="6"/>
        <v>108.02561859743886</v>
      </c>
      <c r="W46" s="406">
        <v>63.875304000346524</v>
      </c>
      <c r="X46" s="406">
        <v>64.681083553168662</v>
      </c>
      <c r="Y46" s="405">
        <f t="shared" si="7"/>
        <v>112.95771385818654</v>
      </c>
      <c r="Z46" s="406">
        <v>65.720381071720183</v>
      </c>
      <c r="AA46" s="406">
        <v>66.792968199079667</v>
      </c>
      <c r="AB46" s="442">
        <f t="shared" si="8"/>
        <v>115.40965775476863</v>
      </c>
      <c r="AC46" s="438">
        <f t="shared" si="9"/>
        <v>118.86029818098731</v>
      </c>
      <c r="AD46" s="410"/>
      <c r="AE46" s="411"/>
      <c r="AF46" s="411"/>
      <c r="AG46" s="411"/>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25"/>
      <c r="BK46" s="25"/>
      <c r="BL46" s="25"/>
      <c r="BM46" s="25"/>
    </row>
    <row r="47" spans="1:65" x14ac:dyDescent="0.2">
      <c r="A47" s="159" t="s">
        <v>1323</v>
      </c>
      <c r="B47" s="18" t="str">
        <f>VLOOKUP(LEFT(A47,7),'Tariff Schedule Lookup Table'!$A$8:$G$186,2,FALSE)</f>
        <v>Fluorescent 40</v>
      </c>
      <c r="C47" s="160">
        <f t="shared" si="0"/>
        <v>990</v>
      </c>
      <c r="D47" s="18">
        <f t="shared" si="1"/>
        <v>1</v>
      </c>
      <c r="E47" s="18" t="str">
        <f>VLOOKUP(C47,'Tariff Schedule Lookup Table'!I$7:L$286,2,FALSE)</f>
        <v>MERCURY VAPOUR 80W</v>
      </c>
      <c r="F47" s="18" t="str">
        <f>IF(E47 = "BULKHEADS ETC", "SHARED OR NO POLE", VLOOKUP(C47,'Tariff Schedule Lookup Table'!I$7:L$286,3,FALSE))</f>
        <v>STEEL POLE</v>
      </c>
      <c r="G47" s="18">
        <f>IF(E47 = "NO CAPITAL", 1, VLOOKUP(C47,'Tariff Schedule Lookup Table'!I$7:L$286,4,FALSE))</f>
        <v>1</v>
      </c>
      <c r="H47" s="18" t="str">
        <f t="shared" si="2"/>
        <v>1-Unmetered, CE Funded, CE Maintained</v>
      </c>
      <c r="I47" s="123">
        <f>VLOOKUP(F47,'Maintenance Model'!$A$57:$B$61,2,FALSE)</f>
        <v>9.9616182311111103</v>
      </c>
      <c r="J47" s="123">
        <f>IF(D47=1,VLOOKUP(C47,'Capital Code Schedules'!A$15:F$300,2,FALSE),IF(D47=2,VLOOKUP(C47,'Capital Code Schedules'!A$15:F$300,3,FALSE),0))</f>
        <v>86.253661186307269</v>
      </c>
      <c r="K47" s="123">
        <v>109.41024862221688</v>
      </c>
      <c r="L47" s="123">
        <f>VLOOKUP(LEFT(A47,10),'Streetlight Tariff Schedule'!B$11:G$260,6, FALSE)+I47</f>
        <v>104.58160093937693</v>
      </c>
      <c r="M47" s="161">
        <f t="shared" si="3"/>
        <v>213.99184956159382</v>
      </c>
      <c r="N47" s="405">
        <f t="shared" si="4"/>
        <v>197.32781149003387</v>
      </c>
      <c r="O47" s="405">
        <v>183.11410489618368</v>
      </c>
      <c r="P47" s="406">
        <v>178.15055653908922</v>
      </c>
      <c r="Q47" s="406">
        <v>184.15703154707177</v>
      </c>
      <c r="R47" s="406">
        <v>189.24342772600431</v>
      </c>
      <c r="S47" s="405">
        <f t="shared" si="5"/>
        <v>204.84679429664479</v>
      </c>
      <c r="T47" s="406">
        <v>189.84538790641537</v>
      </c>
      <c r="U47" s="406">
        <v>195.77102951834391</v>
      </c>
      <c r="V47" s="405">
        <f t="shared" si="6"/>
        <v>212.5560566113889</v>
      </c>
      <c r="W47" s="406">
        <v>195.38432290043889</v>
      </c>
      <c r="X47" s="406">
        <v>203.25852631877277</v>
      </c>
      <c r="Y47" s="405">
        <f t="shared" si="7"/>
        <v>221.16544249633529</v>
      </c>
      <c r="Z47" s="406">
        <v>200.52915410647259</v>
      </c>
      <c r="AA47" s="406">
        <v>209.36550674974001</v>
      </c>
      <c r="AB47" s="442">
        <f t="shared" si="8"/>
        <v>225.57068068923988</v>
      </c>
      <c r="AC47" s="438">
        <f t="shared" si="9"/>
        <v>232.23671576554338</v>
      </c>
      <c r="AD47" s="410"/>
      <c r="AE47" s="411"/>
      <c r="AF47" s="411"/>
      <c r="AG47" s="411"/>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25"/>
      <c r="BK47" s="25"/>
      <c r="BL47" s="25"/>
      <c r="BM47" s="25"/>
    </row>
    <row r="48" spans="1:65" x14ac:dyDescent="0.2">
      <c r="A48" s="159" t="s">
        <v>1324</v>
      </c>
      <c r="B48" s="18" t="str">
        <f>VLOOKUP(LEFT(A48,7),'Tariff Schedule Lookup Table'!$A$8:$G$186,2,FALSE)</f>
        <v>Fluorescent 40</v>
      </c>
      <c r="C48" s="160">
        <f t="shared" si="0"/>
        <v>990</v>
      </c>
      <c r="D48" s="18">
        <f t="shared" si="1"/>
        <v>2</v>
      </c>
      <c r="E48" s="18" t="str">
        <f>VLOOKUP(C48,'Tariff Schedule Lookup Table'!I$7:L$286,2,FALSE)</f>
        <v>MERCURY VAPOUR 80W</v>
      </c>
      <c r="F48" s="18" t="str">
        <f>IF(E48 = "BULKHEADS ETC", "SHARED OR NO POLE", VLOOKUP(C48,'Tariff Schedule Lookup Table'!I$7:L$286,3,FALSE))</f>
        <v>STEEL POLE</v>
      </c>
      <c r="G48" s="18">
        <f>IF(E48 = "NO CAPITAL", 1, VLOOKUP(C48,'Tariff Schedule Lookup Table'!I$7:L$286,4,FALSE))</f>
        <v>1</v>
      </c>
      <c r="H48" s="18" t="str">
        <f t="shared" si="2"/>
        <v>2-Unmetered, Funded by Others, CE Maintained</v>
      </c>
      <c r="I48" s="123">
        <f>VLOOKUP(F48,'Maintenance Model'!$A$57:$B$61,2,FALSE)</f>
        <v>9.9616182311111103</v>
      </c>
      <c r="J48" s="123">
        <f>IF(D48=1,VLOOKUP(C48,'Capital Code Schedules'!A$15:F$300,2,FALSE),IF(D48=2,VLOOKUP(C48,'Capital Code Schedules'!A$15:F$300,3,FALSE),0))</f>
        <v>0</v>
      </c>
      <c r="K48" s="123">
        <v>0</v>
      </c>
      <c r="L48" s="123">
        <f>VLOOKUP(LEFT(A48,10),'Streetlight Tariff Schedule'!B$11:G$260,6, FALSE)+I48</f>
        <v>104.58160093937693</v>
      </c>
      <c r="M48" s="161">
        <f t="shared" si="3"/>
        <v>104.58160093937693</v>
      </c>
      <c r="N48" s="405">
        <f t="shared" si="4"/>
        <v>108.93937218936549</v>
      </c>
      <c r="O48" s="405">
        <v>66.032404263472458</v>
      </c>
      <c r="P48" s="406">
        <v>66.032404263472458</v>
      </c>
      <c r="Q48" s="406">
        <v>69.263955002633494</v>
      </c>
      <c r="R48" s="406">
        <v>69.263955002633494</v>
      </c>
      <c r="S48" s="405">
        <f t="shared" si="5"/>
        <v>114.27074112328485</v>
      </c>
      <c r="T48" s="406">
        <v>72.108707717502256</v>
      </c>
      <c r="U48" s="406">
        <v>72.372141822357037</v>
      </c>
      <c r="V48" s="405">
        <f t="shared" si="6"/>
        <v>119.3985859225882</v>
      </c>
      <c r="W48" s="406">
        <v>74.733659876850183</v>
      </c>
      <c r="X48" s="406">
        <v>75.676416329891936</v>
      </c>
      <c r="Y48" s="405">
        <f t="shared" si="7"/>
        <v>124.84993355118426</v>
      </c>
      <c r="Z48" s="406">
        <v>76.892387173050068</v>
      </c>
      <c r="AA48" s="406">
        <v>78.147306626176047</v>
      </c>
      <c r="AB48" s="442">
        <f t="shared" si="8"/>
        <v>127.56001878665418</v>
      </c>
      <c r="AC48" s="438">
        <f t="shared" si="9"/>
        <v>131.37394360159243</v>
      </c>
      <c r="AD48" s="410"/>
      <c r="AE48" s="411"/>
      <c r="AF48" s="411"/>
      <c r="AG48" s="411"/>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25"/>
      <c r="BK48" s="25"/>
      <c r="BL48" s="25"/>
      <c r="BM48" s="25"/>
    </row>
    <row r="49" spans="1:65" x14ac:dyDescent="0.2">
      <c r="A49" s="159" t="s">
        <v>1325</v>
      </c>
      <c r="B49" s="18" t="str">
        <f>VLOOKUP(LEFT(A49,7),'Tariff Schedule Lookup Table'!$A$8:$G$186,2,FALSE)</f>
        <v>Fluorescent 2x40</v>
      </c>
      <c r="C49" s="160">
        <f t="shared" si="0"/>
        <v>10</v>
      </c>
      <c r="D49" s="18">
        <f t="shared" si="1"/>
        <v>1</v>
      </c>
      <c r="E49" s="18" t="str">
        <f>VLOOKUP(C49,'Tariff Schedule Lookup Table'!I$7:L$286,2,FALSE)</f>
        <v>MERCURY VAPOUR 80W</v>
      </c>
      <c r="F49" s="18" t="str">
        <f>IF(E49 = "BULKHEADS ETC", "SHARED OR NO POLE", VLOOKUP(C49,'Tariff Schedule Lookup Table'!I$7:L$286,3,FALSE))</f>
        <v>SHARED OR NO POLE</v>
      </c>
      <c r="G49" s="18">
        <f>IF(E49 = "NO CAPITAL", 1, VLOOKUP(C49,'Tariff Schedule Lookup Table'!I$7:L$286,4,FALSE))</f>
        <v>1</v>
      </c>
      <c r="H49" s="18" t="str">
        <f t="shared" si="2"/>
        <v>1-Unmetered, CE Funded, CE Maintained</v>
      </c>
      <c r="I49" s="123">
        <f>VLOOKUP(F49,'Maintenance Model'!$A$57:$B$61,2,FALSE)</f>
        <v>0</v>
      </c>
      <c r="J49" s="123">
        <f>IF(D49=1,VLOOKUP(C49,'Capital Code Schedules'!A$15:F$300,2,FALSE),IF(D49=2,VLOOKUP(C49,'Capital Code Schedules'!A$15:F$300,3,FALSE),0))</f>
        <v>17.255027166785979</v>
      </c>
      <c r="K49" s="123">
        <v>21.887497717034414</v>
      </c>
      <c r="L49" s="123">
        <f>VLOOKUP(LEFT(A49,10),'Streetlight Tariff Schedule'!B$11:G$260,6, FALSE)+I49</f>
        <v>98.624388842565807</v>
      </c>
      <c r="M49" s="161">
        <f t="shared" si="3"/>
        <v>120.51188655960021</v>
      </c>
      <c r="N49" s="405">
        <f t="shared" si="4"/>
        <v>120.41602035970382</v>
      </c>
      <c r="O49" s="405">
        <v>84.090091066534967</v>
      </c>
      <c r="P49" s="406">
        <v>83.097134239342125</v>
      </c>
      <c r="Q49" s="406">
        <v>86.621276297352566</v>
      </c>
      <c r="R49" s="406">
        <v>87.638808806018432</v>
      </c>
      <c r="S49" s="405">
        <f t="shared" si="5"/>
        <v>125.88133377998295</v>
      </c>
      <c r="T49" s="406">
        <v>89.803783160716236</v>
      </c>
      <c r="U49" s="406">
        <v>91.178539282198685</v>
      </c>
      <c r="V49" s="405">
        <f t="shared" si="6"/>
        <v>131.23349661308168</v>
      </c>
      <c r="W49" s="406">
        <v>92.798425444110535</v>
      </c>
      <c r="X49" s="406">
        <v>95.051226747606506</v>
      </c>
      <c r="Y49" s="405">
        <f t="shared" si="7"/>
        <v>137.00608765975167</v>
      </c>
      <c r="Z49" s="406">
        <v>95.379146854643949</v>
      </c>
      <c r="AA49" s="406">
        <v>98.048780595596071</v>
      </c>
      <c r="AB49" s="442">
        <f t="shared" si="8"/>
        <v>139.90091511473403</v>
      </c>
      <c r="AC49" s="438">
        <f t="shared" si="9"/>
        <v>144.06815394074599</v>
      </c>
      <c r="AD49" s="410"/>
      <c r="AE49" s="411"/>
      <c r="AF49" s="411"/>
      <c r="AG49" s="411"/>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25"/>
      <c r="BK49" s="25"/>
      <c r="BL49" s="25"/>
      <c r="BM49" s="25"/>
    </row>
    <row r="50" spans="1:65" x14ac:dyDescent="0.2">
      <c r="A50" s="159" t="s">
        <v>1326</v>
      </c>
      <c r="B50" s="18" t="str">
        <f>VLOOKUP(LEFT(A50,7),'Tariff Schedule Lookup Table'!$A$8:$G$186,2,FALSE)</f>
        <v>Fluorescent 2x40</v>
      </c>
      <c r="C50" s="160">
        <f t="shared" si="0"/>
        <v>10</v>
      </c>
      <c r="D50" s="18">
        <f t="shared" si="1"/>
        <v>2</v>
      </c>
      <c r="E50" s="18" t="str">
        <f>VLOOKUP(C50,'Tariff Schedule Lookup Table'!I$7:L$286,2,FALSE)</f>
        <v>MERCURY VAPOUR 80W</v>
      </c>
      <c r="F50" s="18" t="str">
        <f>IF(E50 = "BULKHEADS ETC", "SHARED OR NO POLE", VLOOKUP(C50,'Tariff Schedule Lookup Table'!I$7:L$286,3,FALSE))</f>
        <v>SHARED OR NO POLE</v>
      </c>
      <c r="G50" s="18">
        <f>IF(E50 = "NO CAPITAL", 1, VLOOKUP(C50,'Tariff Schedule Lookup Table'!I$7:L$286,4,FALSE))</f>
        <v>1</v>
      </c>
      <c r="H50" s="18" t="str">
        <f t="shared" si="2"/>
        <v>2-Unmetered, Funded by Others, CE Maintained</v>
      </c>
      <c r="I50" s="123">
        <f>VLOOKUP(F50,'Maintenance Model'!$A$57:$B$61,2,FALSE)</f>
        <v>0</v>
      </c>
      <c r="J50" s="123">
        <f>IF(D50=1,VLOOKUP(C50,'Capital Code Schedules'!A$15:F$300,2,FALSE),IF(D50=2,VLOOKUP(C50,'Capital Code Schedules'!A$15:F$300,3,FALSE),0))</f>
        <v>0</v>
      </c>
      <c r="K50" s="123">
        <v>0</v>
      </c>
      <c r="L50" s="123">
        <f>VLOOKUP(LEFT(A50,10),'Streetlight Tariff Schedule'!B$11:G$260,6, FALSE)+I50</f>
        <v>98.624388842565807</v>
      </c>
      <c r="M50" s="161">
        <f t="shared" si="3"/>
        <v>98.624388842565807</v>
      </c>
      <c r="N50" s="405">
        <f t="shared" si="4"/>
        <v>102.7339312705399</v>
      </c>
      <c r="O50" s="405">
        <v>60.667920953811112</v>
      </c>
      <c r="P50" s="406">
        <v>60.667920953811112</v>
      </c>
      <c r="Q50" s="406">
        <v>63.636939983004666</v>
      </c>
      <c r="R50" s="406">
        <v>63.636939983004666</v>
      </c>
      <c r="S50" s="405">
        <f t="shared" si="5"/>
        <v>107.76161298586221</v>
      </c>
      <c r="T50" s="406">
        <v>66.250584522588213</v>
      </c>
      <c r="U50" s="406">
        <v>66.492617197729018</v>
      </c>
      <c r="V50" s="405">
        <f t="shared" si="6"/>
        <v>112.59736377632851</v>
      </c>
      <c r="W50" s="406">
        <v>68.662285139688862</v>
      </c>
      <c r="X50" s="406">
        <v>69.528451904473329</v>
      </c>
      <c r="Y50" s="405">
        <f t="shared" si="7"/>
        <v>117.73818991983256</v>
      </c>
      <c r="Z50" s="406">
        <v>70.645637077687823</v>
      </c>
      <c r="AA50" s="406">
        <v>71.798606669433582</v>
      </c>
      <c r="AB50" s="442">
        <f t="shared" si="8"/>
        <v>120.29390237459234</v>
      </c>
      <c r="AC50" s="438">
        <f t="shared" si="9"/>
        <v>123.89057712986619</v>
      </c>
      <c r="AD50" s="410"/>
      <c r="AE50" s="411"/>
      <c r="AF50" s="411"/>
      <c r="AG50" s="411"/>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25"/>
      <c r="BK50" s="25"/>
      <c r="BL50" s="25"/>
      <c r="BM50" s="25"/>
    </row>
    <row r="51" spans="1:65" x14ac:dyDescent="0.2">
      <c r="A51" s="159" t="s">
        <v>1327</v>
      </c>
      <c r="B51" s="18" t="str">
        <f>VLOOKUP(LEFT(A51,7),'Tariff Schedule Lookup Table'!$A$8:$G$186,2,FALSE)</f>
        <v>Fluorescent 2x40</v>
      </c>
      <c r="C51" s="160">
        <f t="shared" si="0"/>
        <v>990</v>
      </c>
      <c r="D51" s="18">
        <f t="shared" si="1"/>
        <v>1</v>
      </c>
      <c r="E51" s="18" t="str">
        <f>VLOOKUP(C51,'Tariff Schedule Lookup Table'!I$7:L$286,2,FALSE)</f>
        <v>MERCURY VAPOUR 80W</v>
      </c>
      <c r="F51" s="18" t="str">
        <f>IF(E51 = "BULKHEADS ETC", "SHARED OR NO POLE", VLOOKUP(C51,'Tariff Schedule Lookup Table'!I$7:L$286,3,FALSE))</f>
        <v>STEEL POLE</v>
      </c>
      <c r="G51" s="18">
        <f>IF(E51 = "NO CAPITAL", 1, VLOOKUP(C51,'Tariff Schedule Lookup Table'!I$7:L$286,4,FALSE))</f>
        <v>1</v>
      </c>
      <c r="H51" s="18" t="str">
        <f t="shared" si="2"/>
        <v>1-Unmetered, CE Funded, CE Maintained</v>
      </c>
      <c r="I51" s="123">
        <f>VLOOKUP(F51,'Maintenance Model'!$A$57:$B$61,2,FALSE)</f>
        <v>9.9616182311111103</v>
      </c>
      <c r="J51" s="123">
        <f>IF(D51=1,VLOOKUP(C51,'Capital Code Schedules'!A$15:F$300,2,FALSE),IF(D51=2,VLOOKUP(C51,'Capital Code Schedules'!A$15:F$300,3,FALSE),0))</f>
        <v>86.253661186307269</v>
      </c>
      <c r="K51" s="123">
        <v>109.41024862221688</v>
      </c>
      <c r="L51" s="123">
        <f>VLOOKUP(LEFT(A51,10),'Streetlight Tariff Schedule'!B$11:G$260,6, FALSE)+I51</f>
        <v>108.58600707367691</v>
      </c>
      <c r="M51" s="161">
        <f t="shared" si="3"/>
        <v>217.99625569589381</v>
      </c>
      <c r="N51" s="405">
        <f t="shared" si="4"/>
        <v>201.49907571188066</v>
      </c>
      <c r="O51" s="405">
        <v>187.34373682262151</v>
      </c>
      <c r="P51" s="406">
        <v>182.38018846552703</v>
      </c>
      <c r="Q51" s="406">
        <v>188.59365684790984</v>
      </c>
      <c r="R51" s="406">
        <v>193.68005302684242</v>
      </c>
      <c r="S51" s="405">
        <f t="shared" si="5"/>
        <v>209.22219544383452</v>
      </c>
      <c r="T51" s="406">
        <v>194.46423066608807</v>
      </c>
      <c r="U51" s="406">
        <v>200.40674625546507</v>
      </c>
      <c r="V51" s="405">
        <f t="shared" si="6"/>
        <v>217.12780179027854</v>
      </c>
      <c r="W51" s="406">
        <v>200.17130403978123</v>
      </c>
      <c r="X51" s="406">
        <v>208.10589467007748</v>
      </c>
      <c r="Y51" s="405">
        <f t="shared" si="7"/>
        <v>225.94591855798132</v>
      </c>
      <c r="Z51" s="406">
        <v>205.45441011244023</v>
      </c>
      <c r="AA51" s="406">
        <v>214.37114522009395</v>
      </c>
      <c r="AB51" s="442">
        <f t="shared" si="8"/>
        <v>230.45492530906358</v>
      </c>
      <c r="AC51" s="438">
        <f t="shared" si="9"/>
        <v>237.26699471442222</v>
      </c>
      <c r="AD51" s="410"/>
      <c r="AE51" s="411"/>
      <c r="AF51" s="411"/>
      <c r="AG51" s="411"/>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25"/>
      <c r="BK51" s="25"/>
      <c r="BL51" s="25"/>
      <c r="BM51" s="25"/>
    </row>
    <row r="52" spans="1:65" x14ac:dyDescent="0.2">
      <c r="A52" s="159" t="s">
        <v>1328</v>
      </c>
      <c r="B52" s="18" t="str">
        <f>VLOOKUP(LEFT(A52,7),'Tariff Schedule Lookup Table'!$A$8:$G$186,2,FALSE)</f>
        <v>Fluorescent 3x40</v>
      </c>
      <c r="C52" s="160">
        <f t="shared" si="0"/>
        <v>10</v>
      </c>
      <c r="D52" s="18">
        <f t="shared" si="1"/>
        <v>1</v>
      </c>
      <c r="E52" s="18" t="str">
        <f>VLOOKUP(C52,'Tariff Schedule Lookup Table'!I$7:L$286,2,FALSE)</f>
        <v>MERCURY VAPOUR 80W</v>
      </c>
      <c r="F52" s="18" t="str">
        <f>IF(E52 = "BULKHEADS ETC", "SHARED OR NO POLE", VLOOKUP(C52,'Tariff Schedule Lookup Table'!I$7:L$286,3,FALSE))</f>
        <v>SHARED OR NO POLE</v>
      </c>
      <c r="G52" s="18">
        <f>IF(E52 = "NO CAPITAL", 1, VLOOKUP(C52,'Tariff Schedule Lookup Table'!I$7:L$286,4,FALSE))</f>
        <v>1</v>
      </c>
      <c r="H52" s="18" t="str">
        <f t="shared" si="2"/>
        <v>1-Unmetered, CE Funded, CE Maintained</v>
      </c>
      <c r="I52" s="123">
        <f>VLOOKUP(F52,'Maintenance Model'!$A$57:$B$61,2,FALSE)</f>
        <v>0</v>
      </c>
      <c r="J52" s="123">
        <f>IF(D52=1,VLOOKUP(C52,'Capital Code Schedules'!A$15:F$300,2,FALSE),IF(D52=2,VLOOKUP(C52,'Capital Code Schedules'!A$15:F$300,3,FALSE),0))</f>
        <v>17.255027166785979</v>
      </c>
      <c r="K52" s="123">
        <v>21.887497717034414</v>
      </c>
      <c r="L52" s="123">
        <f>VLOOKUP(LEFT(A52,10),'Streetlight Tariff Schedule'!B$11:G$260,6, FALSE)+I52</f>
        <v>102.62879497686581</v>
      </c>
      <c r="M52" s="161">
        <f t="shared" si="3"/>
        <v>124.51629269390023</v>
      </c>
      <c r="N52" s="405">
        <f t="shared" si="4"/>
        <v>124.58728458155066</v>
      </c>
      <c r="O52" s="405">
        <v>88.319722992972785</v>
      </c>
      <c r="P52" s="406">
        <v>87.326766165779958</v>
      </c>
      <c r="Q52" s="406">
        <v>91.057901598190668</v>
      </c>
      <c r="R52" s="406">
        <v>92.075434106856534</v>
      </c>
      <c r="S52" s="405">
        <f t="shared" si="5"/>
        <v>130.25673492717269</v>
      </c>
      <c r="T52" s="406">
        <v>94.422625920388953</v>
      </c>
      <c r="U52" s="406">
        <v>95.814256019319814</v>
      </c>
      <c r="V52" s="405">
        <f t="shared" si="6"/>
        <v>135.80524179197133</v>
      </c>
      <c r="W52" s="406">
        <v>97.585406583452894</v>
      </c>
      <c r="X52" s="406">
        <v>99.898595098911187</v>
      </c>
      <c r="Y52" s="405">
        <f t="shared" si="7"/>
        <v>141.7865637213977</v>
      </c>
      <c r="Z52" s="406">
        <v>100.3044028606116</v>
      </c>
      <c r="AA52" s="406">
        <v>103.05441906595</v>
      </c>
      <c r="AB52" s="442">
        <f t="shared" si="8"/>
        <v>144.78515973455774</v>
      </c>
      <c r="AC52" s="438">
        <f t="shared" si="9"/>
        <v>149.09843288962486</v>
      </c>
      <c r="AD52" s="410"/>
      <c r="AE52" s="411"/>
      <c r="AF52" s="411"/>
      <c r="AG52" s="411"/>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25"/>
      <c r="BK52" s="25"/>
      <c r="BL52" s="25"/>
      <c r="BM52" s="25"/>
    </row>
    <row r="53" spans="1:65" x14ac:dyDescent="0.2">
      <c r="A53" s="159" t="s">
        <v>1329</v>
      </c>
      <c r="B53" s="18" t="str">
        <f>VLOOKUP(LEFT(A53,7),'Tariff Schedule Lookup Table'!$A$8:$G$186,2,FALSE)</f>
        <v>Fluorescent 3x40</v>
      </c>
      <c r="C53" s="160">
        <f t="shared" si="0"/>
        <v>10</v>
      </c>
      <c r="D53" s="18">
        <f t="shared" si="1"/>
        <v>2</v>
      </c>
      <c r="E53" s="18" t="str">
        <f>VLOOKUP(C53,'Tariff Schedule Lookup Table'!I$7:L$286,2,FALSE)</f>
        <v>MERCURY VAPOUR 80W</v>
      </c>
      <c r="F53" s="18" t="str">
        <f>IF(E53 = "BULKHEADS ETC", "SHARED OR NO POLE", VLOOKUP(C53,'Tariff Schedule Lookup Table'!I$7:L$286,3,FALSE))</f>
        <v>SHARED OR NO POLE</v>
      </c>
      <c r="G53" s="18">
        <f>IF(E53 = "NO CAPITAL", 1, VLOOKUP(C53,'Tariff Schedule Lookup Table'!I$7:L$286,4,FALSE))</f>
        <v>1</v>
      </c>
      <c r="H53" s="18" t="str">
        <f t="shared" si="2"/>
        <v>2-Unmetered, Funded by Others, CE Maintained</v>
      </c>
      <c r="I53" s="123">
        <f>VLOOKUP(F53,'Maintenance Model'!$A$57:$B$61,2,FALSE)</f>
        <v>0</v>
      </c>
      <c r="J53" s="123">
        <f>IF(D53=1,VLOOKUP(C53,'Capital Code Schedules'!A$15:F$300,2,FALSE),IF(D53=2,VLOOKUP(C53,'Capital Code Schedules'!A$15:F$300,3,FALSE),0))</f>
        <v>0</v>
      </c>
      <c r="K53" s="123">
        <v>0</v>
      </c>
      <c r="L53" s="123">
        <f>VLOOKUP(LEFT(A53,10),'Streetlight Tariff Schedule'!B$11:G$260,6, FALSE)+I53</f>
        <v>102.62879497686581</v>
      </c>
      <c r="M53" s="161">
        <f t="shared" si="3"/>
        <v>102.62879497686581</v>
      </c>
      <c r="N53" s="405">
        <f t="shared" si="4"/>
        <v>106.90519549238672</v>
      </c>
      <c r="O53" s="405">
        <v>64.897552880248938</v>
      </c>
      <c r="P53" s="406">
        <v>64.897552880248938</v>
      </c>
      <c r="Q53" s="406">
        <v>68.073565283842768</v>
      </c>
      <c r="R53" s="406">
        <v>68.073565283842768</v>
      </c>
      <c r="S53" s="405">
        <f t="shared" si="5"/>
        <v>112.13701413305195</v>
      </c>
      <c r="T53" s="406">
        <v>70.869427282260929</v>
      </c>
      <c r="U53" s="406">
        <v>71.128333934850147</v>
      </c>
      <c r="V53" s="405">
        <f t="shared" si="6"/>
        <v>117.16910895521815</v>
      </c>
      <c r="W53" s="406">
        <v>73.449266279031193</v>
      </c>
      <c r="X53" s="406">
        <v>74.375820255777995</v>
      </c>
      <c r="Y53" s="405">
        <f t="shared" si="7"/>
        <v>122.51866598147859</v>
      </c>
      <c r="Z53" s="406">
        <v>75.570893083655463</v>
      </c>
      <c r="AA53" s="406">
        <v>76.804245139787525</v>
      </c>
      <c r="AB53" s="442">
        <f t="shared" si="8"/>
        <v>125.17814699441604</v>
      </c>
      <c r="AC53" s="438">
        <f t="shared" si="9"/>
        <v>128.92085607874506</v>
      </c>
      <c r="AD53" s="410"/>
      <c r="AE53" s="411"/>
      <c r="AF53" s="411"/>
      <c r="AG53" s="411"/>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25"/>
      <c r="BK53" s="25"/>
      <c r="BL53" s="25"/>
      <c r="BM53" s="25"/>
    </row>
    <row r="54" spans="1:65" x14ac:dyDescent="0.2">
      <c r="A54" s="159" t="s">
        <v>1330</v>
      </c>
      <c r="B54" s="18" t="str">
        <f>VLOOKUP(LEFT(A54,7),'Tariff Schedule Lookup Table'!$A$8:$G$186,2,FALSE)</f>
        <v>Fluorescent 3x40</v>
      </c>
      <c r="C54" s="160">
        <f t="shared" si="0"/>
        <v>810</v>
      </c>
      <c r="D54" s="18">
        <f t="shared" si="1"/>
        <v>2</v>
      </c>
      <c r="E54" s="18" t="str">
        <f>VLOOKUP(C54,'Tariff Schedule Lookup Table'!I$7:L$286,2,FALSE)</f>
        <v>MERCURY VAPOUR 80W</v>
      </c>
      <c r="F54" s="18" t="str">
        <f>IF(E54 = "BULKHEADS ETC", "SHARED OR NO POLE", VLOOKUP(C54,'Tariff Schedule Lookup Table'!I$7:L$286,3,FALSE))</f>
        <v>WOOD POLE</v>
      </c>
      <c r="G54" s="18">
        <f>IF(E54 = "NO CAPITAL", 1, VLOOKUP(C54,'Tariff Schedule Lookup Table'!I$7:L$286,4,FALSE))</f>
        <v>1</v>
      </c>
      <c r="H54" s="18" t="str">
        <f t="shared" si="2"/>
        <v>2-Unmetered, Funded by Others, CE Maintained</v>
      </c>
      <c r="I54" s="123">
        <f>VLOOKUP(F54,'Maintenance Model'!$A$57:$B$61,2,FALSE)</f>
        <v>10.731618231111112</v>
      </c>
      <c r="J54" s="123">
        <f>IF(D54=1,VLOOKUP(C54,'Capital Code Schedules'!A$15:F$300,2,FALSE),IF(D54=2,VLOOKUP(C54,'Capital Code Schedules'!A$15:F$300,3,FALSE),0))</f>
        <v>0</v>
      </c>
      <c r="K54" s="123">
        <v>0</v>
      </c>
      <c r="L54" s="123">
        <f>VLOOKUP(LEFT(A54,10),'Streetlight Tariff Schedule'!B$11:G$260,6, FALSE)+I54</f>
        <v>113.36041320797692</v>
      </c>
      <c r="M54" s="161">
        <f t="shared" si="3"/>
        <v>113.36041320797692</v>
      </c>
      <c r="N54" s="405">
        <f t="shared" si="4"/>
        <v>118.08398547238413</v>
      </c>
      <c r="O54" s="405">
        <v>75.293752955673114</v>
      </c>
      <c r="P54" s="406">
        <v>75.293752955673114</v>
      </c>
      <c r="Q54" s="406">
        <v>78.978543563134153</v>
      </c>
      <c r="R54" s="406">
        <v>78.978543563134153</v>
      </c>
      <c r="S54" s="405">
        <f t="shared" si="5"/>
        <v>123.86288137648877</v>
      </c>
      <c r="T54" s="406">
        <v>82.222285942688799</v>
      </c>
      <c r="U54" s="406">
        <v>82.522667893524499</v>
      </c>
      <c r="V54" s="405">
        <f t="shared" si="6"/>
        <v>129.4211688772927</v>
      </c>
      <c r="W54" s="406">
        <v>85.215399726912068</v>
      </c>
      <c r="X54" s="406">
        <v>86.290382112673214</v>
      </c>
      <c r="Y54" s="405">
        <f t="shared" si="7"/>
        <v>135.33011475464826</v>
      </c>
      <c r="Z54" s="406">
        <v>87.676898464565269</v>
      </c>
      <c r="AA54" s="406">
        <v>89.107826148281376</v>
      </c>
      <c r="AB54" s="442">
        <f t="shared" si="8"/>
        <v>138.26769057450775</v>
      </c>
      <c r="AC54" s="438">
        <f t="shared" si="9"/>
        <v>142.40176472409144</v>
      </c>
      <c r="AD54" s="410"/>
      <c r="AE54" s="411"/>
      <c r="AF54" s="411"/>
      <c r="AG54" s="411"/>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25"/>
      <c r="BK54" s="25"/>
      <c r="BL54" s="25"/>
      <c r="BM54" s="25"/>
    </row>
    <row r="55" spans="1:65" x14ac:dyDescent="0.2">
      <c r="A55" s="159" t="s">
        <v>1331</v>
      </c>
      <c r="B55" s="18" t="str">
        <f>VLOOKUP(LEFT(A55,7),'Tariff Schedule Lookup Table'!$A$8:$G$186,2,FALSE)</f>
        <v>Fluorescent 4x40</v>
      </c>
      <c r="C55" s="160">
        <f t="shared" si="0"/>
        <v>10</v>
      </c>
      <c r="D55" s="18">
        <f t="shared" si="1"/>
        <v>1</v>
      </c>
      <c r="E55" s="18" t="str">
        <f>VLOOKUP(C55,'Tariff Schedule Lookup Table'!I$7:L$286,2,FALSE)</f>
        <v>MERCURY VAPOUR 80W</v>
      </c>
      <c r="F55" s="18" t="str">
        <f>IF(E55 = "BULKHEADS ETC", "SHARED OR NO POLE", VLOOKUP(C55,'Tariff Schedule Lookup Table'!I$7:L$286,3,FALSE))</f>
        <v>SHARED OR NO POLE</v>
      </c>
      <c r="G55" s="18">
        <f>IF(E55 = "NO CAPITAL", 1, VLOOKUP(C55,'Tariff Schedule Lookup Table'!I$7:L$286,4,FALSE))</f>
        <v>1</v>
      </c>
      <c r="H55" s="18" t="str">
        <f t="shared" si="2"/>
        <v>1-Unmetered, CE Funded, CE Maintained</v>
      </c>
      <c r="I55" s="123">
        <f>VLOOKUP(F55,'Maintenance Model'!$A$57:$B$61,2,FALSE)</f>
        <v>0</v>
      </c>
      <c r="J55" s="123">
        <f>IF(D55=1,VLOOKUP(C55,'Capital Code Schedules'!A$15:F$300,2,FALSE),IF(D55=2,VLOOKUP(C55,'Capital Code Schedules'!A$15:F$300,3,FALSE),0))</f>
        <v>17.255027166785979</v>
      </c>
      <c r="K55" s="123">
        <v>21.887497717034414</v>
      </c>
      <c r="L55" s="123">
        <f>VLOOKUP(LEFT(A55,10),'Streetlight Tariff Schedule'!B$11:G$260,6, FALSE)+I55</f>
        <v>106.6332011111658</v>
      </c>
      <c r="M55" s="161">
        <f t="shared" si="3"/>
        <v>128.52069882820021</v>
      </c>
      <c r="N55" s="405">
        <f t="shared" si="4"/>
        <v>128.75854880339747</v>
      </c>
      <c r="O55" s="405">
        <v>92.549354919410632</v>
      </c>
      <c r="P55" s="406">
        <v>91.55639809221779</v>
      </c>
      <c r="Q55" s="406">
        <v>95.494526899028784</v>
      </c>
      <c r="R55" s="406">
        <v>96.51205940769465</v>
      </c>
      <c r="S55" s="405">
        <f t="shared" si="5"/>
        <v>134.63213607436242</v>
      </c>
      <c r="T55" s="406">
        <v>99.041468680061669</v>
      </c>
      <c r="U55" s="406">
        <v>100.44997275644096</v>
      </c>
      <c r="V55" s="405">
        <f t="shared" si="6"/>
        <v>140.37698697086097</v>
      </c>
      <c r="W55" s="406">
        <v>102.37238772279524</v>
      </c>
      <c r="X55" s="406">
        <v>104.74596345021585</v>
      </c>
      <c r="Y55" s="405">
        <f t="shared" si="7"/>
        <v>146.56703978304375</v>
      </c>
      <c r="Z55" s="406">
        <v>105.22965886657924</v>
      </c>
      <c r="AA55" s="406">
        <v>108.06005753630394</v>
      </c>
      <c r="AB55" s="442">
        <f t="shared" si="8"/>
        <v>149.66940435438141</v>
      </c>
      <c r="AC55" s="438">
        <f t="shared" si="9"/>
        <v>154.12871183850373</v>
      </c>
      <c r="AD55" s="410"/>
      <c r="AE55" s="411"/>
      <c r="AF55" s="411"/>
      <c r="AG55" s="411"/>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25"/>
      <c r="BK55" s="25"/>
      <c r="BL55" s="25"/>
      <c r="BM55" s="25"/>
    </row>
    <row r="56" spans="1:65" x14ac:dyDescent="0.2">
      <c r="A56" s="159" t="s">
        <v>1332</v>
      </c>
      <c r="B56" s="18" t="str">
        <f>VLOOKUP(LEFT(A56,7),'Tariff Schedule Lookup Table'!$A$8:$G$186,2,FALSE)</f>
        <v>Fluorescent 4x40</v>
      </c>
      <c r="C56" s="160">
        <f t="shared" si="0"/>
        <v>10</v>
      </c>
      <c r="D56" s="18">
        <f t="shared" si="1"/>
        <v>2</v>
      </c>
      <c r="E56" s="18" t="str">
        <f>VLOOKUP(C56,'Tariff Schedule Lookup Table'!I$7:L$286,2,FALSE)</f>
        <v>MERCURY VAPOUR 80W</v>
      </c>
      <c r="F56" s="18" t="str">
        <f>IF(E56 = "BULKHEADS ETC", "SHARED OR NO POLE", VLOOKUP(C56,'Tariff Schedule Lookup Table'!I$7:L$286,3,FALSE))</f>
        <v>SHARED OR NO POLE</v>
      </c>
      <c r="G56" s="18">
        <f>IF(E56 = "NO CAPITAL", 1, VLOOKUP(C56,'Tariff Schedule Lookup Table'!I$7:L$286,4,FALSE))</f>
        <v>1</v>
      </c>
      <c r="H56" s="18" t="str">
        <f t="shared" si="2"/>
        <v>2-Unmetered, Funded by Others, CE Maintained</v>
      </c>
      <c r="I56" s="123">
        <f>VLOOKUP(F56,'Maintenance Model'!$A$57:$B$61,2,FALSE)</f>
        <v>0</v>
      </c>
      <c r="J56" s="123">
        <f>IF(D56=1,VLOOKUP(C56,'Capital Code Schedules'!A$15:F$300,2,FALSE),IF(D56=2,VLOOKUP(C56,'Capital Code Schedules'!A$15:F$300,3,FALSE),0))</f>
        <v>0</v>
      </c>
      <c r="K56" s="123">
        <v>0</v>
      </c>
      <c r="L56" s="123">
        <f>VLOOKUP(LEFT(A56,10),'Streetlight Tariff Schedule'!B$11:G$260,6, FALSE)+I56</f>
        <v>106.6332011111658</v>
      </c>
      <c r="M56" s="161">
        <f t="shared" si="3"/>
        <v>106.6332011111658</v>
      </c>
      <c r="N56" s="405">
        <f t="shared" si="4"/>
        <v>111.07645971423355</v>
      </c>
      <c r="O56" s="405">
        <v>69.12718480668677</v>
      </c>
      <c r="P56" s="406">
        <v>69.12718480668677</v>
      </c>
      <c r="Q56" s="406">
        <v>72.510190584680871</v>
      </c>
      <c r="R56" s="406">
        <v>72.510190584680871</v>
      </c>
      <c r="S56" s="405">
        <f t="shared" si="5"/>
        <v>116.51241528024168</v>
      </c>
      <c r="T56" s="406">
        <v>75.48827004193366</v>
      </c>
      <c r="U56" s="406">
        <v>75.76405067197129</v>
      </c>
      <c r="V56" s="405">
        <f t="shared" si="6"/>
        <v>121.74085413410781</v>
      </c>
      <c r="W56" s="406">
        <v>78.236247418373551</v>
      </c>
      <c r="X56" s="406">
        <v>79.223188607082676</v>
      </c>
      <c r="Y56" s="405">
        <f t="shared" si="7"/>
        <v>127.29914204312462</v>
      </c>
      <c r="Z56" s="406">
        <v>80.496149089623131</v>
      </c>
      <c r="AA56" s="406">
        <v>81.809883610141455</v>
      </c>
      <c r="AB56" s="442">
        <f t="shared" si="8"/>
        <v>130.06239161423974</v>
      </c>
      <c r="AC56" s="438">
        <f t="shared" si="9"/>
        <v>133.95113502762393</v>
      </c>
      <c r="AD56" s="410"/>
      <c r="AE56" s="411"/>
      <c r="AF56" s="411"/>
      <c r="AG56" s="411"/>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25"/>
      <c r="BK56" s="25"/>
      <c r="BL56" s="25"/>
      <c r="BM56" s="25"/>
    </row>
    <row r="57" spans="1:65" x14ac:dyDescent="0.2">
      <c r="A57" s="159" t="s">
        <v>1333</v>
      </c>
      <c r="B57" s="18" t="str">
        <f>VLOOKUP(LEFT(A57,7),'Tariff Schedule Lookup Table'!$A$8:$G$186,2,FALSE)</f>
        <v>Fluorescent 4x40</v>
      </c>
      <c r="C57" s="160">
        <f t="shared" si="0"/>
        <v>810</v>
      </c>
      <c r="D57" s="18">
        <f t="shared" si="1"/>
        <v>2</v>
      </c>
      <c r="E57" s="18" t="str">
        <f>VLOOKUP(C57,'Tariff Schedule Lookup Table'!I$7:L$286,2,FALSE)</f>
        <v>MERCURY VAPOUR 80W</v>
      </c>
      <c r="F57" s="18" t="str">
        <f>IF(E57 = "BULKHEADS ETC", "SHARED OR NO POLE", VLOOKUP(C57,'Tariff Schedule Lookup Table'!I$7:L$286,3,FALSE))</f>
        <v>WOOD POLE</v>
      </c>
      <c r="G57" s="18">
        <f>IF(E57 = "NO CAPITAL", 1, VLOOKUP(C57,'Tariff Schedule Lookup Table'!I$7:L$286,4,FALSE))</f>
        <v>1</v>
      </c>
      <c r="H57" s="18" t="str">
        <f t="shared" si="2"/>
        <v>2-Unmetered, Funded by Others, CE Maintained</v>
      </c>
      <c r="I57" s="123">
        <f>VLOOKUP(F57,'Maintenance Model'!$A$57:$B$61,2,FALSE)</f>
        <v>10.731618231111112</v>
      </c>
      <c r="J57" s="123">
        <f>IF(D57=1,VLOOKUP(C57,'Capital Code Schedules'!A$15:F$300,2,FALSE),IF(D57=2,VLOOKUP(C57,'Capital Code Schedules'!A$15:F$300,3,FALSE),0))</f>
        <v>0</v>
      </c>
      <c r="K57" s="123">
        <v>0</v>
      </c>
      <c r="L57" s="123">
        <f>VLOOKUP(LEFT(A57,10),'Streetlight Tariff Schedule'!B$11:G$260,6, FALSE)+I57</f>
        <v>117.36481934227692</v>
      </c>
      <c r="M57" s="161">
        <f t="shared" si="3"/>
        <v>117.36481934227692</v>
      </c>
      <c r="N57" s="405">
        <f t="shared" si="4"/>
        <v>122.25524969423097</v>
      </c>
      <c r="O57" s="405">
        <v>79.523384882110946</v>
      </c>
      <c r="P57" s="406">
        <v>79.523384882110946</v>
      </c>
      <c r="Q57" s="406">
        <v>83.415168863972269</v>
      </c>
      <c r="R57" s="406">
        <v>83.415168863972269</v>
      </c>
      <c r="S57" s="405">
        <f t="shared" si="5"/>
        <v>128.23828252367852</v>
      </c>
      <c r="T57" s="406">
        <v>86.841128702361516</v>
      </c>
      <c r="U57" s="406">
        <v>87.158384630645628</v>
      </c>
      <c r="V57" s="405">
        <f t="shared" si="6"/>
        <v>133.99291405618237</v>
      </c>
      <c r="W57" s="406">
        <v>90.002380866254398</v>
      </c>
      <c r="X57" s="406">
        <v>91.137750463977881</v>
      </c>
      <c r="Y57" s="405">
        <f t="shared" si="7"/>
        <v>140.11059081629429</v>
      </c>
      <c r="Z57" s="406">
        <v>92.602154470532909</v>
      </c>
      <c r="AA57" s="406">
        <v>94.113464618635305</v>
      </c>
      <c r="AB57" s="442">
        <f t="shared" si="8"/>
        <v>143.15193519433146</v>
      </c>
      <c r="AC57" s="438">
        <f t="shared" si="9"/>
        <v>147.43204367297034</v>
      </c>
      <c r="AD57" s="410"/>
      <c r="AE57" s="411"/>
      <c r="AF57" s="411"/>
      <c r="AG57" s="411"/>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25"/>
      <c r="BK57" s="25"/>
      <c r="BL57" s="25"/>
      <c r="BM57" s="25"/>
    </row>
    <row r="58" spans="1:65" x14ac:dyDescent="0.2">
      <c r="A58" s="159" t="s">
        <v>1334</v>
      </c>
      <c r="B58" s="18" t="str">
        <f>VLOOKUP(LEFT(A58,7),'Tariff Schedule Lookup Table'!$A$8:$G$186,2,FALSE)</f>
        <v>Fluorescent 4x40</v>
      </c>
      <c r="C58" s="160">
        <f t="shared" si="0"/>
        <v>990</v>
      </c>
      <c r="D58" s="18">
        <f t="shared" si="1"/>
        <v>1</v>
      </c>
      <c r="E58" s="18" t="str">
        <f>VLOOKUP(C58,'Tariff Schedule Lookup Table'!I$7:L$286,2,FALSE)</f>
        <v>MERCURY VAPOUR 80W</v>
      </c>
      <c r="F58" s="18" t="str">
        <f>IF(E58 = "BULKHEADS ETC", "SHARED OR NO POLE", VLOOKUP(C58,'Tariff Schedule Lookup Table'!I$7:L$286,3,FALSE))</f>
        <v>STEEL POLE</v>
      </c>
      <c r="G58" s="18">
        <f>IF(E58 = "NO CAPITAL", 1, VLOOKUP(C58,'Tariff Schedule Lookup Table'!I$7:L$286,4,FALSE))</f>
        <v>1</v>
      </c>
      <c r="H58" s="18" t="str">
        <f t="shared" si="2"/>
        <v>1-Unmetered, CE Funded, CE Maintained</v>
      </c>
      <c r="I58" s="123">
        <f>VLOOKUP(F58,'Maintenance Model'!$A$57:$B$61,2,FALSE)</f>
        <v>9.9616182311111103</v>
      </c>
      <c r="J58" s="123">
        <f>IF(D58=1,VLOOKUP(C58,'Capital Code Schedules'!A$15:F$300,2,FALSE),IF(D58=2,VLOOKUP(C58,'Capital Code Schedules'!A$15:F$300,3,FALSE),0))</f>
        <v>86.253661186307269</v>
      </c>
      <c r="K58" s="123">
        <v>109.41024862221688</v>
      </c>
      <c r="L58" s="123">
        <f>VLOOKUP(LEFT(A58,10),'Streetlight Tariff Schedule'!B$11:G$260,6, FALSE)+I58</f>
        <v>116.59481934227691</v>
      </c>
      <c r="M58" s="161">
        <f t="shared" si="3"/>
        <v>226.00506796449378</v>
      </c>
      <c r="N58" s="405">
        <f t="shared" si="4"/>
        <v>209.84160415557432</v>
      </c>
      <c r="O58" s="405">
        <v>195.80300067549717</v>
      </c>
      <c r="P58" s="406">
        <v>190.83945231840269</v>
      </c>
      <c r="Q58" s="406">
        <v>197.46690744958605</v>
      </c>
      <c r="R58" s="406">
        <v>202.55330362851862</v>
      </c>
      <c r="S58" s="405">
        <f t="shared" si="5"/>
        <v>217.97299773821393</v>
      </c>
      <c r="T58" s="406">
        <v>203.70191618543353</v>
      </c>
      <c r="U58" s="406">
        <v>209.67817972970732</v>
      </c>
      <c r="V58" s="405">
        <f t="shared" si="6"/>
        <v>226.2712921480578</v>
      </c>
      <c r="W58" s="406">
        <v>209.74526631846592</v>
      </c>
      <c r="X58" s="406">
        <v>217.80063137268678</v>
      </c>
      <c r="Y58" s="405">
        <f t="shared" si="7"/>
        <v>235.50687068127334</v>
      </c>
      <c r="Z58" s="406">
        <v>215.30492212437554</v>
      </c>
      <c r="AA58" s="406">
        <v>224.38242216080181</v>
      </c>
      <c r="AB58" s="442">
        <f t="shared" si="8"/>
        <v>240.22341454871093</v>
      </c>
      <c r="AC58" s="438">
        <f t="shared" si="9"/>
        <v>247.32755261217997</v>
      </c>
      <c r="AD58" s="410"/>
      <c r="AE58" s="411"/>
      <c r="AF58" s="411"/>
      <c r="AG58" s="411"/>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25"/>
      <c r="BK58" s="25"/>
      <c r="BL58" s="25"/>
      <c r="BM58" s="25"/>
    </row>
    <row r="59" spans="1:65" x14ac:dyDescent="0.2">
      <c r="A59" s="159" t="s">
        <v>1335</v>
      </c>
      <c r="B59" s="18" t="str">
        <f>VLOOKUP(LEFT(A59,7),'Tariff Schedule Lookup Table'!$A$8:$G$186,2,FALSE)</f>
        <v>Fluorescent 4x40</v>
      </c>
      <c r="C59" s="160">
        <f t="shared" si="0"/>
        <v>990</v>
      </c>
      <c r="D59" s="18">
        <f t="shared" si="1"/>
        <v>2</v>
      </c>
      <c r="E59" s="18" t="str">
        <f>VLOOKUP(C59,'Tariff Schedule Lookup Table'!I$7:L$286,2,FALSE)</f>
        <v>MERCURY VAPOUR 80W</v>
      </c>
      <c r="F59" s="18" t="str">
        <f>IF(E59 = "BULKHEADS ETC", "SHARED OR NO POLE", VLOOKUP(C59,'Tariff Schedule Lookup Table'!I$7:L$286,3,FALSE))</f>
        <v>STEEL POLE</v>
      </c>
      <c r="G59" s="18">
        <f>IF(E59 = "NO CAPITAL", 1, VLOOKUP(C59,'Tariff Schedule Lookup Table'!I$7:L$286,4,FALSE))</f>
        <v>1</v>
      </c>
      <c r="H59" s="18" t="str">
        <f t="shared" si="2"/>
        <v>2-Unmetered, Funded by Others, CE Maintained</v>
      </c>
      <c r="I59" s="123">
        <f>VLOOKUP(F59,'Maintenance Model'!$A$57:$B$61,2,FALSE)</f>
        <v>9.9616182311111103</v>
      </c>
      <c r="J59" s="123">
        <f>IF(D59=1,VLOOKUP(C59,'Capital Code Schedules'!A$15:F$300,2,FALSE),IF(D59=2,VLOOKUP(C59,'Capital Code Schedules'!A$15:F$300,3,FALSE),0))</f>
        <v>0</v>
      </c>
      <c r="K59" s="123">
        <v>0</v>
      </c>
      <c r="L59" s="123">
        <f>VLOOKUP(LEFT(A59,10),'Streetlight Tariff Schedule'!B$11:G$260,6, FALSE)+I59</f>
        <v>116.59481934227691</v>
      </c>
      <c r="M59" s="161">
        <f t="shared" si="3"/>
        <v>116.59481934227691</v>
      </c>
      <c r="N59" s="405">
        <f t="shared" si="4"/>
        <v>121.45316485490594</v>
      </c>
      <c r="O59" s="405">
        <v>78.721300042785955</v>
      </c>
      <c r="P59" s="406">
        <v>78.721300042785955</v>
      </c>
      <c r="Q59" s="406">
        <v>82.573830905147801</v>
      </c>
      <c r="R59" s="406">
        <v>82.573830905147801</v>
      </c>
      <c r="S59" s="405">
        <f t="shared" si="5"/>
        <v>127.39694456485404</v>
      </c>
      <c r="T59" s="406">
        <v>85.96523599652042</v>
      </c>
      <c r="U59" s="406">
        <v>86.279292033720424</v>
      </c>
      <c r="V59" s="405">
        <f t="shared" si="6"/>
        <v>133.11382145925714</v>
      </c>
      <c r="W59" s="406">
        <v>89.094603294877217</v>
      </c>
      <c r="X59" s="406">
        <v>90.21852138380595</v>
      </c>
      <c r="Y59" s="405">
        <f t="shared" si="7"/>
        <v>139.19136173612233</v>
      </c>
      <c r="Z59" s="406">
        <v>91.668155190953016</v>
      </c>
      <c r="AA59" s="406">
        <v>93.164222037237863</v>
      </c>
      <c r="AB59" s="442">
        <f t="shared" si="8"/>
        <v>142.21275264612527</v>
      </c>
      <c r="AC59" s="438">
        <f t="shared" si="9"/>
        <v>146.46478044822902</v>
      </c>
      <c r="AD59" s="410"/>
      <c r="AE59" s="411"/>
      <c r="AF59" s="411"/>
      <c r="AG59" s="411"/>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25"/>
      <c r="BK59" s="25"/>
      <c r="BL59" s="25"/>
      <c r="BM59" s="25"/>
    </row>
    <row r="60" spans="1:65" x14ac:dyDescent="0.2">
      <c r="A60" s="159" t="s">
        <v>1336</v>
      </c>
      <c r="B60" s="18" t="str">
        <f>VLOOKUP(LEFT(A60,7),'Tariff Schedule Lookup Table'!$A$8:$G$186,2,FALSE)</f>
        <v>Fluorescent 6x40</v>
      </c>
      <c r="C60" s="160">
        <f t="shared" si="0"/>
        <v>10</v>
      </c>
      <c r="D60" s="18">
        <f t="shared" si="1"/>
        <v>2</v>
      </c>
      <c r="E60" s="18" t="str">
        <f>VLOOKUP(C60,'Tariff Schedule Lookup Table'!I$7:L$286,2,FALSE)</f>
        <v>MERCURY VAPOUR 80W</v>
      </c>
      <c r="F60" s="18" t="str">
        <f>IF(E60 = "BULKHEADS ETC", "SHARED OR NO POLE", VLOOKUP(C60,'Tariff Schedule Lookup Table'!I$7:L$286,3,FALSE))</f>
        <v>SHARED OR NO POLE</v>
      </c>
      <c r="G60" s="18">
        <f>IF(E60 = "NO CAPITAL", 1, VLOOKUP(C60,'Tariff Schedule Lookup Table'!I$7:L$286,4,FALSE))</f>
        <v>1</v>
      </c>
      <c r="H60" s="18" t="str">
        <f t="shared" si="2"/>
        <v>2-Unmetered, Funded by Others, CE Maintained</v>
      </c>
      <c r="I60" s="123">
        <f>VLOOKUP(F60,'Maintenance Model'!$A$57:$B$61,2,FALSE)</f>
        <v>0</v>
      </c>
      <c r="J60" s="123">
        <f>IF(D60=1,VLOOKUP(C60,'Capital Code Schedules'!A$15:F$300,2,FALSE),IF(D60=2,VLOOKUP(C60,'Capital Code Schedules'!A$15:F$300,3,FALSE),0))</f>
        <v>0</v>
      </c>
      <c r="K60" s="123">
        <v>0</v>
      </c>
      <c r="L60" s="123">
        <f>VLOOKUP(LEFT(A60,10),'Streetlight Tariff Schedule'!B$11:G$260,6, FALSE)+I60</f>
        <v>114.64201337976581</v>
      </c>
      <c r="M60" s="161">
        <f t="shared" si="3"/>
        <v>114.64201337976581</v>
      </c>
      <c r="N60" s="405">
        <f t="shared" si="4"/>
        <v>119.41898815792723</v>
      </c>
      <c r="O60" s="405">
        <v>77.586448659562436</v>
      </c>
      <c r="P60" s="406">
        <v>77.586448659562436</v>
      </c>
      <c r="Q60" s="406">
        <v>81.383441186357103</v>
      </c>
      <c r="R60" s="406">
        <v>81.383441186357103</v>
      </c>
      <c r="S60" s="405">
        <f t="shared" si="5"/>
        <v>125.26321757462118</v>
      </c>
      <c r="T60" s="406">
        <v>84.725955561279093</v>
      </c>
      <c r="U60" s="406">
        <v>85.035484146213548</v>
      </c>
      <c r="V60" s="405">
        <f t="shared" si="6"/>
        <v>130.88434449188713</v>
      </c>
      <c r="W60" s="406">
        <v>87.810209697058227</v>
      </c>
      <c r="X60" s="406">
        <v>88.917925309692038</v>
      </c>
      <c r="Y60" s="405">
        <f t="shared" si="7"/>
        <v>136.8600941664167</v>
      </c>
      <c r="Z60" s="406">
        <v>90.346661101558425</v>
      </c>
      <c r="AA60" s="406">
        <v>91.821160550849328</v>
      </c>
      <c r="AB60" s="442">
        <f t="shared" si="8"/>
        <v>139.83088085388715</v>
      </c>
      <c r="AC60" s="438">
        <f t="shared" si="9"/>
        <v>144.01169292538168</v>
      </c>
      <c r="AD60" s="410"/>
      <c r="AE60" s="411"/>
      <c r="AF60" s="411"/>
      <c r="AG60" s="411"/>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25"/>
      <c r="BK60" s="25"/>
      <c r="BL60" s="25"/>
      <c r="BM60" s="25"/>
    </row>
    <row r="61" spans="1:65" x14ac:dyDescent="0.2">
      <c r="A61" s="159" t="s">
        <v>1337</v>
      </c>
      <c r="B61" s="18" t="str">
        <f>VLOOKUP(LEFT(A61,7),'Tariff Schedule Lookup Table'!$A$8:$G$186,2,FALSE)</f>
        <v>Fluorescent 58</v>
      </c>
      <c r="C61" s="160">
        <f t="shared" si="0"/>
        <v>10</v>
      </c>
      <c r="D61" s="18">
        <f t="shared" si="1"/>
        <v>1</v>
      </c>
      <c r="E61" s="18" t="str">
        <f>VLOOKUP(C61,'Tariff Schedule Lookup Table'!I$7:L$286,2,FALSE)</f>
        <v>MERCURY VAPOUR 80W</v>
      </c>
      <c r="F61" s="18" t="str">
        <f>IF(E61 = "BULKHEADS ETC", "SHARED OR NO POLE", VLOOKUP(C61,'Tariff Schedule Lookup Table'!I$7:L$286,3,FALSE))</f>
        <v>SHARED OR NO POLE</v>
      </c>
      <c r="G61" s="18">
        <f>IF(E61 = "NO CAPITAL", 1, VLOOKUP(C61,'Tariff Schedule Lookup Table'!I$7:L$286,4,FALSE))</f>
        <v>1</v>
      </c>
      <c r="H61" s="18" t="str">
        <f t="shared" si="2"/>
        <v>1-Unmetered, CE Funded, CE Maintained</v>
      </c>
      <c r="I61" s="123">
        <f>VLOOKUP(F61,'Maintenance Model'!$A$57:$B$61,2,FALSE)</f>
        <v>0</v>
      </c>
      <c r="J61" s="123">
        <f>IF(D61=1,VLOOKUP(C61,'Capital Code Schedules'!A$15:F$300,2,FALSE),IF(D61=2,VLOOKUP(C61,'Capital Code Schedules'!A$15:F$300,3,FALSE),0))</f>
        <v>17.255027166785979</v>
      </c>
      <c r="K61" s="123">
        <v>21.887497717034414</v>
      </c>
      <c r="L61" s="123">
        <f>VLOOKUP(LEFT(A61,10),'Streetlight Tariff Schedule'!B$11:G$260,6, FALSE)+I61</f>
        <v>94.619982708265809</v>
      </c>
      <c r="M61" s="161">
        <f t="shared" si="3"/>
        <v>116.50748042530023</v>
      </c>
      <c r="N61" s="405">
        <f t="shared" si="4"/>
        <v>116.24475613785701</v>
      </c>
      <c r="O61" s="405">
        <v>79.860459140097134</v>
      </c>
      <c r="P61" s="406">
        <v>78.867502312904321</v>
      </c>
      <c r="Q61" s="406">
        <v>82.184650996514478</v>
      </c>
      <c r="R61" s="406">
        <v>83.202183505180315</v>
      </c>
      <c r="S61" s="405">
        <f t="shared" si="5"/>
        <v>121.50593263279322</v>
      </c>
      <c r="T61" s="406">
        <v>85.184940401043534</v>
      </c>
      <c r="U61" s="406">
        <v>86.542822545077556</v>
      </c>
      <c r="V61" s="405">
        <f t="shared" si="6"/>
        <v>126.66175143419206</v>
      </c>
      <c r="W61" s="406">
        <v>88.011444304768219</v>
      </c>
      <c r="X61" s="406">
        <v>90.203858396301825</v>
      </c>
      <c r="Y61" s="405">
        <f t="shared" si="7"/>
        <v>132.22561159810564</v>
      </c>
      <c r="Z61" s="406">
        <v>90.453890848676323</v>
      </c>
      <c r="AA61" s="406">
        <v>93.043142125242127</v>
      </c>
      <c r="AB61" s="442">
        <f t="shared" si="8"/>
        <v>135.01667049491033</v>
      </c>
      <c r="AC61" s="438">
        <f t="shared" si="9"/>
        <v>139.03787499186714</v>
      </c>
      <c r="AD61" s="410"/>
      <c r="AE61" s="411"/>
      <c r="AF61" s="411"/>
      <c r="AG61" s="411"/>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25"/>
      <c r="BK61" s="25"/>
      <c r="BL61" s="25"/>
      <c r="BM61" s="25"/>
    </row>
    <row r="62" spans="1:65" x14ac:dyDescent="0.2">
      <c r="A62" s="159" t="s">
        <v>1338</v>
      </c>
      <c r="B62" s="18" t="str">
        <f>VLOOKUP(LEFT(A62,7),'Tariff Schedule Lookup Table'!$A$8:$G$186,2,FALSE)</f>
        <v>Fluorescent 2x58</v>
      </c>
      <c r="C62" s="160">
        <f t="shared" ref="C62:C115" si="10">1*MID(A62,12,4)</f>
        <v>10</v>
      </c>
      <c r="D62" s="18">
        <f t="shared" ref="D62:D115" si="11">1*(MID(A62,17,3))</f>
        <v>1</v>
      </c>
      <c r="E62" s="18" t="str">
        <f>VLOOKUP(C62,'Tariff Schedule Lookup Table'!I$7:L$286,2,FALSE)</f>
        <v>MERCURY VAPOUR 80W</v>
      </c>
      <c r="F62" s="18" t="str">
        <f>IF(E62 = "BULKHEADS ETC", "SHARED OR NO POLE", VLOOKUP(C62,'Tariff Schedule Lookup Table'!I$7:L$286,3,FALSE))</f>
        <v>SHARED OR NO POLE</v>
      </c>
      <c r="G62" s="18">
        <f>IF(E62 = "NO CAPITAL", 1, VLOOKUP(C62,'Tariff Schedule Lookup Table'!I$7:L$286,4,FALSE))</f>
        <v>1</v>
      </c>
      <c r="H62" s="18" t="str">
        <f t="shared" si="2"/>
        <v>1-Unmetered, CE Funded, CE Maintained</v>
      </c>
      <c r="I62" s="123">
        <f>VLOOKUP(F62,'Maintenance Model'!$A$57:$B$61,2,FALSE)</f>
        <v>0</v>
      </c>
      <c r="J62" s="123">
        <f>IF(D62=1,VLOOKUP(C62,'Capital Code Schedules'!A$15:F$300,2,FALSE),IF(D62=2,VLOOKUP(C62,'Capital Code Schedules'!A$15:F$300,3,FALSE),0))</f>
        <v>17.255027166785979</v>
      </c>
      <c r="K62" s="123">
        <v>21.887497717034414</v>
      </c>
      <c r="L62" s="123">
        <f>VLOOKUP(LEFT(A62,10),'Streetlight Tariff Schedule'!B$11:G$260,6, FALSE)+I62</f>
        <v>98.624388842565807</v>
      </c>
      <c r="M62" s="161">
        <f t="shared" si="3"/>
        <v>120.51188655960021</v>
      </c>
      <c r="N62" s="405">
        <f t="shared" si="4"/>
        <v>120.41602035970382</v>
      </c>
      <c r="O62" s="405">
        <v>84.090091066534967</v>
      </c>
      <c r="P62" s="406">
        <v>83.097134239342125</v>
      </c>
      <c r="Q62" s="406">
        <v>86.621276297352566</v>
      </c>
      <c r="R62" s="406">
        <v>87.638808806018432</v>
      </c>
      <c r="S62" s="405">
        <f t="shared" si="5"/>
        <v>125.88133377998295</v>
      </c>
      <c r="T62" s="406">
        <v>89.803783160716236</v>
      </c>
      <c r="U62" s="406">
        <v>91.178539282198685</v>
      </c>
      <c r="V62" s="405">
        <f t="shared" si="6"/>
        <v>131.23349661308168</v>
      </c>
      <c r="W62" s="406">
        <v>92.798425444110535</v>
      </c>
      <c r="X62" s="406">
        <v>95.051226747606506</v>
      </c>
      <c r="Y62" s="405">
        <f t="shared" si="7"/>
        <v>137.00608765975167</v>
      </c>
      <c r="Z62" s="406">
        <v>95.379146854643949</v>
      </c>
      <c r="AA62" s="406">
        <v>98.048780595596071</v>
      </c>
      <c r="AB62" s="442">
        <f t="shared" si="8"/>
        <v>139.90091511473403</v>
      </c>
      <c r="AC62" s="438">
        <f t="shared" si="9"/>
        <v>144.06815394074599</v>
      </c>
      <c r="AD62" s="410"/>
      <c r="AE62" s="411"/>
      <c r="AF62" s="411"/>
      <c r="AG62" s="411"/>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25"/>
      <c r="BK62" s="25"/>
      <c r="BL62" s="25"/>
      <c r="BM62" s="25"/>
    </row>
    <row r="63" spans="1:65" x14ac:dyDescent="0.2">
      <c r="A63" s="159" t="s">
        <v>1339</v>
      </c>
      <c r="B63" s="18" t="str">
        <f>VLOOKUP(LEFT(A63,7),'Tariff Schedule Lookup Table'!$A$8:$G$186,2,FALSE)</f>
        <v>Fluorescent 2x58</v>
      </c>
      <c r="C63" s="160">
        <f t="shared" si="10"/>
        <v>10</v>
      </c>
      <c r="D63" s="18">
        <f t="shared" si="11"/>
        <v>2</v>
      </c>
      <c r="E63" s="18" t="str">
        <f>VLOOKUP(C63,'Tariff Schedule Lookup Table'!I$7:L$286,2,FALSE)</f>
        <v>MERCURY VAPOUR 80W</v>
      </c>
      <c r="F63" s="18" t="str">
        <f>IF(E63 = "BULKHEADS ETC", "SHARED OR NO POLE", VLOOKUP(C63,'Tariff Schedule Lookup Table'!I$7:L$286,3,FALSE))</f>
        <v>SHARED OR NO POLE</v>
      </c>
      <c r="G63" s="18">
        <f>IF(E63 = "NO CAPITAL", 1, VLOOKUP(C63,'Tariff Schedule Lookup Table'!I$7:L$286,4,FALSE))</f>
        <v>1</v>
      </c>
      <c r="H63" s="18" t="str">
        <f t="shared" si="2"/>
        <v>2-Unmetered, Funded by Others, CE Maintained</v>
      </c>
      <c r="I63" s="123">
        <f>VLOOKUP(F63,'Maintenance Model'!$A$57:$B$61,2,FALSE)</f>
        <v>0</v>
      </c>
      <c r="J63" s="123">
        <f>IF(D63=1,VLOOKUP(C63,'Capital Code Schedules'!A$15:F$300,2,FALSE),IF(D63=2,VLOOKUP(C63,'Capital Code Schedules'!A$15:F$300,3,FALSE),0))</f>
        <v>0</v>
      </c>
      <c r="K63" s="123">
        <v>0</v>
      </c>
      <c r="L63" s="123">
        <f>VLOOKUP(LEFT(A63,10),'Streetlight Tariff Schedule'!B$11:G$260,6, FALSE)+I63</f>
        <v>98.624388842565807</v>
      </c>
      <c r="M63" s="161">
        <f t="shared" si="3"/>
        <v>98.624388842565807</v>
      </c>
      <c r="N63" s="405">
        <f t="shared" si="4"/>
        <v>102.7339312705399</v>
      </c>
      <c r="O63" s="405">
        <v>60.667920953811112</v>
      </c>
      <c r="P63" s="406">
        <v>60.667920953811112</v>
      </c>
      <c r="Q63" s="406">
        <v>63.636939983004666</v>
      </c>
      <c r="R63" s="406">
        <v>63.636939983004666</v>
      </c>
      <c r="S63" s="405">
        <f t="shared" si="5"/>
        <v>107.76161298586221</v>
      </c>
      <c r="T63" s="406">
        <v>66.250584522588213</v>
      </c>
      <c r="U63" s="406">
        <v>66.492617197729018</v>
      </c>
      <c r="V63" s="405">
        <f t="shared" si="6"/>
        <v>112.59736377632851</v>
      </c>
      <c r="W63" s="406">
        <v>68.662285139688862</v>
      </c>
      <c r="X63" s="406">
        <v>69.528451904473329</v>
      </c>
      <c r="Y63" s="405">
        <f t="shared" si="7"/>
        <v>117.73818991983256</v>
      </c>
      <c r="Z63" s="406">
        <v>70.645637077687823</v>
      </c>
      <c r="AA63" s="406">
        <v>71.798606669433582</v>
      </c>
      <c r="AB63" s="442">
        <f t="shared" si="8"/>
        <v>120.29390237459234</v>
      </c>
      <c r="AC63" s="438">
        <f t="shared" si="9"/>
        <v>123.89057712986619</v>
      </c>
      <c r="AD63" s="410"/>
      <c r="AE63" s="411"/>
      <c r="AF63" s="411"/>
      <c r="AG63" s="411"/>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25"/>
      <c r="BK63" s="25"/>
      <c r="BL63" s="25"/>
      <c r="BM63" s="25"/>
    </row>
    <row r="64" spans="1:65" x14ac:dyDescent="0.2">
      <c r="A64" s="159" t="s">
        <v>1340</v>
      </c>
      <c r="B64" s="18" t="str">
        <f>VLOOKUP(LEFT(A64,7),'Tariff Schedule Lookup Table'!$A$8:$G$186,2,FALSE)</f>
        <v>Fluorescent 4x58</v>
      </c>
      <c r="C64" s="160">
        <f t="shared" si="10"/>
        <v>10</v>
      </c>
      <c r="D64" s="18">
        <f t="shared" si="11"/>
        <v>2</v>
      </c>
      <c r="E64" s="18" t="str">
        <f>VLOOKUP(C64,'Tariff Schedule Lookup Table'!I$7:L$286,2,FALSE)</f>
        <v>MERCURY VAPOUR 80W</v>
      </c>
      <c r="F64" s="18" t="str">
        <f>IF(E64 = "BULKHEADS ETC", "SHARED OR NO POLE", VLOOKUP(C64,'Tariff Schedule Lookup Table'!I$7:L$286,3,FALSE))</f>
        <v>SHARED OR NO POLE</v>
      </c>
      <c r="G64" s="18">
        <f>IF(E64 = "NO CAPITAL", 1, VLOOKUP(C64,'Tariff Schedule Lookup Table'!I$7:L$286,4,FALSE))</f>
        <v>1</v>
      </c>
      <c r="H64" s="18" t="str">
        <f t="shared" si="2"/>
        <v>2-Unmetered, Funded by Others, CE Maintained</v>
      </c>
      <c r="I64" s="123">
        <f>VLOOKUP(F64,'Maintenance Model'!$A$57:$B$61,2,FALSE)</f>
        <v>0</v>
      </c>
      <c r="J64" s="123">
        <f>IF(D64=1,VLOOKUP(C64,'Capital Code Schedules'!A$15:F$300,2,FALSE),IF(D64=2,VLOOKUP(C64,'Capital Code Schedules'!A$15:F$300,3,FALSE),0))</f>
        <v>0</v>
      </c>
      <c r="K64" s="123">
        <v>0</v>
      </c>
      <c r="L64" s="123">
        <f>VLOOKUP(LEFT(A64,10),'Streetlight Tariff Schedule'!B$11:G$260,6, FALSE)+I64</f>
        <v>106.6332011111658</v>
      </c>
      <c r="M64" s="161">
        <f t="shared" si="3"/>
        <v>106.6332011111658</v>
      </c>
      <c r="N64" s="405">
        <f t="shared" si="4"/>
        <v>111.07645971423355</v>
      </c>
      <c r="O64" s="405">
        <v>69.12718480668677</v>
      </c>
      <c r="P64" s="406">
        <v>69.12718480668677</v>
      </c>
      <c r="Q64" s="406">
        <v>72.510190584680871</v>
      </c>
      <c r="R64" s="406">
        <v>72.510190584680871</v>
      </c>
      <c r="S64" s="405">
        <f t="shared" si="5"/>
        <v>116.51241528024168</v>
      </c>
      <c r="T64" s="406">
        <v>75.48827004193366</v>
      </c>
      <c r="U64" s="406">
        <v>75.76405067197129</v>
      </c>
      <c r="V64" s="405">
        <f t="shared" si="6"/>
        <v>121.74085413410781</v>
      </c>
      <c r="W64" s="406">
        <v>78.236247418373551</v>
      </c>
      <c r="X64" s="406">
        <v>79.223188607082676</v>
      </c>
      <c r="Y64" s="405">
        <f t="shared" si="7"/>
        <v>127.29914204312462</v>
      </c>
      <c r="Z64" s="406">
        <v>80.496149089623131</v>
      </c>
      <c r="AA64" s="406">
        <v>81.809883610141455</v>
      </c>
      <c r="AB64" s="442">
        <f t="shared" si="8"/>
        <v>130.06239161423974</v>
      </c>
      <c r="AC64" s="438">
        <f t="shared" si="9"/>
        <v>133.95113502762393</v>
      </c>
      <c r="AD64" s="410"/>
      <c r="AE64" s="411"/>
      <c r="AF64" s="411"/>
      <c r="AG64" s="411"/>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25"/>
      <c r="BK64" s="25"/>
      <c r="BL64" s="25"/>
      <c r="BM64" s="25"/>
    </row>
    <row r="65" spans="1:65" x14ac:dyDescent="0.2">
      <c r="A65" s="159" t="s">
        <v>1341</v>
      </c>
      <c r="B65" s="18" t="str">
        <f>VLOOKUP(LEFT(A65,7),'Tariff Schedule Lookup Table'!$A$8:$G$186,2,FALSE)</f>
        <v>Fluorescent 80</v>
      </c>
      <c r="C65" s="160">
        <f t="shared" si="10"/>
        <v>10</v>
      </c>
      <c r="D65" s="18">
        <f t="shared" si="11"/>
        <v>1</v>
      </c>
      <c r="E65" s="18" t="str">
        <f>VLOOKUP(C65,'Tariff Schedule Lookup Table'!I$7:L$286,2,FALSE)</f>
        <v>MERCURY VAPOUR 80W</v>
      </c>
      <c r="F65" s="18" t="str">
        <f>IF(E65 = "BULKHEADS ETC", "SHARED OR NO POLE", VLOOKUP(C65,'Tariff Schedule Lookup Table'!I$7:L$286,3,FALSE))</f>
        <v>SHARED OR NO POLE</v>
      </c>
      <c r="G65" s="18">
        <f>IF(E65 = "NO CAPITAL", 1, VLOOKUP(C65,'Tariff Schedule Lookup Table'!I$7:L$286,4,FALSE))</f>
        <v>1</v>
      </c>
      <c r="H65" s="18" t="str">
        <f t="shared" si="2"/>
        <v>1-Unmetered, CE Funded, CE Maintained</v>
      </c>
      <c r="I65" s="123">
        <f>VLOOKUP(F65,'Maintenance Model'!$A$57:$B$61,2,FALSE)</f>
        <v>0</v>
      </c>
      <c r="J65" s="123">
        <f>IF(D65=1,VLOOKUP(C65,'Capital Code Schedules'!A$15:F$300,2,FALSE),IF(D65=2,VLOOKUP(C65,'Capital Code Schedules'!A$15:F$300,3,FALSE),0))</f>
        <v>17.255027166785979</v>
      </c>
      <c r="K65" s="123">
        <v>21.887497717034414</v>
      </c>
      <c r="L65" s="123">
        <f>VLOOKUP(LEFT(A65,10),'Streetlight Tariff Schedule'!B$11:G$260,6, FALSE)+I65</f>
        <v>94.619982708265809</v>
      </c>
      <c r="M65" s="161">
        <f t="shared" si="3"/>
        <v>116.50748042530023</v>
      </c>
      <c r="N65" s="405">
        <f t="shared" si="4"/>
        <v>116.24475613785701</v>
      </c>
      <c r="O65" s="405">
        <v>79.860459140097134</v>
      </c>
      <c r="P65" s="406">
        <v>78.867502312904321</v>
      </c>
      <c r="Q65" s="406">
        <v>82.184650996514478</v>
      </c>
      <c r="R65" s="406">
        <v>83.202183505180315</v>
      </c>
      <c r="S65" s="405">
        <f t="shared" si="5"/>
        <v>121.50593263279322</v>
      </c>
      <c r="T65" s="406">
        <v>85.184940401043534</v>
      </c>
      <c r="U65" s="406">
        <v>86.542822545077556</v>
      </c>
      <c r="V65" s="405">
        <f t="shared" si="6"/>
        <v>126.66175143419206</v>
      </c>
      <c r="W65" s="406">
        <v>88.011444304768219</v>
      </c>
      <c r="X65" s="406">
        <v>90.203858396301825</v>
      </c>
      <c r="Y65" s="405">
        <f t="shared" si="7"/>
        <v>132.22561159810564</v>
      </c>
      <c r="Z65" s="406">
        <v>90.453890848676323</v>
      </c>
      <c r="AA65" s="406">
        <v>93.043142125242127</v>
      </c>
      <c r="AB65" s="442">
        <f t="shared" si="8"/>
        <v>135.01667049491033</v>
      </c>
      <c r="AC65" s="438">
        <f t="shared" si="9"/>
        <v>139.03787499186714</v>
      </c>
      <c r="AD65" s="410"/>
      <c r="AE65" s="411"/>
      <c r="AF65" s="411"/>
      <c r="AG65" s="411"/>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25"/>
      <c r="BK65" s="25"/>
      <c r="BL65" s="25"/>
      <c r="BM65" s="25"/>
    </row>
    <row r="66" spans="1:65" x14ac:dyDescent="0.2">
      <c r="A66" s="159" t="s">
        <v>1342</v>
      </c>
      <c r="B66" s="18" t="str">
        <f>VLOOKUP(LEFT(A66,7),'Tariff Schedule Lookup Table'!$A$8:$G$186,2,FALSE)</f>
        <v>Fluorescent 80</v>
      </c>
      <c r="C66" s="160">
        <f t="shared" si="10"/>
        <v>10</v>
      </c>
      <c r="D66" s="18">
        <f t="shared" si="11"/>
        <v>2</v>
      </c>
      <c r="E66" s="18" t="str">
        <f>VLOOKUP(C66,'Tariff Schedule Lookup Table'!I$7:L$286,2,FALSE)</f>
        <v>MERCURY VAPOUR 80W</v>
      </c>
      <c r="F66" s="18" t="str">
        <f>IF(E66 = "BULKHEADS ETC", "SHARED OR NO POLE", VLOOKUP(C66,'Tariff Schedule Lookup Table'!I$7:L$286,3,FALSE))</f>
        <v>SHARED OR NO POLE</v>
      </c>
      <c r="G66" s="18">
        <f>IF(E66 = "NO CAPITAL", 1, VLOOKUP(C66,'Tariff Schedule Lookup Table'!I$7:L$286,4,FALSE))</f>
        <v>1</v>
      </c>
      <c r="H66" s="18" t="str">
        <f t="shared" si="2"/>
        <v>2-Unmetered, Funded by Others, CE Maintained</v>
      </c>
      <c r="I66" s="123">
        <f>VLOOKUP(F66,'Maintenance Model'!$A$57:$B$61,2,FALSE)</f>
        <v>0</v>
      </c>
      <c r="J66" s="123">
        <f>IF(D66=1,VLOOKUP(C66,'Capital Code Schedules'!A$15:F$300,2,FALSE),IF(D66=2,VLOOKUP(C66,'Capital Code Schedules'!A$15:F$300,3,FALSE),0))</f>
        <v>0</v>
      </c>
      <c r="K66" s="123">
        <v>0</v>
      </c>
      <c r="L66" s="123">
        <f>VLOOKUP(LEFT(A66,10),'Streetlight Tariff Schedule'!B$11:G$260,6, FALSE)+I66</f>
        <v>94.619982708265809</v>
      </c>
      <c r="M66" s="161">
        <f t="shared" si="3"/>
        <v>94.619982708265809</v>
      </c>
      <c r="N66" s="405">
        <f t="shared" si="4"/>
        <v>98.562667048693072</v>
      </c>
      <c r="O66" s="405">
        <v>56.438289027373287</v>
      </c>
      <c r="P66" s="406">
        <v>56.438289027373287</v>
      </c>
      <c r="Q66" s="406">
        <v>59.200314682166564</v>
      </c>
      <c r="R66" s="406">
        <v>59.200314682166564</v>
      </c>
      <c r="S66" s="405">
        <f t="shared" si="5"/>
        <v>103.38621183867248</v>
      </c>
      <c r="T66" s="406">
        <v>61.63174176291551</v>
      </c>
      <c r="U66" s="406">
        <v>61.856900460607903</v>
      </c>
      <c r="V66" s="405">
        <f t="shared" si="6"/>
        <v>108.02561859743886</v>
      </c>
      <c r="W66" s="406">
        <v>63.875304000346524</v>
      </c>
      <c r="X66" s="406">
        <v>64.681083553168662</v>
      </c>
      <c r="Y66" s="405">
        <f t="shared" si="7"/>
        <v>112.95771385818654</v>
      </c>
      <c r="Z66" s="406">
        <v>65.720381071720183</v>
      </c>
      <c r="AA66" s="406">
        <v>66.792968199079667</v>
      </c>
      <c r="AB66" s="442">
        <f t="shared" si="8"/>
        <v>115.40965775476863</v>
      </c>
      <c r="AC66" s="438">
        <f t="shared" si="9"/>
        <v>118.86029818098731</v>
      </c>
      <c r="AD66" s="410"/>
      <c r="AE66" s="411"/>
      <c r="AF66" s="411"/>
      <c r="AG66" s="411"/>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25"/>
      <c r="BK66" s="25"/>
      <c r="BL66" s="25"/>
      <c r="BM66" s="25"/>
    </row>
    <row r="67" spans="1:65" x14ac:dyDescent="0.2">
      <c r="A67" s="159" t="s">
        <v>1343</v>
      </c>
      <c r="B67" s="18" t="str">
        <f>VLOOKUP(LEFT(A67,7),'Tariff Schedule Lookup Table'!$A$8:$G$186,2,FALSE)</f>
        <v>Fluorescent 80</v>
      </c>
      <c r="C67" s="160">
        <f t="shared" si="10"/>
        <v>990</v>
      </c>
      <c r="D67" s="18">
        <f t="shared" si="11"/>
        <v>1</v>
      </c>
      <c r="E67" s="18" t="str">
        <f>VLOOKUP(C67,'Tariff Schedule Lookup Table'!I$7:L$286,2,FALSE)</f>
        <v>MERCURY VAPOUR 80W</v>
      </c>
      <c r="F67" s="18" t="str">
        <f>IF(E67 = "BULKHEADS ETC", "SHARED OR NO POLE", VLOOKUP(C67,'Tariff Schedule Lookup Table'!I$7:L$286,3,FALSE))</f>
        <v>STEEL POLE</v>
      </c>
      <c r="G67" s="18">
        <f>IF(E67 = "NO CAPITAL", 1, VLOOKUP(C67,'Tariff Schedule Lookup Table'!I$7:L$286,4,FALSE))</f>
        <v>1</v>
      </c>
      <c r="H67" s="18" t="str">
        <f t="shared" si="2"/>
        <v>1-Unmetered, CE Funded, CE Maintained</v>
      </c>
      <c r="I67" s="123">
        <f>VLOOKUP(F67,'Maintenance Model'!$A$57:$B$61,2,FALSE)</f>
        <v>9.9616182311111103</v>
      </c>
      <c r="J67" s="123">
        <f>IF(D67=1,VLOOKUP(C67,'Capital Code Schedules'!A$15:F$300,2,FALSE),IF(D67=2,VLOOKUP(C67,'Capital Code Schedules'!A$15:F$300,3,FALSE),0))</f>
        <v>86.253661186307269</v>
      </c>
      <c r="K67" s="123">
        <v>109.41024862221688</v>
      </c>
      <c r="L67" s="123">
        <f>VLOOKUP(LEFT(A67,10),'Streetlight Tariff Schedule'!B$11:G$260,6, FALSE)+I67</f>
        <v>104.58160093937693</v>
      </c>
      <c r="M67" s="161">
        <f t="shared" si="3"/>
        <v>213.99184956159382</v>
      </c>
      <c r="N67" s="405">
        <f t="shared" si="4"/>
        <v>197.32781149003387</v>
      </c>
      <c r="O67" s="405">
        <v>183.11410489618368</v>
      </c>
      <c r="P67" s="406">
        <v>178.15055653908922</v>
      </c>
      <c r="Q67" s="406">
        <v>184.15703154707177</v>
      </c>
      <c r="R67" s="406">
        <v>189.24342772600431</v>
      </c>
      <c r="S67" s="405">
        <f t="shared" si="5"/>
        <v>204.84679429664479</v>
      </c>
      <c r="T67" s="406">
        <v>189.84538790641537</v>
      </c>
      <c r="U67" s="406">
        <v>195.77102951834391</v>
      </c>
      <c r="V67" s="405">
        <f t="shared" si="6"/>
        <v>212.5560566113889</v>
      </c>
      <c r="W67" s="406">
        <v>195.38432290043889</v>
      </c>
      <c r="X67" s="406">
        <v>203.25852631877277</v>
      </c>
      <c r="Y67" s="405">
        <f t="shared" si="7"/>
        <v>221.16544249633529</v>
      </c>
      <c r="Z67" s="406">
        <v>200.52915410647259</v>
      </c>
      <c r="AA67" s="406">
        <v>209.36550674974001</v>
      </c>
      <c r="AB67" s="442">
        <f t="shared" si="8"/>
        <v>225.57068068923988</v>
      </c>
      <c r="AC67" s="438">
        <f t="shared" si="9"/>
        <v>232.23671576554338</v>
      </c>
      <c r="AD67" s="410"/>
      <c r="AE67" s="411"/>
      <c r="AF67" s="411"/>
      <c r="AG67" s="411"/>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25"/>
      <c r="BK67" s="25"/>
      <c r="BL67" s="25"/>
      <c r="BM67" s="25"/>
    </row>
    <row r="68" spans="1:65" x14ac:dyDescent="0.2">
      <c r="A68" s="159" t="s">
        <v>1346</v>
      </c>
      <c r="B68" s="18" t="str">
        <f>VLOOKUP(LEFT(A68,7),'Tariff Schedule Lookup Table'!$A$8:$G$186,2,FALSE)</f>
        <v>Fluorescent 80</v>
      </c>
      <c r="C68" s="160">
        <f t="shared" si="10"/>
        <v>990</v>
      </c>
      <c r="D68" s="18">
        <f t="shared" si="11"/>
        <v>2</v>
      </c>
      <c r="E68" s="18" t="str">
        <f>VLOOKUP(C68,'Tariff Schedule Lookup Table'!I$7:L$286,2,FALSE)</f>
        <v>MERCURY VAPOUR 80W</v>
      </c>
      <c r="F68" s="18" t="str">
        <f>IF(E68 = "BULKHEADS ETC", "SHARED OR NO POLE", VLOOKUP(C68,'Tariff Schedule Lookup Table'!I$7:L$286,3,FALSE))</f>
        <v>STEEL POLE</v>
      </c>
      <c r="G68" s="18">
        <f>IF(E68 = "NO CAPITAL", 1, VLOOKUP(C68,'Tariff Schedule Lookup Table'!I$7:L$286,4,FALSE))</f>
        <v>1</v>
      </c>
      <c r="H68" s="18" t="str">
        <f t="shared" si="2"/>
        <v>2-Unmetered, Funded by Others, CE Maintained</v>
      </c>
      <c r="I68" s="123">
        <f>VLOOKUP(F68,'Maintenance Model'!$A$57:$B$61,2,FALSE)</f>
        <v>9.9616182311111103</v>
      </c>
      <c r="J68" s="123">
        <f>IF(D68=1,VLOOKUP(C68,'Capital Code Schedules'!A$15:F$300,2,FALSE),IF(D68=2,VLOOKUP(C68,'Capital Code Schedules'!A$15:F$300,3,FALSE),0))</f>
        <v>0</v>
      </c>
      <c r="K68" s="123">
        <v>0</v>
      </c>
      <c r="L68" s="123">
        <f>VLOOKUP(LEFT(A68,10),'Streetlight Tariff Schedule'!B$11:G$260,6, FALSE)+I68</f>
        <v>104.58160093937693</v>
      </c>
      <c r="M68" s="161">
        <f t="shared" si="3"/>
        <v>104.58160093937693</v>
      </c>
      <c r="N68" s="405">
        <f t="shared" si="4"/>
        <v>108.93937218936549</v>
      </c>
      <c r="O68" s="405">
        <v>66.032404263472458</v>
      </c>
      <c r="P68" s="406">
        <v>66.032404263472458</v>
      </c>
      <c r="Q68" s="406">
        <v>69.263955002633494</v>
      </c>
      <c r="R68" s="406">
        <v>69.263955002633494</v>
      </c>
      <c r="S68" s="405">
        <f t="shared" si="5"/>
        <v>114.27074112328485</v>
      </c>
      <c r="T68" s="406">
        <v>72.108707717502256</v>
      </c>
      <c r="U68" s="406">
        <v>72.372141822357037</v>
      </c>
      <c r="V68" s="405">
        <f t="shared" si="6"/>
        <v>119.3985859225882</v>
      </c>
      <c r="W68" s="406">
        <v>74.733659876850183</v>
      </c>
      <c r="X68" s="406">
        <v>75.676416329891936</v>
      </c>
      <c r="Y68" s="405">
        <f t="shared" si="7"/>
        <v>124.84993355118426</v>
      </c>
      <c r="Z68" s="406">
        <v>76.892387173050068</v>
      </c>
      <c r="AA68" s="406">
        <v>78.147306626176047</v>
      </c>
      <c r="AB68" s="442">
        <f t="shared" si="8"/>
        <v>127.56001878665418</v>
      </c>
      <c r="AC68" s="438">
        <f t="shared" si="9"/>
        <v>131.37394360159243</v>
      </c>
      <c r="AD68" s="410"/>
      <c r="AE68" s="411"/>
      <c r="AF68" s="411"/>
      <c r="AG68" s="411"/>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25"/>
      <c r="BK68" s="25"/>
      <c r="BL68" s="25"/>
      <c r="BM68" s="25"/>
    </row>
    <row r="69" spans="1:65" x14ac:dyDescent="0.2">
      <c r="A69" s="159" t="s">
        <v>1347</v>
      </c>
      <c r="B69" s="18" t="str">
        <f>VLOOKUP(LEFT(A69,7),'Tariff Schedule Lookup Table'!$A$8:$G$186,2,FALSE)</f>
        <v>Fluorescent 80</v>
      </c>
      <c r="C69" s="160">
        <f t="shared" si="10"/>
        <v>1000</v>
      </c>
      <c r="D69" s="18">
        <f t="shared" si="11"/>
        <v>2</v>
      </c>
      <c r="E69" s="18" t="str">
        <f>VLOOKUP(C69,'Tariff Schedule Lookup Table'!I$7:L$286,2,FALSE)</f>
        <v>MERCURY VAPOUR 80W</v>
      </c>
      <c r="F69" s="18" t="str">
        <f>IF(E69 = "BULKHEADS ETC", "SHARED OR NO POLE", VLOOKUP(C69,'Tariff Schedule Lookup Table'!I$7:L$286,3,FALSE))</f>
        <v>STEEL POLE</v>
      </c>
      <c r="G69" s="18">
        <f>IF(E69 = "NO CAPITAL", 1, VLOOKUP(C69,'Tariff Schedule Lookup Table'!I$7:L$286,4,FALSE))</f>
        <v>2</v>
      </c>
      <c r="H69" s="18" t="str">
        <f t="shared" si="2"/>
        <v>2-Unmetered, Funded by Others, CE Maintained</v>
      </c>
      <c r="I69" s="123">
        <f>VLOOKUP(F69,'Maintenance Model'!$A$57:$B$61,2,FALSE)</f>
        <v>9.9616182311111103</v>
      </c>
      <c r="J69" s="123">
        <f>IF(D69=1,VLOOKUP(C69,'Capital Code Schedules'!A$15:F$300,2,FALSE),IF(D69=2,VLOOKUP(C69,'Capital Code Schedules'!A$15:F$300,3,FALSE),0))</f>
        <v>0</v>
      </c>
      <c r="K69" s="123">
        <v>0</v>
      </c>
      <c r="L69" s="123">
        <f>VLOOKUP(LEFT(A69,10),'Streetlight Tariff Schedule'!B$11:G$260,6, FALSE)+I69</f>
        <v>104.58160093937693</v>
      </c>
      <c r="M69" s="161">
        <f t="shared" si="3"/>
        <v>104.58160093937693</v>
      </c>
      <c r="N69" s="405">
        <f t="shared" si="4"/>
        <v>108.93937218936549</v>
      </c>
      <c r="O69" s="405">
        <v>66.032404263472458</v>
      </c>
      <c r="P69" s="406">
        <v>66.032404263472458</v>
      </c>
      <c r="Q69" s="406">
        <v>69.263955002633494</v>
      </c>
      <c r="R69" s="406">
        <v>69.263955002633494</v>
      </c>
      <c r="S69" s="405">
        <f t="shared" si="5"/>
        <v>114.27074112328485</v>
      </c>
      <c r="T69" s="406">
        <v>72.108707717502256</v>
      </c>
      <c r="U69" s="406">
        <v>72.372141822357037</v>
      </c>
      <c r="V69" s="405">
        <f t="shared" si="6"/>
        <v>119.3985859225882</v>
      </c>
      <c r="W69" s="406">
        <v>74.733659876850183</v>
      </c>
      <c r="X69" s="406">
        <v>75.676416329891936</v>
      </c>
      <c r="Y69" s="405">
        <f t="shared" si="7"/>
        <v>124.84993355118426</v>
      </c>
      <c r="Z69" s="406">
        <v>76.892387173050068</v>
      </c>
      <c r="AA69" s="406">
        <v>78.147306626176047</v>
      </c>
      <c r="AB69" s="442">
        <f t="shared" si="8"/>
        <v>127.56001878665418</v>
      </c>
      <c r="AC69" s="438">
        <f t="shared" si="9"/>
        <v>131.37394360159243</v>
      </c>
      <c r="AD69" s="410"/>
      <c r="AE69" s="411"/>
      <c r="AF69" s="411"/>
      <c r="AG69" s="411"/>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25"/>
      <c r="BK69" s="25"/>
      <c r="BL69" s="25"/>
      <c r="BM69" s="25"/>
    </row>
    <row r="70" spans="1:65" x14ac:dyDescent="0.2">
      <c r="A70" s="159" t="s">
        <v>1348</v>
      </c>
      <c r="B70" s="18" t="str">
        <f>VLOOKUP(LEFT(A70,7),'Tariff Schedule Lookup Table'!$A$8:$G$186,2,FALSE)</f>
        <v>Fluorescent 80</v>
      </c>
      <c r="C70" s="160">
        <f t="shared" si="10"/>
        <v>1260</v>
      </c>
      <c r="D70" s="18">
        <f t="shared" si="11"/>
        <v>2</v>
      </c>
      <c r="E70" s="18" t="str">
        <f>VLOOKUP(C70,'Tariff Schedule Lookup Table'!I$7:L$286,2,FALSE)</f>
        <v>MERCURY VAPOUR 80W</v>
      </c>
      <c r="F70" s="18" t="str">
        <f>IF(E70 = "BULKHEADS ETC", "SHARED OR NO POLE", VLOOKUP(C70,'Tariff Schedule Lookup Table'!I$7:L$286,3,FALSE))</f>
        <v>WOOD POLE</v>
      </c>
      <c r="G70" s="18">
        <f>IF(E70 = "NO CAPITAL", 1, VLOOKUP(C70,'Tariff Schedule Lookup Table'!I$7:L$286,4,FALSE))</f>
        <v>2</v>
      </c>
      <c r="H70" s="18" t="str">
        <f t="shared" si="2"/>
        <v>2-Unmetered, Funded by Others, CE Maintained</v>
      </c>
      <c r="I70" s="123">
        <f>VLOOKUP(F70,'Maintenance Model'!$A$57:$B$61,2,FALSE)</f>
        <v>10.731618231111112</v>
      </c>
      <c r="J70" s="123">
        <f>IF(D70=1,VLOOKUP(C70,'Capital Code Schedules'!A$15:F$300,2,FALSE),IF(D70=2,VLOOKUP(C70,'Capital Code Schedules'!A$15:F$300,3,FALSE),0))</f>
        <v>0</v>
      </c>
      <c r="K70" s="123">
        <v>0</v>
      </c>
      <c r="L70" s="123">
        <f>VLOOKUP(LEFT(A70,10),'Streetlight Tariff Schedule'!B$11:G$260,6, FALSE)+I70</f>
        <v>105.35160093937692</v>
      </c>
      <c r="M70" s="161">
        <f t="shared" si="3"/>
        <v>105.35160093937692</v>
      </c>
      <c r="N70" s="405">
        <f t="shared" si="4"/>
        <v>109.74145702869048</v>
      </c>
      <c r="O70" s="405">
        <v>66.834489102797463</v>
      </c>
      <c r="P70" s="406">
        <v>66.834489102797463</v>
      </c>
      <c r="Q70" s="406">
        <v>70.105292961457948</v>
      </c>
      <c r="R70" s="406">
        <v>70.105292961457948</v>
      </c>
      <c r="S70" s="405">
        <f t="shared" si="5"/>
        <v>115.1120790821093</v>
      </c>
      <c r="T70" s="406">
        <v>72.984600423343352</v>
      </c>
      <c r="U70" s="406">
        <v>73.251234419282241</v>
      </c>
      <c r="V70" s="405">
        <f t="shared" si="6"/>
        <v>120.2776785195134</v>
      </c>
      <c r="W70" s="406">
        <v>75.641437448227379</v>
      </c>
      <c r="X70" s="406">
        <v>76.595645410063867</v>
      </c>
      <c r="Y70" s="405">
        <f t="shared" si="7"/>
        <v>125.76916263135618</v>
      </c>
      <c r="Z70" s="406">
        <v>77.826386452629976</v>
      </c>
      <c r="AA70" s="406">
        <v>79.096549207573503</v>
      </c>
      <c r="AB70" s="442">
        <f t="shared" si="8"/>
        <v>128.49920133486035</v>
      </c>
      <c r="AC70" s="438">
        <f t="shared" si="9"/>
        <v>132.34120682633372</v>
      </c>
      <c r="AD70" s="410"/>
      <c r="AE70" s="411"/>
      <c r="AF70" s="411"/>
      <c r="AG70" s="411"/>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25"/>
      <c r="BK70" s="25"/>
      <c r="BL70" s="25"/>
      <c r="BM70" s="25"/>
    </row>
    <row r="71" spans="1:65" x14ac:dyDescent="0.2">
      <c r="A71" s="159" t="s">
        <v>1349</v>
      </c>
      <c r="B71" s="18" t="str">
        <f>VLOOKUP(LEFT(A71,7),'Tariff Schedule Lookup Table'!$A$8:$G$186,2,FALSE)</f>
        <v>Fluorescent 2x80</v>
      </c>
      <c r="C71" s="160">
        <f t="shared" si="10"/>
        <v>10</v>
      </c>
      <c r="D71" s="18">
        <f t="shared" si="11"/>
        <v>1</v>
      </c>
      <c r="E71" s="18" t="str">
        <f>VLOOKUP(C71,'Tariff Schedule Lookup Table'!I$7:L$286,2,FALSE)</f>
        <v>MERCURY VAPOUR 80W</v>
      </c>
      <c r="F71" s="18" t="str">
        <f>IF(E71 = "BULKHEADS ETC", "SHARED OR NO POLE", VLOOKUP(C71,'Tariff Schedule Lookup Table'!I$7:L$286,3,FALSE))</f>
        <v>SHARED OR NO POLE</v>
      </c>
      <c r="G71" s="18">
        <f>IF(E71 = "NO CAPITAL", 1, VLOOKUP(C71,'Tariff Schedule Lookup Table'!I$7:L$286,4,FALSE))</f>
        <v>1</v>
      </c>
      <c r="H71" s="18" t="str">
        <f t="shared" si="2"/>
        <v>1-Unmetered, CE Funded, CE Maintained</v>
      </c>
      <c r="I71" s="123">
        <f>VLOOKUP(F71,'Maintenance Model'!$A$57:$B$61,2,FALSE)</f>
        <v>0</v>
      </c>
      <c r="J71" s="123">
        <f>IF(D71=1,VLOOKUP(C71,'Capital Code Schedules'!A$15:F$300,2,FALSE),IF(D71=2,VLOOKUP(C71,'Capital Code Schedules'!A$15:F$300,3,FALSE),0))</f>
        <v>17.255027166785979</v>
      </c>
      <c r="K71" s="123">
        <v>21.887497717034414</v>
      </c>
      <c r="L71" s="123">
        <f>VLOOKUP(LEFT(A71,10),'Streetlight Tariff Schedule'!B$11:G$260,6, FALSE)+I71</f>
        <v>98.624388842565807</v>
      </c>
      <c r="M71" s="161">
        <f t="shared" si="3"/>
        <v>120.51188655960021</v>
      </c>
      <c r="N71" s="405">
        <f t="shared" si="4"/>
        <v>120.41602035970382</v>
      </c>
      <c r="O71" s="405">
        <v>84.090091066534967</v>
      </c>
      <c r="P71" s="406">
        <v>83.097134239342125</v>
      </c>
      <c r="Q71" s="406">
        <v>86.621276297352566</v>
      </c>
      <c r="R71" s="406">
        <v>87.638808806018432</v>
      </c>
      <c r="S71" s="405">
        <f t="shared" si="5"/>
        <v>125.88133377998295</v>
      </c>
      <c r="T71" s="406">
        <v>89.803783160716236</v>
      </c>
      <c r="U71" s="406">
        <v>91.178539282198685</v>
      </c>
      <c r="V71" s="405">
        <f t="shared" si="6"/>
        <v>131.23349661308168</v>
      </c>
      <c r="W71" s="406">
        <v>92.798425444110535</v>
      </c>
      <c r="X71" s="406">
        <v>95.051226747606506</v>
      </c>
      <c r="Y71" s="405">
        <f t="shared" si="7"/>
        <v>137.00608765975167</v>
      </c>
      <c r="Z71" s="406">
        <v>95.379146854643949</v>
      </c>
      <c r="AA71" s="406">
        <v>98.048780595596071</v>
      </c>
      <c r="AB71" s="442">
        <f t="shared" si="8"/>
        <v>139.90091511473403</v>
      </c>
      <c r="AC71" s="438">
        <f t="shared" si="9"/>
        <v>144.06815394074599</v>
      </c>
      <c r="AD71" s="410"/>
      <c r="AE71" s="411"/>
      <c r="AF71" s="411"/>
      <c r="AG71" s="411"/>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25"/>
      <c r="BK71" s="25"/>
      <c r="BL71" s="25"/>
      <c r="BM71" s="25"/>
    </row>
    <row r="72" spans="1:65" x14ac:dyDescent="0.2">
      <c r="A72" s="159" t="s">
        <v>1350</v>
      </c>
      <c r="B72" s="18" t="str">
        <f>VLOOKUP(LEFT(A72,7),'Tariff Schedule Lookup Table'!$A$8:$G$186,2,FALSE)</f>
        <v>Fluorescent 2x80</v>
      </c>
      <c r="C72" s="160">
        <f t="shared" si="10"/>
        <v>10</v>
      </c>
      <c r="D72" s="18">
        <f t="shared" si="11"/>
        <v>2</v>
      </c>
      <c r="E72" s="18" t="str">
        <f>VLOOKUP(C72,'Tariff Schedule Lookup Table'!I$7:L$286,2,FALSE)</f>
        <v>MERCURY VAPOUR 80W</v>
      </c>
      <c r="F72" s="18" t="str">
        <f>IF(E72 = "BULKHEADS ETC", "SHARED OR NO POLE", VLOOKUP(C72,'Tariff Schedule Lookup Table'!I$7:L$286,3,FALSE))</f>
        <v>SHARED OR NO POLE</v>
      </c>
      <c r="G72" s="18">
        <f>IF(E72 = "NO CAPITAL", 1, VLOOKUP(C72,'Tariff Schedule Lookup Table'!I$7:L$286,4,FALSE))</f>
        <v>1</v>
      </c>
      <c r="H72" s="18" t="str">
        <f t="shared" si="2"/>
        <v>2-Unmetered, Funded by Others, CE Maintained</v>
      </c>
      <c r="I72" s="123">
        <f>VLOOKUP(F72,'Maintenance Model'!$A$57:$B$61,2,FALSE)</f>
        <v>0</v>
      </c>
      <c r="J72" s="123">
        <f>IF(D72=1,VLOOKUP(C72,'Capital Code Schedules'!A$15:F$300,2,FALSE),IF(D72=2,VLOOKUP(C72,'Capital Code Schedules'!A$15:F$300,3,FALSE),0))</f>
        <v>0</v>
      </c>
      <c r="K72" s="123">
        <v>0</v>
      </c>
      <c r="L72" s="123">
        <f>VLOOKUP(LEFT(A72,10),'Streetlight Tariff Schedule'!B$11:G$260,6, FALSE)+I72</f>
        <v>98.624388842565807</v>
      </c>
      <c r="M72" s="161">
        <f t="shared" si="3"/>
        <v>98.624388842565807</v>
      </c>
      <c r="N72" s="405">
        <f t="shared" si="4"/>
        <v>102.7339312705399</v>
      </c>
      <c r="O72" s="405">
        <v>60.667920953811112</v>
      </c>
      <c r="P72" s="406">
        <v>60.667920953811112</v>
      </c>
      <c r="Q72" s="406">
        <v>63.636939983004666</v>
      </c>
      <c r="R72" s="406">
        <v>63.636939983004666</v>
      </c>
      <c r="S72" s="405">
        <f t="shared" si="5"/>
        <v>107.76161298586221</v>
      </c>
      <c r="T72" s="406">
        <v>66.250584522588213</v>
      </c>
      <c r="U72" s="406">
        <v>66.492617197729018</v>
      </c>
      <c r="V72" s="405">
        <f t="shared" si="6"/>
        <v>112.59736377632851</v>
      </c>
      <c r="W72" s="406">
        <v>68.662285139688862</v>
      </c>
      <c r="X72" s="406">
        <v>69.528451904473329</v>
      </c>
      <c r="Y72" s="405">
        <f t="shared" si="7"/>
        <v>117.73818991983256</v>
      </c>
      <c r="Z72" s="406">
        <v>70.645637077687823</v>
      </c>
      <c r="AA72" s="406">
        <v>71.798606669433582</v>
      </c>
      <c r="AB72" s="442">
        <f t="shared" si="8"/>
        <v>120.29390237459234</v>
      </c>
      <c r="AC72" s="438">
        <f t="shared" si="9"/>
        <v>123.89057712986619</v>
      </c>
      <c r="AD72" s="410"/>
      <c r="AE72" s="411"/>
      <c r="AF72" s="411"/>
      <c r="AG72" s="411"/>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25"/>
      <c r="BK72" s="25"/>
      <c r="BL72" s="25"/>
      <c r="BM72" s="25"/>
    </row>
    <row r="73" spans="1:65" x14ac:dyDescent="0.2">
      <c r="A73" s="159" t="s">
        <v>1351</v>
      </c>
      <c r="B73" s="18" t="str">
        <f>VLOOKUP(LEFT(A73,7),'Tariff Schedule Lookup Table'!$A$8:$G$186,2,FALSE)</f>
        <v>Fluorescent 3x80</v>
      </c>
      <c r="C73" s="160">
        <f t="shared" si="10"/>
        <v>10</v>
      </c>
      <c r="D73" s="18">
        <f t="shared" si="11"/>
        <v>2</v>
      </c>
      <c r="E73" s="18" t="str">
        <f>VLOOKUP(C73,'Tariff Schedule Lookup Table'!I$7:L$286,2,FALSE)</f>
        <v>MERCURY VAPOUR 80W</v>
      </c>
      <c r="F73" s="18" t="str">
        <f>IF(E73 = "BULKHEADS ETC", "SHARED OR NO POLE", VLOOKUP(C73,'Tariff Schedule Lookup Table'!I$7:L$286,3,FALSE))</f>
        <v>SHARED OR NO POLE</v>
      </c>
      <c r="G73" s="18">
        <f>IF(E73 = "NO CAPITAL", 1, VLOOKUP(C73,'Tariff Schedule Lookup Table'!I$7:L$286,4,FALSE))</f>
        <v>1</v>
      </c>
      <c r="H73" s="18" t="str">
        <f t="shared" si="2"/>
        <v>2-Unmetered, Funded by Others, CE Maintained</v>
      </c>
      <c r="I73" s="123">
        <f>VLOOKUP(F73,'Maintenance Model'!$A$57:$B$61,2,FALSE)</f>
        <v>0</v>
      </c>
      <c r="J73" s="123">
        <f>IF(D73=1,VLOOKUP(C73,'Capital Code Schedules'!A$15:F$300,2,FALSE),IF(D73=2,VLOOKUP(C73,'Capital Code Schedules'!A$15:F$300,3,FALSE),0))</f>
        <v>0</v>
      </c>
      <c r="K73" s="123">
        <v>0</v>
      </c>
      <c r="L73" s="123">
        <f>VLOOKUP(LEFT(A73,10),'Streetlight Tariff Schedule'!B$11:G$260,6, FALSE)+I73</f>
        <v>102.62879497686581</v>
      </c>
      <c r="M73" s="161">
        <f t="shared" si="3"/>
        <v>102.62879497686581</v>
      </c>
      <c r="N73" s="405">
        <f t="shared" si="4"/>
        <v>106.90519549238672</v>
      </c>
      <c r="O73" s="405">
        <v>64.897552880248938</v>
      </c>
      <c r="P73" s="406">
        <v>64.897552880248938</v>
      </c>
      <c r="Q73" s="406">
        <v>68.073565283842768</v>
      </c>
      <c r="R73" s="406">
        <v>68.073565283842768</v>
      </c>
      <c r="S73" s="405">
        <f t="shared" si="5"/>
        <v>112.13701413305195</v>
      </c>
      <c r="T73" s="406">
        <v>70.869427282260929</v>
      </c>
      <c r="U73" s="406">
        <v>71.128333934850147</v>
      </c>
      <c r="V73" s="405">
        <f t="shared" si="6"/>
        <v>117.16910895521815</v>
      </c>
      <c r="W73" s="406">
        <v>73.449266279031193</v>
      </c>
      <c r="X73" s="406">
        <v>74.375820255777995</v>
      </c>
      <c r="Y73" s="405">
        <f t="shared" si="7"/>
        <v>122.51866598147859</v>
      </c>
      <c r="Z73" s="406">
        <v>75.570893083655463</v>
      </c>
      <c r="AA73" s="406">
        <v>76.804245139787525</v>
      </c>
      <c r="AB73" s="442">
        <f t="shared" si="8"/>
        <v>125.17814699441604</v>
      </c>
      <c r="AC73" s="438">
        <f t="shared" si="9"/>
        <v>128.92085607874506</v>
      </c>
      <c r="AD73" s="410"/>
      <c r="AE73" s="411"/>
      <c r="AF73" s="411"/>
      <c r="AG73" s="411"/>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25"/>
      <c r="BK73" s="25"/>
      <c r="BL73" s="25"/>
      <c r="BM73" s="25"/>
    </row>
    <row r="74" spans="1:65" x14ac:dyDescent="0.2">
      <c r="A74" s="159" t="s">
        <v>1352</v>
      </c>
      <c r="B74" s="18" t="str">
        <f>VLOOKUP(LEFT(A74,7),'Tariff Schedule Lookup Table'!$A$8:$G$186,2,FALSE)</f>
        <v>Fluorescent 4x80</v>
      </c>
      <c r="C74" s="160">
        <f t="shared" si="10"/>
        <v>10</v>
      </c>
      <c r="D74" s="18">
        <f t="shared" si="11"/>
        <v>2</v>
      </c>
      <c r="E74" s="18" t="str">
        <f>VLOOKUP(C74,'Tariff Schedule Lookup Table'!I$7:L$286,2,FALSE)</f>
        <v>MERCURY VAPOUR 80W</v>
      </c>
      <c r="F74" s="18" t="str">
        <f>IF(E74 = "BULKHEADS ETC", "SHARED OR NO POLE", VLOOKUP(C74,'Tariff Schedule Lookup Table'!I$7:L$286,3,FALSE))</f>
        <v>SHARED OR NO POLE</v>
      </c>
      <c r="G74" s="18">
        <f>IF(E74 = "NO CAPITAL", 1, VLOOKUP(C74,'Tariff Schedule Lookup Table'!I$7:L$286,4,FALSE))</f>
        <v>1</v>
      </c>
      <c r="H74" s="18" t="str">
        <f t="shared" si="2"/>
        <v>2-Unmetered, Funded by Others, CE Maintained</v>
      </c>
      <c r="I74" s="123">
        <f>VLOOKUP(F74,'Maintenance Model'!$A$57:$B$61,2,FALSE)</f>
        <v>0</v>
      </c>
      <c r="J74" s="123">
        <f>IF(D74=1,VLOOKUP(C74,'Capital Code Schedules'!A$15:F$300,2,FALSE),IF(D74=2,VLOOKUP(C74,'Capital Code Schedules'!A$15:F$300,3,FALSE),0))</f>
        <v>0</v>
      </c>
      <c r="K74" s="123">
        <v>0</v>
      </c>
      <c r="L74" s="123">
        <f>VLOOKUP(LEFT(A74,10),'Streetlight Tariff Schedule'!B$11:G$260,6, FALSE)+I74</f>
        <v>106.6332011111658</v>
      </c>
      <c r="M74" s="161">
        <f t="shared" si="3"/>
        <v>106.6332011111658</v>
      </c>
      <c r="N74" s="405">
        <f t="shared" si="4"/>
        <v>111.07645971423355</v>
      </c>
      <c r="O74" s="405">
        <v>69.12718480668677</v>
      </c>
      <c r="P74" s="406">
        <v>69.12718480668677</v>
      </c>
      <c r="Q74" s="406">
        <v>72.510190584680871</v>
      </c>
      <c r="R74" s="406">
        <v>72.510190584680871</v>
      </c>
      <c r="S74" s="405">
        <f t="shared" si="5"/>
        <v>116.51241528024168</v>
      </c>
      <c r="T74" s="406">
        <v>75.48827004193366</v>
      </c>
      <c r="U74" s="406">
        <v>75.76405067197129</v>
      </c>
      <c r="V74" s="405">
        <f t="shared" si="6"/>
        <v>121.74085413410781</v>
      </c>
      <c r="W74" s="406">
        <v>78.236247418373551</v>
      </c>
      <c r="X74" s="406">
        <v>79.223188607082676</v>
      </c>
      <c r="Y74" s="405">
        <f t="shared" si="7"/>
        <v>127.29914204312462</v>
      </c>
      <c r="Z74" s="406">
        <v>80.496149089623131</v>
      </c>
      <c r="AA74" s="406">
        <v>81.809883610141455</v>
      </c>
      <c r="AB74" s="442">
        <f t="shared" si="8"/>
        <v>130.06239161423974</v>
      </c>
      <c r="AC74" s="438">
        <f t="shared" si="9"/>
        <v>133.95113502762393</v>
      </c>
      <c r="AD74" s="410"/>
      <c r="AE74" s="411"/>
      <c r="AF74" s="411"/>
      <c r="AG74" s="411"/>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25"/>
      <c r="BK74" s="25"/>
      <c r="BL74" s="25"/>
      <c r="BM74" s="25"/>
    </row>
    <row r="75" spans="1:65" x14ac:dyDescent="0.2">
      <c r="A75" s="159" t="s">
        <v>1353</v>
      </c>
      <c r="B75" s="18" t="str">
        <f>VLOOKUP(LEFT(A75,7),'Tariff Schedule Lookup Table'!$A$8:$G$186,2,FALSE)</f>
        <v>Fluorescent 2x125</v>
      </c>
      <c r="C75" s="160">
        <f t="shared" si="10"/>
        <v>10</v>
      </c>
      <c r="D75" s="18">
        <f t="shared" si="11"/>
        <v>2</v>
      </c>
      <c r="E75" s="18" t="str">
        <f>VLOOKUP(C75,'Tariff Schedule Lookup Table'!I$7:L$286,2,FALSE)</f>
        <v>MERCURY VAPOUR 80W</v>
      </c>
      <c r="F75" s="18" t="str">
        <f>IF(E75 = "BULKHEADS ETC", "SHARED OR NO POLE", VLOOKUP(C75,'Tariff Schedule Lookup Table'!I$7:L$286,3,FALSE))</f>
        <v>SHARED OR NO POLE</v>
      </c>
      <c r="G75" s="18">
        <f>IF(E75 = "NO CAPITAL", 1, VLOOKUP(C75,'Tariff Schedule Lookup Table'!I$7:L$286,4,FALSE))</f>
        <v>1</v>
      </c>
      <c r="H75" s="18" t="str">
        <f t="shared" si="2"/>
        <v>2-Unmetered, Funded by Others, CE Maintained</v>
      </c>
      <c r="I75" s="123">
        <f>VLOOKUP(F75,'Maintenance Model'!$A$57:$B$61,2,FALSE)</f>
        <v>0</v>
      </c>
      <c r="J75" s="123">
        <f>IF(D75=1,VLOOKUP(C75,'Capital Code Schedules'!A$15:F$300,2,FALSE),IF(D75=2,VLOOKUP(C75,'Capital Code Schedules'!A$15:F$300,3,FALSE),0))</f>
        <v>0</v>
      </c>
      <c r="K75" s="123">
        <v>0</v>
      </c>
      <c r="L75" s="123">
        <f>VLOOKUP(LEFT(A75,10),'Streetlight Tariff Schedule'!B$11:G$260,6, FALSE)+I75</f>
        <v>98.624388842565807</v>
      </c>
      <c r="M75" s="161">
        <f t="shared" si="3"/>
        <v>98.624388842565807</v>
      </c>
      <c r="N75" s="405">
        <f t="shared" si="4"/>
        <v>102.7339312705399</v>
      </c>
      <c r="O75" s="405">
        <v>60.667920953811112</v>
      </c>
      <c r="P75" s="406">
        <v>60.667920953811112</v>
      </c>
      <c r="Q75" s="406">
        <v>63.636939983004666</v>
      </c>
      <c r="R75" s="406">
        <v>63.636939983004666</v>
      </c>
      <c r="S75" s="405">
        <f t="shared" si="5"/>
        <v>107.76161298586221</v>
      </c>
      <c r="T75" s="406">
        <v>66.250584522588213</v>
      </c>
      <c r="U75" s="406">
        <v>66.492617197729018</v>
      </c>
      <c r="V75" s="405">
        <f t="shared" si="6"/>
        <v>112.59736377632851</v>
      </c>
      <c r="W75" s="406">
        <v>68.662285139688862</v>
      </c>
      <c r="X75" s="406">
        <v>69.528451904473329</v>
      </c>
      <c r="Y75" s="405">
        <f t="shared" si="7"/>
        <v>117.73818991983256</v>
      </c>
      <c r="Z75" s="406">
        <v>70.645637077687823</v>
      </c>
      <c r="AA75" s="406">
        <v>71.798606669433582</v>
      </c>
      <c r="AB75" s="442">
        <f t="shared" si="8"/>
        <v>120.29390237459234</v>
      </c>
      <c r="AC75" s="438">
        <f t="shared" si="9"/>
        <v>123.89057712986619</v>
      </c>
      <c r="AD75" s="410"/>
      <c r="AE75" s="411"/>
      <c r="AF75" s="411"/>
      <c r="AG75" s="411"/>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25"/>
      <c r="BK75" s="25"/>
      <c r="BL75" s="25"/>
      <c r="BM75" s="25"/>
    </row>
    <row r="76" spans="1:65" x14ac:dyDescent="0.2">
      <c r="A76" s="159" t="s">
        <v>1354</v>
      </c>
      <c r="B76" s="18" t="str">
        <f>VLOOKUP(LEFT(A76,7),'Tariff Schedule Lookup Table'!$A$8:$G$186,2,FALSE)</f>
        <v>High Pressure Sodium 50</v>
      </c>
      <c r="C76" s="160">
        <f t="shared" si="10"/>
        <v>40</v>
      </c>
      <c r="D76" s="18">
        <f t="shared" si="11"/>
        <v>1</v>
      </c>
      <c r="E76" s="18" t="str">
        <f>VLOOKUP(C76,'Tariff Schedule Lookup Table'!I$7:L$286,2,FALSE)</f>
        <v>HIGH PRESSURE SODIUM 70W (100)</v>
      </c>
      <c r="F76" s="18" t="str">
        <f>IF(E76 = "BULKHEADS ETC", "SHARED OR NO POLE", VLOOKUP(C76,'Tariff Schedule Lookup Table'!I$7:L$286,3,FALSE))</f>
        <v>SHARED OR NO POLE</v>
      </c>
      <c r="G76" s="18">
        <f>IF(E76 = "NO CAPITAL", 1, VLOOKUP(C76,'Tariff Schedule Lookup Table'!I$7:L$286,4,FALSE))</f>
        <v>1</v>
      </c>
      <c r="H76" s="18" t="str">
        <f t="shared" si="2"/>
        <v>1-Unmetered, CE Funded, CE Maintained</v>
      </c>
      <c r="I76" s="123">
        <f>VLOOKUP(F76,'Maintenance Model'!$A$57:$B$61,2,FALSE)</f>
        <v>0</v>
      </c>
      <c r="J76" s="123">
        <f>IF(D76=1,VLOOKUP(C76,'Capital Code Schedules'!A$15:F$300,2,FALSE),IF(D76=2,VLOOKUP(C76,'Capital Code Schedules'!A$15:F$300,3,FALSE),0))</f>
        <v>18.483521869130684</v>
      </c>
      <c r="K76" s="123">
        <v>23.445807346631316</v>
      </c>
      <c r="L76" s="123">
        <f>VLOOKUP(LEFT(A76,10),'Streetlight Tariff Schedule'!B$11:G$260,6, FALSE)+I76</f>
        <v>64.364832111685814</v>
      </c>
      <c r="M76" s="161">
        <f t="shared" si="3"/>
        <v>87.810639458317127</v>
      </c>
      <c r="N76" s="405">
        <f t="shared" si="4"/>
        <v>85.987815038615196</v>
      </c>
      <c r="O76" s="405">
        <v>68.191167137152291</v>
      </c>
      <c r="P76" s="406">
        <v>67.127515422604461</v>
      </c>
      <c r="Q76" s="406">
        <v>69.831495847429579</v>
      </c>
      <c r="R76" s="406">
        <v>70.921472941912455</v>
      </c>
      <c r="S76" s="405">
        <f t="shared" si="5"/>
        <v>89.73779990223143</v>
      </c>
      <c r="T76" s="406">
        <v>72.297718534868622</v>
      </c>
      <c r="U76" s="406">
        <v>73.683039454384854</v>
      </c>
      <c r="V76" s="405">
        <f t="shared" si="6"/>
        <v>93.446914879221765</v>
      </c>
      <c r="W76" s="406">
        <v>74.635552235877952</v>
      </c>
      <c r="X76" s="406">
        <v>76.736276821283766</v>
      </c>
      <c r="Y76" s="405">
        <f t="shared" si="7"/>
        <v>97.478695499434821</v>
      </c>
      <c r="Z76" s="406">
        <v>76.684521337736172</v>
      </c>
      <c r="AA76" s="406">
        <v>79.128291760615554</v>
      </c>
      <c r="AB76" s="442">
        <f t="shared" si="8"/>
        <v>99.509878426876384</v>
      </c>
      <c r="AC76" s="438">
        <f t="shared" si="9"/>
        <v>102.46834772542725</v>
      </c>
      <c r="AD76" s="410"/>
      <c r="AE76" s="411"/>
      <c r="AF76" s="411"/>
      <c r="AG76" s="411"/>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25"/>
      <c r="BK76" s="25"/>
      <c r="BL76" s="25"/>
      <c r="BM76" s="25"/>
    </row>
    <row r="77" spans="1:65" x14ac:dyDescent="0.2">
      <c r="A77" s="159" t="s">
        <v>1355</v>
      </c>
      <c r="B77" s="18" t="str">
        <f>VLOOKUP(LEFT(A77,7),'Tariff Schedule Lookup Table'!$A$8:$G$186,2,FALSE)</f>
        <v>High Pressure Sodium 50</v>
      </c>
      <c r="C77" s="160">
        <f t="shared" si="10"/>
        <v>40</v>
      </c>
      <c r="D77" s="18">
        <f t="shared" si="11"/>
        <v>2</v>
      </c>
      <c r="E77" s="18" t="str">
        <f>VLOOKUP(C77,'Tariff Schedule Lookup Table'!I$7:L$286,2,FALSE)</f>
        <v>HIGH PRESSURE SODIUM 70W (100)</v>
      </c>
      <c r="F77" s="18" t="str">
        <f>IF(E77 = "BULKHEADS ETC", "SHARED OR NO POLE", VLOOKUP(C77,'Tariff Schedule Lookup Table'!I$7:L$286,3,FALSE))</f>
        <v>SHARED OR NO POLE</v>
      </c>
      <c r="G77" s="18">
        <f>IF(E77 = "NO CAPITAL", 1, VLOOKUP(C77,'Tariff Schedule Lookup Table'!I$7:L$286,4,FALSE))</f>
        <v>1</v>
      </c>
      <c r="H77" s="18" t="str">
        <f t="shared" si="2"/>
        <v>2-Unmetered, Funded by Others, CE Maintained</v>
      </c>
      <c r="I77" s="123">
        <f>VLOOKUP(F77,'Maintenance Model'!$A$57:$B$61,2,FALSE)</f>
        <v>0</v>
      </c>
      <c r="J77" s="123">
        <f>IF(D77=1,VLOOKUP(C77,'Capital Code Schedules'!A$15:F$300,2,FALSE),IF(D77=2,VLOOKUP(C77,'Capital Code Schedules'!A$15:F$300,3,FALSE),0))</f>
        <v>0</v>
      </c>
      <c r="K77" s="123">
        <v>0</v>
      </c>
      <c r="L77" s="123">
        <f>VLOOKUP(LEFT(A77,10),'Streetlight Tariff Schedule'!B$11:G$260,6, FALSE)+I77</f>
        <v>64.364832111685814</v>
      </c>
      <c r="M77" s="161">
        <f t="shared" si="3"/>
        <v>64.364832111685814</v>
      </c>
      <c r="N77" s="405">
        <f t="shared" si="4"/>
        <v>67.046826003223529</v>
      </c>
      <c r="O77" s="405">
        <v>43.101424344144021</v>
      </c>
      <c r="P77" s="406">
        <v>43.101424344144021</v>
      </c>
      <c r="Q77" s="406">
        <v>45.210759014777246</v>
      </c>
      <c r="R77" s="406">
        <v>45.210759014777246</v>
      </c>
      <c r="S77" s="405">
        <f t="shared" si="5"/>
        <v>70.328021388213813</v>
      </c>
      <c r="T77" s="406">
        <v>47.067618465608135</v>
      </c>
      <c r="U77" s="406">
        <v>47.239570180326268</v>
      </c>
      <c r="V77" s="405">
        <f t="shared" si="6"/>
        <v>73.483957677554656</v>
      </c>
      <c r="W77" s="406">
        <v>48.781007189903271</v>
      </c>
      <c r="X77" s="406">
        <v>49.396373938834607</v>
      </c>
      <c r="Y77" s="405">
        <f t="shared" si="7"/>
        <v>76.838994048631193</v>
      </c>
      <c r="Z77" s="406">
        <v>50.190076301873617</v>
      </c>
      <c r="AA77" s="406">
        <v>51.009201646016585</v>
      </c>
      <c r="AB77" s="442">
        <f t="shared" si="8"/>
        <v>78.506918230538616</v>
      </c>
      <c r="AC77" s="438">
        <f t="shared" si="9"/>
        <v>80.854201387376051</v>
      </c>
      <c r="AD77" s="410"/>
      <c r="AE77" s="411"/>
      <c r="AF77" s="411"/>
      <c r="AG77" s="411"/>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25"/>
      <c r="BK77" s="25"/>
      <c r="BL77" s="25"/>
      <c r="BM77" s="25"/>
    </row>
    <row r="78" spans="1:65" x14ac:dyDescent="0.2">
      <c r="A78" s="159" t="s">
        <v>1356</v>
      </c>
      <c r="B78" s="18" t="str">
        <f>VLOOKUP(LEFT(A78,7),'Tariff Schedule Lookup Table'!$A$8:$G$186,2,FALSE)</f>
        <v>High Pressure Sodium 50</v>
      </c>
      <c r="C78" s="160">
        <f t="shared" si="10"/>
        <v>90</v>
      </c>
      <c r="D78" s="18">
        <f t="shared" si="11"/>
        <v>2</v>
      </c>
      <c r="E78" s="18" t="str">
        <f>VLOOKUP(C78,'Tariff Schedule Lookup Table'!I$7:L$286,2,FALSE)</f>
        <v>HIGH PRESSURE SODIUM 70W TWIN ARC</v>
      </c>
      <c r="F78" s="18" t="str">
        <f>IF(E78 = "BULKHEADS ETC", "SHARED OR NO POLE", VLOOKUP(C78,'Tariff Schedule Lookup Table'!I$7:L$286,3,FALSE))</f>
        <v>SHARED OR NO POLE</v>
      </c>
      <c r="G78" s="18">
        <f>IF(E78 = "NO CAPITAL", 1, VLOOKUP(C78,'Tariff Schedule Lookup Table'!I$7:L$286,4,FALSE))</f>
        <v>1</v>
      </c>
      <c r="H78" s="18" t="str">
        <f t="shared" si="2"/>
        <v>2-Unmetered, Funded by Others, CE Maintained</v>
      </c>
      <c r="I78" s="123">
        <f>VLOOKUP(F78,'Maintenance Model'!$A$57:$B$61,2,FALSE)</f>
        <v>0</v>
      </c>
      <c r="J78" s="123">
        <f>IF(D78=1,VLOOKUP(C78,'Capital Code Schedules'!A$15:F$300,2,FALSE),IF(D78=2,VLOOKUP(C78,'Capital Code Schedules'!A$15:F$300,3,FALSE),0))</f>
        <v>0</v>
      </c>
      <c r="K78" s="123">
        <v>0</v>
      </c>
      <c r="L78" s="123">
        <f>VLOOKUP(LEFT(A78,10),'Streetlight Tariff Schedule'!B$11:G$260,6, FALSE)+I78</f>
        <v>64.364832111685814</v>
      </c>
      <c r="M78" s="161">
        <f t="shared" si="3"/>
        <v>64.364832111685814</v>
      </c>
      <c r="N78" s="405">
        <f t="shared" si="4"/>
        <v>67.046826003223529</v>
      </c>
      <c r="O78" s="405">
        <v>43.101424344144021</v>
      </c>
      <c r="P78" s="406">
        <v>43.101424344144021</v>
      </c>
      <c r="Q78" s="406">
        <v>45.210759014777246</v>
      </c>
      <c r="R78" s="406">
        <v>45.210759014777246</v>
      </c>
      <c r="S78" s="405">
        <f t="shared" si="5"/>
        <v>70.328021388213813</v>
      </c>
      <c r="T78" s="406">
        <v>47.067618465608135</v>
      </c>
      <c r="U78" s="406">
        <v>47.239570180326268</v>
      </c>
      <c r="V78" s="405">
        <f t="shared" si="6"/>
        <v>73.483957677554656</v>
      </c>
      <c r="W78" s="406">
        <v>48.781007189903271</v>
      </c>
      <c r="X78" s="406">
        <v>49.396373938834607</v>
      </c>
      <c r="Y78" s="405">
        <f t="shared" si="7"/>
        <v>76.838994048631193</v>
      </c>
      <c r="Z78" s="406">
        <v>50.190076301873617</v>
      </c>
      <c r="AA78" s="406">
        <v>51.009201646016585</v>
      </c>
      <c r="AB78" s="442">
        <f t="shared" si="8"/>
        <v>78.506918230538616</v>
      </c>
      <c r="AC78" s="438">
        <f t="shared" si="9"/>
        <v>80.854201387376051</v>
      </c>
      <c r="AD78" s="410"/>
      <c r="AE78" s="411"/>
      <c r="AF78" s="411"/>
      <c r="AG78" s="411"/>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25"/>
      <c r="BK78" s="25"/>
      <c r="BL78" s="25"/>
      <c r="BM78" s="25"/>
    </row>
    <row r="79" spans="1:65" x14ac:dyDescent="0.2">
      <c r="A79" s="159" t="s">
        <v>1357</v>
      </c>
      <c r="B79" s="18" t="str">
        <f>VLOOKUP(LEFT(A79,7),'Tariff Schedule Lookup Table'!$A$8:$G$186,2,FALSE)</f>
        <v>High Pressure Sodium 50</v>
      </c>
      <c r="C79" s="160">
        <f t="shared" si="10"/>
        <v>350</v>
      </c>
      <c r="D79" s="18">
        <f t="shared" si="11"/>
        <v>1</v>
      </c>
      <c r="E79" s="18" t="str">
        <f>VLOOKUP(C79,'Tariff Schedule Lookup Table'!I$7:L$286,2,FALSE)</f>
        <v>HIGH PRESSURE SODIUM 70W (100)</v>
      </c>
      <c r="F79" s="18" t="str">
        <f>IF(E79 = "BULKHEADS ETC", "SHARED OR NO POLE", VLOOKUP(C79,'Tariff Schedule Lookup Table'!I$7:L$286,3,FALSE))</f>
        <v>WOOD POLE</v>
      </c>
      <c r="G79" s="18">
        <f>IF(E79 = "NO CAPITAL", 1, VLOOKUP(C79,'Tariff Schedule Lookup Table'!I$7:L$286,4,FALSE))</f>
        <v>1</v>
      </c>
      <c r="H79" s="18" t="str">
        <f t="shared" si="2"/>
        <v>1-Unmetered, CE Funded, CE Maintained</v>
      </c>
      <c r="I79" s="123">
        <f>VLOOKUP(F79,'Maintenance Model'!$A$57:$B$61,2,FALSE)</f>
        <v>10.731618231111112</v>
      </c>
      <c r="J79" s="123">
        <f>IF(D79=1,VLOOKUP(C79,'Capital Code Schedules'!A$15:F$300,2,FALSE),IF(D79=2,VLOOKUP(C79,'Capital Code Schedules'!A$15:F$300,3,FALSE),0))</f>
        <v>52.384640231006998</v>
      </c>
      <c r="K79" s="123">
        <v>66.448385295553337</v>
      </c>
      <c r="L79" s="123">
        <f>VLOOKUP(LEFT(A79,10),'Streetlight Tariff Schedule'!B$11:G$260,6, FALSE)+I79</f>
        <v>75.096450342796928</v>
      </c>
      <c r="M79" s="161">
        <f t="shared" si="3"/>
        <v>141.54483563835026</v>
      </c>
      <c r="N79" s="405">
        <f t="shared" si="4"/>
        <v>131.90677605994534</v>
      </c>
      <c r="O79" s="405">
        <v>124.60513082478842</v>
      </c>
      <c r="P79" s="406">
        <v>121.59060725118647</v>
      </c>
      <c r="Q79" s="406">
        <v>125.89402145076947</v>
      </c>
      <c r="R79" s="406">
        <v>128.98315448281807</v>
      </c>
      <c r="S79" s="405">
        <f t="shared" si="5"/>
        <v>137.06365742027398</v>
      </c>
      <c r="T79" s="406">
        <v>129.92577381561517</v>
      </c>
      <c r="U79" s="406">
        <v>133.57804271762942</v>
      </c>
      <c r="V79" s="405">
        <f t="shared" si="6"/>
        <v>142.31356479872832</v>
      </c>
      <c r="W79" s="406">
        <v>133.82219342043041</v>
      </c>
      <c r="X79" s="406">
        <v>138.79568067217411</v>
      </c>
      <c r="Y79" s="405">
        <f t="shared" si="7"/>
        <v>148.14596887094942</v>
      </c>
      <c r="Z79" s="406">
        <v>137.38469202180016</v>
      </c>
      <c r="AA79" s="406">
        <v>143.00584275993342</v>
      </c>
      <c r="AB79" s="442">
        <f t="shared" si="8"/>
        <v>151.12150911824392</v>
      </c>
      <c r="AC79" s="438">
        <f t="shared" si="9"/>
        <v>155.59233621698758</v>
      </c>
      <c r="AD79" s="410"/>
      <c r="AE79" s="411"/>
      <c r="AF79" s="411"/>
      <c r="AG79" s="411"/>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25"/>
      <c r="BK79" s="25"/>
      <c r="BL79" s="25"/>
      <c r="BM79" s="25"/>
    </row>
    <row r="80" spans="1:65" x14ac:dyDescent="0.2">
      <c r="A80" s="159" t="s">
        <v>1358</v>
      </c>
      <c r="B80" s="18" t="str">
        <f>VLOOKUP(LEFT(A80,7),'Tariff Schedule Lookup Table'!$A$8:$G$186,2,FALSE)</f>
        <v>High Pressure Sodium 50</v>
      </c>
      <c r="C80" s="160">
        <f t="shared" si="10"/>
        <v>350</v>
      </c>
      <c r="D80" s="18">
        <f t="shared" si="11"/>
        <v>2</v>
      </c>
      <c r="E80" s="18" t="str">
        <f>VLOOKUP(C80,'Tariff Schedule Lookup Table'!I$7:L$286,2,FALSE)</f>
        <v>HIGH PRESSURE SODIUM 70W (100)</v>
      </c>
      <c r="F80" s="18" t="str">
        <f>IF(E80 = "BULKHEADS ETC", "SHARED OR NO POLE", VLOOKUP(C80,'Tariff Schedule Lookup Table'!I$7:L$286,3,FALSE))</f>
        <v>WOOD POLE</v>
      </c>
      <c r="G80" s="18">
        <f>IF(E80 = "NO CAPITAL", 1, VLOOKUP(C80,'Tariff Schedule Lookup Table'!I$7:L$286,4,FALSE))</f>
        <v>1</v>
      </c>
      <c r="H80" s="18" t="str">
        <f t="shared" si="2"/>
        <v>2-Unmetered, Funded by Others, CE Maintained</v>
      </c>
      <c r="I80" s="123">
        <f>VLOOKUP(F80,'Maintenance Model'!$A$57:$B$61,2,FALSE)</f>
        <v>10.731618231111112</v>
      </c>
      <c r="J80" s="123">
        <f>IF(D80=1,VLOOKUP(C80,'Capital Code Schedules'!A$15:F$300,2,FALSE),IF(D80=2,VLOOKUP(C80,'Capital Code Schedules'!A$15:F$300,3,FALSE),0))</f>
        <v>0</v>
      </c>
      <c r="K80" s="123">
        <v>0</v>
      </c>
      <c r="L80" s="123">
        <f>VLOOKUP(LEFT(A80,10),'Streetlight Tariff Schedule'!B$11:G$260,6, FALSE)+I80</f>
        <v>75.096450342796928</v>
      </c>
      <c r="M80" s="161">
        <f t="shared" si="3"/>
        <v>75.096450342796928</v>
      </c>
      <c r="N80" s="405">
        <f t="shared" si="4"/>
        <v>78.225615983220933</v>
      </c>
      <c r="O80" s="405">
        <v>53.497624419568183</v>
      </c>
      <c r="P80" s="406">
        <v>53.497624419568183</v>
      </c>
      <c r="Q80" s="406">
        <v>56.115737294068623</v>
      </c>
      <c r="R80" s="406">
        <v>56.115737294068623</v>
      </c>
      <c r="S80" s="405">
        <f t="shared" si="5"/>
        <v>82.053888631650636</v>
      </c>
      <c r="T80" s="406">
        <v>58.420477126035991</v>
      </c>
      <c r="U80" s="406">
        <v>58.63390413900062</v>
      </c>
      <c r="V80" s="405">
        <f t="shared" si="6"/>
        <v>85.736017599629193</v>
      </c>
      <c r="W80" s="406">
        <v>60.547140637784132</v>
      </c>
      <c r="X80" s="406">
        <v>61.310935795729812</v>
      </c>
      <c r="Y80" s="405">
        <f t="shared" si="7"/>
        <v>89.650442821800837</v>
      </c>
      <c r="Z80" s="406">
        <v>62.296081682783402</v>
      </c>
      <c r="AA80" s="406">
        <v>63.312782654510421</v>
      </c>
      <c r="AB80" s="442">
        <f t="shared" si="8"/>
        <v>91.596461810630331</v>
      </c>
      <c r="AC80" s="438">
        <f t="shared" si="9"/>
        <v>94.33511003272244</v>
      </c>
      <c r="AD80" s="410"/>
      <c r="AE80" s="411"/>
      <c r="AF80" s="411"/>
      <c r="AG80" s="411"/>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25"/>
      <c r="BK80" s="25"/>
      <c r="BL80" s="25"/>
      <c r="BM80" s="25"/>
    </row>
    <row r="81" spans="1:65" x14ac:dyDescent="0.2">
      <c r="A81" s="159" t="s">
        <v>1359</v>
      </c>
      <c r="B81" s="18" t="str">
        <f>VLOOKUP(LEFT(A81,7),'Tariff Schedule Lookup Table'!$A$8:$G$186,2,FALSE)</f>
        <v>High Pressure Sodium 50</v>
      </c>
      <c r="C81" s="160">
        <f t="shared" si="10"/>
        <v>360</v>
      </c>
      <c r="D81" s="18">
        <f t="shared" si="11"/>
        <v>1</v>
      </c>
      <c r="E81" s="18" t="str">
        <f>VLOOKUP(C81,'Tariff Schedule Lookup Table'!I$7:L$286,2,FALSE)</f>
        <v>HIGH PRESSURE SODIUM 70W (100)</v>
      </c>
      <c r="F81" s="18" t="str">
        <f>IF(E81 = "BULKHEADS ETC", "SHARED OR NO POLE", VLOOKUP(C81,'Tariff Schedule Lookup Table'!I$7:L$286,3,FALSE))</f>
        <v>STEEL POLE</v>
      </c>
      <c r="G81" s="18">
        <f>IF(E81 = "NO CAPITAL", 1, VLOOKUP(C81,'Tariff Schedule Lookup Table'!I$7:L$286,4,FALSE))</f>
        <v>1</v>
      </c>
      <c r="H81" s="18" t="str">
        <f t="shared" si="2"/>
        <v>1-Unmetered, CE Funded, CE Maintained</v>
      </c>
      <c r="I81" s="123">
        <f>VLOOKUP(F81,'Maintenance Model'!$A$57:$B$61,2,FALSE)</f>
        <v>9.9616182311111103</v>
      </c>
      <c r="J81" s="123">
        <f>IF(D81=1,VLOOKUP(C81,'Capital Code Schedules'!A$15:F$300,2,FALSE),IF(D81=2,VLOOKUP(C81,'Capital Code Schedules'!A$15:F$300,3,FALSE),0))</f>
        <v>87.482155888651974</v>
      </c>
      <c r="K81" s="123">
        <v>110.96855825181379</v>
      </c>
      <c r="L81" s="123">
        <f>VLOOKUP(LEFT(A81,10),'Streetlight Tariff Schedule'!B$11:G$260,6, FALSE)+I81</f>
        <v>74.326450342796932</v>
      </c>
      <c r="M81" s="161">
        <f t="shared" si="3"/>
        <v>185.29500859461072</v>
      </c>
      <c r="N81" s="405">
        <f t="shared" si="4"/>
        <v>167.07087039079204</v>
      </c>
      <c r="O81" s="405">
        <v>171.44481289323883</v>
      </c>
      <c r="P81" s="406">
        <v>166.41056964878936</v>
      </c>
      <c r="Q81" s="406">
        <v>171.80387639798687</v>
      </c>
      <c r="R81" s="406">
        <v>176.96271716273645</v>
      </c>
      <c r="S81" s="405">
        <f t="shared" si="5"/>
        <v>173.07866156608296</v>
      </c>
      <c r="T81" s="406">
        <v>176.95816604024049</v>
      </c>
      <c r="U81" s="406">
        <v>182.91124642765121</v>
      </c>
      <c r="V81" s="405">
        <f t="shared" si="6"/>
        <v>179.34122005641859</v>
      </c>
      <c r="W81" s="406">
        <v>182.00843083154865</v>
      </c>
      <c r="X81" s="406">
        <v>189.79094474375472</v>
      </c>
      <c r="Y81" s="405">
        <f t="shared" si="7"/>
        <v>186.41852639766444</v>
      </c>
      <c r="Z81" s="406">
        <v>186.75978459553249</v>
      </c>
      <c r="AA81" s="406">
        <v>195.45065638511343</v>
      </c>
      <c r="AB81" s="442">
        <f t="shared" si="8"/>
        <v>190.06388862120593</v>
      </c>
      <c r="AC81" s="438">
        <f t="shared" si="9"/>
        <v>195.66718849910347</v>
      </c>
      <c r="AD81" s="410"/>
      <c r="AE81" s="411"/>
      <c r="AF81" s="411"/>
      <c r="AG81" s="411"/>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25"/>
      <c r="BK81" s="25"/>
      <c r="BL81" s="25"/>
      <c r="BM81" s="25"/>
    </row>
    <row r="82" spans="1:65" x14ac:dyDescent="0.2">
      <c r="A82" s="159" t="s">
        <v>1360</v>
      </c>
      <c r="B82" s="18" t="str">
        <f>VLOOKUP(LEFT(A82,7),'Tariff Schedule Lookup Table'!$A$8:$G$186,2,FALSE)</f>
        <v>High Pressure Sodium 50</v>
      </c>
      <c r="C82" s="160">
        <f t="shared" si="10"/>
        <v>360</v>
      </c>
      <c r="D82" s="18">
        <f t="shared" si="11"/>
        <v>2</v>
      </c>
      <c r="E82" s="18" t="str">
        <f>VLOOKUP(C82,'Tariff Schedule Lookup Table'!I$7:L$286,2,FALSE)</f>
        <v>HIGH PRESSURE SODIUM 70W (100)</v>
      </c>
      <c r="F82" s="18" t="str">
        <f>IF(E82 = "BULKHEADS ETC", "SHARED OR NO POLE", VLOOKUP(C82,'Tariff Schedule Lookup Table'!I$7:L$286,3,FALSE))</f>
        <v>STEEL POLE</v>
      </c>
      <c r="G82" s="18">
        <f>IF(E82 = "NO CAPITAL", 1, VLOOKUP(C82,'Tariff Schedule Lookup Table'!I$7:L$286,4,FALSE))</f>
        <v>1</v>
      </c>
      <c r="H82" s="18" t="str">
        <f t="shared" ref="H82:H145" si="12">VLOOKUP(D82,A$11:B$15, 2, FALSE)</f>
        <v>2-Unmetered, Funded by Others, CE Maintained</v>
      </c>
      <c r="I82" s="123">
        <f>VLOOKUP(F82,'Maintenance Model'!$A$57:$B$61,2,FALSE)</f>
        <v>9.9616182311111103</v>
      </c>
      <c r="J82" s="123">
        <f>IF(D82=1,VLOOKUP(C82,'Capital Code Schedules'!A$15:F$300,2,FALSE),IF(D82=2,VLOOKUP(C82,'Capital Code Schedules'!A$15:F$300,3,FALSE),0))</f>
        <v>0</v>
      </c>
      <c r="K82" s="123">
        <v>0</v>
      </c>
      <c r="L82" s="123">
        <f>VLOOKUP(LEFT(A82,10),'Streetlight Tariff Schedule'!B$11:G$260,6, FALSE)+I82</f>
        <v>74.326450342796932</v>
      </c>
      <c r="M82" s="161">
        <f t="shared" si="3"/>
        <v>74.326450342796932</v>
      </c>
      <c r="N82" s="405">
        <f t="shared" si="4"/>
        <v>77.423531143895929</v>
      </c>
      <c r="O82" s="405">
        <v>52.695539580243185</v>
      </c>
      <c r="P82" s="406">
        <v>52.695539580243185</v>
      </c>
      <c r="Q82" s="406">
        <v>55.274399335244155</v>
      </c>
      <c r="R82" s="406">
        <v>55.274399335244155</v>
      </c>
      <c r="S82" s="405">
        <f t="shared" si="5"/>
        <v>81.212550672826183</v>
      </c>
      <c r="T82" s="406">
        <v>57.544584420194887</v>
      </c>
      <c r="U82" s="406">
        <v>57.754811542075402</v>
      </c>
      <c r="V82" s="405">
        <f t="shared" si="6"/>
        <v>84.856925002704003</v>
      </c>
      <c r="W82" s="406">
        <v>59.639363066406922</v>
      </c>
      <c r="X82" s="406">
        <v>60.391706715557874</v>
      </c>
      <c r="Y82" s="405">
        <f t="shared" si="7"/>
        <v>88.731213741628906</v>
      </c>
      <c r="Z82" s="406">
        <v>61.362082403203502</v>
      </c>
      <c r="AA82" s="406">
        <v>62.363540073112979</v>
      </c>
      <c r="AB82" s="442">
        <f t="shared" si="8"/>
        <v>90.657279262424169</v>
      </c>
      <c r="AC82" s="438">
        <f t="shared" si="9"/>
        <v>93.367846807981181</v>
      </c>
      <c r="AD82" s="410"/>
      <c r="AE82" s="411"/>
      <c r="AF82" s="411"/>
      <c r="AG82" s="411"/>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25"/>
      <c r="BK82" s="25"/>
      <c r="BL82" s="25"/>
      <c r="BM82" s="25"/>
    </row>
    <row r="83" spans="1:65" x14ac:dyDescent="0.2">
      <c r="A83" s="159" t="s">
        <v>1361</v>
      </c>
      <c r="B83" s="18" t="str">
        <f>VLOOKUP(LEFT(A83,7),'Tariff Schedule Lookup Table'!$A$8:$G$186,2,FALSE)</f>
        <v>High Pressure Sodium 50</v>
      </c>
      <c r="C83" s="160">
        <f t="shared" si="10"/>
        <v>750</v>
      </c>
      <c r="D83" s="18">
        <f t="shared" si="11"/>
        <v>1</v>
      </c>
      <c r="E83" s="18" t="str">
        <f>VLOOKUP(C83,'Tariff Schedule Lookup Table'!I$7:L$286,2,FALSE)</f>
        <v>HIGH PRESSURE SODIUM 70W (100)</v>
      </c>
      <c r="F83" s="18" t="str">
        <f>IF(E83 = "BULKHEADS ETC", "SHARED OR NO POLE", VLOOKUP(C83,'Tariff Schedule Lookup Table'!I$7:L$286,3,FALSE))</f>
        <v>SHARED OR NO POLE</v>
      </c>
      <c r="G83" s="18">
        <f>IF(E83 = "NO CAPITAL", 1, VLOOKUP(C83,'Tariff Schedule Lookup Table'!I$7:L$286,4,FALSE))</f>
        <v>3</v>
      </c>
      <c r="H83" s="18" t="str">
        <f t="shared" si="12"/>
        <v>1-Unmetered, CE Funded, CE Maintained</v>
      </c>
      <c r="I83" s="123">
        <f>VLOOKUP(F83,'Maintenance Model'!$A$57:$B$61,2,FALSE)</f>
        <v>0</v>
      </c>
      <c r="J83" s="123">
        <f>IF(D83=1,VLOOKUP(C83,'Capital Code Schedules'!A$15:F$300,2,FALSE),IF(D83=2,VLOOKUP(C83,'Capital Code Schedules'!A$15:F$300,3,FALSE),0))</f>
        <v>34.270019010909252</v>
      </c>
      <c r="K83" s="123">
        <v>43.47051764182865</v>
      </c>
      <c r="L83" s="123">
        <f>VLOOKUP(LEFT(A83,10),'Streetlight Tariff Schedule'!B$11:G$260,6, FALSE)+I83</f>
        <v>64.364832111685814</v>
      </c>
      <c r="M83" s="161">
        <f t="shared" ref="M83:M146" si="13">IF(VLOOKUP(D83,A$11:D$15,3,FALSE)="Y",IF(VLOOKUP(D83,A$11:D$15,4,FALSE)="Y",K83+L83,K83),IF(VLOOKUP(D83,A$11:D$15,4,FALSE)="Y",L83,0))</f>
        <v>107.83534975351446</v>
      </c>
      <c r="N83" s="405">
        <f t="shared" ref="N83:N146" si="14">($J83+$L83+$L83*$M$10*$M$14)*(1+$M$12)</f>
        <v>102.1650279846528</v>
      </c>
      <c r="O83" s="405">
        <v>89.619937892755743</v>
      </c>
      <c r="P83" s="406">
        <v>87.647837297607936</v>
      </c>
      <c r="Q83" s="406">
        <v>90.859695688839381</v>
      </c>
      <c r="R83" s="406">
        <v>92.880605773717107</v>
      </c>
      <c r="S83" s="405">
        <f t="shared" ref="S83:S146" si="15">($J83+$L83+$L83*$N$10*$N$14)*(1+$N$12)</f>
        <v>106.31539886868345</v>
      </c>
      <c r="T83" s="406">
        <v>93.846366322353319</v>
      </c>
      <c r="U83" s="406">
        <v>96.268007571895922</v>
      </c>
      <c r="V83" s="405">
        <f t="shared" ref="V83:V146" si="16">($J83+$L83+$L83*$O$10*$O$14)*(1+$O$12)</f>
        <v>110.49697541621767</v>
      </c>
      <c r="W83" s="406">
        <v>96.717529056102904</v>
      </c>
      <c r="X83" s="406">
        <v>100.08687535797847</v>
      </c>
      <c r="Y83" s="405">
        <f t="shared" ref="Y83:Y146" si="17">($J83+$L83+$L83*$P$10*$P$14)*(1+$P$12)</f>
        <v>115.10675308863487</v>
      </c>
      <c r="Z83" s="406">
        <v>99.313027084261677</v>
      </c>
      <c r="AA83" s="406">
        <v>103.14438235560606</v>
      </c>
      <c r="AB83" s="442">
        <f t="shared" ref="AB83:AB146" si="18">($J83+$L83+$L83*$Q$10*$Q$14)*(1+$Q$12)</f>
        <v>117.44818982964637</v>
      </c>
      <c r="AC83" s="438">
        <f t="shared" ref="AC83:AC146" si="19">($J83+$L83+$L83*$R$10*$R$14)*(1+$R$12)</f>
        <v>120.92866399001784</v>
      </c>
      <c r="AD83" s="410"/>
      <c r="AE83" s="411"/>
      <c r="AF83" s="411"/>
      <c r="AG83" s="411"/>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25"/>
      <c r="BK83" s="25"/>
      <c r="BL83" s="25"/>
      <c r="BM83" s="25"/>
    </row>
    <row r="84" spans="1:65" x14ac:dyDescent="0.2">
      <c r="A84" s="159" t="s">
        <v>1362</v>
      </c>
      <c r="B84" s="18" t="str">
        <f>VLOOKUP(LEFT(A84,7),'Tariff Schedule Lookup Table'!$A$8:$G$186,2,FALSE)</f>
        <v>High Pressure Sodium 50</v>
      </c>
      <c r="C84" s="160">
        <f t="shared" si="10"/>
        <v>90</v>
      </c>
      <c r="D84" s="18">
        <f t="shared" si="11"/>
        <v>1</v>
      </c>
      <c r="E84" s="18" t="str">
        <f>VLOOKUP(C84,'Tariff Schedule Lookup Table'!I$7:L$286,2,FALSE)</f>
        <v>HIGH PRESSURE SODIUM 70W TWIN ARC</v>
      </c>
      <c r="F84" s="18" t="str">
        <f>IF(E84 = "BULKHEADS ETC", "SHARED OR NO POLE", VLOOKUP(C84,'Tariff Schedule Lookup Table'!I$7:L$286,3,FALSE))</f>
        <v>SHARED OR NO POLE</v>
      </c>
      <c r="G84" s="18">
        <f>IF(E84 = "NO CAPITAL", 1, VLOOKUP(C84,'Tariff Schedule Lookup Table'!I$7:L$286,4,FALSE))</f>
        <v>1</v>
      </c>
      <c r="H84" s="18" t="str">
        <f t="shared" si="12"/>
        <v>1-Unmetered, CE Funded, CE Maintained</v>
      </c>
      <c r="I84" s="123">
        <f>VLOOKUP(F84,'Maintenance Model'!$A$57:$B$61,2,FALSE)</f>
        <v>0</v>
      </c>
      <c r="J84" s="123">
        <f>IF(D84=1,VLOOKUP(C84,'Capital Code Schedules'!A$15:F$300,2,FALSE),IF(D84=2,VLOOKUP(C84,'Capital Code Schedules'!A$15:F$300,3,FALSE),0))</f>
        <v>19.562845754409921</v>
      </c>
      <c r="K84" s="123">
        <v>24.814898154002691</v>
      </c>
      <c r="L84" s="123">
        <f>VLOOKUP(LEFT(A84,10),'Streetlight Tariff Schedule'!B$11:G$260,6, FALSE)+I84</f>
        <v>45.01550532140314</v>
      </c>
      <c r="M84" s="161">
        <f t="shared" si="13"/>
        <v>69.830403475405831</v>
      </c>
      <c r="N84" s="405">
        <f t="shared" si="14"/>
        <v>66.938265606118989</v>
      </c>
      <c r="O84" s="405">
        <v>59.149285265861181</v>
      </c>
      <c r="P84" s="406">
        <v>58.023522839444801</v>
      </c>
      <c r="Q84" s="406">
        <v>60.248027836376551</v>
      </c>
      <c r="R84" s="406">
        <v>61.40165288284674</v>
      </c>
      <c r="S84" s="405">
        <f t="shared" si="15"/>
        <v>69.729233412956717</v>
      </c>
      <c r="T84" s="406">
        <v>62.297181176580573</v>
      </c>
      <c r="U84" s="406">
        <v>63.71143818288968</v>
      </c>
      <c r="V84" s="405">
        <f t="shared" si="16"/>
        <v>72.521914476263802</v>
      </c>
      <c r="W84" s="406">
        <v>64.253800516762922</v>
      </c>
      <c r="X84" s="406">
        <v>66.291250987331338</v>
      </c>
      <c r="Y84" s="405">
        <f t="shared" si="17"/>
        <v>75.584623274121455</v>
      </c>
      <c r="Z84" s="406">
        <v>65.996642674666106</v>
      </c>
      <c r="AA84" s="406">
        <v>68.33560163308924</v>
      </c>
      <c r="AB84" s="442">
        <f t="shared" si="18"/>
        <v>77.135607660880879</v>
      </c>
      <c r="AC84" s="438">
        <f t="shared" si="19"/>
        <v>79.424127263806511</v>
      </c>
      <c r="AD84" s="410"/>
      <c r="AE84" s="411"/>
      <c r="AF84" s="411"/>
      <c r="AG84" s="411"/>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25"/>
      <c r="BK84" s="25"/>
      <c r="BL84" s="25"/>
      <c r="BM84" s="25"/>
    </row>
    <row r="85" spans="1:65" x14ac:dyDescent="0.2">
      <c r="A85" s="159" t="s">
        <v>1363</v>
      </c>
      <c r="B85" s="18" t="str">
        <f>VLOOKUP(LEFT(A85,7),'Tariff Schedule Lookup Table'!$A$8:$G$186,2,FALSE)</f>
        <v>High Pressure Sodium 50</v>
      </c>
      <c r="C85" s="160">
        <f t="shared" si="10"/>
        <v>90</v>
      </c>
      <c r="D85" s="18">
        <f t="shared" si="11"/>
        <v>2</v>
      </c>
      <c r="E85" s="18" t="str">
        <f>VLOOKUP(C85,'Tariff Schedule Lookup Table'!I$7:L$286,2,FALSE)</f>
        <v>HIGH PRESSURE SODIUM 70W TWIN ARC</v>
      </c>
      <c r="F85" s="18" t="str">
        <f>IF(E85 = "BULKHEADS ETC", "SHARED OR NO POLE", VLOOKUP(C85,'Tariff Schedule Lookup Table'!I$7:L$286,3,FALSE))</f>
        <v>SHARED OR NO POLE</v>
      </c>
      <c r="G85" s="18">
        <f>IF(E85 = "NO CAPITAL", 1, VLOOKUP(C85,'Tariff Schedule Lookup Table'!I$7:L$286,4,FALSE))</f>
        <v>1</v>
      </c>
      <c r="H85" s="18" t="str">
        <f t="shared" si="12"/>
        <v>2-Unmetered, Funded by Others, CE Maintained</v>
      </c>
      <c r="I85" s="123">
        <f>VLOOKUP(F85,'Maintenance Model'!$A$57:$B$61,2,FALSE)</f>
        <v>0</v>
      </c>
      <c r="J85" s="123">
        <f>IF(D85=1,VLOOKUP(C85,'Capital Code Schedules'!A$15:F$300,2,FALSE),IF(D85=2,VLOOKUP(C85,'Capital Code Schedules'!A$15:F$300,3,FALSE),0))</f>
        <v>0</v>
      </c>
      <c r="K85" s="123">
        <v>0</v>
      </c>
      <c r="L85" s="123">
        <f>VLOOKUP(LEFT(A85,10),'Streetlight Tariff Schedule'!B$11:G$260,6, FALSE)+I85</f>
        <v>45.01550532140314</v>
      </c>
      <c r="M85" s="161">
        <f t="shared" si="13"/>
        <v>45.01550532140314</v>
      </c>
      <c r="N85" s="405">
        <f t="shared" si="14"/>
        <v>46.89123941928743</v>
      </c>
      <c r="O85" s="405">
        <v>32.594455956130545</v>
      </c>
      <c r="P85" s="406">
        <v>32.594455956130545</v>
      </c>
      <c r="Q85" s="406">
        <v>34.189591547700267</v>
      </c>
      <c r="R85" s="406">
        <v>34.189591547700267</v>
      </c>
      <c r="S85" s="405">
        <f t="shared" si="15"/>
        <v>49.186043328001055</v>
      </c>
      <c r="T85" s="406">
        <v>35.593798589759544</v>
      </c>
      <c r="U85" s="406">
        <v>35.723833099691539</v>
      </c>
      <c r="V85" s="405">
        <f t="shared" si="16"/>
        <v>51.393243473886919</v>
      </c>
      <c r="W85" s="406">
        <v>36.889509210918078</v>
      </c>
      <c r="X85" s="406">
        <v>37.354866091812781</v>
      </c>
      <c r="Y85" s="405">
        <f t="shared" si="17"/>
        <v>53.739690324763998</v>
      </c>
      <c r="Z85" s="406">
        <v>37.955085159001612</v>
      </c>
      <c r="AA85" s="406">
        <v>38.5745297680484</v>
      </c>
      <c r="AB85" s="442">
        <f t="shared" si="18"/>
        <v>54.90620389161473</v>
      </c>
      <c r="AC85" s="438">
        <f t="shared" si="19"/>
        <v>56.547847844854708</v>
      </c>
      <c r="AD85" s="410"/>
      <c r="AE85" s="411"/>
      <c r="AF85" s="411"/>
      <c r="AG85" s="411"/>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25"/>
      <c r="BK85" s="25"/>
      <c r="BL85" s="25"/>
      <c r="BM85" s="25"/>
    </row>
    <row r="86" spans="1:65" x14ac:dyDescent="0.2">
      <c r="A86" s="159" t="s">
        <v>1364</v>
      </c>
      <c r="B86" s="18" t="str">
        <f>VLOOKUP(LEFT(A86,7),'Tariff Schedule Lookup Table'!$A$8:$G$186,2,FALSE)</f>
        <v>High Pressure Sodium 50</v>
      </c>
      <c r="C86" s="160">
        <f t="shared" si="10"/>
        <v>140</v>
      </c>
      <c r="D86" s="18">
        <f t="shared" si="11"/>
        <v>1</v>
      </c>
      <c r="E86" s="18" t="str">
        <f>VLOOKUP(C86,'Tariff Schedule Lookup Table'!I$7:L$286,2,FALSE)</f>
        <v>HIGH PRESSURE SODIUM 50W TWIN ARC</v>
      </c>
      <c r="F86" s="18" t="str">
        <f>IF(E86 = "BULKHEADS ETC", "SHARED OR NO POLE", VLOOKUP(C86,'Tariff Schedule Lookup Table'!I$7:L$286,3,FALSE))</f>
        <v>WOOD POLE</v>
      </c>
      <c r="G86" s="18">
        <f>IF(E86 = "NO CAPITAL", 1, VLOOKUP(C86,'Tariff Schedule Lookup Table'!I$7:L$286,4,FALSE))</f>
        <v>1</v>
      </c>
      <c r="H86" s="18" t="str">
        <f t="shared" si="12"/>
        <v>1-Unmetered, CE Funded, CE Maintained</v>
      </c>
      <c r="I86" s="123">
        <f>VLOOKUP(F86,'Maintenance Model'!$A$57:$B$61,2,FALSE)</f>
        <v>10.731618231111112</v>
      </c>
      <c r="J86" s="123">
        <f>IF(D86=1,VLOOKUP(C86,'Capital Code Schedules'!A$15:F$300,2,FALSE),IF(D86=2,VLOOKUP(C86,'Capital Code Schedules'!A$15:F$300,3,FALSE),0))</f>
        <v>53.463964116286228</v>
      </c>
      <c r="K86" s="123">
        <v>67.817476102924729</v>
      </c>
      <c r="L86" s="123">
        <f>VLOOKUP(LEFT(A86,10),'Streetlight Tariff Schedule'!B$11:G$260,6, FALSE)+I86</f>
        <v>55.747123552514253</v>
      </c>
      <c r="M86" s="161">
        <f t="shared" si="13"/>
        <v>123.56459965543898</v>
      </c>
      <c r="N86" s="405">
        <f t="shared" si="14"/>
        <v>112.85722662744914</v>
      </c>
      <c r="O86" s="405">
        <v>115.56324895349732</v>
      </c>
      <c r="P86" s="406">
        <v>112.48661466802683</v>
      </c>
      <c r="Q86" s="406">
        <v>116.31055343971646</v>
      </c>
      <c r="R86" s="406">
        <v>119.46333442375234</v>
      </c>
      <c r="S86" s="405">
        <f t="shared" si="15"/>
        <v>117.05509093099927</v>
      </c>
      <c r="T86" s="406">
        <v>119.92523645732714</v>
      </c>
      <c r="U86" s="406">
        <v>123.60644144613426</v>
      </c>
      <c r="V86" s="405">
        <f t="shared" si="16"/>
        <v>121.38856439577035</v>
      </c>
      <c r="W86" s="406">
        <v>123.44044170131541</v>
      </c>
      <c r="X86" s="406">
        <v>128.35065483822171</v>
      </c>
      <c r="Y86" s="405">
        <f t="shared" si="17"/>
        <v>126.25189664563605</v>
      </c>
      <c r="Z86" s="406">
        <v>126.69681335873013</v>
      </c>
      <c r="AA86" s="406">
        <v>132.21315263240712</v>
      </c>
      <c r="AB86" s="442">
        <f t="shared" si="18"/>
        <v>128.74723835224842</v>
      </c>
      <c r="AC86" s="438">
        <f t="shared" si="19"/>
        <v>132.54811575536684</v>
      </c>
      <c r="AD86" s="410"/>
      <c r="AE86" s="411"/>
      <c r="AF86" s="411"/>
      <c r="AG86" s="411"/>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25"/>
      <c r="BK86" s="25"/>
      <c r="BL86" s="25"/>
      <c r="BM86" s="25"/>
    </row>
    <row r="87" spans="1:65" x14ac:dyDescent="0.2">
      <c r="A87" s="159" t="s">
        <v>1365</v>
      </c>
      <c r="B87" s="18" t="str">
        <f>VLOOKUP(LEFT(A87,7),'Tariff Schedule Lookup Table'!$A$8:$G$186,2,FALSE)</f>
        <v>High Pressure Sodium 50</v>
      </c>
      <c r="C87" s="160">
        <f t="shared" si="10"/>
        <v>170</v>
      </c>
      <c r="D87" s="18">
        <f t="shared" si="11"/>
        <v>1</v>
      </c>
      <c r="E87" s="18" t="str">
        <f>VLOOKUP(C87,'Tariff Schedule Lookup Table'!I$7:L$286,2,FALSE)</f>
        <v>HIGH PRESSURE SODIUM 50W TWIN ARC</v>
      </c>
      <c r="F87" s="18" t="str">
        <f>IF(E87 = "BULKHEADS ETC", "SHARED OR NO POLE", VLOOKUP(C87,'Tariff Schedule Lookup Table'!I$7:L$286,3,FALSE))</f>
        <v>STEEL POLE</v>
      </c>
      <c r="G87" s="18">
        <f>IF(E87 = "NO CAPITAL", 1, VLOOKUP(C87,'Tariff Schedule Lookup Table'!I$7:L$286,4,FALSE))</f>
        <v>1</v>
      </c>
      <c r="H87" s="18" t="str">
        <f t="shared" si="12"/>
        <v>1-Unmetered, CE Funded, CE Maintained</v>
      </c>
      <c r="I87" s="123">
        <f>VLOOKUP(F87,'Maintenance Model'!$A$57:$B$61,2,FALSE)</f>
        <v>9.9616182311111103</v>
      </c>
      <c r="J87" s="123">
        <f>IF(D87=1,VLOOKUP(C87,'Capital Code Schedules'!A$15:F$300,2,FALSE),IF(D87=2,VLOOKUP(C87,'Capital Code Schedules'!A$15:F$300,3,FALSE),0))</f>
        <v>88.561479773931197</v>
      </c>
      <c r="K87" s="123">
        <v>112.33764905918515</v>
      </c>
      <c r="L87" s="123">
        <f>VLOOKUP(LEFT(A87,10),'Streetlight Tariff Schedule'!B$11:G$260,6, FALSE)+I87</f>
        <v>54.97712355251425</v>
      </c>
      <c r="M87" s="161">
        <f t="shared" si="13"/>
        <v>167.3147726116994</v>
      </c>
      <c r="N87" s="405">
        <f t="shared" si="14"/>
        <v>148.02132095829583</v>
      </c>
      <c r="O87" s="405">
        <v>162.40293102194775</v>
      </c>
      <c r="P87" s="406">
        <v>157.30657706562971</v>
      </c>
      <c r="Q87" s="406">
        <v>162.22040838693383</v>
      </c>
      <c r="R87" s="406">
        <v>167.4428971036707</v>
      </c>
      <c r="S87" s="405">
        <f t="shared" si="15"/>
        <v>153.07009507680823</v>
      </c>
      <c r="T87" s="406">
        <v>166.95762868195243</v>
      </c>
      <c r="U87" s="406">
        <v>172.93964515615605</v>
      </c>
      <c r="V87" s="405">
        <f t="shared" si="16"/>
        <v>158.41621965346062</v>
      </c>
      <c r="W87" s="406">
        <v>171.62667911243364</v>
      </c>
      <c r="X87" s="406">
        <v>179.34591890980226</v>
      </c>
      <c r="Y87" s="405">
        <f t="shared" si="17"/>
        <v>164.52445417235106</v>
      </c>
      <c r="Z87" s="406">
        <v>176.07190593246239</v>
      </c>
      <c r="AA87" s="406">
        <v>184.65796625758711</v>
      </c>
      <c r="AB87" s="442">
        <f t="shared" si="18"/>
        <v>167.6896178552104</v>
      </c>
      <c r="AC87" s="438">
        <f t="shared" si="19"/>
        <v>172.62296803748271</v>
      </c>
      <c r="AD87" s="410"/>
      <c r="AE87" s="411"/>
      <c r="AF87" s="411"/>
      <c r="AG87" s="411"/>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25"/>
      <c r="BK87" s="25"/>
      <c r="BL87" s="25"/>
      <c r="BM87" s="25"/>
    </row>
    <row r="88" spans="1:65" x14ac:dyDescent="0.2">
      <c r="A88" s="159" t="s">
        <v>1366</v>
      </c>
      <c r="B88" s="18" t="str">
        <f>VLOOKUP(LEFT(A88,7),'Tariff Schedule Lookup Table'!$A$8:$G$186,2,FALSE)</f>
        <v>High Pressure Sodium 50</v>
      </c>
      <c r="C88" s="160">
        <f t="shared" si="10"/>
        <v>170</v>
      </c>
      <c r="D88" s="18">
        <f t="shared" si="11"/>
        <v>2</v>
      </c>
      <c r="E88" s="18" t="str">
        <f>VLOOKUP(C88,'Tariff Schedule Lookup Table'!I$7:L$286,2,FALSE)</f>
        <v>HIGH PRESSURE SODIUM 50W TWIN ARC</v>
      </c>
      <c r="F88" s="18" t="str">
        <f>IF(E88 = "BULKHEADS ETC", "SHARED OR NO POLE", VLOOKUP(C88,'Tariff Schedule Lookup Table'!I$7:L$286,3,FALSE))</f>
        <v>STEEL POLE</v>
      </c>
      <c r="G88" s="18">
        <f>IF(E88 = "NO CAPITAL", 1, VLOOKUP(C88,'Tariff Schedule Lookup Table'!I$7:L$286,4,FALSE))</f>
        <v>1</v>
      </c>
      <c r="H88" s="18" t="str">
        <f t="shared" si="12"/>
        <v>2-Unmetered, Funded by Others, CE Maintained</v>
      </c>
      <c r="I88" s="123">
        <f>VLOOKUP(F88,'Maintenance Model'!$A$57:$B$61,2,FALSE)</f>
        <v>9.9616182311111103</v>
      </c>
      <c r="J88" s="123">
        <f>IF(D88=1,VLOOKUP(C88,'Capital Code Schedules'!A$15:F$300,2,FALSE),IF(D88=2,VLOOKUP(C88,'Capital Code Schedules'!A$15:F$300,3,FALSE),0))</f>
        <v>0</v>
      </c>
      <c r="K88" s="123">
        <v>0</v>
      </c>
      <c r="L88" s="123">
        <f>VLOOKUP(LEFT(A88,10),'Streetlight Tariff Schedule'!B$11:G$260,6, FALSE)+I88</f>
        <v>54.97712355251425</v>
      </c>
      <c r="M88" s="161">
        <f t="shared" si="13"/>
        <v>54.97712355251425</v>
      </c>
      <c r="N88" s="405">
        <f t="shared" si="14"/>
        <v>57.26794455995983</v>
      </c>
      <c r="O88" s="405">
        <v>42.188571192229709</v>
      </c>
      <c r="P88" s="406">
        <v>42.188571192229709</v>
      </c>
      <c r="Q88" s="406">
        <v>44.253231868167184</v>
      </c>
      <c r="R88" s="406">
        <v>44.253231868167184</v>
      </c>
      <c r="S88" s="405">
        <f t="shared" si="15"/>
        <v>60.070572612613432</v>
      </c>
      <c r="T88" s="406">
        <v>46.070764544346297</v>
      </c>
      <c r="U88" s="406">
        <v>46.239074461440666</v>
      </c>
      <c r="V88" s="405">
        <f t="shared" si="16"/>
        <v>62.766210799036259</v>
      </c>
      <c r="W88" s="406">
        <v>47.747865087421744</v>
      </c>
      <c r="X88" s="406">
        <v>48.350198868536047</v>
      </c>
      <c r="Y88" s="405">
        <f t="shared" si="17"/>
        <v>65.631910017761726</v>
      </c>
      <c r="Z88" s="406">
        <v>49.127091260331497</v>
      </c>
      <c r="AA88" s="406">
        <v>49.928868195144787</v>
      </c>
      <c r="AB88" s="442">
        <f t="shared" si="18"/>
        <v>67.056564923500275</v>
      </c>
      <c r="AC88" s="438">
        <f t="shared" si="19"/>
        <v>69.061493265459816</v>
      </c>
      <c r="AD88" s="410"/>
      <c r="AE88" s="411"/>
      <c r="AF88" s="411"/>
      <c r="AG88" s="411"/>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25"/>
      <c r="BK88" s="25"/>
      <c r="BL88" s="25"/>
      <c r="BM88" s="25"/>
    </row>
    <row r="89" spans="1:65" x14ac:dyDescent="0.2">
      <c r="A89" s="159" t="s">
        <v>1367</v>
      </c>
      <c r="B89" s="18" t="str">
        <f>VLOOKUP(LEFT(A89,7),'Tariff Schedule Lookup Table'!$A$8:$G$186,2,FALSE)</f>
        <v>High Pressure Sodium 50</v>
      </c>
      <c r="C89" s="160">
        <f t="shared" si="10"/>
        <v>1180</v>
      </c>
      <c r="D89" s="18">
        <f t="shared" si="11"/>
        <v>1</v>
      </c>
      <c r="E89" s="18" t="str">
        <f>VLOOKUP(C89,'Tariff Schedule Lookup Table'!I$7:L$286,2,FALSE)</f>
        <v>HIGH PRESSURE SODIUM 70W TWIN ARC</v>
      </c>
      <c r="F89" s="18" t="str">
        <f>IF(E89 = "BULKHEADS ETC", "SHARED OR NO POLE", VLOOKUP(C89,'Tariff Schedule Lookup Table'!I$7:L$286,3,FALSE))</f>
        <v>SHARED OR NO POLE</v>
      </c>
      <c r="G89" s="18">
        <f>IF(E89 = "NO CAPITAL", 1, VLOOKUP(C89,'Tariff Schedule Lookup Table'!I$7:L$286,4,FALSE))</f>
        <v>2</v>
      </c>
      <c r="H89" s="18" t="str">
        <f t="shared" si="12"/>
        <v>1-Unmetered, CE Funded, CE Maintained</v>
      </c>
      <c r="I89" s="123">
        <f>VLOOKUP(F89,'Maintenance Model'!$A$57:$B$61,2,FALSE)</f>
        <v>0</v>
      </c>
      <c r="J89" s="123">
        <f>IF(D89=1,VLOOKUP(C89,'Capital Code Schedules'!A$15:F$300,2,FALSE),IF(D89=2,VLOOKUP(C89,'Capital Code Schedules'!A$15:F$300,3,FALSE),0))</f>
        <v>28.535418210578442</v>
      </c>
      <c r="K89" s="123">
        <v>36.196344108972738</v>
      </c>
      <c r="L89" s="123">
        <f>VLOOKUP(LEFT(A89,10),'Streetlight Tariff Schedule'!B$11:G$260,6, FALSE)+I89</f>
        <v>45.01550532140314</v>
      </c>
      <c r="M89" s="161">
        <f t="shared" si="13"/>
        <v>81.211849430375878</v>
      </c>
      <c r="N89" s="405">
        <f t="shared" si="14"/>
        <v>76.132909230577681</v>
      </c>
      <c r="O89" s="405">
        <v>71.32875716038528</v>
      </c>
      <c r="P89" s="406">
        <v>69.686659581800356</v>
      </c>
      <c r="Q89" s="406">
        <v>72.199827213105422</v>
      </c>
      <c r="R89" s="406">
        <v>73.882566706760315</v>
      </c>
      <c r="S89" s="405">
        <f t="shared" si="15"/>
        <v>79.151444467120754</v>
      </c>
      <c r="T89" s="406">
        <v>74.544787587883462</v>
      </c>
      <c r="U89" s="406">
        <v>76.548058050784775</v>
      </c>
      <c r="V89" s="405">
        <f t="shared" si="16"/>
        <v>82.212658545471513</v>
      </c>
      <c r="W89" s="406">
        <v>76.804535186745568</v>
      </c>
      <c r="X89" s="406">
        <v>79.563032268748088</v>
      </c>
      <c r="Y89" s="405">
        <f t="shared" si="17"/>
        <v>85.603883567275318</v>
      </c>
      <c r="Z89" s="406">
        <v>78.858008027730818</v>
      </c>
      <c r="AA89" s="406">
        <v>81.98562868102637</v>
      </c>
      <c r="AB89" s="442">
        <f t="shared" si="18"/>
        <v>87.33120693519426</v>
      </c>
      <c r="AC89" s="438">
        <f t="shared" si="19"/>
        <v>89.916418477002395</v>
      </c>
      <c r="AD89" s="410"/>
      <c r="AE89" s="411"/>
      <c r="AF89" s="411"/>
      <c r="AG89" s="411"/>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25"/>
      <c r="BK89" s="25"/>
      <c r="BL89" s="25"/>
      <c r="BM89" s="25"/>
    </row>
    <row r="90" spans="1:65" x14ac:dyDescent="0.2">
      <c r="A90" s="159" t="s">
        <v>1368</v>
      </c>
      <c r="B90" s="18" t="str">
        <f>VLOOKUP(LEFT(A90,7),'Tariff Schedule Lookup Table'!$A$8:$G$186,2,FALSE)</f>
        <v>High Pressure Sodium 50</v>
      </c>
      <c r="C90" s="160">
        <f t="shared" si="10"/>
        <v>1200</v>
      </c>
      <c r="D90" s="18">
        <f t="shared" si="11"/>
        <v>1</v>
      </c>
      <c r="E90" s="18" t="str">
        <f>VLOOKUP(C90,'Tariff Schedule Lookup Table'!I$7:L$286,2,FALSE)</f>
        <v>HIGH PRESSURE SODIUM 70W TWIN ARC</v>
      </c>
      <c r="F90" s="18" t="str">
        <f>IF(E90 = "BULKHEADS ETC", "SHARED OR NO POLE", VLOOKUP(C90,'Tariff Schedule Lookup Table'!I$7:L$286,3,FALSE))</f>
        <v>SHARED OR NO POLE</v>
      </c>
      <c r="G90" s="18">
        <f>IF(E90 = "NO CAPITAL", 1, VLOOKUP(C90,'Tariff Schedule Lookup Table'!I$7:L$286,4,FALSE))</f>
        <v>4</v>
      </c>
      <c r="H90" s="18" t="str">
        <f t="shared" si="12"/>
        <v>1-Unmetered, CE Funded, CE Maintained</v>
      </c>
      <c r="I90" s="123">
        <f>VLOOKUP(F90,'Maintenance Model'!$A$57:$B$61,2,FALSE)</f>
        <v>0</v>
      </c>
      <c r="J90" s="123">
        <f>IF(D90=1,VLOOKUP(C90,'Capital Code Schedules'!A$15:F$300,2,FALSE),IF(D90=2,VLOOKUP(C90,'Capital Code Schedules'!A$15:F$300,3,FALSE),0))</f>
        <v>46.480563122915477</v>
      </c>
      <c r="K90" s="123">
        <v>58.959236018912797</v>
      </c>
      <c r="L90" s="123">
        <f>VLOOKUP(LEFT(A90,10),'Streetlight Tariff Schedule'!B$11:G$260,6, FALSE)+I90</f>
        <v>45.01550532140314</v>
      </c>
      <c r="M90" s="161">
        <f t="shared" si="13"/>
        <v>103.97474134031594</v>
      </c>
      <c r="N90" s="405">
        <f t="shared" si="14"/>
        <v>94.522196479495051</v>
      </c>
      <c r="O90" s="405">
        <v>95.687700949433463</v>
      </c>
      <c r="P90" s="406">
        <v>93.012933066511437</v>
      </c>
      <c r="Q90" s="406">
        <v>96.103425966563094</v>
      </c>
      <c r="R90" s="406">
        <v>98.844394354587436</v>
      </c>
      <c r="S90" s="405">
        <f t="shared" si="15"/>
        <v>97.995866575448829</v>
      </c>
      <c r="T90" s="406">
        <v>99.040000410489228</v>
      </c>
      <c r="U90" s="406">
        <v>102.22129778657498</v>
      </c>
      <c r="V90" s="405">
        <f t="shared" si="16"/>
        <v>101.59414668388695</v>
      </c>
      <c r="W90" s="406">
        <v>101.90600452671083</v>
      </c>
      <c r="X90" s="406">
        <v>106.10659483158157</v>
      </c>
      <c r="Y90" s="405">
        <f t="shared" si="17"/>
        <v>105.64240415358302</v>
      </c>
      <c r="Z90" s="406">
        <v>104.58073873386022</v>
      </c>
      <c r="AA90" s="406">
        <v>109.28568277690061</v>
      </c>
      <c r="AB90" s="442">
        <f t="shared" si="18"/>
        <v>107.72240548382098</v>
      </c>
      <c r="AC90" s="438">
        <f t="shared" si="19"/>
        <v>110.90100090339416</v>
      </c>
      <c r="AD90" s="410"/>
      <c r="AE90" s="411"/>
      <c r="AF90" s="411"/>
      <c r="AG90" s="411"/>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25"/>
      <c r="BK90" s="25"/>
      <c r="BL90" s="25"/>
      <c r="BM90" s="25"/>
    </row>
    <row r="91" spans="1:65" x14ac:dyDescent="0.2">
      <c r="A91" s="159" t="s">
        <v>1369</v>
      </c>
      <c r="B91" s="18" t="str">
        <f>VLOOKUP(LEFT(A91,7),'Tariff Schedule Lookup Table'!$A$8:$G$186,2,FALSE)</f>
        <v>High Pressure Sodium 70</v>
      </c>
      <c r="C91" s="160">
        <f t="shared" si="10"/>
        <v>40</v>
      </c>
      <c r="D91" s="18">
        <f t="shared" si="11"/>
        <v>1</v>
      </c>
      <c r="E91" s="18" t="str">
        <f>VLOOKUP(C91,'Tariff Schedule Lookup Table'!I$7:L$286,2,FALSE)</f>
        <v>HIGH PRESSURE SODIUM 70W (100)</v>
      </c>
      <c r="F91" s="18" t="str">
        <f>IF(E91 = "BULKHEADS ETC", "SHARED OR NO POLE", VLOOKUP(C91,'Tariff Schedule Lookup Table'!I$7:L$286,3,FALSE))</f>
        <v>SHARED OR NO POLE</v>
      </c>
      <c r="G91" s="18">
        <f>IF(E91 = "NO CAPITAL", 1, VLOOKUP(C91,'Tariff Schedule Lookup Table'!I$7:L$286,4,FALSE))</f>
        <v>1</v>
      </c>
      <c r="H91" s="18" t="str">
        <f t="shared" si="12"/>
        <v>1-Unmetered, CE Funded, CE Maintained</v>
      </c>
      <c r="I91" s="123">
        <f>VLOOKUP(F91,'Maintenance Model'!$A$57:$B$61,2,FALSE)</f>
        <v>0</v>
      </c>
      <c r="J91" s="123">
        <f>IF(D91=1,VLOOKUP(C91,'Capital Code Schedules'!A$15:F$300,2,FALSE),IF(D91=2,VLOOKUP(C91,'Capital Code Schedules'!A$15:F$300,3,FALSE),0))</f>
        <v>18.483521869130684</v>
      </c>
      <c r="K91" s="123">
        <v>23.445807346631316</v>
      </c>
      <c r="L91" s="123">
        <f>VLOOKUP(LEFT(A91,10),'Streetlight Tariff Schedule'!B$11:G$260,6, FALSE)+I91</f>
        <v>64.750127151685817</v>
      </c>
      <c r="M91" s="161">
        <f t="shared" si="13"/>
        <v>88.195934498317129</v>
      </c>
      <c r="N91" s="405">
        <f t="shared" si="14"/>
        <v>86.389164792188083</v>
      </c>
      <c r="O91" s="405">
        <v>68.598132901269778</v>
      </c>
      <c r="P91" s="406">
        <v>67.534481186721948</v>
      </c>
      <c r="Q91" s="406">
        <v>70.258378053035401</v>
      </c>
      <c r="R91" s="406">
        <v>71.348355147518291</v>
      </c>
      <c r="S91" s="405">
        <f t="shared" si="15"/>
        <v>90.158791256125951</v>
      </c>
      <c r="T91" s="406">
        <v>72.742133298545667</v>
      </c>
      <c r="U91" s="406">
        <v>74.129077794591822</v>
      </c>
      <c r="V91" s="405">
        <f t="shared" si="16"/>
        <v>93.88679801856722</v>
      </c>
      <c r="W91" s="406">
        <v>75.09614489998458</v>
      </c>
      <c r="X91" s="406">
        <v>77.202679808436599</v>
      </c>
      <c r="Y91" s="405">
        <f t="shared" si="17"/>
        <v>97.938662259453011</v>
      </c>
      <c r="Z91" s="406">
        <v>77.158418501556525</v>
      </c>
      <c r="AA91" s="406">
        <v>79.609923146138769</v>
      </c>
      <c r="AB91" s="442">
        <f t="shared" si="18"/>
        <v>99.979829566458733</v>
      </c>
      <c r="AC91" s="438">
        <f t="shared" si="19"/>
        <v>102.95234996291714</v>
      </c>
      <c r="AD91" s="410"/>
      <c r="AE91" s="411"/>
      <c r="AF91" s="411"/>
      <c r="AG91" s="411"/>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25"/>
      <c r="BK91" s="25"/>
      <c r="BL91" s="25"/>
      <c r="BM91" s="25"/>
    </row>
    <row r="92" spans="1:65" x14ac:dyDescent="0.2">
      <c r="A92" s="159" t="s">
        <v>1370</v>
      </c>
      <c r="B92" s="18" t="str">
        <f>VLOOKUP(LEFT(A92,7),'Tariff Schedule Lookup Table'!$A$8:$G$186,2,FALSE)</f>
        <v>High Pressure Sodium 70</v>
      </c>
      <c r="C92" s="160">
        <f t="shared" si="10"/>
        <v>40</v>
      </c>
      <c r="D92" s="18">
        <f t="shared" si="11"/>
        <v>2</v>
      </c>
      <c r="E92" s="18" t="str">
        <f>VLOOKUP(C92,'Tariff Schedule Lookup Table'!I$7:L$286,2,FALSE)</f>
        <v>HIGH PRESSURE SODIUM 70W (100)</v>
      </c>
      <c r="F92" s="18" t="str">
        <f>IF(E92 = "BULKHEADS ETC", "SHARED OR NO POLE", VLOOKUP(C92,'Tariff Schedule Lookup Table'!I$7:L$286,3,FALSE))</f>
        <v>SHARED OR NO POLE</v>
      </c>
      <c r="G92" s="18">
        <f>IF(E92 = "NO CAPITAL", 1, VLOOKUP(C92,'Tariff Schedule Lookup Table'!I$7:L$286,4,FALSE))</f>
        <v>1</v>
      </c>
      <c r="H92" s="18" t="str">
        <f t="shared" si="12"/>
        <v>2-Unmetered, Funded by Others, CE Maintained</v>
      </c>
      <c r="I92" s="123">
        <f>VLOOKUP(F92,'Maintenance Model'!$A$57:$B$61,2,FALSE)</f>
        <v>0</v>
      </c>
      <c r="J92" s="123">
        <f>IF(D92=1,VLOOKUP(C92,'Capital Code Schedules'!A$15:F$300,2,FALSE),IF(D92=2,VLOOKUP(C92,'Capital Code Schedules'!A$15:F$300,3,FALSE),0))</f>
        <v>0</v>
      </c>
      <c r="K92" s="123">
        <v>0</v>
      </c>
      <c r="L92" s="123">
        <f>VLOOKUP(LEFT(A92,10),'Streetlight Tariff Schedule'!B$11:G$260,6, FALSE)+I92</f>
        <v>64.750127151685817</v>
      </c>
      <c r="M92" s="161">
        <f t="shared" si="13"/>
        <v>64.750127151685817</v>
      </c>
      <c r="N92" s="405">
        <f t="shared" si="14"/>
        <v>67.448175756796417</v>
      </c>
      <c r="O92" s="405">
        <v>43.508390108261501</v>
      </c>
      <c r="P92" s="406">
        <v>43.508390108261501</v>
      </c>
      <c r="Q92" s="406">
        <v>45.637641220383053</v>
      </c>
      <c r="R92" s="406">
        <v>45.637641220383053</v>
      </c>
      <c r="S92" s="405">
        <f t="shared" si="15"/>
        <v>70.749012742108349</v>
      </c>
      <c r="T92" s="406">
        <v>47.512033229285173</v>
      </c>
      <c r="U92" s="406">
        <v>47.685608520533229</v>
      </c>
      <c r="V92" s="405">
        <f t="shared" si="16"/>
        <v>73.92384081690011</v>
      </c>
      <c r="W92" s="406">
        <v>49.241599854009898</v>
      </c>
      <c r="X92" s="406">
        <v>49.862776925987447</v>
      </c>
      <c r="Y92" s="405">
        <f t="shared" si="17"/>
        <v>77.298960808649369</v>
      </c>
      <c r="Z92" s="406">
        <v>50.663973465693964</v>
      </c>
      <c r="AA92" s="406">
        <v>51.490833031539793</v>
      </c>
      <c r="AB92" s="442">
        <f t="shared" si="18"/>
        <v>78.976869370120951</v>
      </c>
      <c r="AC92" s="438">
        <f t="shared" si="19"/>
        <v>81.33820362486594</v>
      </c>
      <c r="AD92" s="410"/>
      <c r="AE92" s="411"/>
      <c r="AF92" s="411"/>
      <c r="AG92" s="411"/>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25"/>
      <c r="BK92" s="25"/>
      <c r="BL92" s="25"/>
      <c r="BM92" s="25"/>
    </row>
    <row r="93" spans="1:65" x14ac:dyDescent="0.2">
      <c r="A93" s="159" t="s">
        <v>1371</v>
      </c>
      <c r="B93" s="18" t="str">
        <f>VLOOKUP(LEFT(A93,7),'Tariff Schedule Lookup Table'!$A$8:$G$186,2,FALSE)</f>
        <v>High Pressure Sodium 70</v>
      </c>
      <c r="C93" s="160">
        <f t="shared" si="10"/>
        <v>170</v>
      </c>
      <c r="D93" s="18">
        <f t="shared" si="11"/>
        <v>2</v>
      </c>
      <c r="E93" s="18" t="str">
        <f>VLOOKUP(C93,'Tariff Schedule Lookup Table'!I$7:L$286,2,FALSE)</f>
        <v>HIGH PRESSURE SODIUM 50W TWIN ARC</v>
      </c>
      <c r="F93" s="18" t="str">
        <f>IF(E93 = "BULKHEADS ETC", "SHARED OR NO POLE", VLOOKUP(C93,'Tariff Schedule Lookup Table'!I$7:L$286,3,FALSE))</f>
        <v>STEEL POLE</v>
      </c>
      <c r="G93" s="18">
        <f>IF(E93 = "NO CAPITAL", 1, VLOOKUP(C93,'Tariff Schedule Lookup Table'!I$7:L$286,4,FALSE))</f>
        <v>1</v>
      </c>
      <c r="H93" s="18" t="str">
        <f t="shared" si="12"/>
        <v>2-Unmetered, Funded by Others, CE Maintained</v>
      </c>
      <c r="I93" s="123">
        <f>VLOOKUP(F93,'Maintenance Model'!$A$57:$B$61,2,FALSE)</f>
        <v>9.9616182311111103</v>
      </c>
      <c r="J93" s="123">
        <f>IF(D93=1,VLOOKUP(C93,'Capital Code Schedules'!A$15:F$300,2,FALSE),IF(D93=2,VLOOKUP(C93,'Capital Code Schedules'!A$15:F$300,3,FALSE),0))</f>
        <v>0</v>
      </c>
      <c r="K93" s="123">
        <v>0</v>
      </c>
      <c r="L93" s="123">
        <f>VLOOKUP(LEFT(A93,10),'Streetlight Tariff Schedule'!B$11:G$260,6, FALSE)+I93</f>
        <v>74.71174538279692</v>
      </c>
      <c r="M93" s="161">
        <f t="shared" si="13"/>
        <v>74.71174538279692</v>
      </c>
      <c r="N93" s="405">
        <f t="shared" si="14"/>
        <v>77.824880897468802</v>
      </c>
      <c r="O93" s="405">
        <v>53.102505344360665</v>
      </c>
      <c r="P93" s="406">
        <v>53.102505344360665</v>
      </c>
      <c r="Q93" s="406">
        <v>55.701281540849976</v>
      </c>
      <c r="R93" s="406">
        <v>55.701281540849976</v>
      </c>
      <c r="S93" s="405">
        <f t="shared" si="15"/>
        <v>81.633542026720704</v>
      </c>
      <c r="T93" s="406">
        <v>57.988999183871918</v>
      </c>
      <c r="U93" s="406">
        <v>58.200849882282363</v>
      </c>
      <c r="V93" s="405">
        <f t="shared" si="16"/>
        <v>85.296808142049443</v>
      </c>
      <c r="W93" s="406">
        <v>60.09995573051355</v>
      </c>
      <c r="X93" s="406">
        <v>60.858109702710706</v>
      </c>
      <c r="Y93" s="405">
        <f t="shared" si="17"/>
        <v>89.191180501647096</v>
      </c>
      <c r="Z93" s="406">
        <v>61.835979567023841</v>
      </c>
      <c r="AA93" s="406">
        <v>62.845171458636187</v>
      </c>
      <c r="AB93" s="442">
        <f t="shared" si="18"/>
        <v>91.127230402006489</v>
      </c>
      <c r="AC93" s="438">
        <f t="shared" si="19"/>
        <v>93.851849045471056</v>
      </c>
      <c r="AD93" s="410"/>
      <c r="AE93" s="411"/>
      <c r="AF93" s="411"/>
      <c r="AG93" s="411"/>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25"/>
      <c r="BK93" s="25"/>
      <c r="BL93" s="25"/>
      <c r="BM93" s="25"/>
    </row>
    <row r="94" spans="1:65" x14ac:dyDescent="0.2">
      <c r="A94" s="159" t="s">
        <v>1372</v>
      </c>
      <c r="B94" s="18" t="str">
        <f>VLOOKUP(LEFT(A94,7),'Tariff Schedule Lookup Table'!$A$8:$G$186,2,FALSE)</f>
        <v>High Pressure Sodium 70</v>
      </c>
      <c r="C94" s="160">
        <f t="shared" si="10"/>
        <v>350</v>
      </c>
      <c r="D94" s="18">
        <f t="shared" si="11"/>
        <v>1</v>
      </c>
      <c r="E94" s="18" t="str">
        <f>VLOOKUP(C94,'Tariff Schedule Lookup Table'!I$7:L$286,2,FALSE)</f>
        <v>HIGH PRESSURE SODIUM 70W (100)</v>
      </c>
      <c r="F94" s="18" t="str">
        <f>IF(E94 = "BULKHEADS ETC", "SHARED OR NO POLE", VLOOKUP(C94,'Tariff Schedule Lookup Table'!I$7:L$286,3,FALSE))</f>
        <v>WOOD POLE</v>
      </c>
      <c r="G94" s="18">
        <f>IF(E94 = "NO CAPITAL", 1, VLOOKUP(C94,'Tariff Schedule Lookup Table'!I$7:L$286,4,FALSE))</f>
        <v>1</v>
      </c>
      <c r="H94" s="18" t="str">
        <f t="shared" si="12"/>
        <v>1-Unmetered, CE Funded, CE Maintained</v>
      </c>
      <c r="I94" s="123">
        <f>VLOOKUP(F94,'Maintenance Model'!$A$57:$B$61,2,FALSE)</f>
        <v>10.731618231111112</v>
      </c>
      <c r="J94" s="123">
        <f>IF(D94=1,VLOOKUP(C94,'Capital Code Schedules'!A$15:F$300,2,FALSE),IF(D94=2,VLOOKUP(C94,'Capital Code Schedules'!A$15:F$300,3,FALSE),0))</f>
        <v>52.384640231006998</v>
      </c>
      <c r="K94" s="123">
        <v>66.448385295553337</v>
      </c>
      <c r="L94" s="123">
        <f>VLOOKUP(LEFT(A94,10),'Streetlight Tariff Schedule'!B$11:G$260,6, FALSE)+I94</f>
        <v>75.48174538279693</v>
      </c>
      <c r="M94" s="161">
        <f t="shared" si="13"/>
        <v>141.93013067835028</v>
      </c>
      <c r="N94" s="405">
        <f t="shared" si="14"/>
        <v>132.30812581351822</v>
      </c>
      <c r="O94" s="405">
        <v>125.01209658890592</v>
      </c>
      <c r="P94" s="406">
        <v>121.99757301530394</v>
      </c>
      <c r="Q94" s="406">
        <v>126.32090365637526</v>
      </c>
      <c r="R94" s="406">
        <v>129.41003668842387</v>
      </c>
      <c r="S94" s="405">
        <f t="shared" si="15"/>
        <v>137.48464877416851</v>
      </c>
      <c r="T94" s="406">
        <v>130.3701885792922</v>
      </c>
      <c r="U94" s="406">
        <v>134.02408105783638</v>
      </c>
      <c r="V94" s="405">
        <f t="shared" si="16"/>
        <v>142.75344793807378</v>
      </c>
      <c r="W94" s="406">
        <v>134.28278608453704</v>
      </c>
      <c r="X94" s="406">
        <v>139.26208365932698</v>
      </c>
      <c r="Y94" s="405">
        <f t="shared" si="17"/>
        <v>148.60593563096762</v>
      </c>
      <c r="Z94" s="406">
        <v>137.8585891856205</v>
      </c>
      <c r="AA94" s="406">
        <v>143.48747414545662</v>
      </c>
      <c r="AB94" s="442">
        <f t="shared" si="18"/>
        <v>151.59146025782624</v>
      </c>
      <c r="AC94" s="438">
        <f t="shared" si="19"/>
        <v>156.07633845447748</v>
      </c>
      <c r="AD94" s="410"/>
      <c r="AE94" s="411"/>
      <c r="AF94" s="411"/>
      <c r="AG94" s="411"/>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25"/>
      <c r="BK94" s="25"/>
      <c r="BL94" s="25"/>
      <c r="BM94" s="25"/>
    </row>
    <row r="95" spans="1:65" x14ac:dyDescent="0.2">
      <c r="A95" s="159" t="s">
        <v>1373</v>
      </c>
      <c r="B95" s="18" t="str">
        <f>VLOOKUP(LEFT(A95,7),'Tariff Schedule Lookup Table'!$A$8:$G$186,2,FALSE)</f>
        <v>High Pressure Sodium 70</v>
      </c>
      <c r="C95" s="160">
        <f t="shared" si="10"/>
        <v>350</v>
      </c>
      <c r="D95" s="18">
        <f t="shared" si="11"/>
        <v>2</v>
      </c>
      <c r="E95" s="18" t="str">
        <f>VLOOKUP(C95,'Tariff Schedule Lookup Table'!I$7:L$286,2,FALSE)</f>
        <v>HIGH PRESSURE SODIUM 70W (100)</v>
      </c>
      <c r="F95" s="18" t="str">
        <f>IF(E95 = "BULKHEADS ETC", "SHARED OR NO POLE", VLOOKUP(C95,'Tariff Schedule Lookup Table'!I$7:L$286,3,FALSE))</f>
        <v>WOOD POLE</v>
      </c>
      <c r="G95" s="18">
        <f>IF(E95 = "NO CAPITAL", 1, VLOOKUP(C95,'Tariff Schedule Lookup Table'!I$7:L$286,4,FALSE))</f>
        <v>1</v>
      </c>
      <c r="H95" s="18" t="str">
        <f t="shared" si="12"/>
        <v>2-Unmetered, Funded by Others, CE Maintained</v>
      </c>
      <c r="I95" s="123">
        <f>VLOOKUP(F95,'Maintenance Model'!$A$57:$B$61,2,FALSE)</f>
        <v>10.731618231111112</v>
      </c>
      <c r="J95" s="123">
        <f>IF(D95=1,VLOOKUP(C95,'Capital Code Schedules'!A$15:F$300,2,FALSE),IF(D95=2,VLOOKUP(C95,'Capital Code Schedules'!A$15:F$300,3,FALSE),0))</f>
        <v>0</v>
      </c>
      <c r="K95" s="123">
        <v>0</v>
      </c>
      <c r="L95" s="123">
        <f>VLOOKUP(LEFT(A95,10),'Streetlight Tariff Schedule'!B$11:G$260,6, FALSE)+I95</f>
        <v>75.48174538279693</v>
      </c>
      <c r="M95" s="161">
        <f t="shared" si="13"/>
        <v>75.48174538279693</v>
      </c>
      <c r="N95" s="405">
        <f t="shared" si="14"/>
        <v>78.626965736793821</v>
      </c>
      <c r="O95" s="405">
        <v>53.90459018368567</v>
      </c>
      <c r="P95" s="406">
        <v>53.90459018368567</v>
      </c>
      <c r="Q95" s="406">
        <v>56.542619499674437</v>
      </c>
      <c r="R95" s="406">
        <v>56.542619499674437</v>
      </c>
      <c r="S95" s="405">
        <f t="shared" si="15"/>
        <v>82.474879985545172</v>
      </c>
      <c r="T95" s="406">
        <v>58.864891889713029</v>
      </c>
      <c r="U95" s="406">
        <v>59.079942479207581</v>
      </c>
      <c r="V95" s="405">
        <f t="shared" si="16"/>
        <v>86.175900738974647</v>
      </c>
      <c r="W95" s="406">
        <v>61.007733301890759</v>
      </c>
      <c r="X95" s="406">
        <v>61.777338782882644</v>
      </c>
      <c r="Y95" s="405">
        <f t="shared" si="17"/>
        <v>90.110409581819042</v>
      </c>
      <c r="Z95" s="406">
        <v>62.769978846603749</v>
      </c>
      <c r="AA95" s="406">
        <v>63.794414040033629</v>
      </c>
      <c r="AB95" s="442">
        <f t="shared" si="18"/>
        <v>92.066412950212651</v>
      </c>
      <c r="AC95" s="438">
        <f t="shared" si="19"/>
        <v>94.819112270212329</v>
      </c>
      <c r="AD95" s="410"/>
      <c r="AE95" s="411"/>
      <c r="AF95" s="411"/>
      <c r="AG95" s="411"/>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25"/>
      <c r="BK95" s="25"/>
      <c r="BL95" s="25"/>
      <c r="BM95" s="25"/>
    </row>
    <row r="96" spans="1:65" x14ac:dyDescent="0.2">
      <c r="A96" s="159" t="s">
        <v>1374</v>
      </c>
      <c r="B96" s="18" t="str">
        <f>VLOOKUP(LEFT(A96,7),'Tariff Schedule Lookup Table'!$A$8:$G$186,2,FALSE)</f>
        <v>High Pressure Sodium 70</v>
      </c>
      <c r="C96" s="160">
        <f t="shared" si="10"/>
        <v>360</v>
      </c>
      <c r="D96" s="18">
        <f t="shared" si="11"/>
        <v>1</v>
      </c>
      <c r="E96" s="18" t="str">
        <f>VLOOKUP(C96,'Tariff Schedule Lookup Table'!I$7:L$286,2,FALSE)</f>
        <v>HIGH PRESSURE SODIUM 70W (100)</v>
      </c>
      <c r="F96" s="18" t="str">
        <f>IF(E96 = "BULKHEADS ETC", "SHARED OR NO POLE", VLOOKUP(C96,'Tariff Schedule Lookup Table'!I$7:L$286,3,FALSE))</f>
        <v>STEEL POLE</v>
      </c>
      <c r="G96" s="18">
        <f>IF(E96 = "NO CAPITAL", 1, VLOOKUP(C96,'Tariff Schedule Lookup Table'!I$7:L$286,4,FALSE))</f>
        <v>1</v>
      </c>
      <c r="H96" s="18" t="str">
        <f t="shared" si="12"/>
        <v>1-Unmetered, CE Funded, CE Maintained</v>
      </c>
      <c r="I96" s="123">
        <f>VLOOKUP(F96,'Maintenance Model'!$A$57:$B$61,2,FALSE)</f>
        <v>9.9616182311111103</v>
      </c>
      <c r="J96" s="123">
        <f>IF(D96=1,VLOOKUP(C96,'Capital Code Schedules'!A$15:F$300,2,FALSE),IF(D96=2,VLOOKUP(C96,'Capital Code Schedules'!A$15:F$300,3,FALSE),0))</f>
        <v>87.482155888651974</v>
      </c>
      <c r="K96" s="123">
        <v>110.96855825181379</v>
      </c>
      <c r="L96" s="123">
        <f>VLOOKUP(LEFT(A96,10),'Streetlight Tariff Schedule'!B$11:G$260,6, FALSE)+I96</f>
        <v>74.71174538279692</v>
      </c>
      <c r="M96" s="161">
        <f t="shared" si="13"/>
        <v>185.68030363461071</v>
      </c>
      <c r="N96" s="405">
        <f t="shared" si="14"/>
        <v>167.47222014436494</v>
      </c>
      <c r="O96" s="405">
        <v>171.85177865735631</v>
      </c>
      <c r="P96" s="406">
        <v>166.81753541290684</v>
      </c>
      <c r="Q96" s="406">
        <v>172.23075860359268</v>
      </c>
      <c r="R96" s="406">
        <v>177.38959936834226</v>
      </c>
      <c r="S96" s="405">
        <f t="shared" si="15"/>
        <v>173.49965291997751</v>
      </c>
      <c r="T96" s="406">
        <v>177.40258080391752</v>
      </c>
      <c r="U96" s="406">
        <v>183.35728476785818</v>
      </c>
      <c r="V96" s="405">
        <f t="shared" si="16"/>
        <v>179.78110319576408</v>
      </c>
      <c r="W96" s="406">
        <v>182.46902349565528</v>
      </c>
      <c r="X96" s="406">
        <v>190.25734773090755</v>
      </c>
      <c r="Y96" s="405">
        <f t="shared" si="17"/>
        <v>186.87849315768264</v>
      </c>
      <c r="Z96" s="406">
        <v>187.23368175935281</v>
      </c>
      <c r="AA96" s="406">
        <v>195.93228777063663</v>
      </c>
      <c r="AB96" s="442">
        <f t="shared" si="18"/>
        <v>190.53383976078828</v>
      </c>
      <c r="AC96" s="438">
        <f t="shared" si="19"/>
        <v>196.15119073659341</v>
      </c>
      <c r="AD96" s="410"/>
      <c r="AE96" s="411"/>
      <c r="AF96" s="411"/>
      <c r="AG96" s="411"/>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25"/>
      <c r="BK96" s="25"/>
      <c r="BL96" s="25"/>
      <c r="BM96" s="25"/>
    </row>
    <row r="97" spans="1:65" x14ac:dyDescent="0.2">
      <c r="A97" s="159" t="s">
        <v>1375</v>
      </c>
      <c r="B97" s="18" t="str">
        <f>VLOOKUP(LEFT(A97,7),'Tariff Schedule Lookup Table'!$A$8:$G$186,2,FALSE)</f>
        <v>High Pressure Sodium 70</v>
      </c>
      <c r="C97" s="160">
        <f t="shared" si="10"/>
        <v>360</v>
      </c>
      <c r="D97" s="18">
        <f t="shared" si="11"/>
        <v>2</v>
      </c>
      <c r="E97" s="18" t="str">
        <f>VLOOKUP(C97,'Tariff Schedule Lookup Table'!I$7:L$286,2,FALSE)</f>
        <v>HIGH PRESSURE SODIUM 70W (100)</v>
      </c>
      <c r="F97" s="18" t="str">
        <f>IF(E97 = "BULKHEADS ETC", "SHARED OR NO POLE", VLOOKUP(C97,'Tariff Schedule Lookup Table'!I$7:L$286,3,FALSE))</f>
        <v>STEEL POLE</v>
      </c>
      <c r="G97" s="18">
        <f>IF(E97 = "NO CAPITAL", 1, VLOOKUP(C97,'Tariff Schedule Lookup Table'!I$7:L$286,4,FALSE))</f>
        <v>1</v>
      </c>
      <c r="H97" s="18" t="str">
        <f t="shared" si="12"/>
        <v>2-Unmetered, Funded by Others, CE Maintained</v>
      </c>
      <c r="I97" s="123">
        <f>VLOOKUP(F97,'Maintenance Model'!$A$57:$B$61,2,FALSE)</f>
        <v>9.9616182311111103</v>
      </c>
      <c r="J97" s="123">
        <f>IF(D97=1,VLOOKUP(C97,'Capital Code Schedules'!A$15:F$300,2,FALSE),IF(D97=2,VLOOKUP(C97,'Capital Code Schedules'!A$15:F$300,3,FALSE),0))</f>
        <v>0</v>
      </c>
      <c r="K97" s="123">
        <v>0</v>
      </c>
      <c r="L97" s="123">
        <f>VLOOKUP(LEFT(A97,10),'Streetlight Tariff Schedule'!B$11:G$260,6, FALSE)+I97</f>
        <v>74.71174538279692</v>
      </c>
      <c r="M97" s="161">
        <f t="shared" si="13"/>
        <v>74.71174538279692</v>
      </c>
      <c r="N97" s="405">
        <f t="shared" si="14"/>
        <v>77.824880897468802</v>
      </c>
      <c r="O97" s="405">
        <v>53.102505344360665</v>
      </c>
      <c r="P97" s="406">
        <v>53.102505344360665</v>
      </c>
      <c r="Q97" s="406">
        <v>55.701281540849976</v>
      </c>
      <c r="R97" s="406">
        <v>55.701281540849976</v>
      </c>
      <c r="S97" s="405">
        <f t="shared" si="15"/>
        <v>81.633542026720704</v>
      </c>
      <c r="T97" s="406">
        <v>57.988999183871918</v>
      </c>
      <c r="U97" s="406">
        <v>58.200849882282363</v>
      </c>
      <c r="V97" s="405">
        <f t="shared" si="16"/>
        <v>85.296808142049443</v>
      </c>
      <c r="W97" s="406">
        <v>60.09995573051355</v>
      </c>
      <c r="X97" s="406">
        <v>60.858109702710706</v>
      </c>
      <c r="Y97" s="405">
        <f t="shared" si="17"/>
        <v>89.191180501647096</v>
      </c>
      <c r="Z97" s="406">
        <v>61.835979567023841</v>
      </c>
      <c r="AA97" s="406">
        <v>62.845171458636187</v>
      </c>
      <c r="AB97" s="442">
        <f t="shared" si="18"/>
        <v>91.127230402006489</v>
      </c>
      <c r="AC97" s="438">
        <f t="shared" si="19"/>
        <v>93.851849045471056</v>
      </c>
      <c r="AD97" s="410"/>
      <c r="AE97" s="411"/>
      <c r="AF97" s="411"/>
      <c r="AG97" s="411"/>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25"/>
      <c r="BK97" s="25"/>
      <c r="BL97" s="25"/>
      <c r="BM97" s="25"/>
    </row>
    <row r="98" spans="1:65" x14ac:dyDescent="0.2">
      <c r="A98" s="159" t="s">
        <v>1376</v>
      </c>
      <c r="B98" s="18" t="str">
        <f>VLOOKUP(LEFT(A98,7),'Tariff Schedule Lookup Table'!$A$8:$G$186,2,FALSE)</f>
        <v>High Pressure Sodium 70</v>
      </c>
      <c r="C98" s="160">
        <f t="shared" si="10"/>
        <v>730</v>
      </c>
      <c r="D98" s="18">
        <f t="shared" si="11"/>
        <v>1</v>
      </c>
      <c r="E98" s="18" t="str">
        <f>VLOOKUP(C98,'Tariff Schedule Lookup Table'!I$7:L$286,2,FALSE)</f>
        <v>HIGH PRESSURE SODIUM 70W (100)</v>
      </c>
      <c r="F98" s="18" t="str">
        <f>IF(E98 = "BULKHEADS ETC", "SHARED OR NO POLE", VLOOKUP(C98,'Tariff Schedule Lookup Table'!I$7:L$286,3,FALSE))</f>
        <v>STEEL POLE</v>
      </c>
      <c r="G98" s="18">
        <f>IF(E98 = "NO CAPITAL", 1, VLOOKUP(C98,'Tariff Schedule Lookup Table'!I$7:L$286,4,FALSE))</f>
        <v>2</v>
      </c>
      <c r="H98" s="18" t="str">
        <f t="shared" si="12"/>
        <v>1-Unmetered, CE Funded, CE Maintained</v>
      </c>
      <c r="I98" s="123">
        <f>VLOOKUP(F98,'Maintenance Model'!$A$57:$B$61,2,FALSE)</f>
        <v>9.9616182311111103</v>
      </c>
      <c r="J98" s="123">
        <f>IF(D98=1,VLOOKUP(C98,'Capital Code Schedules'!A$15:F$300,2,FALSE),IF(D98=2,VLOOKUP(C98,'Capital Code Schedules'!A$15:F$300,3,FALSE),0))</f>
        <v>95.375404459541258</v>
      </c>
      <c r="K98" s="123">
        <v>120.98091339941246</v>
      </c>
      <c r="L98" s="123">
        <f>VLOOKUP(LEFT(A98,10),'Streetlight Tariff Schedule'!B$11:G$260,6, FALSE)+I98</f>
        <v>74.71174538279692</v>
      </c>
      <c r="M98" s="161">
        <f t="shared" si="13"/>
        <v>195.69265878220938</v>
      </c>
      <c r="N98" s="405">
        <f t="shared" si="14"/>
        <v>175.56082661738373</v>
      </c>
      <c r="O98" s="405">
        <v>182.56616403515804</v>
      </c>
      <c r="P98" s="406">
        <v>177.07769635040859</v>
      </c>
      <c r="Q98" s="406">
        <v>182.74485852429757</v>
      </c>
      <c r="R98" s="406">
        <v>188.36916578424456</v>
      </c>
      <c r="S98" s="405">
        <f t="shared" si="15"/>
        <v>181.78845240320354</v>
      </c>
      <c r="T98" s="406">
        <v>188.17690469765986</v>
      </c>
      <c r="U98" s="406">
        <v>194.64976882661372</v>
      </c>
      <c r="V98" s="405">
        <f t="shared" si="16"/>
        <v>188.30613346426202</v>
      </c>
      <c r="W98" s="406">
        <v>193.51001190576775</v>
      </c>
      <c r="X98" s="406">
        <v>201.9326469992549</v>
      </c>
      <c r="Y98" s="405">
        <f t="shared" si="17"/>
        <v>195.69252195228268</v>
      </c>
      <c r="Z98" s="406">
        <v>198.54793463261555</v>
      </c>
      <c r="AA98" s="406">
        <v>207.94033306813188</v>
      </c>
      <c r="AB98" s="442">
        <f t="shared" si="18"/>
        <v>199.50299546217329</v>
      </c>
      <c r="AC98" s="438">
        <f t="shared" si="19"/>
        <v>205.38134886888869</v>
      </c>
      <c r="AD98" s="410"/>
      <c r="AE98" s="411"/>
      <c r="AF98" s="411"/>
      <c r="AG98" s="411"/>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25"/>
      <c r="BK98" s="25"/>
      <c r="BL98" s="25"/>
      <c r="BM98" s="25"/>
    </row>
    <row r="99" spans="1:65" x14ac:dyDescent="0.2">
      <c r="A99" s="159" t="s">
        <v>1377</v>
      </c>
      <c r="B99" s="18" t="str">
        <f>VLOOKUP(LEFT(A99,7),'Tariff Schedule Lookup Table'!$A$8:$G$186,2,FALSE)</f>
        <v>High Pressure Sodium 70</v>
      </c>
      <c r="C99" s="160">
        <f t="shared" si="10"/>
        <v>730</v>
      </c>
      <c r="D99" s="18">
        <f t="shared" si="11"/>
        <v>2</v>
      </c>
      <c r="E99" s="18" t="str">
        <f>VLOOKUP(C99,'Tariff Schedule Lookup Table'!I$7:L$286,2,FALSE)</f>
        <v>HIGH PRESSURE SODIUM 70W (100)</v>
      </c>
      <c r="F99" s="18" t="str">
        <f>IF(E99 = "BULKHEADS ETC", "SHARED OR NO POLE", VLOOKUP(C99,'Tariff Schedule Lookup Table'!I$7:L$286,3,FALSE))</f>
        <v>STEEL POLE</v>
      </c>
      <c r="G99" s="18">
        <f>IF(E99 = "NO CAPITAL", 1, VLOOKUP(C99,'Tariff Schedule Lookup Table'!I$7:L$286,4,FALSE))</f>
        <v>2</v>
      </c>
      <c r="H99" s="18" t="str">
        <f t="shared" si="12"/>
        <v>2-Unmetered, Funded by Others, CE Maintained</v>
      </c>
      <c r="I99" s="123">
        <f>VLOOKUP(F99,'Maintenance Model'!$A$57:$B$61,2,FALSE)</f>
        <v>9.9616182311111103</v>
      </c>
      <c r="J99" s="123">
        <f>IF(D99=1,VLOOKUP(C99,'Capital Code Schedules'!A$15:F$300,2,FALSE),IF(D99=2,VLOOKUP(C99,'Capital Code Schedules'!A$15:F$300,3,FALSE),0))</f>
        <v>0</v>
      </c>
      <c r="K99" s="123">
        <v>0</v>
      </c>
      <c r="L99" s="123">
        <f>VLOOKUP(LEFT(A99,10),'Streetlight Tariff Schedule'!B$11:G$260,6, FALSE)+I99</f>
        <v>74.71174538279692</v>
      </c>
      <c r="M99" s="161">
        <f t="shared" si="13"/>
        <v>74.71174538279692</v>
      </c>
      <c r="N99" s="405">
        <f t="shared" si="14"/>
        <v>77.824880897468802</v>
      </c>
      <c r="O99" s="405">
        <v>53.102505344360665</v>
      </c>
      <c r="P99" s="406">
        <v>53.102505344360665</v>
      </c>
      <c r="Q99" s="406">
        <v>55.701281540849976</v>
      </c>
      <c r="R99" s="406">
        <v>55.701281540849976</v>
      </c>
      <c r="S99" s="405">
        <f t="shared" si="15"/>
        <v>81.633542026720704</v>
      </c>
      <c r="T99" s="406">
        <v>57.988999183871918</v>
      </c>
      <c r="U99" s="406">
        <v>58.200849882282363</v>
      </c>
      <c r="V99" s="405">
        <f t="shared" si="16"/>
        <v>85.296808142049443</v>
      </c>
      <c r="W99" s="406">
        <v>60.09995573051355</v>
      </c>
      <c r="X99" s="406">
        <v>60.858109702710706</v>
      </c>
      <c r="Y99" s="405">
        <f t="shared" si="17"/>
        <v>89.191180501647096</v>
      </c>
      <c r="Z99" s="406">
        <v>61.835979567023841</v>
      </c>
      <c r="AA99" s="406">
        <v>62.845171458636187</v>
      </c>
      <c r="AB99" s="442">
        <f t="shared" si="18"/>
        <v>91.127230402006489</v>
      </c>
      <c r="AC99" s="438">
        <f t="shared" si="19"/>
        <v>93.851849045471056</v>
      </c>
      <c r="AD99" s="410"/>
      <c r="AE99" s="411"/>
      <c r="AF99" s="411"/>
      <c r="AG99" s="411"/>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25"/>
      <c r="BK99" s="25"/>
      <c r="BL99" s="25"/>
      <c r="BM99" s="25"/>
    </row>
    <row r="100" spans="1:65" x14ac:dyDescent="0.2">
      <c r="A100" s="159" t="s">
        <v>1378</v>
      </c>
      <c r="B100" s="18" t="str">
        <f>VLOOKUP(LEFT(A100,7),'Tariff Schedule Lookup Table'!$A$8:$G$186,2,FALSE)</f>
        <v>High Pressure Sodium 70</v>
      </c>
      <c r="C100" s="160">
        <f t="shared" si="10"/>
        <v>750</v>
      </c>
      <c r="D100" s="18">
        <f t="shared" si="11"/>
        <v>2</v>
      </c>
      <c r="E100" s="18" t="str">
        <f>VLOOKUP(C100,'Tariff Schedule Lookup Table'!I$7:L$286,2,FALSE)</f>
        <v>HIGH PRESSURE SODIUM 70W (100)</v>
      </c>
      <c r="F100" s="18" t="str">
        <f>IF(E100 = "BULKHEADS ETC", "SHARED OR NO POLE", VLOOKUP(C100,'Tariff Schedule Lookup Table'!I$7:L$286,3,FALSE))</f>
        <v>SHARED OR NO POLE</v>
      </c>
      <c r="G100" s="18">
        <f>IF(E100 = "NO CAPITAL", 1, VLOOKUP(C100,'Tariff Schedule Lookup Table'!I$7:L$286,4,FALSE))</f>
        <v>3</v>
      </c>
      <c r="H100" s="18" t="str">
        <f t="shared" si="12"/>
        <v>2-Unmetered, Funded by Others, CE Maintained</v>
      </c>
      <c r="I100" s="123">
        <f>VLOOKUP(F100,'Maintenance Model'!$A$57:$B$61,2,FALSE)</f>
        <v>0</v>
      </c>
      <c r="J100" s="123">
        <f>IF(D100=1,VLOOKUP(C100,'Capital Code Schedules'!A$15:F$300,2,FALSE),IF(D100=2,VLOOKUP(C100,'Capital Code Schedules'!A$15:F$300,3,FALSE),0))</f>
        <v>0</v>
      </c>
      <c r="K100" s="123">
        <v>0</v>
      </c>
      <c r="L100" s="123">
        <f>VLOOKUP(LEFT(A100,10),'Streetlight Tariff Schedule'!B$11:G$260,6, FALSE)+I100</f>
        <v>64.750127151685817</v>
      </c>
      <c r="M100" s="161">
        <f t="shared" si="13"/>
        <v>64.750127151685817</v>
      </c>
      <c r="N100" s="405">
        <f t="shared" si="14"/>
        <v>67.448175756796417</v>
      </c>
      <c r="O100" s="405">
        <v>43.508390108261501</v>
      </c>
      <c r="P100" s="406">
        <v>43.508390108261501</v>
      </c>
      <c r="Q100" s="406">
        <v>45.637641220383053</v>
      </c>
      <c r="R100" s="406">
        <v>45.637641220383053</v>
      </c>
      <c r="S100" s="405">
        <f t="shared" si="15"/>
        <v>70.749012742108349</v>
      </c>
      <c r="T100" s="406">
        <v>47.512033229285173</v>
      </c>
      <c r="U100" s="406">
        <v>47.685608520533229</v>
      </c>
      <c r="V100" s="405">
        <f t="shared" si="16"/>
        <v>73.92384081690011</v>
      </c>
      <c r="W100" s="406">
        <v>49.241599854009898</v>
      </c>
      <c r="X100" s="406">
        <v>49.862776925987447</v>
      </c>
      <c r="Y100" s="405">
        <f t="shared" si="17"/>
        <v>77.298960808649369</v>
      </c>
      <c r="Z100" s="406">
        <v>50.663973465693964</v>
      </c>
      <c r="AA100" s="406">
        <v>51.490833031539793</v>
      </c>
      <c r="AB100" s="442">
        <f t="shared" si="18"/>
        <v>78.976869370120951</v>
      </c>
      <c r="AC100" s="438">
        <f t="shared" si="19"/>
        <v>81.33820362486594</v>
      </c>
      <c r="AD100" s="410"/>
      <c r="AE100" s="411"/>
      <c r="AF100" s="411"/>
      <c r="AG100" s="411"/>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25"/>
      <c r="BK100" s="25"/>
      <c r="BL100" s="25"/>
      <c r="BM100" s="25"/>
    </row>
    <row r="101" spans="1:65" x14ac:dyDescent="0.2">
      <c r="A101" s="159" t="s">
        <v>1379</v>
      </c>
      <c r="B101" s="18" t="str">
        <f>VLOOKUP(LEFT(A101,7),'Tariff Schedule Lookup Table'!$A$8:$G$186,2,FALSE)</f>
        <v>High Pressure Sodium 70</v>
      </c>
      <c r="C101" s="160">
        <f t="shared" si="10"/>
        <v>880</v>
      </c>
      <c r="D101" s="18">
        <f t="shared" si="11"/>
        <v>2</v>
      </c>
      <c r="E101" s="18" t="str">
        <f>VLOOKUP(C101,'Tariff Schedule Lookup Table'!I$7:L$286,2,FALSE)</f>
        <v>HIGH PRESSURE SODIUM 70W (100)</v>
      </c>
      <c r="F101" s="18" t="str">
        <f>IF(E101 = "BULKHEADS ETC", "SHARED OR NO POLE", VLOOKUP(C101,'Tariff Schedule Lookup Table'!I$7:L$286,3,FALSE))</f>
        <v>STEEL POLE</v>
      </c>
      <c r="G101" s="18">
        <f>IF(E101 = "NO CAPITAL", 1, VLOOKUP(C101,'Tariff Schedule Lookup Table'!I$7:L$286,4,FALSE))</f>
        <v>4</v>
      </c>
      <c r="H101" s="18" t="str">
        <f t="shared" si="12"/>
        <v>2-Unmetered, Funded by Others, CE Maintained</v>
      </c>
      <c r="I101" s="123">
        <f>VLOOKUP(F101,'Maintenance Model'!$A$57:$B$61,2,FALSE)</f>
        <v>9.9616182311111103</v>
      </c>
      <c r="J101" s="123">
        <f>IF(D101=1,VLOOKUP(C101,'Capital Code Schedules'!A$15:F$300,2,FALSE),IF(D101=2,VLOOKUP(C101,'Capital Code Schedules'!A$15:F$300,3,FALSE),0))</f>
        <v>0</v>
      </c>
      <c r="K101" s="123">
        <v>0</v>
      </c>
      <c r="L101" s="123">
        <f>VLOOKUP(LEFT(A101,10),'Streetlight Tariff Schedule'!B$11:G$260,6, FALSE)+I101</f>
        <v>74.71174538279692</v>
      </c>
      <c r="M101" s="161">
        <f t="shared" si="13"/>
        <v>74.71174538279692</v>
      </c>
      <c r="N101" s="405">
        <f t="shared" si="14"/>
        <v>77.824880897468802</v>
      </c>
      <c r="O101" s="405">
        <v>53.102505344360665</v>
      </c>
      <c r="P101" s="406">
        <v>53.102505344360665</v>
      </c>
      <c r="Q101" s="406">
        <v>55.701281540849976</v>
      </c>
      <c r="R101" s="406">
        <v>55.701281540849976</v>
      </c>
      <c r="S101" s="405">
        <f t="shared" si="15"/>
        <v>81.633542026720704</v>
      </c>
      <c r="T101" s="406">
        <v>57.988999183871918</v>
      </c>
      <c r="U101" s="406">
        <v>58.200849882282363</v>
      </c>
      <c r="V101" s="405">
        <f t="shared" si="16"/>
        <v>85.296808142049443</v>
      </c>
      <c r="W101" s="406">
        <v>60.09995573051355</v>
      </c>
      <c r="X101" s="406">
        <v>60.858109702710706</v>
      </c>
      <c r="Y101" s="405">
        <f t="shared" si="17"/>
        <v>89.191180501647096</v>
      </c>
      <c r="Z101" s="406">
        <v>61.835979567023841</v>
      </c>
      <c r="AA101" s="406">
        <v>62.845171458636187</v>
      </c>
      <c r="AB101" s="442">
        <f t="shared" si="18"/>
        <v>91.127230402006489</v>
      </c>
      <c r="AC101" s="438">
        <f t="shared" si="19"/>
        <v>93.851849045471056</v>
      </c>
      <c r="AD101" s="410"/>
      <c r="AE101" s="411"/>
      <c r="AF101" s="411"/>
      <c r="AG101" s="411"/>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25"/>
      <c r="BK101" s="25"/>
      <c r="BL101" s="25"/>
      <c r="BM101" s="25"/>
    </row>
    <row r="102" spans="1:65" x14ac:dyDescent="0.2">
      <c r="A102" s="159" t="s">
        <v>1380</v>
      </c>
      <c r="B102" s="18" t="str">
        <f>VLOOKUP(LEFT(A102,7),'Tariff Schedule Lookup Table'!$A$8:$G$186,2,FALSE)</f>
        <v>High Pressure Sodium 70</v>
      </c>
      <c r="C102" s="160">
        <f t="shared" si="10"/>
        <v>890</v>
      </c>
      <c r="D102" s="18">
        <f t="shared" si="11"/>
        <v>1</v>
      </c>
      <c r="E102" s="18" t="str">
        <f>VLOOKUP(C102,'Tariff Schedule Lookup Table'!I$7:L$286,2,FALSE)</f>
        <v>HIGH PRESSURE SODIUM 70W (100)</v>
      </c>
      <c r="F102" s="18" t="str">
        <f>IF(E102 = "BULKHEADS ETC", "SHARED OR NO POLE", VLOOKUP(C102,'Tariff Schedule Lookup Table'!I$7:L$286,3,FALSE))</f>
        <v>SHARED OR NO POLE</v>
      </c>
      <c r="G102" s="18">
        <f>IF(E102 = "NO CAPITAL", 1, VLOOKUP(C102,'Tariff Schedule Lookup Table'!I$7:L$286,4,FALSE))</f>
        <v>2</v>
      </c>
      <c r="H102" s="18" t="str">
        <f t="shared" si="12"/>
        <v>1-Unmetered, CE Funded, CE Maintained</v>
      </c>
      <c r="I102" s="123">
        <f>VLOOKUP(F102,'Maintenance Model'!$A$57:$B$61,2,FALSE)</f>
        <v>0</v>
      </c>
      <c r="J102" s="123">
        <f>IF(D102=1,VLOOKUP(C102,'Capital Code Schedules'!A$15:F$300,2,FALSE),IF(D102=2,VLOOKUP(C102,'Capital Code Schedules'!A$15:F$300,3,FALSE),0))</f>
        <v>26.376770440019968</v>
      </c>
      <c r="K102" s="123">
        <v>33.458162494229981</v>
      </c>
      <c r="L102" s="123">
        <f>VLOOKUP(LEFT(A102,10),'Streetlight Tariff Schedule'!B$11:G$260,6, FALSE)+I102</f>
        <v>64.750127151685817</v>
      </c>
      <c r="M102" s="161">
        <f t="shared" si="13"/>
        <v>98.208289645915798</v>
      </c>
      <c r="N102" s="405">
        <f t="shared" si="14"/>
        <v>94.477771265206869</v>
      </c>
      <c r="O102" s="405">
        <v>79.312518279071497</v>
      </c>
      <c r="P102" s="406">
        <v>77.794642124223685</v>
      </c>
      <c r="Q102" s="406">
        <v>80.772477973740308</v>
      </c>
      <c r="R102" s="406">
        <v>82.327921563420603</v>
      </c>
      <c r="S102" s="405">
        <f t="shared" si="15"/>
        <v>98.447590739351966</v>
      </c>
      <c r="T102" s="406">
        <v>83.516457192288016</v>
      </c>
      <c r="U102" s="406">
        <v>85.421561853347356</v>
      </c>
      <c r="V102" s="405">
        <f t="shared" si="16"/>
        <v>102.41182828706518</v>
      </c>
      <c r="W102" s="406">
        <v>86.137133310097056</v>
      </c>
      <c r="X102" s="406">
        <v>88.877979076783944</v>
      </c>
      <c r="Y102" s="405">
        <f t="shared" si="17"/>
        <v>106.75269105405305</v>
      </c>
      <c r="Z102" s="406">
        <v>88.472671374819271</v>
      </c>
      <c r="AA102" s="406">
        <v>91.617968443634012</v>
      </c>
      <c r="AB102" s="442">
        <f t="shared" si="18"/>
        <v>108.94898526784372</v>
      </c>
      <c r="AC102" s="438">
        <f t="shared" si="19"/>
        <v>112.18250809521244</v>
      </c>
      <c r="AD102" s="410"/>
      <c r="AE102" s="411"/>
      <c r="AF102" s="411"/>
      <c r="AG102" s="411"/>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25"/>
      <c r="BK102" s="25"/>
      <c r="BL102" s="25"/>
      <c r="BM102" s="25"/>
    </row>
    <row r="103" spans="1:65" x14ac:dyDescent="0.2">
      <c r="A103" s="159" t="s">
        <v>1381</v>
      </c>
      <c r="B103" s="18" t="str">
        <f>VLOOKUP(LEFT(A103,7),'Tariff Schedule Lookup Table'!$A$8:$G$186,2,FALSE)</f>
        <v>High Pressure Sodium 70</v>
      </c>
      <c r="C103" s="160">
        <f t="shared" si="10"/>
        <v>890</v>
      </c>
      <c r="D103" s="18">
        <f t="shared" si="11"/>
        <v>2</v>
      </c>
      <c r="E103" s="18" t="str">
        <f>VLOOKUP(C103,'Tariff Schedule Lookup Table'!I$7:L$286,2,FALSE)</f>
        <v>HIGH PRESSURE SODIUM 70W (100)</v>
      </c>
      <c r="F103" s="18" t="str">
        <f>IF(E103 = "BULKHEADS ETC", "SHARED OR NO POLE", VLOOKUP(C103,'Tariff Schedule Lookup Table'!I$7:L$286,3,FALSE))</f>
        <v>SHARED OR NO POLE</v>
      </c>
      <c r="G103" s="18">
        <f>IF(E103 = "NO CAPITAL", 1, VLOOKUP(C103,'Tariff Schedule Lookup Table'!I$7:L$286,4,FALSE))</f>
        <v>2</v>
      </c>
      <c r="H103" s="18" t="str">
        <f t="shared" si="12"/>
        <v>2-Unmetered, Funded by Others, CE Maintained</v>
      </c>
      <c r="I103" s="123">
        <f>VLOOKUP(F103,'Maintenance Model'!$A$57:$B$61,2,FALSE)</f>
        <v>0</v>
      </c>
      <c r="J103" s="123">
        <f>IF(D103=1,VLOOKUP(C103,'Capital Code Schedules'!A$15:F$300,2,FALSE),IF(D103=2,VLOOKUP(C103,'Capital Code Schedules'!A$15:F$300,3,FALSE),0))</f>
        <v>0</v>
      </c>
      <c r="K103" s="123">
        <v>0</v>
      </c>
      <c r="L103" s="123">
        <f>VLOOKUP(LEFT(A103,10),'Streetlight Tariff Schedule'!B$11:G$260,6, FALSE)+I103</f>
        <v>64.750127151685817</v>
      </c>
      <c r="M103" s="161">
        <f t="shared" si="13"/>
        <v>64.750127151685817</v>
      </c>
      <c r="N103" s="405">
        <f t="shared" si="14"/>
        <v>67.448175756796417</v>
      </c>
      <c r="O103" s="405">
        <v>43.508390108261501</v>
      </c>
      <c r="P103" s="406">
        <v>43.508390108261501</v>
      </c>
      <c r="Q103" s="406">
        <v>45.637641220383053</v>
      </c>
      <c r="R103" s="406">
        <v>45.637641220383053</v>
      </c>
      <c r="S103" s="405">
        <f t="shared" si="15"/>
        <v>70.749012742108349</v>
      </c>
      <c r="T103" s="406">
        <v>47.512033229285173</v>
      </c>
      <c r="U103" s="406">
        <v>47.685608520533229</v>
      </c>
      <c r="V103" s="405">
        <f t="shared" si="16"/>
        <v>73.92384081690011</v>
      </c>
      <c r="W103" s="406">
        <v>49.241599854009898</v>
      </c>
      <c r="X103" s="406">
        <v>49.862776925987447</v>
      </c>
      <c r="Y103" s="405">
        <f t="shared" si="17"/>
        <v>77.298960808649369</v>
      </c>
      <c r="Z103" s="406">
        <v>50.663973465693964</v>
      </c>
      <c r="AA103" s="406">
        <v>51.490833031539793</v>
      </c>
      <c r="AB103" s="442">
        <f t="shared" si="18"/>
        <v>78.976869370120951</v>
      </c>
      <c r="AC103" s="438">
        <f t="shared" si="19"/>
        <v>81.33820362486594</v>
      </c>
      <c r="AD103" s="410"/>
      <c r="AE103" s="411"/>
      <c r="AF103" s="411"/>
      <c r="AG103" s="411"/>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25"/>
      <c r="BK103" s="25"/>
      <c r="BL103" s="25"/>
      <c r="BM103" s="25"/>
    </row>
    <row r="104" spans="1:65" x14ac:dyDescent="0.2">
      <c r="A104" s="159" t="s">
        <v>1382</v>
      </c>
      <c r="B104" s="18" t="str">
        <f>VLOOKUP(LEFT(A104,7),'Tariff Schedule Lookup Table'!$A$8:$G$186,2,FALSE)</f>
        <v>High Pressure Sodium 70</v>
      </c>
      <c r="C104" s="160">
        <f t="shared" si="10"/>
        <v>910</v>
      </c>
      <c r="D104" s="18">
        <f t="shared" si="11"/>
        <v>1</v>
      </c>
      <c r="E104" s="18" t="str">
        <f>VLOOKUP(C104,'Tariff Schedule Lookup Table'!I$7:L$286,2,FALSE)</f>
        <v>HIGH PRESSURE SODIUM 70W (100)</v>
      </c>
      <c r="F104" s="18" t="str">
        <f>IF(E104 = "BULKHEADS ETC", "SHARED OR NO POLE", VLOOKUP(C104,'Tariff Schedule Lookup Table'!I$7:L$286,3,FALSE))</f>
        <v>WOOD POLE</v>
      </c>
      <c r="G104" s="18">
        <f>IF(E104 = "NO CAPITAL", 1, VLOOKUP(C104,'Tariff Schedule Lookup Table'!I$7:L$286,4,FALSE))</f>
        <v>2</v>
      </c>
      <c r="H104" s="18" t="str">
        <f t="shared" si="12"/>
        <v>1-Unmetered, CE Funded, CE Maintained</v>
      </c>
      <c r="I104" s="123">
        <f>VLOOKUP(F104,'Maintenance Model'!$A$57:$B$61,2,FALSE)</f>
        <v>10.731618231111112</v>
      </c>
      <c r="J104" s="123">
        <f>IF(D104=1,VLOOKUP(C104,'Capital Code Schedules'!A$15:F$300,2,FALSE),IF(D104=2,VLOOKUP(C104,'Capital Code Schedules'!A$15:F$300,3,FALSE),0))</f>
        <v>60.277888801896275</v>
      </c>
      <c r="K104" s="123">
        <v>76.460740443151991</v>
      </c>
      <c r="L104" s="123">
        <f>VLOOKUP(LEFT(A104,10),'Streetlight Tariff Schedule'!B$11:G$260,6, FALSE)+I104</f>
        <v>75.48174538279693</v>
      </c>
      <c r="M104" s="161">
        <f t="shared" si="13"/>
        <v>151.94248582594892</v>
      </c>
      <c r="N104" s="405">
        <f t="shared" si="14"/>
        <v>140.39673228653703</v>
      </c>
      <c r="O104" s="405">
        <v>135.72648196670764</v>
      </c>
      <c r="P104" s="406">
        <v>132.25773395280569</v>
      </c>
      <c r="Q104" s="406">
        <v>136.83500357708019</v>
      </c>
      <c r="R104" s="406">
        <v>140.3896031043262</v>
      </c>
      <c r="S104" s="405">
        <f t="shared" si="15"/>
        <v>145.77344825739451</v>
      </c>
      <c r="T104" s="406">
        <v>141.14451247303455</v>
      </c>
      <c r="U104" s="406">
        <v>145.3165651165919</v>
      </c>
      <c r="V104" s="405">
        <f t="shared" si="16"/>
        <v>151.27847820657169</v>
      </c>
      <c r="W104" s="406">
        <v>145.32377449464951</v>
      </c>
      <c r="X104" s="406">
        <v>150.93738292767432</v>
      </c>
      <c r="Y104" s="405">
        <f t="shared" si="17"/>
        <v>157.41996442556763</v>
      </c>
      <c r="Z104" s="406">
        <v>149.17284205888325</v>
      </c>
      <c r="AA104" s="406">
        <v>155.49551944295186</v>
      </c>
      <c r="AB104" s="442">
        <f t="shared" si="18"/>
        <v>160.56061595921125</v>
      </c>
      <c r="AC104" s="438">
        <f t="shared" si="19"/>
        <v>165.30649658677277</v>
      </c>
      <c r="AD104" s="410"/>
      <c r="AE104" s="411"/>
      <c r="AF104" s="411"/>
      <c r="AG104" s="411"/>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25"/>
      <c r="BK104" s="25"/>
      <c r="BL104" s="25"/>
      <c r="BM104" s="25"/>
    </row>
    <row r="105" spans="1:65" x14ac:dyDescent="0.2">
      <c r="A105" s="159" t="s">
        <v>1383</v>
      </c>
      <c r="B105" s="18" t="str">
        <f>VLOOKUP(LEFT(A105,7),'Tariff Schedule Lookup Table'!$A$8:$G$186,2,FALSE)</f>
        <v>High Pressure Sodium 70</v>
      </c>
      <c r="C105" s="160">
        <f t="shared" si="10"/>
        <v>910</v>
      </c>
      <c r="D105" s="18">
        <f t="shared" si="11"/>
        <v>2</v>
      </c>
      <c r="E105" s="18" t="str">
        <f>VLOOKUP(C105,'Tariff Schedule Lookup Table'!I$7:L$286,2,FALSE)</f>
        <v>HIGH PRESSURE SODIUM 70W (100)</v>
      </c>
      <c r="F105" s="18" t="str">
        <f>IF(E105 = "BULKHEADS ETC", "SHARED OR NO POLE", VLOOKUP(C105,'Tariff Schedule Lookup Table'!I$7:L$286,3,FALSE))</f>
        <v>WOOD POLE</v>
      </c>
      <c r="G105" s="18">
        <f>IF(E105 = "NO CAPITAL", 1, VLOOKUP(C105,'Tariff Schedule Lookup Table'!I$7:L$286,4,FALSE))</f>
        <v>2</v>
      </c>
      <c r="H105" s="18" t="str">
        <f t="shared" si="12"/>
        <v>2-Unmetered, Funded by Others, CE Maintained</v>
      </c>
      <c r="I105" s="123">
        <f>VLOOKUP(F105,'Maintenance Model'!$A$57:$B$61,2,FALSE)</f>
        <v>10.731618231111112</v>
      </c>
      <c r="J105" s="123">
        <f>IF(D105=1,VLOOKUP(C105,'Capital Code Schedules'!A$15:F$300,2,FALSE),IF(D105=2,VLOOKUP(C105,'Capital Code Schedules'!A$15:F$300,3,FALSE),0))</f>
        <v>0</v>
      </c>
      <c r="K105" s="123">
        <v>0</v>
      </c>
      <c r="L105" s="123">
        <f>VLOOKUP(LEFT(A105,10),'Streetlight Tariff Schedule'!B$11:G$260,6, FALSE)+I105</f>
        <v>75.48174538279693</v>
      </c>
      <c r="M105" s="161">
        <f t="shared" si="13"/>
        <v>75.48174538279693</v>
      </c>
      <c r="N105" s="405">
        <f t="shared" si="14"/>
        <v>78.626965736793821</v>
      </c>
      <c r="O105" s="405">
        <v>53.90459018368567</v>
      </c>
      <c r="P105" s="406">
        <v>53.90459018368567</v>
      </c>
      <c r="Q105" s="406">
        <v>56.542619499674437</v>
      </c>
      <c r="R105" s="406">
        <v>56.542619499674437</v>
      </c>
      <c r="S105" s="405">
        <f t="shared" si="15"/>
        <v>82.474879985545172</v>
      </c>
      <c r="T105" s="406">
        <v>58.864891889713029</v>
      </c>
      <c r="U105" s="406">
        <v>59.079942479207581</v>
      </c>
      <c r="V105" s="405">
        <f t="shared" si="16"/>
        <v>86.175900738974647</v>
      </c>
      <c r="W105" s="406">
        <v>61.007733301890759</v>
      </c>
      <c r="X105" s="406">
        <v>61.777338782882644</v>
      </c>
      <c r="Y105" s="405">
        <f t="shared" si="17"/>
        <v>90.110409581819042</v>
      </c>
      <c r="Z105" s="406">
        <v>62.769978846603749</v>
      </c>
      <c r="AA105" s="406">
        <v>63.794414040033629</v>
      </c>
      <c r="AB105" s="442">
        <f t="shared" si="18"/>
        <v>92.066412950212651</v>
      </c>
      <c r="AC105" s="438">
        <f t="shared" si="19"/>
        <v>94.819112270212329</v>
      </c>
      <c r="AD105" s="410"/>
      <c r="AE105" s="411"/>
      <c r="AF105" s="411"/>
      <c r="AG105" s="411"/>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25"/>
      <c r="BK105" s="25"/>
      <c r="BL105" s="25"/>
      <c r="BM105" s="25"/>
    </row>
    <row r="106" spans="1:65" x14ac:dyDescent="0.2">
      <c r="A106" s="159" t="s">
        <v>1384</v>
      </c>
      <c r="B106" s="18" t="str">
        <f>VLOOKUP(LEFT(A106,7),'Tariff Schedule Lookup Table'!$A$8:$G$186,2,FALSE)</f>
        <v>High Pressure Sodium 70</v>
      </c>
      <c r="C106" s="160">
        <f t="shared" si="10"/>
        <v>90</v>
      </c>
      <c r="D106" s="18">
        <f t="shared" si="11"/>
        <v>1</v>
      </c>
      <c r="E106" s="18" t="str">
        <f>VLOOKUP(C106,'Tariff Schedule Lookup Table'!I$7:L$286,2,FALSE)</f>
        <v>HIGH PRESSURE SODIUM 70W TWIN ARC</v>
      </c>
      <c r="F106" s="18" t="str">
        <f>IF(E106 = "BULKHEADS ETC", "SHARED OR NO POLE", VLOOKUP(C106,'Tariff Schedule Lookup Table'!I$7:L$286,3,FALSE))</f>
        <v>SHARED OR NO POLE</v>
      </c>
      <c r="G106" s="18">
        <f>IF(E106 = "NO CAPITAL", 1, VLOOKUP(C106,'Tariff Schedule Lookup Table'!I$7:L$286,4,FALSE))</f>
        <v>1</v>
      </c>
      <c r="H106" s="18" t="str">
        <f t="shared" si="12"/>
        <v>1-Unmetered, CE Funded, CE Maintained</v>
      </c>
      <c r="I106" s="123">
        <f>VLOOKUP(F106,'Maintenance Model'!$A$57:$B$61,2,FALSE)</f>
        <v>0</v>
      </c>
      <c r="J106" s="123">
        <f>IF(D106=1,VLOOKUP(C106,'Capital Code Schedules'!A$15:F$300,2,FALSE),IF(D106=2,VLOOKUP(C106,'Capital Code Schedules'!A$15:F$300,3,FALSE),0))</f>
        <v>19.562845754409921</v>
      </c>
      <c r="K106" s="123">
        <v>24.814898154002691</v>
      </c>
      <c r="L106" s="123">
        <f>VLOOKUP(LEFT(A106,10),'Streetlight Tariff Schedule'!B$11:G$260,6, FALSE)+I106</f>
        <v>49.248399441403137</v>
      </c>
      <c r="M106" s="161">
        <f t="shared" si="13"/>
        <v>74.063297595405828</v>
      </c>
      <c r="N106" s="405">
        <f t="shared" si="14"/>
        <v>71.347538593287737</v>
      </c>
      <c r="O106" s="405">
        <v>63.620256368874095</v>
      </c>
      <c r="P106" s="406">
        <v>62.494493942457716</v>
      </c>
      <c r="Q106" s="406">
        <v>64.93780317851818</v>
      </c>
      <c r="R106" s="406">
        <v>66.091428224988377</v>
      </c>
      <c r="S106" s="405">
        <f t="shared" si="15"/>
        <v>74.354291203659116</v>
      </c>
      <c r="T106" s="406">
        <v>67.179571149754679</v>
      </c>
      <c r="U106" s="406">
        <v>68.611664948218959</v>
      </c>
      <c r="V106" s="405">
        <f t="shared" si="16"/>
        <v>77.35451952101738</v>
      </c>
      <c r="W106" s="406">
        <v>69.313922701601001</v>
      </c>
      <c r="X106" s="406">
        <v>71.415206026746546</v>
      </c>
      <c r="Y106" s="405">
        <f t="shared" si="17"/>
        <v>80.637869207099115</v>
      </c>
      <c r="Z106" s="406">
        <v>71.202929571636787</v>
      </c>
      <c r="AA106" s="406">
        <v>73.626857549045624</v>
      </c>
      <c r="AB106" s="442">
        <f t="shared" si="18"/>
        <v>82.298543097125645</v>
      </c>
      <c r="AC106" s="438">
        <f t="shared" si="19"/>
        <v>84.741429622896831</v>
      </c>
      <c r="AD106" s="410"/>
      <c r="AE106" s="411"/>
      <c r="AF106" s="411"/>
      <c r="AG106" s="411"/>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row>
    <row r="107" spans="1:65" x14ac:dyDescent="0.2">
      <c r="A107" s="159" t="s">
        <v>1385</v>
      </c>
      <c r="B107" s="18" t="str">
        <f>VLOOKUP(LEFT(A107,7),'Tariff Schedule Lookup Table'!$A$8:$G$186,2,FALSE)</f>
        <v>High Pressure Sodium 70</v>
      </c>
      <c r="C107" s="160">
        <f t="shared" si="10"/>
        <v>90</v>
      </c>
      <c r="D107" s="18">
        <f t="shared" si="11"/>
        <v>2</v>
      </c>
      <c r="E107" s="18" t="str">
        <f>VLOOKUP(C107,'Tariff Schedule Lookup Table'!I$7:L$286,2,FALSE)</f>
        <v>HIGH PRESSURE SODIUM 70W TWIN ARC</v>
      </c>
      <c r="F107" s="18" t="str">
        <f>IF(E107 = "BULKHEADS ETC", "SHARED OR NO POLE", VLOOKUP(C107,'Tariff Schedule Lookup Table'!I$7:L$286,3,FALSE))</f>
        <v>SHARED OR NO POLE</v>
      </c>
      <c r="G107" s="18">
        <f>IF(E107 = "NO CAPITAL", 1, VLOOKUP(C107,'Tariff Schedule Lookup Table'!I$7:L$286,4,FALSE))</f>
        <v>1</v>
      </c>
      <c r="H107" s="18" t="str">
        <f t="shared" si="12"/>
        <v>2-Unmetered, Funded by Others, CE Maintained</v>
      </c>
      <c r="I107" s="123">
        <f>VLOOKUP(F107,'Maintenance Model'!$A$57:$B$61,2,FALSE)</f>
        <v>0</v>
      </c>
      <c r="J107" s="123">
        <f>IF(D107=1,VLOOKUP(C107,'Capital Code Schedules'!A$15:F$300,2,FALSE),IF(D107=2,VLOOKUP(C107,'Capital Code Schedules'!A$15:F$300,3,FALSE),0))</f>
        <v>0</v>
      </c>
      <c r="K107" s="123">
        <v>0</v>
      </c>
      <c r="L107" s="123">
        <f>VLOOKUP(LEFT(A107,10),'Streetlight Tariff Schedule'!B$11:G$260,6, FALSE)+I107</f>
        <v>49.248399441403137</v>
      </c>
      <c r="M107" s="161">
        <f t="shared" si="13"/>
        <v>49.248399441403137</v>
      </c>
      <c r="N107" s="405">
        <f t="shared" si="14"/>
        <v>51.300512406456178</v>
      </c>
      <c r="O107" s="405">
        <v>37.065427059143452</v>
      </c>
      <c r="P107" s="406">
        <v>37.065427059143452</v>
      </c>
      <c r="Q107" s="406">
        <v>38.879366889841897</v>
      </c>
      <c r="R107" s="406">
        <v>38.879366889841897</v>
      </c>
      <c r="S107" s="405">
        <f t="shared" si="15"/>
        <v>53.811101118703455</v>
      </c>
      <c r="T107" s="406">
        <v>40.47618856293365</v>
      </c>
      <c r="U107" s="406">
        <v>40.624059865020811</v>
      </c>
      <c r="V107" s="405">
        <f t="shared" si="16"/>
        <v>56.225848518640497</v>
      </c>
      <c r="W107" s="406">
        <v>41.94963139575615</v>
      </c>
      <c r="X107" s="406">
        <v>42.478821131227981</v>
      </c>
      <c r="Y107" s="405">
        <f t="shared" si="17"/>
        <v>58.792936257741651</v>
      </c>
      <c r="Z107" s="406">
        <v>43.161372055972294</v>
      </c>
      <c r="AA107" s="406">
        <v>43.865785684004791</v>
      </c>
      <c r="AB107" s="442">
        <f t="shared" si="18"/>
        <v>60.069139327859496</v>
      </c>
      <c r="AC107" s="438">
        <f t="shared" si="19"/>
        <v>61.865150203945035</v>
      </c>
      <c r="AD107" s="410"/>
      <c r="AE107" s="411"/>
      <c r="AF107" s="411"/>
      <c r="AG107" s="411"/>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row>
    <row r="108" spans="1:65" x14ac:dyDescent="0.2">
      <c r="A108" s="159" t="s">
        <v>1386</v>
      </c>
      <c r="B108" s="18" t="str">
        <f>VLOOKUP(LEFT(A108,7),'Tariff Schedule Lookup Table'!$A$8:$G$186,2,FALSE)</f>
        <v>High Pressure Sodium 70</v>
      </c>
      <c r="C108" s="160">
        <f t="shared" si="10"/>
        <v>140</v>
      </c>
      <c r="D108" s="18">
        <f t="shared" si="11"/>
        <v>1</v>
      </c>
      <c r="E108" s="18" t="str">
        <f>VLOOKUP(C108,'Tariff Schedule Lookup Table'!I$7:L$286,2,FALSE)</f>
        <v>HIGH PRESSURE SODIUM 50W TWIN ARC</v>
      </c>
      <c r="F108" s="18" t="str">
        <f>IF(E108 = "BULKHEADS ETC", "SHARED OR NO POLE", VLOOKUP(C108,'Tariff Schedule Lookup Table'!I$7:L$286,3,FALSE))</f>
        <v>WOOD POLE</v>
      </c>
      <c r="G108" s="18">
        <f>IF(E108 = "NO CAPITAL", 1, VLOOKUP(C108,'Tariff Schedule Lookup Table'!I$7:L$286,4,FALSE))</f>
        <v>1</v>
      </c>
      <c r="H108" s="18" t="str">
        <f t="shared" si="12"/>
        <v>1-Unmetered, CE Funded, CE Maintained</v>
      </c>
      <c r="I108" s="123">
        <f>VLOOKUP(F108,'Maintenance Model'!$A$57:$B$61,2,FALSE)</f>
        <v>10.731618231111112</v>
      </c>
      <c r="J108" s="123">
        <f>IF(D108=1,VLOOKUP(C108,'Capital Code Schedules'!A$15:F$300,2,FALSE),IF(D108=2,VLOOKUP(C108,'Capital Code Schedules'!A$15:F$300,3,FALSE),0))</f>
        <v>53.463964116286228</v>
      </c>
      <c r="K108" s="123">
        <v>67.817476102924729</v>
      </c>
      <c r="L108" s="123">
        <f>VLOOKUP(LEFT(A108,10),'Streetlight Tariff Schedule'!B$11:G$260,6, FALSE)+I108</f>
        <v>59.980017672514251</v>
      </c>
      <c r="M108" s="161">
        <f t="shared" si="13"/>
        <v>127.79749377543898</v>
      </c>
      <c r="N108" s="405">
        <f t="shared" si="14"/>
        <v>117.26649961461789</v>
      </c>
      <c r="O108" s="405">
        <v>120.03422005651025</v>
      </c>
      <c r="P108" s="406">
        <v>116.95758577103973</v>
      </c>
      <c r="Q108" s="406">
        <v>121.00032878185807</v>
      </c>
      <c r="R108" s="406">
        <v>124.15310976589397</v>
      </c>
      <c r="S108" s="405">
        <f t="shared" si="15"/>
        <v>121.68014872170167</v>
      </c>
      <c r="T108" s="406">
        <v>124.80762643050124</v>
      </c>
      <c r="U108" s="406">
        <v>128.50666821146353</v>
      </c>
      <c r="V108" s="405">
        <f t="shared" si="16"/>
        <v>126.22116944052391</v>
      </c>
      <c r="W108" s="406">
        <v>128.50056388615346</v>
      </c>
      <c r="X108" s="406">
        <v>133.47460987763691</v>
      </c>
      <c r="Y108" s="405">
        <f t="shared" si="17"/>
        <v>131.3051425786137</v>
      </c>
      <c r="Z108" s="406">
        <v>131.90310025570079</v>
      </c>
      <c r="AA108" s="406">
        <v>137.5044085483635</v>
      </c>
      <c r="AB108" s="442">
        <f t="shared" si="18"/>
        <v>133.91017378849315</v>
      </c>
      <c r="AC108" s="438">
        <f t="shared" si="19"/>
        <v>137.86541811445713</v>
      </c>
      <c r="AD108" s="410"/>
      <c r="AE108" s="411"/>
      <c r="AF108" s="411"/>
      <c r="AG108" s="411"/>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row>
    <row r="109" spans="1:65" x14ac:dyDescent="0.2">
      <c r="A109" s="159" t="s">
        <v>1387</v>
      </c>
      <c r="B109" s="18" t="str">
        <f>VLOOKUP(LEFT(A109,7),'Tariff Schedule Lookup Table'!$A$8:$G$186,2,FALSE)</f>
        <v>High Pressure Sodium 70</v>
      </c>
      <c r="C109" s="160">
        <f t="shared" si="10"/>
        <v>140</v>
      </c>
      <c r="D109" s="18">
        <f t="shared" si="11"/>
        <v>2</v>
      </c>
      <c r="E109" s="18" t="str">
        <f>VLOOKUP(C109,'Tariff Schedule Lookup Table'!I$7:L$286,2,FALSE)</f>
        <v>HIGH PRESSURE SODIUM 50W TWIN ARC</v>
      </c>
      <c r="F109" s="18" t="str">
        <f>IF(E109 = "BULKHEADS ETC", "SHARED OR NO POLE", VLOOKUP(C109,'Tariff Schedule Lookup Table'!I$7:L$286,3,FALSE))</f>
        <v>WOOD POLE</v>
      </c>
      <c r="G109" s="18">
        <f>IF(E109 = "NO CAPITAL", 1, VLOOKUP(C109,'Tariff Schedule Lookup Table'!I$7:L$286,4,FALSE))</f>
        <v>1</v>
      </c>
      <c r="H109" s="18" t="str">
        <f t="shared" si="12"/>
        <v>2-Unmetered, Funded by Others, CE Maintained</v>
      </c>
      <c r="I109" s="123">
        <f>VLOOKUP(F109,'Maintenance Model'!$A$57:$B$61,2,FALSE)</f>
        <v>10.731618231111112</v>
      </c>
      <c r="J109" s="123">
        <f>IF(D109=1,VLOOKUP(C109,'Capital Code Schedules'!A$15:F$300,2,FALSE),IF(D109=2,VLOOKUP(C109,'Capital Code Schedules'!A$15:F$300,3,FALSE),0))</f>
        <v>0</v>
      </c>
      <c r="K109" s="123">
        <v>0</v>
      </c>
      <c r="L109" s="123">
        <f>VLOOKUP(LEFT(A109,10),'Streetlight Tariff Schedule'!B$11:G$260,6, FALSE)+I109</f>
        <v>59.980017672514251</v>
      </c>
      <c r="M109" s="161">
        <f t="shared" si="13"/>
        <v>59.980017672514251</v>
      </c>
      <c r="N109" s="405">
        <f t="shared" si="14"/>
        <v>62.479302386453583</v>
      </c>
      <c r="O109" s="405">
        <v>47.461627134567628</v>
      </c>
      <c r="P109" s="406">
        <v>47.461627134567628</v>
      </c>
      <c r="Q109" s="406">
        <v>49.784345169133275</v>
      </c>
      <c r="R109" s="406">
        <v>49.784345169133275</v>
      </c>
      <c r="S109" s="405">
        <f t="shared" si="15"/>
        <v>65.536968362140286</v>
      </c>
      <c r="T109" s="406">
        <v>51.829047223361499</v>
      </c>
      <c r="U109" s="406">
        <v>52.018393823695149</v>
      </c>
      <c r="V109" s="405">
        <f t="shared" si="16"/>
        <v>68.477908440715055</v>
      </c>
      <c r="W109" s="406">
        <v>53.715764843637011</v>
      </c>
      <c r="X109" s="406">
        <v>54.393382988123186</v>
      </c>
      <c r="Y109" s="405">
        <f t="shared" si="17"/>
        <v>71.604385030911303</v>
      </c>
      <c r="Z109" s="406">
        <v>55.267377436882072</v>
      </c>
      <c r="AA109" s="406">
        <v>56.16936669249862</v>
      </c>
      <c r="AB109" s="442">
        <f t="shared" si="18"/>
        <v>73.158682907951203</v>
      </c>
      <c r="AC109" s="438">
        <f t="shared" si="19"/>
        <v>75.346058849291424</v>
      </c>
      <c r="AD109" s="410"/>
      <c r="AE109" s="411"/>
      <c r="AF109" s="411"/>
      <c r="AG109" s="411"/>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row>
    <row r="110" spans="1:65" x14ac:dyDescent="0.2">
      <c r="A110" s="159" t="s">
        <v>1388</v>
      </c>
      <c r="B110" s="18" t="str">
        <f>VLOOKUP(LEFT(A110,7),'Tariff Schedule Lookup Table'!$A$8:$G$186,2,FALSE)</f>
        <v>High Pressure Sodium 70</v>
      </c>
      <c r="C110" s="160">
        <f t="shared" si="10"/>
        <v>170</v>
      </c>
      <c r="D110" s="18">
        <f t="shared" si="11"/>
        <v>1</v>
      </c>
      <c r="E110" s="18" t="str">
        <f>VLOOKUP(C110,'Tariff Schedule Lookup Table'!I$7:L$286,2,FALSE)</f>
        <v>HIGH PRESSURE SODIUM 50W TWIN ARC</v>
      </c>
      <c r="F110" s="18" t="str">
        <f>IF(E110 = "BULKHEADS ETC", "SHARED OR NO POLE", VLOOKUP(C110,'Tariff Schedule Lookup Table'!I$7:L$286,3,FALSE))</f>
        <v>STEEL POLE</v>
      </c>
      <c r="G110" s="18">
        <f>IF(E110 = "NO CAPITAL", 1, VLOOKUP(C110,'Tariff Schedule Lookup Table'!I$7:L$286,4,FALSE))</f>
        <v>1</v>
      </c>
      <c r="H110" s="18" t="str">
        <f t="shared" si="12"/>
        <v>1-Unmetered, CE Funded, CE Maintained</v>
      </c>
      <c r="I110" s="123">
        <f>VLOOKUP(F110,'Maintenance Model'!$A$57:$B$61,2,FALSE)</f>
        <v>9.9616182311111103</v>
      </c>
      <c r="J110" s="123">
        <f>IF(D110=1,VLOOKUP(C110,'Capital Code Schedules'!A$15:F$300,2,FALSE),IF(D110=2,VLOOKUP(C110,'Capital Code Schedules'!A$15:F$300,3,FALSE),0))</f>
        <v>88.561479773931197</v>
      </c>
      <c r="K110" s="123">
        <v>112.33764905918515</v>
      </c>
      <c r="L110" s="123">
        <f>VLOOKUP(LEFT(A110,10),'Streetlight Tariff Schedule'!B$11:G$260,6, FALSE)+I110</f>
        <v>59.210017672514248</v>
      </c>
      <c r="M110" s="161">
        <f t="shared" si="13"/>
        <v>171.54766673169939</v>
      </c>
      <c r="N110" s="405">
        <f t="shared" si="14"/>
        <v>152.43059394546458</v>
      </c>
      <c r="O110" s="405">
        <v>166.87390212496061</v>
      </c>
      <c r="P110" s="406">
        <v>161.7775481686426</v>
      </c>
      <c r="Q110" s="406">
        <v>166.91018372907544</v>
      </c>
      <c r="R110" s="406">
        <v>172.13267244581232</v>
      </c>
      <c r="S110" s="405">
        <f t="shared" si="15"/>
        <v>157.69515286751064</v>
      </c>
      <c r="T110" s="406">
        <v>171.84001865512653</v>
      </c>
      <c r="U110" s="406">
        <v>177.83987192148533</v>
      </c>
      <c r="V110" s="405">
        <f t="shared" si="16"/>
        <v>163.24882469821421</v>
      </c>
      <c r="W110" s="406">
        <v>176.68680129727167</v>
      </c>
      <c r="X110" s="406">
        <v>184.46987394921746</v>
      </c>
      <c r="Y110" s="405">
        <f t="shared" si="17"/>
        <v>169.57770010532872</v>
      </c>
      <c r="Z110" s="406">
        <v>181.27819282943307</v>
      </c>
      <c r="AA110" s="406">
        <v>189.94922217354349</v>
      </c>
      <c r="AB110" s="442">
        <f t="shared" si="18"/>
        <v>172.85255329145514</v>
      </c>
      <c r="AC110" s="438">
        <f t="shared" si="19"/>
        <v>177.94027039657303</v>
      </c>
      <c r="AD110" s="410"/>
      <c r="AE110" s="411"/>
      <c r="AF110" s="411"/>
      <c r="AG110" s="411"/>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row>
    <row r="111" spans="1:65" x14ac:dyDescent="0.2">
      <c r="A111" s="159" t="s">
        <v>1389</v>
      </c>
      <c r="B111" s="18" t="str">
        <f>VLOOKUP(LEFT(A111,7),'Tariff Schedule Lookup Table'!$A$8:$G$186,2,FALSE)</f>
        <v>High Pressure Sodium 70</v>
      </c>
      <c r="C111" s="160">
        <f t="shared" si="10"/>
        <v>170</v>
      </c>
      <c r="D111" s="18">
        <f t="shared" si="11"/>
        <v>2</v>
      </c>
      <c r="E111" s="18" t="str">
        <f>VLOOKUP(C111,'Tariff Schedule Lookup Table'!I$7:L$286,2,FALSE)</f>
        <v>HIGH PRESSURE SODIUM 50W TWIN ARC</v>
      </c>
      <c r="F111" s="18" t="str">
        <f>IF(E111 = "BULKHEADS ETC", "SHARED OR NO POLE", VLOOKUP(C111,'Tariff Schedule Lookup Table'!I$7:L$286,3,FALSE))</f>
        <v>STEEL POLE</v>
      </c>
      <c r="G111" s="18">
        <f>IF(E111 = "NO CAPITAL", 1, VLOOKUP(C111,'Tariff Schedule Lookup Table'!I$7:L$286,4,FALSE))</f>
        <v>1</v>
      </c>
      <c r="H111" s="18" t="str">
        <f t="shared" si="12"/>
        <v>2-Unmetered, Funded by Others, CE Maintained</v>
      </c>
      <c r="I111" s="123">
        <f>VLOOKUP(F111,'Maintenance Model'!$A$57:$B$61,2,FALSE)</f>
        <v>9.9616182311111103</v>
      </c>
      <c r="J111" s="123">
        <f>IF(D111=1,VLOOKUP(C111,'Capital Code Schedules'!A$15:F$300,2,FALSE),IF(D111=2,VLOOKUP(C111,'Capital Code Schedules'!A$15:F$300,3,FALSE),0))</f>
        <v>0</v>
      </c>
      <c r="K111" s="123">
        <v>0</v>
      </c>
      <c r="L111" s="123">
        <f>VLOOKUP(LEFT(A111,10),'Streetlight Tariff Schedule'!B$11:G$260,6, FALSE)+I111</f>
        <v>59.210017672514248</v>
      </c>
      <c r="M111" s="161">
        <f t="shared" si="13"/>
        <v>59.210017672514248</v>
      </c>
      <c r="N111" s="405">
        <f t="shared" si="14"/>
        <v>61.677217547128578</v>
      </c>
      <c r="O111" s="405">
        <v>46.659542295242623</v>
      </c>
      <c r="P111" s="406">
        <v>46.659542295242623</v>
      </c>
      <c r="Q111" s="406">
        <v>48.943007210308814</v>
      </c>
      <c r="R111" s="406">
        <v>48.943007210308814</v>
      </c>
      <c r="S111" s="405">
        <f t="shared" si="15"/>
        <v>64.695630403315832</v>
      </c>
      <c r="T111" s="406">
        <v>50.953154517520396</v>
      </c>
      <c r="U111" s="406">
        <v>51.139301226769938</v>
      </c>
      <c r="V111" s="405">
        <f t="shared" si="16"/>
        <v>67.598815843789836</v>
      </c>
      <c r="W111" s="406">
        <v>52.807987272259801</v>
      </c>
      <c r="X111" s="406">
        <v>53.474153907951248</v>
      </c>
      <c r="Y111" s="405">
        <f t="shared" si="17"/>
        <v>70.685155950739372</v>
      </c>
      <c r="Z111" s="406">
        <v>54.333378157302171</v>
      </c>
      <c r="AA111" s="406">
        <v>55.220124111101178</v>
      </c>
      <c r="AB111" s="442">
        <f t="shared" si="18"/>
        <v>72.219500359745041</v>
      </c>
      <c r="AC111" s="438">
        <f t="shared" si="19"/>
        <v>74.37879562455015</v>
      </c>
      <c r="AD111" s="410"/>
      <c r="AE111" s="411"/>
      <c r="AF111" s="411"/>
      <c r="AG111" s="411"/>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row>
    <row r="112" spans="1:65" x14ac:dyDescent="0.2">
      <c r="A112" s="159" t="s">
        <v>1390</v>
      </c>
      <c r="B112" s="18" t="str">
        <f>VLOOKUP(LEFT(A112,7),'Tariff Schedule Lookup Table'!$A$8:$G$186,2,FALSE)</f>
        <v>High Pressure Sodium 100</v>
      </c>
      <c r="C112" s="160">
        <f t="shared" si="10"/>
        <v>40</v>
      </c>
      <c r="D112" s="18">
        <f t="shared" si="11"/>
        <v>1</v>
      </c>
      <c r="E112" s="18" t="str">
        <f>VLOOKUP(C112,'Tariff Schedule Lookup Table'!I$7:L$286,2,FALSE)</f>
        <v>HIGH PRESSURE SODIUM 70W (100)</v>
      </c>
      <c r="F112" s="18" t="str">
        <f>IF(E112 = "BULKHEADS ETC", "SHARED OR NO POLE", VLOOKUP(C112,'Tariff Schedule Lookup Table'!I$7:L$286,3,FALSE))</f>
        <v>SHARED OR NO POLE</v>
      </c>
      <c r="G112" s="18">
        <f>IF(E112 = "NO CAPITAL", 1, VLOOKUP(C112,'Tariff Schedule Lookup Table'!I$7:L$286,4,FALSE))</f>
        <v>1</v>
      </c>
      <c r="H112" s="18" t="str">
        <f t="shared" si="12"/>
        <v>1-Unmetered, CE Funded, CE Maintained</v>
      </c>
      <c r="I112" s="123">
        <f>VLOOKUP(F112,'Maintenance Model'!$A$57:$B$61,2,FALSE)</f>
        <v>0</v>
      </c>
      <c r="J112" s="123">
        <f>IF(D112=1,VLOOKUP(C112,'Capital Code Schedules'!A$15:F$300,2,FALSE),IF(D112=2,VLOOKUP(C112,'Capital Code Schedules'!A$15:F$300,3,FALSE),0))</f>
        <v>18.483521869130684</v>
      </c>
      <c r="K112" s="123">
        <v>23.445807346631316</v>
      </c>
      <c r="L112" s="123">
        <f>VLOOKUP(LEFT(A112,10),'Streetlight Tariff Schedule'!B$11:G$260,6, FALSE)+I112</f>
        <v>64.750127151685817</v>
      </c>
      <c r="M112" s="161">
        <f t="shared" si="13"/>
        <v>88.195934498317129</v>
      </c>
      <c r="N112" s="405">
        <f t="shared" si="14"/>
        <v>86.389164792188083</v>
      </c>
      <c r="O112" s="405">
        <v>68.598132901269778</v>
      </c>
      <c r="P112" s="406">
        <v>67.534481186721948</v>
      </c>
      <c r="Q112" s="406">
        <v>70.258378053035401</v>
      </c>
      <c r="R112" s="406">
        <v>71.348355147518291</v>
      </c>
      <c r="S112" s="405">
        <f t="shared" si="15"/>
        <v>90.158791256125951</v>
      </c>
      <c r="T112" s="406">
        <v>72.742133298545667</v>
      </c>
      <c r="U112" s="406">
        <v>74.129077794591822</v>
      </c>
      <c r="V112" s="405">
        <f t="shared" si="16"/>
        <v>93.88679801856722</v>
      </c>
      <c r="W112" s="406">
        <v>75.09614489998458</v>
      </c>
      <c r="X112" s="406">
        <v>77.202679808436599</v>
      </c>
      <c r="Y112" s="405">
        <f t="shared" si="17"/>
        <v>97.938662259453011</v>
      </c>
      <c r="Z112" s="406">
        <v>77.158418501556525</v>
      </c>
      <c r="AA112" s="406">
        <v>79.609923146138769</v>
      </c>
      <c r="AB112" s="442">
        <f t="shared" si="18"/>
        <v>99.979829566458733</v>
      </c>
      <c r="AC112" s="438">
        <f t="shared" si="19"/>
        <v>102.95234996291714</v>
      </c>
      <c r="AD112" s="410"/>
      <c r="AE112" s="411"/>
      <c r="AF112" s="411"/>
      <c r="AG112" s="411"/>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row>
    <row r="113" spans="1:61" x14ac:dyDescent="0.2">
      <c r="A113" s="159" t="s">
        <v>1391</v>
      </c>
      <c r="B113" s="18" t="str">
        <f>VLOOKUP(LEFT(A113,7),'Tariff Schedule Lookup Table'!$A$8:$G$186,2,FALSE)</f>
        <v>High Pressure Sodium 100</v>
      </c>
      <c r="C113" s="160">
        <f t="shared" si="10"/>
        <v>40</v>
      </c>
      <c r="D113" s="18">
        <f t="shared" si="11"/>
        <v>2</v>
      </c>
      <c r="E113" s="18" t="str">
        <f>VLOOKUP(C113,'Tariff Schedule Lookup Table'!I$7:L$286,2,FALSE)</f>
        <v>HIGH PRESSURE SODIUM 70W (100)</v>
      </c>
      <c r="F113" s="18" t="str">
        <f>IF(E113 = "BULKHEADS ETC", "SHARED OR NO POLE", VLOOKUP(C113,'Tariff Schedule Lookup Table'!I$7:L$286,3,FALSE))</f>
        <v>SHARED OR NO POLE</v>
      </c>
      <c r="G113" s="18">
        <f>IF(E113 = "NO CAPITAL", 1, VLOOKUP(C113,'Tariff Schedule Lookup Table'!I$7:L$286,4,FALSE))</f>
        <v>1</v>
      </c>
      <c r="H113" s="18" t="str">
        <f t="shared" si="12"/>
        <v>2-Unmetered, Funded by Others, CE Maintained</v>
      </c>
      <c r="I113" s="123">
        <f>VLOOKUP(F113,'Maintenance Model'!$A$57:$B$61,2,FALSE)</f>
        <v>0</v>
      </c>
      <c r="J113" s="123">
        <f>IF(D113=1,VLOOKUP(C113,'Capital Code Schedules'!A$15:F$300,2,FALSE),IF(D113=2,VLOOKUP(C113,'Capital Code Schedules'!A$15:F$300,3,FALSE),0))</f>
        <v>0</v>
      </c>
      <c r="K113" s="123">
        <v>0</v>
      </c>
      <c r="L113" s="123">
        <f>VLOOKUP(LEFT(A113,10),'Streetlight Tariff Schedule'!B$11:G$260,6, FALSE)+I113</f>
        <v>64.750127151685817</v>
      </c>
      <c r="M113" s="161">
        <f t="shared" si="13"/>
        <v>64.750127151685817</v>
      </c>
      <c r="N113" s="405">
        <f t="shared" si="14"/>
        <v>67.448175756796417</v>
      </c>
      <c r="O113" s="405">
        <v>43.508390108261501</v>
      </c>
      <c r="P113" s="406">
        <v>43.508390108261501</v>
      </c>
      <c r="Q113" s="406">
        <v>45.637641220383053</v>
      </c>
      <c r="R113" s="406">
        <v>45.637641220383053</v>
      </c>
      <c r="S113" s="405">
        <f t="shared" si="15"/>
        <v>70.749012742108349</v>
      </c>
      <c r="T113" s="406">
        <v>47.512033229285173</v>
      </c>
      <c r="U113" s="406">
        <v>47.685608520533229</v>
      </c>
      <c r="V113" s="405">
        <f t="shared" si="16"/>
        <v>73.92384081690011</v>
      </c>
      <c r="W113" s="406">
        <v>49.241599854009898</v>
      </c>
      <c r="X113" s="406">
        <v>49.862776925987447</v>
      </c>
      <c r="Y113" s="405">
        <f t="shared" si="17"/>
        <v>77.298960808649369</v>
      </c>
      <c r="Z113" s="406">
        <v>50.663973465693964</v>
      </c>
      <c r="AA113" s="406">
        <v>51.490833031539793</v>
      </c>
      <c r="AB113" s="442">
        <f t="shared" si="18"/>
        <v>78.976869370120951</v>
      </c>
      <c r="AC113" s="438">
        <f t="shared" si="19"/>
        <v>81.33820362486594</v>
      </c>
      <c r="AD113" s="410"/>
      <c r="AE113" s="411"/>
      <c r="AF113" s="411"/>
      <c r="AG113" s="411"/>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row>
    <row r="114" spans="1:61" x14ac:dyDescent="0.2">
      <c r="A114" s="159" t="s">
        <v>1392</v>
      </c>
      <c r="B114" s="18" t="str">
        <f>VLOOKUP(LEFT(A114,7),'Tariff Schedule Lookup Table'!$A$8:$G$186,2,FALSE)</f>
        <v>High Pressure Sodium 100</v>
      </c>
      <c r="C114" s="160">
        <f t="shared" si="10"/>
        <v>350</v>
      </c>
      <c r="D114" s="18">
        <f t="shared" si="11"/>
        <v>1</v>
      </c>
      <c r="E114" s="18" t="str">
        <f>VLOOKUP(C114,'Tariff Schedule Lookup Table'!I$7:L$286,2,FALSE)</f>
        <v>HIGH PRESSURE SODIUM 70W (100)</v>
      </c>
      <c r="F114" s="18" t="str">
        <f>IF(E114 = "BULKHEADS ETC", "SHARED OR NO POLE", VLOOKUP(C114,'Tariff Schedule Lookup Table'!I$7:L$286,3,FALSE))</f>
        <v>WOOD POLE</v>
      </c>
      <c r="G114" s="18">
        <f>IF(E114 = "NO CAPITAL", 1, VLOOKUP(C114,'Tariff Schedule Lookup Table'!I$7:L$286,4,FALSE))</f>
        <v>1</v>
      </c>
      <c r="H114" s="18" t="str">
        <f t="shared" si="12"/>
        <v>1-Unmetered, CE Funded, CE Maintained</v>
      </c>
      <c r="I114" s="123">
        <f>VLOOKUP(F114,'Maintenance Model'!$A$57:$B$61,2,FALSE)</f>
        <v>10.731618231111112</v>
      </c>
      <c r="J114" s="123">
        <f>IF(D114=1,VLOOKUP(C114,'Capital Code Schedules'!A$15:F$300,2,FALSE),IF(D114=2,VLOOKUP(C114,'Capital Code Schedules'!A$15:F$300,3,FALSE),0))</f>
        <v>52.384640231006998</v>
      </c>
      <c r="K114" s="123">
        <v>66.448385295553337</v>
      </c>
      <c r="L114" s="123">
        <f>VLOOKUP(LEFT(A114,10),'Streetlight Tariff Schedule'!B$11:G$260,6, FALSE)+I114</f>
        <v>75.48174538279693</v>
      </c>
      <c r="M114" s="161">
        <f t="shared" si="13"/>
        <v>141.93013067835028</v>
      </c>
      <c r="N114" s="405">
        <f t="shared" si="14"/>
        <v>132.30812581351822</v>
      </c>
      <c r="O114" s="405">
        <v>125.01209658890592</v>
      </c>
      <c r="P114" s="406">
        <v>121.99757301530394</v>
      </c>
      <c r="Q114" s="406">
        <v>126.32090365637526</v>
      </c>
      <c r="R114" s="406">
        <v>129.41003668842387</v>
      </c>
      <c r="S114" s="405">
        <f t="shared" si="15"/>
        <v>137.48464877416851</v>
      </c>
      <c r="T114" s="406">
        <v>130.3701885792922</v>
      </c>
      <c r="U114" s="406">
        <v>134.02408105783638</v>
      </c>
      <c r="V114" s="405">
        <f t="shared" si="16"/>
        <v>142.75344793807378</v>
      </c>
      <c r="W114" s="406">
        <v>134.28278608453704</v>
      </c>
      <c r="X114" s="406">
        <v>139.26208365932698</v>
      </c>
      <c r="Y114" s="405">
        <f t="shared" si="17"/>
        <v>148.60593563096762</v>
      </c>
      <c r="Z114" s="406">
        <v>137.8585891856205</v>
      </c>
      <c r="AA114" s="406">
        <v>143.48747414545662</v>
      </c>
      <c r="AB114" s="442">
        <f t="shared" si="18"/>
        <v>151.59146025782624</v>
      </c>
      <c r="AC114" s="438">
        <f t="shared" si="19"/>
        <v>156.07633845447748</v>
      </c>
      <c r="AD114" s="410"/>
      <c r="AE114" s="411"/>
      <c r="AF114" s="411"/>
      <c r="AG114" s="411"/>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row>
    <row r="115" spans="1:61" x14ac:dyDescent="0.2">
      <c r="A115" s="159" t="s">
        <v>1393</v>
      </c>
      <c r="B115" s="18" t="str">
        <f>VLOOKUP(LEFT(A115,7),'Tariff Schedule Lookup Table'!$A$8:$G$186,2,FALSE)</f>
        <v>High Pressure Sodium 100</v>
      </c>
      <c r="C115" s="160">
        <f t="shared" si="10"/>
        <v>360</v>
      </c>
      <c r="D115" s="18">
        <f t="shared" si="11"/>
        <v>1</v>
      </c>
      <c r="E115" s="18" t="str">
        <f>VLOOKUP(C115,'Tariff Schedule Lookup Table'!I$7:L$286,2,FALSE)</f>
        <v>HIGH PRESSURE SODIUM 70W (100)</v>
      </c>
      <c r="F115" s="18" t="str">
        <f>IF(E115 = "BULKHEADS ETC", "SHARED OR NO POLE", VLOOKUP(C115,'Tariff Schedule Lookup Table'!I$7:L$286,3,FALSE))</f>
        <v>STEEL POLE</v>
      </c>
      <c r="G115" s="18">
        <f>IF(E115 = "NO CAPITAL", 1, VLOOKUP(C115,'Tariff Schedule Lookup Table'!I$7:L$286,4,FALSE))</f>
        <v>1</v>
      </c>
      <c r="H115" s="18" t="str">
        <f t="shared" si="12"/>
        <v>1-Unmetered, CE Funded, CE Maintained</v>
      </c>
      <c r="I115" s="123">
        <f>VLOOKUP(F115,'Maintenance Model'!$A$57:$B$61,2,FALSE)</f>
        <v>9.9616182311111103</v>
      </c>
      <c r="J115" s="123">
        <f>IF(D115=1,VLOOKUP(C115,'Capital Code Schedules'!A$15:F$300,2,FALSE),IF(D115=2,VLOOKUP(C115,'Capital Code Schedules'!A$15:F$300,3,FALSE),0))</f>
        <v>87.482155888651974</v>
      </c>
      <c r="K115" s="123">
        <v>110.96855825181379</v>
      </c>
      <c r="L115" s="123">
        <f>VLOOKUP(LEFT(A115,10),'Streetlight Tariff Schedule'!B$11:G$260,6, FALSE)+I115</f>
        <v>74.71174538279692</v>
      </c>
      <c r="M115" s="161">
        <f t="shared" si="13"/>
        <v>185.68030363461071</v>
      </c>
      <c r="N115" s="405">
        <f t="shared" si="14"/>
        <v>167.47222014436494</v>
      </c>
      <c r="O115" s="405">
        <v>171.85177865735631</v>
      </c>
      <c r="P115" s="406">
        <v>166.81753541290684</v>
      </c>
      <c r="Q115" s="406">
        <v>172.23075860359268</v>
      </c>
      <c r="R115" s="406">
        <v>177.38959936834226</v>
      </c>
      <c r="S115" s="405">
        <f t="shared" si="15"/>
        <v>173.49965291997751</v>
      </c>
      <c r="T115" s="406">
        <v>177.40258080391752</v>
      </c>
      <c r="U115" s="406">
        <v>183.35728476785818</v>
      </c>
      <c r="V115" s="405">
        <f t="shared" si="16"/>
        <v>179.78110319576408</v>
      </c>
      <c r="W115" s="406">
        <v>182.46902349565528</v>
      </c>
      <c r="X115" s="406">
        <v>190.25734773090755</v>
      </c>
      <c r="Y115" s="405">
        <f t="shared" si="17"/>
        <v>186.87849315768264</v>
      </c>
      <c r="Z115" s="406">
        <v>187.23368175935281</v>
      </c>
      <c r="AA115" s="406">
        <v>195.93228777063663</v>
      </c>
      <c r="AB115" s="442">
        <f t="shared" si="18"/>
        <v>190.53383976078828</v>
      </c>
      <c r="AC115" s="438">
        <f t="shared" si="19"/>
        <v>196.15119073659341</v>
      </c>
      <c r="AD115" s="410"/>
      <c r="AE115" s="411"/>
      <c r="AF115" s="411"/>
      <c r="AG115" s="411"/>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row>
    <row r="116" spans="1:61" x14ac:dyDescent="0.2">
      <c r="A116" s="159" t="s">
        <v>1397</v>
      </c>
      <c r="B116" s="18" t="str">
        <f>VLOOKUP(LEFT(A116,7),'Tariff Schedule Lookup Table'!$A$8:$G$186,2,FALSE)</f>
        <v>High Pressure Sodium 100</v>
      </c>
      <c r="C116" s="160">
        <f t="shared" ref="C116:C164" si="20">1*MID(A116,12,4)</f>
        <v>360</v>
      </c>
      <c r="D116" s="18">
        <f t="shared" ref="D116:D164" si="21">1*(MID(A116,17,3))</f>
        <v>2</v>
      </c>
      <c r="E116" s="18" t="str">
        <f>VLOOKUP(C116,'Tariff Schedule Lookup Table'!I$7:L$286,2,FALSE)</f>
        <v>HIGH PRESSURE SODIUM 70W (100)</v>
      </c>
      <c r="F116" s="18" t="str">
        <f>IF(E116 = "BULKHEADS ETC", "SHARED OR NO POLE", VLOOKUP(C116,'Tariff Schedule Lookup Table'!I$7:L$286,3,FALSE))</f>
        <v>STEEL POLE</v>
      </c>
      <c r="G116" s="18">
        <f>IF(E116 = "NO CAPITAL", 1, VLOOKUP(C116,'Tariff Schedule Lookup Table'!I$7:L$286,4,FALSE))</f>
        <v>1</v>
      </c>
      <c r="H116" s="18" t="str">
        <f t="shared" si="12"/>
        <v>2-Unmetered, Funded by Others, CE Maintained</v>
      </c>
      <c r="I116" s="123">
        <f>VLOOKUP(F116,'Maintenance Model'!$A$57:$B$61,2,FALSE)</f>
        <v>9.9616182311111103</v>
      </c>
      <c r="J116" s="123">
        <f>IF(D116=1,VLOOKUP(C116,'Capital Code Schedules'!A$15:F$300,2,FALSE),IF(D116=2,VLOOKUP(C116,'Capital Code Schedules'!A$15:F$300,3,FALSE),0))</f>
        <v>0</v>
      </c>
      <c r="K116" s="123">
        <v>0</v>
      </c>
      <c r="L116" s="123">
        <f>VLOOKUP(LEFT(A116,10),'Streetlight Tariff Schedule'!B$11:G$260,6, FALSE)+I116</f>
        <v>74.71174538279692</v>
      </c>
      <c r="M116" s="161">
        <f t="shared" si="13"/>
        <v>74.71174538279692</v>
      </c>
      <c r="N116" s="405">
        <f t="shared" si="14"/>
        <v>77.824880897468802</v>
      </c>
      <c r="O116" s="405">
        <v>53.102505344360665</v>
      </c>
      <c r="P116" s="406">
        <v>53.102505344360665</v>
      </c>
      <c r="Q116" s="406">
        <v>55.701281540849976</v>
      </c>
      <c r="R116" s="406">
        <v>55.701281540849976</v>
      </c>
      <c r="S116" s="405">
        <f t="shared" si="15"/>
        <v>81.633542026720704</v>
      </c>
      <c r="T116" s="406">
        <v>57.988999183871918</v>
      </c>
      <c r="U116" s="406">
        <v>58.200849882282363</v>
      </c>
      <c r="V116" s="405">
        <f t="shared" si="16"/>
        <v>85.296808142049443</v>
      </c>
      <c r="W116" s="406">
        <v>60.09995573051355</v>
      </c>
      <c r="X116" s="406">
        <v>60.858109702710706</v>
      </c>
      <c r="Y116" s="405">
        <f t="shared" si="17"/>
        <v>89.191180501647096</v>
      </c>
      <c r="Z116" s="406">
        <v>61.835979567023841</v>
      </c>
      <c r="AA116" s="406">
        <v>62.845171458636187</v>
      </c>
      <c r="AB116" s="442">
        <f t="shared" si="18"/>
        <v>91.127230402006489</v>
      </c>
      <c r="AC116" s="438">
        <f t="shared" si="19"/>
        <v>93.851849045471056</v>
      </c>
      <c r="AD116" s="410"/>
      <c r="AE116" s="411"/>
      <c r="AF116" s="411"/>
      <c r="AG116" s="411"/>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row>
    <row r="117" spans="1:61" x14ac:dyDescent="0.2">
      <c r="A117" s="159" t="s">
        <v>1398</v>
      </c>
      <c r="B117" s="18" t="str">
        <f>VLOOKUP(LEFT(A117,7),'Tariff Schedule Lookup Table'!$A$8:$G$186,2,FALSE)</f>
        <v>High Pressure Sodium 120</v>
      </c>
      <c r="C117" s="160">
        <f t="shared" si="20"/>
        <v>50</v>
      </c>
      <c r="D117" s="18">
        <f t="shared" si="21"/>
        <v>1</v>
      </c>
      <c r="E117" s="18" t="str">
        <f>VLOOKUP(C117,'Tariff Schedule Lookup Table'!I$7:L$286,2,FALSE)</f>
        <v>HIGH PRESSURE SODIUM 150W</v>
      </c>
      <c r="F117" s="18" t="str">
        <f>IF(E117 = "BULKHEADS ETC", "SHARED OR NO POLE", VLOOKUP(C117,'Tariff Schedule Lookup Table'!I$7:L$286,3,FALSE))</f>
        <v>SHARED OR NO POLE</v>
      </c>
      <c r="G117" s="18">
        <f>IF(E117 = "NO CAPITAL", 1, VLOOKUP(C117,'Tariff Schedule Lookup Table'!I$7:L$286,4,FALSE))</f>
        <v>1</v>
      </c>
      <c r="H117" s="18" t="str">
        <f t="shared" si="12"/>
        <v>1-Unmetered, CE Funded, CE Maintained</v>
      </c>
      <c r="I117" s="123">
        <f>VLOOKUP(F117,'Maintenance Model'!$A$57:$B$61,2,FALSE)</f>
        <v>0</v>
      </c>
      <c r="J117" s="123">
        <f>IF(D117=1,VLOOKUP(C117,'Capital Code Schedules'!A$15:F$300,2,FALSE),IF(D117=2,VLOOKUP(C117,'Capital Code Schedules'!A$15:F$300,3,FALSE),0))</f>
        <v>32.009790998230237</v>
      </c>
      <c r="K117" s="123">
        <v>40.603484458437606</v>
      </c>
      <c r="L117" s="123">
        <f>VLOOKUP(LEFT(A117,10),'Streetlight Tariff Schedule'!B$11:G$260,6, FALSE)+I117</f>
        <v>67.576426809685813</v>
      </c>
      <c r="M117" s="161">
        <f t="shared" si="13"/>
        <v>108.17991126812342</v>
      </c>
      <c r="N117" s="405">
        <f t="shared" si="14"/>
        <v>103.19427675375393</v>
      </c>
      <c r="O117" s="405">
        <v>89.944107896400908</v>
      </c>
      <c r="P117" s="406">
        <v>88.102074255915568</v>
      </c>
      <c r="Q117" s="406">
        <v>91.407229177166215</v>
      </c>
      <c r="R117" s="406">
        <v>93.294853150253559</v>
      </c>
      <c r="S117" s="405">
        <f t="shared" si="15"/>
        <v>107.45104338622983</v>
      </c>
      <c r="T117" s="406">
        <v>94.465525975252476</v>
      </c>
      <c r="U117" s="406">
        <v>96.752325492324644</v>
      </c>
      <c r="V117" s="405">
        <f t="shared" si="16"/>
        <v>111.72244626291331</v>
      </c>
      <c r="W117" s="406">
        <v>97.395178991139147</v>
      </c>
      <c r="X117" s="406">
        <v>100.6313221409069</v>
      </c>
      <c r="Y117" s="405">
        <f t="shared" si="17"/>
        <v>116.4168746899042</v>
      </c>
      <c r="Z117" s="406">
        <v>100.02332641756421</v>
      </c>
      <c r="AA117" s="406">
        <v>103.72048251530485</v>
      </c>
      <c r="AB117" s="442">
        <f t="shared" si="18"/>
        <v>118.79711487800608</v>
      </c>
      <c r="AC117" s="438">
        <f t="shared" si="19"/>
        <v>122.31997287083192</v>
      </c>
      <c r="AD117" s="410"/>
      <c r="AE117" s="411"/>
      <c r="AF117" s="411"/>
      <c r="AG117" s="411"/>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row>
    <row r="118" spans="1:61" x14ac:dyDescent="0.2">
      <c r="A118" s="159" t="s">
        <v>1399</v>
      </c>
      <c r="B118" s="18" t="str">
        <f>VLOOKUP(LEFT(A118,7),'Tariff Schedule Lookup Table'!$A$8:$G$186,2,FALSE)</f>
        <v>High Pressure Sodium 120</v>
      </c>
      <c r="C118" s="160">
        <f t="shared" si="20"/>
        <v>360</v>
      </c>
      <c r="D118" s="18">
        <f t="shared" si="21"/>
        <v>2</v>
      </c>
      <c r="E118" s="18" t="str">
        <f>VLOOKUP(C118,'Tariff Schedule Lookup Table'!I$7:L$286,2,FALSE)</f>
        <v>HIGH PRESSURE SODIUM 70W (100)</v>
      </c>
      <c r="F118" s="18" t="str">
        <f>IF(E118 = "BULKHEADS ETC", "SHARED OR NO POLE", VLOOKUP(C118,'Tariff Schedule Lookup Table'!I$7:L$286,3,FALSE))</f>
        <v>STEEL POLE</v>
      </c>
      <c r="G118" s="18">
        <f>IF(E118 = "NO CAPITAL", 1, VLOOKUP(C118,'Tariff Schedule Lookup Table'!I$7:L$286,4,FALSE))</f>
        <v>1</v>
      </c>
      <c r="H118" s="18" t="str">
        <f t="shared" si="12"/>
        <v>2-Unmetered, Funded by Others, CE Maintained</v>
      </c>
      <c r="I118" s="123">
        <f>VLOOKUP(F118,'Maintenance Model'!$A$57:$B$61,2,FALSE)</f>
        <v>9.9616182311111103</v>
      </c>
      <c r="J118" s="123">
        <f>IF(D118=1,VLOOKUP(C118,'Capital Code Schedules'!A$15:F$300,2,FALSE),IF(D118=2,VLOOKUP(C118,'Capital Code Schedules'!A$15:F$300,3,FALSE),0))</f>
        <v>0</v>
      </c>
      <c r="K118" s="123">
        <v>0</v>
      </c>
      <c r="L118" s="123">
        <f>VLOOKUP(LEFT(A118,10),'Streetlight Tariff Schedule'!B$11:G$260,6, FALSE)+I118</f>
        <v>77.538045040796931</v>
      </c>
      <c r="M118" s="161">
        <f t="shared" si="13"/>
        <v>77.538045040796931</v>
      </c>
      <c r="N118" s="405">
        <f t="shared" si="14"/>
        <v>80.768948568989899</v>
      </c>
      <c r="O118" s="405">
        <v>56.087768793230794</v>
      </c>
      <c r="P118" s="406">
        <v>56.087768793230794</v>
      </c>
      <c r="Q118" s="406">
        <v>58.832640386554274</v>
      </c>
      <c r="R118" s="406">
        <v>58.832640386554274</v>
      </c>
      <c r="S118" s="405">
        <f t="shared" si="15"/>
        <v>84.721689020601204</v>
      </c>
      <c r="T118" s="406">
        <v>61.248966648261181</v>
      </c>
      <c r="U118" s="406">
        <v>61.472726957008859</v>
      </c>
      <c r="V118" s="405">
        <f t="shared" si="16"/>
        <v>88.523534253789791</v>
      </c>
      <c r="W118" s="406">
        <v>63.478594835345689</v>
      </c>
      <c r="X118" s="406">
        <v>64.27936994805475</v>
      </c>
      <c r="Y118" s="405">
        <f t="shared" si="17"/>
        <v>92.565228339197247</v>
      </c>
      <c r="Z118" s="406">
        <v>65.312212720797632</v>
      </c>
      <c r="AA118" s="406">
        <v>66.378138351192916</v>
      </c>
      <c r="AB118" s="442">
        <f t="shared" si="18"/>
        <v>94.574517823817715</v>
      </c>
      <c r="AC118" s="438">
        <f t="shared" si="19"/>
        <v>97.402207125058354</v>
      </c>
      <c r="AD118" s="410"/>
      <c r="AE118" s="411"/>
      <c r="AF118" s="411"/>
      <c r="AG118" s="411"/>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row>
    <row r="119" spans="1:61" x14ac:dyDescent="0.2">
      <c r="A119" s="159" t="s">
        <v>1400</v>
      </c>
      <c r="B119" s="18" t="str">
        <f>VLOOKUP(LEFT(A119,7),'Tariff Schedule Lookup Table'!$A$8:$G$186,2,FALSE)</f>
        <v>High Pressure Sodium 150</v>
      </c>
      <c r="C119" s="160">
        <f t="shared" si="20"/>
        <v>50</v>
      </c>
      <c r="D119" s="18">
        <f t="shared" si="21"/>
        <v>1</v>
      </c>
      <c r="E119" s="18" t="str">
        <f>VLOOKUP(C119,'Tariff Schedule Lookup Table'!I$7:L$286,2,FALSE)</f>
        <v>HIGH PRESSURE SODIUM 150W</v>
      </c>
      <c r="F119" s="18" t="str">
        <f>IF(E119 = "BULKHEADS ETC", "SHARED OR NO POLE", VLOOKUP(C119,'Tariff Schedule Lookup Table'!I$7:L$286,3,FALSE))</f>
        <v>SHARED OR NO POLE</v>
      </c>
      <c r="G119" s="18">
        <f>IF(E119 = "NO CAPITAL", 1, VLOOKUP(C119,'Tariff Schedule Lookup Table'!I$7:L$286,4,FALSE))</f>
        <v>1</v>
      </c>
      <c r="H119" s="18" t="str">
        <f t="shared" si="12"/>
        <v>1-Unmetered, CE Funded, CE Maintained</v>
      </c>
      <c r="I119" s="123">
        <f>VLOOKUP(F119,'Maintenance Model'!$A$57:$B$61,2,FALSE)</f>
        <v>0</v>
      </c>
      <c r="J119" s="123">
        <f>IF(D119=1,VLOOKUP(C119,'Capital Code Schedules'!A$15:F$300,2,FALSE),IF(D119=2,VLOOKUP(C119,'Capital Code Schedules'!A$15:F$300,3,FALSE),0))</f>
        <v>32.009790998230237</v>
      </c>
      <c r="K119" s="123">
        <v>40.603484458437606</v>
      </c>
      <c r="L119" s="123">
        <f>VLOOKUP(LEFT(A119,10),'Streetlight Tariff Schedule'!B$11:G$260,6, FALSE)+I119</f>
        <v>75.698876296352481</v>
      </c>
      <c r="M119" s="161">
        <f t="shared" si="13"/>
        <v>116.30236075479009</v>
      </c>
      <c r="N119" s="405">
        <f t="shared" si="14"/>
        <v>111.65517752185582</v>
      </c>
      <c r="O119" s="405">
        <v>93.14427400918818</v>
      </c>
      <c r="P119" s="406">
        <v>91.30224036870284</v>
      </c>
      <c r="Q119" s="406">
        <v>94.764007778663597</v>
      </c>
      <c r="R119" s="406">
        <v>96.651631751750955</v>
      </c>
      <c r="S119" s="405">
        <f t="shared" si="15"/>
        <v>116.3260110119011</v>
      </c>
      <c r="T119" s="406">
        <v>97.960171451944333</v>
      </c>
      <c r="U119" s="406">
        <v>100.25973792646283</v>
      </c>
      <c r="V119" s="405">
        <f t="shared" si="16"/>
        <v>120.99567381178035</v>
      </c>
      <c r="W119" s="406">
        <v>101.01703902319561</v>
      </c>
      <c r="X119" s="406">
        <v>104.2988715172677</v>
      </c>
      <c r="Y119" s="405">
        <f t="shared" si="17"/>
        <v>126.11348737869849</v>
      </c>
      <c r="Z119" s="406">
        <v>103.74980608322484</v>
      </c>
      <c r="AA119" s="406">
        <v>107.50778005899016</v>
      </c>
      <c r="AB119" s="442">
        <f t="shared" si="18"/>
        <v>128.70420943198454</v>
      </c>
      <c r="AC119" s="438">
        <f t="shared" si="19"/>
        <v>132.52328025170365</v>
      </c>
      <c r="AD119" s="410"/>
      <c r="AE119" s="411"/>
      <c r="AF119" s="411"/>
      <c r="AG119" s="411"/>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row>
    <row r="120" spans="1:61" x14ac:dyDescent="0.2">
      <c r="A120" s="159" t="s">
        <v>1401</v>
      </c>
      <c r="B120" s="18" t="str">
        <f>VLOOKUP(LEFT(A120,7),'Tariff Schedule Lookup Table'!$A$8:$G$186,2,FALSE)</f>
        <v>High Pressure Sodium 150</v>
      </c>
      <c r="C120" s="160">
        <f t="shared" si="20"/>
        <v>50</v>
      </c>
      <c r="D120" s="18">
        <f t="shared" si="21"/>
        <v>2</v>
      </c>
      <c r="E120" s="18" t="str">
        <f>VLOOKUP(C120,'Tariff Schedule Lookup Table'!I$7:L$286,2,FALSE)</f>
        <v>HIGH PRESSURE SODIUM 150W</v>
      </c>
      <c r="F120" s="18" t="str">
        <f>IF(E120 = "BULKHEADS ETC", "SHARED OR NO POLE", VLOOKUP(C120,'Tariff Schedule Lookup Table'!I$7:L$286,3,FALSE))</f>
        <v>SHARED OR NO POLE</v>
      </c>
      <c r="G120" s="18">
        <f>IF(E120 = "NO CAPITAL", 1, VLOOKUP(C120,'Tariff Schedule Lookup Table'!I$7:L$286,4,FALSE))</f>
        <v>1</v>
      </c>
      <c r="H120" s="18" t="str">
        <f t="shared" si="12"/>
        <v>2-Unmetered, Funded by Others, CE Maintained</v>
      </c>
      <c r="I120" s="123">
        <f>VLOOKUP(F120,'Maintenance Model'!$A$57:$B$61,2,FALSE)</f>
        <v>0</v>
      </c>
      <c r="J120" s="123">
        <f>IF(D120=1,VLOOKUP(C120,'Capital Code Schedules'!A$15:F$300,2,FALSE),IF(D120=2,VLOOKUP(C120,'Capital Code Schedules'!A$15:F$300,3,FALSE),0))</f>
        <v>0</v>
      </c>
      <c r="K120" s="123">
        <v>0</v>
      </c>
      <c r="L120" s="123">
        <f>VLOOKUP(LEFT(A120,10),'Streetlight Tariff Schedule'!B$11:G$260,6, FALSE)+I120</f>
        <v>75.698876296352481</v>
      </c>
      <c r="M120" s="161">
        <f t="shared" si="13"/>
        <v>75.698876296352481</v>
      </c>
      <c r="N120" s="405">
        <f t="shared" si="14"/>
        <v>78.853144196419393</v>
      </c>
      <c r="O120" s="405">
        <v>49.693819669918895</v>
      </c>
      <c r="P120" s="406">
        <v>49.693819669918895</v>
      </c>
      <c r="Q120" s="406">
        <v>52.125778667584761</v>
      </c>
      <c r="R120" s="406">
        <v>52.125778667584761</v>
      </c>
      <c r="S120" s="405">
        <f t="shared" si="15"/>
        <v>82.712127361660123</v>
      </c>
      <c r="T120" s="406">
        <v>54.266646170366293</v>
      </c>
      <c r="U120" s="406">
        <v>54.464898029397887</v>
      </c>
      <c r="V120" s="405">
        <f t="shared" si="16"/>
        <v>86.423794477507499</v>
      </c>
      <c r="W120" s="406">
        <v>56.242098990898498</v>
      </c>
      <c r="X120" s="406">
        <v>56.951586547692266</v>
      </c>
      <c r="Y120" s="405">
        <f t="shared" si="17"/>
        <v>90.369621334993795</v>
      </c>
      <c r="Z120" s="406">
        <v>57.866686285128395</v>
      </c>
      <c r="AA120" s="406">
        <v>58.811097467781835</v>
      </c>
      <c r="AB120" s="442">
        <f t="shared" si="18"/>
        <v>92.33125134591063</v>
      </c>
      <c r="AC120" s="438">
        <f t="shared" si="19"/>
        <v>95.091869085325001</v>
      </c>
      <c r="AD120" s="410"/>
      <c r="AE120" s="411"/>
      <c r="AF120" s="411"/>
      <c r="AG120" s="411"/>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row>
    <row r="121" spans="1:61" x14ac:dyDescent="0.2">
      <c r="A121" s="159" t="s">
        <v>1402</v>
      </c>
      <c r="B121" s="18" t="str">
        <f>VLOOKUP(LEFT(A121,7),'Tariff Schedule Lookup Table'!$A$8:$G$186,2,FALSE)</f>
        <v>High Pressure Sodium 150</v>
      </c>
      <c r="C121" s="160">
        <f t="shared" si="20"/>
        <v>220</v>
      </c>
      <c r="D121" s="18">
        <f t="shared" si="21"/>
        <v>1</v>
      </c>
      <c r="E121" s="18" t="str">
        <f>VLOOKUP(C121,'Tariff Schedule Lookup Table'!I$7:L$286,2,FALSE)</f>
        <v>HIGH PRESSURE SODIUM 150W</v>
      </c>
      <c r="F121" s="18" t="str">
        <f>IF(E121 = "BULKHEADS ETC", "SHARED OR NO POLE", VLOOKUP(C121,'Tariff Schedule Lookup Table'!I$7:L$286,3,FALSE))</f>
        <v>WOOD POLE</v>
      </c>
      <c r="G121" s="18">
        <f>IF(E121 = "NO CAPITAL", 1, VLOOKUP(C121,'Tariff Schedule Lookup Table'!I$7:L$286,4,FALSE))</f>
        <v>1</v>
      </c>
      <c r="H121" s="18" t="str">
        <f t="shared" si="12"/>
        <v>1-Unmetered, CE Funded, CE Maintained</v>
      </c>
      <c r="I121" s="123">
        <f>VLOOKUP(F121,'Maintenance Model'!$A$57:$B$61,2,FALSE)</f>
        <v>10.731618231111112</v>
      </c>
      <c r="J121" s="123">
        <f>IF(D121=1,VLOOKUP(C121,'Capital Code Schedules'!A$15:F$300,2,FALSE),IF(D121=2,VLOOKUP(C121,'Capital Code Schedules'!A$15:F$300,3,FALSE),0))</f>
        <v>65.91090936010653</v>
      </c>
      <c r="K121" s="123">
        <v>83.606062407359644</v>
      </c>
      <c r="L121" s="123">
        <f>VLOOKUP(LEFT(A121,10),'Streetlight Tariff Schedule'!B$11:G$260,6, FALSE)+I121</f>
        <v>86.430494527463594</v>
      </c>
      <c r="M121" s="161">
        <f t="shared" si="13"/>
        <v>170.03655693482324</v>
      </c>
      <c r="N121" s="405">
        <f t="shared" si="14"/>
        <v>157.57413854318597</v>
      </c>
      <c r="O121" s="405">
        <v>149.55823769682434</v>
      </c>
      <c r="P121" s="406">
        <v>145.76533219728486</v>
      </c>
      <c r="Q121" s="406">
        <v>150.82653338200348</v>
      </c>
      <c r="R121" s="406">
        <v>154.71331329265655</v>
      </c>
      <c r="S121" s="405">
        <f t="shared" si="15"/>
        <v>163.65186852994367</v>
      </c>
      <c r="T121" s="406">
        <v>155.58822673269088</v>
      </c>
      <c r="U121" s="406">
        <v>160.15474118970738</v>
      </c>
      <c r="V121" s="405">
        <f t="shared" si="16"/>
        <v>169.86232373128689</v>
      </c>
      <c r="W121" s="406">
        <v>160.20368020774805</v>
      </c>
      <c r="X121" s="406">
        <v>166.35827536815805</v>
      </c>
      <c r="Y121" s="405">
        <f t="shared" si="17"/>
        <v>176.78076075021306</v>
      </c>
      <c r="Z121" s="406">
        <v>164.44997676728883</v>
      </c>
      <c r="AA121" s="406">
        <v>171.385331058308</v>
      </c>
      <c r="AB121" s="442">
        <f t="shared" si="18"/>
        <v>180.31584012335205</v>
      </c>
      <c r="AC121" s="438">
        <f t="shared" si="19"/>
        <v>185.64726874326399</v>
      </c>
      <c r="AD121" s="410"/>
      <c r="AE121" s="411"/>
      <c r="AF121" s="411"/>
      <c r="AG121" s="411"/>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row>
    <row r="122" spans="1:61" x14ac:dyDescent="0.2">
      <c r="A122" s="159" t="s">
        <v>1403</v>
      </c>
      <c r="B122" s="18" t="str">
        <f>VLOOKUP(LEFT(A122,7),'Tariff Schedule Lookup Table'!$A$8:$G$186,2,FALSE)</f>
        <v>High Pressure Sodium 150</v>
      </c>
      <c r="C122" s="160">
        <f t="shared" si="20"/>
        <v>220</v>
      </c>
      <c r="D122" s="18">
        <f t="shared" si="21"/>
        <v>2</v>
      </c>
      <c r="E122" s="18" t="str">
        <f>VLOOKUP(C122,'Tariff Schedule Lookup Table'!I$7:L$286,2,FALSE)</f>
        <v>HIGH PRESSURE SODIUM 150W</v>
      </c>
      <c r="F122" s="18" t="str">
        <f>IF(E122 = "BULKHEADS ETC", "SHARED OR NO POLE", VLOOKUP(C122,'Tariff Schedule Lookup Table'!I$7:L$286,3,FALSE))</f>
        <v>WOOD POLE</v>
      </c>
      <c r="G122" s="18">
        <f>IF(E122 = "NO CAPITAL", 1, VLOOKUP(C122,'Tariff Schedule Lookup Table'!I$7:L$286,4,FALSE))</f>
        <v>1</v>
      </c>
      <c r="H122" s="18" t="str">
        <f t="shared" si="12"/>
        <v>2-Unmetered, Funded by Others, CE Maintained</v>
      </c>
      <c r="I122" s="123">
        <f>VLOOKUP(F122,'Maintenance Model'!$A$57:$B$61,2,FALSE)</f>
        <v>10.731618231111112</v>
      </c>
      <c r="J122" s="123">
        <f>IF(D122=1,VLOOKUP(C122,'Capital Code Schedules'!A$15:F$300,2,FALSE),IF(D122=2,VLOOKUP(C122,'Capital Code Schedules'!A$15:F$300,3,FALSE),0))</f>
        <v>0</v>
      </c>
      <c r="K122" s="123">
        <v>0</v>
      </c>
      <c r="L122" s="123">
        <f>VLOOKUP(LEFT(A122,10),'Streetlight Tariff Schedule'!B$11:G$260,6, FALSE)+I122</f>
        <v>86.430494527463594</v>
      </c>
      <c r="M122" s="161">
        <f t="shared" si="13"/>
        <v>86.430494527463594</v>
      </c>
      <c r="N122" s="405">
        <f t="shared" si="14"/>
        <v>90.031934176416797</v>
      </c>
      <c r="O122" s="405">
        <v>60.090019745343071</v>
      </c>
      <c r="P122" s="406">
        <v>60.090019745343071</v>
      </c>
      <c r="Q122" s="406">
        <v>63.030756946876132</v>
      </c>
      <c r="R122" s="406">
        <v>63.030756946876132</v>
      </c>
      <c r="S122" s="405">
        <f t="shared" si="15"/>
        <v>94.437994605096947</v>
      </c>
      <c r="T122" s="406">
        <v>65.619504830794142</v>
      </c>
      <c r="U122" s="406">
        <v>65.859231988072239</v>
      </c>
      <c r="V122" s="405">
        <f t="shared" si="16"/>
        <v>98.675854399582065</v>
      </c>
      <c r="W122" s="406">
        <v>68.008232438779373</v>
      </c>
      <c r="X122" s="406">
        <v>68.866148404587477</v>
      </c>
      <c r="Y122" s="405">
        <f t="shared" si="17"/>
        <v>103.18107010816347</v>
      </c>
      <c r="Z122" s="406">
        <v>69.972691666038173</v>
      </c>
      <c r="AA122" s="406">
        <v>71.114678476275671</v>
      </c>
      <c r="AB122" s="442">
        <f t="shared" si="18"/>
        <v>105.42079492600233</v>
      </c>
      <c r="AC122" s="438">
        <f t="shared" si="19"/>
        <v>108.5727777306714</v>
      </c>
      <c r="AD122" s="410"/>
      <c r="AE122" s="411"/>
      <c r="AF122" s="411"/>
      <c r="AG122" s="411"/>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row>
    <row r="123" spans="1:61" x14ac:dyDescent="0.2">
      <c r="A123" s="159" t="s">
        <v>1404</v>
      </c>
      <c r="B123" s="18" t="str">
        <f>VLOOKUP(LEFT(A123,7),'Tariff Schedule Lookup Table'!$A$8:$G$186,2,FALSE)</f>
        <v>High Pressure Sodium 150</v>
      </c>
      <c r="C123" s="160">
        <f t="shared" si="20"/>
        <v>310</v>
      </c>
      <c r="D123" s="18">
        <f t="shared" si="21"/>
        <v>1</v>
      </c>
      <c r="E123" s="18" t="str">
        <f>VLOOKUP(C123,'Tariff Schedule Lookup Table'!I$7:L$286,2,FALSE)</f>
        <v>HIGH PRESSURE SODIUM 150W</v>
      </c>
      <c r="F123" s="18" t="str">
        <f>IF(E123 = "BULKHEADS ETC", "SHARED OR NO POLE", VLOOKUP(C123,'Tariff Schedule Lookup Table'!I$7:L$286,3,FALSE))</f>
        <v>STEEL POLE</v>
      </c>
      <c r="G123" s="18">
        <f>IF(E123 = "NO CAPITAL", 1, VLOOKUP(C123,'Tariff Schedule Lookup Table'!I$7:L$286,4,FALSE))</f>
        <v>1</v>
      </c>
      <c r="H123" s="18" t="str">
        <f t="shared" si="12"/>
        <v>1-Unmetered, CE Funded, CE Maintained</v>
      </c>
      <c r="I123" s="123">
        <f>VLOOKUP(F123,'Maintenance Model'!$A$57:$B$61,2,FALSE)</f>
        <v>9.9616182311111103</v>
      </c>
      <c r="J123" s="123">
        <f>IF(D123=1,VLOOKUP(C123,'Capital Code Schedules'!A$15:F$300,2,FALSE),IF(D123=2,VLOOKUP(C123,'Capital Code Schedules'!A$15:F$300,3,FALSE),0))</f>
        <v>92.1941745337366</v>
      </c>
      <c r="K123" s="123">
        <v>116.94561620368043</v>
      </c>
      <c r="L123" s="123">
        <f>VLOOKUP(LEFT(A123,10),'Streetlight Tariff Schedule'!B$11:G$260,6, FALSE)+I123</f>
        <v>85.660494527463584</v>
      </c>
      <c r="M123" s="161">
        <f t="shared" si="13"/>
        <v>202.60611073114401</v>
      </c>
      <c r="N123" s="405">
        <f t="shared" si="14"/>
        <v>183.70582969053837</v>
      </c>
      <c r="O123" s="405">
        <v>184.43335591630276</v>
      </c>
      <c r="P123" s="406">
        <v>179.12795511073961</v>
      </c>
      <c r="Q123" s="406">
        <v>184.99547969284006</v>
      </c>
      <c r="R123" s="406">
        <v>190.43218916834093</v>
      </c>
      <c r="S123" s="405">
        <f t="shared" si="15"/>
        <v>190.41091751346687</v>
      </c>
      <c r="T123" s="406">
        <v>190.58912283218496</v>
      </c>
      <c r="U123" s="406">
        <v>196.87782852157451</v>
      </c>
      <c r="V123" s="405">
        <f t="shared" si="16"/>
        <v>197.37022910456625</v>
      </c>
      <c r="W123" s="406">
        <v>196.06064196463808</v>
      </c>
      <c r="X123" s="406">
        <v>204.31594011636452</v>
      </c>
      <c r="Y123" s="405">
        <f t="shared" si="17"/>
        <v>205.21084887143564</v>
      </c>
      <c r="Z123" s="406">
        <v>201.19064411435076</v>
      </c>
      <c r="AA123" s="406">
        <v>210.42097377939774</v>
      </c>
      <c r="AB123" s="442">
        <f t="shared" si="18"/>
        <v>209.24252275928492</v>
      </c>
      <c r="AC123" s="438">
        <f t="shared" si="19"/>
        <v>215.41496737952022</v>
      </c>
      <c r="AD123" s="410"/>
      <c r="AE123" s="411"/>
      <c r="AF123" s="411"/>
      <c r="AG123" s="411"/>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row>
    <row r="124" spans="1:61" x14ac:dyDescent="0.2">
      <c r="A124" s="159" t="s">
        <v>1405</v>
      </c>
      <c r="B124" s="18" t="str">
        <f>VLOOKUP(LEFT(A124,7),'Tariff Schedule Lookup Table'!$A$8:$G$186,2,FALSE)</f>
        <v>High Pressure Sodium 150</v>
      </c>
      <c r="C124" s="160">
        <f t="shared" si="20"/>
        <v>310</v>
      </c>
      <c r="D124" s="18">
        <f t="shared" si="21"/>
        <v>2</v>
      </c>
      <c r="E124" s="18" t="str">
        <f>VLOOKUP(C124,'Tariff Schedule Lookup Table'!I$7:L$286,2,FALSE)</f>
        <v>HIGH PRESSURE SODIUM 150W</v>
      </c>
      <c r="F124" s="18" t="str">
        <f>IF(E124 = "BULKHEADS ETC", "SHARED OR NO POLE", VLOOKUP(C124,'Tariff Schedule Lookup Table'!I$7:L$286,3,FALSE))</f>
        <v>STEEL POLE</v>
      </c>
      <c r="G124" s="18">
        <f>IF(E124 = "NO CAPITAL", 1, VLOOKUP(C124,'Tariff Schedule Lookup Table'!I$7:L$286,4,FALSE))</f>
        <v>1</v>
      </c>
      <c r="H124" s="18" t="str">
        <f t="shared" si="12"/>
        <v>2-Unmetered, Funded by Others, CE Maintained</v>
      </c>
      <c r="I124" s="123">
        <f>VLOOKUP(F124,'Maintenance Model'!$A$57:$B$61,2,FALSE)</f>
        <v>9.9616182311111103</v>
      </c>
      <c r="J124" s="123">
        <f>IF(D124=1,VLOOKUP(C124,'Capital Code Schedules'!A$15:F$300,2,FALSE),IF(D124=2,VLOOKUP(C124,'Capital Code Schedules'!A$15:F$300,3,FALSE),0))</f>
        <v>0</v>
      </c>
      <c r="K124" s="123">
        <v>0</v>
      </c>
      <c r="L124" s="123">
        <f>VLOOKUP(LEFT(A124,10),'Streetlight Tariff Schedule'!B$11:G$260,6, FALSE)+I124</f>
        <v>85.660494527463584</v>
      </c>
      <c r="M124" s="161">
        <f t="shared" si="13"/>
        <v>85.660494527463584</v>
      </c>
      <c r="N124" s="405">
        <f t="shared" si="14"/>
        <v>89.229849337091778</v>
      </c>
      <c r="O124" s="405">
        <v>59.287934906018066</v>
      </c>
      <c r="P124" s="406">
        <v>59.287934906018066</v>
      </c>
      <c r="Q124" s="406">
        <v>62.189418988051678</v>
      </c>
      <c r="R124" s="406">
        <v>62.189418988051678</v>
      </c>
      <c r="S124" s="405">
        <f t="shared" si="15"/>
        <v>93.596656646272493</v>
      </c>
      <c r="T124" s="406">
        <v>64.743612124953046</v>
      </c>
      <c r="U124" s="406">
        <v>64.98013939114702</v>
      </c>
      <c r="V124" s="405">
        <f t="shared" si="16"/>
        <v>97.796761802656832</v>
      </c>
      <c r="W124" s="406">
        <v>67.100454867402163</v>
      </c>
      <c r="X124" s="406">
        <v>67.946919324415532</v>
      </c>
      <c r="Y124" s="405">
        <f t="shared" si="17"/>
        <v>102.26184102799152</v>
      </c>
      <c r="Z124" s="406">
        <v>69.03869238645828</v>
      </c>
      <c r="AA124" s="406">
        <v>70.165435894878229</v>
      </c>
      <c r="AB124" s="442">
        <f t="shared" si="18"/>
        <v>104.48161237779615</v>
      </c>
      <c r="AC124" s="438">
        <f t="shared" si="19"/>
        <v>107.6055145059301</v>
      </c>
      <c r="AD124" s="410"/>
      <c r="AE124" s="411"/>
      <c r="AF124" s="411"/>
      <c r="AG124" s="411"/>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row>
    <row r="125" spans="1:61" x14ac:dyDescent="0.2">
      <c r="A125" s="159" t="s">
        <v>1406</v>
      </c>
      <c r="B125" s="18" t="str">
        <f>VLOOKUP(LEFT(A125,7),'Tariff Schedule Lookup Table'!$A$8:$G$186,2,FALSE)</f>
        <v>High Pressure Sodium 150</v>
      </c>
      <c r="C125" s="160">
        <f t="shared" si="20"/>
        <v>690</v>
      </c>
      <c r="D125" s="18">
        <f t="shared" si="21"/>
        <v>1</v>
      </c>
      <c r="E125" s="18" t="str">
        <f>VLOOKUP(C125,'Tariff Schedule Lookup Table'!I$7:L$286,2,FALSE)</f>
        <v>HIGH PRESSURE SODIUM 150W</v>
      </c>
      <c r="F125" s="18" t="str">
        <f>IF(E125 = "BULKHEADS ETC", "SHARED OR NO POLE", VLOOKUP(C125,'Tariff Schedule Lookup Table'!I$7:L$286,3,FALSE))</f>
        <v>STEEL POLE</v>
      </c>
      <c r="G125" s="18">
        <f>IF(E125 = "NO CAPITAL", 1, VLOOKUP(C125,'Tariff Schedule Lookup Table'!I$7:L$286,4,FALSE))</f>
        <v>2</v>
      </c>
      <c r="H125" s="18" t="str">
        <f t="shared" si="12"/>
        <v>1-Unmetered, CE Funded, CE Maintained</v>
      </c>
      <c r="I125" s="123">
        <f>VLOOKUP(F125,'Maintenance Model'!$A$57:$B$61,2,FALSE)</f>
        <v>9.9616182311111103</v>
      </c>
      <c r="J125" s="123">
        <f>IF(D125=1,VLOOKUP(C125,'Capital Code Schedules'!A$15:F$300,2,FALSE),IF(D125=2,VLOOKUP(C125,'Capital Code Schedules'!A$15:F$300,3,FALSE),0))</f>
        <v>104.79944174971051</v>
      </c>
      <c r="K125" s="123">
        <v>132.93502930314577</v>
      </c>
      <c r="L125" s="123">
        <f>VLOOKUP(LEFT(A125,10),'Streetlight Tariff Schedule'!B$11:G$260,6, FALSE)+I125</f>
        <v>85.660494527463584</v>
      </c>
      <c r="M125" s="161">
        <f t="shared" si="13"/>
        <v>218.59552383060935</v>
      </c>
      <c r="N125" s="405">
        <f t="shared" si="14"/>
        <v>196.62307727010767</v>
      </c>
      <c r="O125" s="405">
        <v>201.5438889913936</v>
      </c>
      <c r="P125" s="406">
        <v>195.5131061844167</v>
      </c>
      <c r="Q125" s="406">
        <v>201.78616325559068</v>
      </c>
      <c r="R125" s="406">
        <v>207.96620793704025</v>
      </c>
      <c r="S125" s="405">
        <f t="shared" si="15"/>
        <v>203.6478669706305</v>
      </c>
      <c r="T125" s="406">
        <v>207.79537581311365</v>
      </c>
      <c r="U125" s="406">
        <v>214.91156682518178</v>
      </c>
      <c r="V125" s="405">
        <f t="shared" si="16"/>
        <v>210.98443162125903</v>
      </c>
      <c r="W125" s="406">
        <v>213.69274970684475</v>
      </c>
      <c r="X125" s="406">
        <v>222.96102214846405</v>
      </c>
      <c r="Y125" s="405">
        <f t="shared" si="17"/>
        <v>219.28657285344431</v>
      </c>
      <c r="Z125" s="406">
        <v>219.25914652317704</v>
      </c>
      <c r="AA125" s="406">
        <v>229.59744064941214</v>
      </c>
      <c r="AB125" s="442">
        <f t="shared" si="18"/>
        <v>223.56597948337696</v>
      </c>
      <c r="AC125" s="438">
        <f t="shared" si="19"/>
        <v>230.15523669428333</v>
      </c>
      <c r="AD125" s="410"/>
      <c r="AE125" s="411"/>
      <c r="AF125" s="411"/>
      <c r="AG125" s="411"/>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row>
    <row r="126" spans="1:61" x14ac:dyDescent="0.2">
      <c r="A126" s="159" t="s">
        <v>1407</v>
      </c>
      <c r="B126" s="18" t="str">
        <f>VLOOKUP(LEFT(A126,7),'Tariff Schedule Lookup Table'!$A$8:$G$186,2,FALSE)</f>
        <v>High Pressure Sodium 150</v>
      </c>
      <c r="C126" s="160">
        <f t="shared" si="20"/>
        <v>690</v>
      </c>
      <c r="D126" s="18">
        <f t="shared" si="21"/>
        <v>2</v>
      </c>
      <c r="E126" s="18" t="str">
        <f>VLOOKUP(C126,'Tariff Schedule Lookup Table'!I$7:L$286,2,FALSE)</f>
        <v>HIGH PRESSURE SODIUM 150W</v>
      </c>
      <c r="F126" s="18" t="str">
        <f>IF(E126 = "BULKHEADS ETC", "SHARED OR NO POLE", VLOOKUP(C126,'Tariff Schedule Lookup Table'!I$7:L$286,3,FALSE))</f>
        <v>STEEL POLE</v>
      </c>
      <c r="G126" s="18">
        <f>IF(E126 = "NO CAPITAL", 1, VLOOKUP(C126,'Tariff Schedule Lookup Table'!I$7:L$286,4,FALSE))</f>
        <v>2</v>
      </c>
      <c r="H126" s="18" t="str">
        <f t="shared" si="12"/>
        <v>2-Unmetered, Funded by Others, CE Maintained</v>
      </c>
      <c r="I126" s="123">
        <f>VLOOKUP(F126,'Maintenance Model'!$A$57:$B$61,2,FALSE)</f>
        <v>9.9616182311111103</v>
      </c>
      <c r="J126" s="123">
        <f>IF(D126=1,VLOOKUP(C126,'Capital Code Schedules'!A$15:F$300,2,FALSE),IF(D126=2,VLOOKUP(C126,'Capital Code Schedules'!A$15:F$300,3,FALSE),0))</f>
        <v>0</v>
      </c>
      <c r="K126" s="123">
        <v>0</v>
      </c>
      <c r="L126" s="123">
        <f>VLOOKUP(LEFT(A126,10),'Streetlight Tariff Schedule'!B$11:G$260,6, FALSE)+I126</f>
        <v>85.660494527463584</v>
      </c>
      <c r="M126" s="161">
        <f t="shared" si="13"/>
        <v>85.660494527463584</v>
      </c>
      <c r="N126" s="405">
        <f t="shared" si="14"/>
        <v>89.229849337091778</v>
      </c>
      <c r="O126" s="405">
        <v>59.287934906018066</v>
      </c>
      <c r="P126" s="406">
        <v>59.287934906018066</v>
      </c>
      <c r="Q126" s="406">
        <v>62.189418988051678</v>
      </c>
      <c r="R126" s="406">
        <v>62.189418988051678</v>
      </c>
      <c r="S126" s="405">
        <f t="shared" si="15"/>
        <v>93.596656646272493</v>
      </c>
      <c r="T126" s="406">
        <v>64.743612124953046</v>
      </c>
      <c r="U126" s="406">
        <v>64.98013939114702</v>
      </c>
      <c r="V126" s="405">
        <f t="shared" si="16"/>
        <v>97.796761802656832</v>
      </c>
      <c r="W126" s="406">
        <v>67.100454867402163</v>
      </c>
      <c r="X126" s="406">
        <v>67.946919324415532</v>
      </c>
      <c r="Y126" s="405">
        <f t="shared" si="17"/>
        <v>102.26184102799152</v>
      </c>
      <c r="Z126" s="406">
        <v>69.03869238645828</v>
      </c>
      <c r="AA126" s="406">
        <v>70.165435894878229</v>
      </c>
      <c r="AB126" s="442">
        <f t="shared" si="18"/>
        <v>104.48161237779615</v>
      </c>
      <c r="AC126" s="438">
        <f t="shared" si="19"/>
        <v>107.6055145059301</v>
      </c>
      <c r="AD126" s="410"/>
      <c r="AE126" s="411"/>
      <c r="AF126" s="411"/>
      <c r="AG126" s="411"/>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row>
    <row r="127" spans="1:61" x14ac:dyDescent="0.2">
      <c r="A127" s="159" t="s">
        <v>1408</v>
      </c>
      <c r="B127" s="18" t="str">
        <f>VLOOKUP(LEFT(A127,7),'Tariff Schedule Lookup Table'!$A$8:$G$186,2,FALSE)</f>
        <v>High Pressure Sodium 150</v>
      </c>
      <c r="C127" s="160">
        <f t="shared" si="20"/>
        <v>710</v>
      </c>
      <c r="D127" s="18">
        <f t="shared" si="21"/>
        <v>2</v>
      </c>
      <c r="E127" s="18" t="str">
        <f>VLOOKUP(C127,'Tariff Schedule Lookup Table'!I$7:L$286,2,FALSE)</f>
        <v>HIGH PRESSURE SODIUM 150W</v>
      </c>
      <c r="F127" s="18" t="str">
        <f>IF(E127 = "BULKHEADS ETC", "SHARED OR NO POLE", VLOOKUP(C127,'Tariff Schedule Lookup Table'!I$7:L$286,3,FALSE))</f>
        <v>STEEL POLE</v>
      </c>
      <c r="G127" s="18">
        <f>IF(E127 = "NO CAPITAL", 1, VLOOKUP(C127,'Tariff Schedule Lookup Table'!I$7:L$286,4,FALSE))</f>
        <v>3</v>
      </c>
      <c r="H127" s="18" t="str">
        <f t="shared" si="12"/>
        <v>2-Unmetered, Funded by Others, CE Maintained</v>
      </c>
      <c r="I127" s="123">
        <f>VLOOKUP(F127,'Maintenance Model'!$A$57:$B$61,2,FALSE)</f>
        <v>9.9616182311111103</v>
      </c>
      <c r="J127" s="123">
        <f>IF(D127=1,VLOOKUP(C127,'Capital Code Schedules'!A$15:F$300,2,FALSE),IF(D127=2,VLOOKUP(C127,'Capital Code Schedules'!A$15:F$300,3,FALSE),0))</f>
        <v>0</v>
      </c>
      <c r="K127" s="123">
        <v>0</v>
      </c>
      <c r="L127" s="123">
        <f>VLOOKUP(LEFT(A127,10),'Streetlight Tariff Schedule'!B$11:G$260,6, FALSE)+I127</f>
        <v>85.660494527463584</v>
      </c>
      <c r="M127" s="161">
        <f t="shared" si="13"/>
        <v>85.660494527463584</v>
      </c>
      <c r="N127" s="405">
        <f t="shared" si="14"/>
        <v>89.229849337091778</v>
      </c>
      <c r="O127" s="405">
        <v>59.287934906018066</v>
      </c>
      <c r="P127" s="406">
        <v>59.287934906018066</v>
      </c>
      <c r="Q127" s="406">
        <v>62.189418988051678</v>
      </c>
      <c r="R127" s="406">
        <v>62.189418988051678</v>
      </c>
      <c r="S127" s="405">
        <f t="shared" si="15"/>
        <v>93.596656646272493</v>
      </c>
      <c r="T127" s="406">
        <v>64.743612124953046</v>
      </c>
      <c r="U127" s="406">
        <v>64.98013939114702</v>
      </c>
      <c r="V127" s="405">
        <f t="shared" si="16"/>
        <v>97.796761802656832</v>
      </c>
      <c r="W127" s="406">
        <v>67.100454867402163</v>
      </c>
      <c r="X127" s="406">
        <v>67.946919324415532</v>
      </c>
      <c r="Y127" s="405">
        <f t="shared" si="17"/>
        <v>102.26184102799152</v>
      </c>
      <c r="Z127" s="406">
        <v>69.03869238645828</v>
      </c>
      <c r="AA127" s="406">
        <v>70.165435894878229</v>
      </c>
      <c r="AB127" s="442">
        <f t="shared" si="18"/>
        <v>104.48161237779615</v>
      </c>
      <c r="AC127" s="438">
        <f t="shared" si="19"/>
        <v>107.6055145059301</v>
      </c>
      <c r="AD127" s="410"/>
      <c r="AE127" s="411"/>
      <c r="AF127" s="411"/>
      <c r="AG127" s="411"/>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row>
    <row r="128" spans="1:61" x14ac:dyDescent="0.2">
      <c r="A128" s="159" t="s">
        <v>1409</v>
      </c>
      <c r="B128" s="18" t="str">
        <f>VLOOKUP(LEFT(A128,7),'Tariff Schedule Lookup Table'!$A$8:$G$186,2,FALSE)</f>
        <v>High Pressure Sodium 150</v>
      </c>
      <c r="C128" s="160">
        <f t="shared" si="20"/>
        <v>720</v>
      </c>
      <c r="D128" s="18">
        <f t="shared" si="21"/>
        <v>1</v>
      </c>
      <c r="E128" s="18" t="str">
        <f>VLOOKUP(C128,'Tariff Schedule Lookup Table'!I$7:L$286,2,FALSE)</f>
        <v>HIGH PRESSURE SODIUM 150W</v>
      </c>
      <c r="F128" s="18" t="str">
        <f>IF(E128 = "BULKHEADS ETC", "SHARED OR NO POLE", VLOOKUP(C128,'Tariff Schedule Lookup Table'!I$7:L$286,3,FALSE))</f>
        <v>STEEL POLE</v>
      </c>
      <c r="G128" s="18">
        <f>IF(E128 = "NO CAPITAL", 1, VLOOKUP(C128,'Tariff Schedule Lookup Table'!I$7:L$286,4,FALSE))</f>
        <v>4</v>
      </c>
      <c r="H128" s="18" t="str">
        <f t="shared" si="12"/>
        <v>1-Unmetered, CE Funded, CE Maintained</v>
      </c>
      <c r="I128" s="123">
        <f>VLOOKUP(F128,'Maintenance Model'!$A$57:$B$61,2,FALSE)</f>
        <v>9.9616182311111103</v>
      </c>
      <c r="J128" s="123">
        <f>IF(D128=1,VLOOKUP(C128,'Capital Code Schedules'!A$15:F$300,2,FALSE),IF(D128=2,VLOOKUP(C128,'Capital Code Schedules'!A$15:F$300,3,FALSE),0))</f>
        <v>130.00997618165832</v>
      </c>
      <c r="K128" s="123">
        <v>164.91385550207639</v>
      </c>
      <c r="L128" s="123">
        <f>VLOOKUP(LEFT(A128,10),'Streetlight Tariff Schedule'!B$11:G$260,6, FALSE)+I128</f>
        <v>85.660494527463584</v>
      </c>
      <c r="M128" s="161">
        <f t="shared" si="13"/>
        <v>250.57435002953997</v>
      </c>
      <c r="N128" s="405">
        <f t="shared" si="14"/>
        <v>222.45757242924617</v>
      </c>
      <c r="O128" s="405">
        <v>235.76495514157517</v>
      </c>
      <c r="P128" s="406">
        <v>228.28340833177086</v>
      </c>
      <c r="Q128" s="406">
        <v>235.36753038109185</v>
      </c>
      <c r="R128" s="406">
        <v>243.03424547443882</v>
      </c>
      <c r="S128" s="405">
        <f t="shared" si="15"/>
        <v>230.12176588495768</v>
      </c>
      <c r="T128" s="406">
        <v>242.20788177497096</v>
      </c>
      <c r="U128" s="406">
        <v>250.97904343239622</v>
      </c>
      <c r="V128" s="405">
        <f t="shared" si="16"/>
        <v>238.21283665464455</v>
      </c>
      <c r="W128" s="406">
        <v>248.95696519125804</v>
      </c>
      <c r="X128" s="406">
        <v>260.25118621266307</v>
      </c>
      <c r="Y128" s="405">
        <f t="shared" si="17"/>
        <v>247.43802081746159</v>
      </c>
      <c r="Z128" s="406">
        <v>255.39615134082956</v>
      </c>
      <c r="AA128" s="406">
        <v>267.95037438944081</v>
      </c>
      <c r="AB128" s="442">
        <f t="shared" si="18"/>
        <v>252.21289293156093</v>
      </c>
      <c r="AC128" s="438">
        <f t="shared" si="19"/>
        <v>259.63577532380947</v>
      </c>
      <c r="AD128" s="410"/>
      <c r="AE128" s="411"/>
      <c r="AF128" s="411"/>
      <c r="AG128" s="411"/>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row>
    <row r="129" spans="1:61" x14ac:dyDescent="0.2">
      <c r="A129" s="159" t="s">
        <v>1410</v>
      </c>
      <c r="B129" s="18" t="str">
        <f>VLOOKUP(LEFT(A129,7),'Tariff Schedule Lookup Table'!$A$8:$G$186,2,FALSE)</f>
        <v>High Pressure Sodium 150</v>
      </c>
      <c r="C129" s="160">
        <f t="shared" si="20"/>
        <v>720</v>
      </c>
      <c r="D129" s="18">
        <f t="shared" si="21"/>
        <v>2</v>
      </c>
      <c r="E129" s="18" t="str">
        <f>VLOOKUP(C129,'Tariff Schedule Lookup Table'!I$7:L$286,2,FALSE)</f>
        <v>HIGH PRESSURE SODIUM 150W</v>
      </c>
      <c r="F129" s="18" t="str">
        <f>IF(E129 = "BULKHEADS ETC", "SHARED OR NO POLE", VLOOKUP(C129,'Tariff Schedule Lookup Table'!I$7:L$286,3,FALSE))</f>
        <v>STEEL POLE</v>
      </c>
      <c r="G129" s="18">
        <f>IF(E129 = "NO CAPITAL", 1, VLOOKUP(C129,'Tariff Schedule Lookup Table'!I$7:L$286,4,FALSE))</f>
        <v>4</v>
      </c>
      <c r="H129" s="18" t="str">
        <f t="shared" si="12"/>
        <v>2-Unmetered, Funded by Others, CE Maintained</v>
      </c>
      <c r="I129" s="123">
        <f>VLOOKUP(F129,'Maintenance Model'!$A$57:$B$61,2,FALSE)</f>
        <v>9.9616182311111103</v>
      </c>
      <c r="J129" s="123">
        <f>IF(D129=1,VLOOKUP(C129,'Capital Code Schedules'!A$15:F$300,2,FALSE),IF(D129=2,VLOOKUP(C129,'Capital Code Schedules'!A$15:F$300,3,FALSE),0))</f>
        <v>0</v>
      </c>
      <c r="K129" s="123">
        <v>0</v>
      </c>
      <c r="L129" s="123">
        <f>VLOOKUP(LEFT(A129,10),'Streetlight Tariff Schedule'!B$11:G$260,6, FALSE)+I129</f>
        <v>85.660494527463584</v>
      </c>
      <c r="M129" s="161">
        <f t="shared" si="13"/>
        <v>85.660494527463584</v>
      </c>
      <c r="N129" s="405">
        <f t="shared" si="14"/>
        <v>89.229849337091778</v>
      </c>
      <c r="O129" s="405">
        <v>59.287934906018066</v>
      </c>
      <c r="P129" s="406">
        <v>59.287934906018066</v>
      </c>
      <c r="Q129" s="406">
        <v>62.189418988051678</v>
      </c>
      <c r="R129" s="406">
        <v>62.189418988051678</v>
      </c>
      <c r="S129" s="405">
        <f t="shared" si="15"/>
        <v>93.596656646272493</v>
      </c>
      <c r="T129" s="406">
        <v>64.743612124953046</v>
      </c>
      <c r="U129" s="406">
        <v>64.98013939114702</v>
      </c>
      <c r="V129" s="405">
        <f t="shared" si="16"/>
        <v>97.796761802656832</v>
      </c>
      <c r="W129" s="406">
        <v>67.100454867402163</v>
      </c>
      <c r="X129" s="406">
        <v>67.946919324415532</v>
      </c>
      <c r="Y129" s="405">
        <f t="shared" si="17"/>
        <v>102.26184102799152</v>
      </c>
      <c r="Z129" s="406">
        <v>69.03869238645828</v>
      </c>
      <c r="AA129" s="406">
        <v>70.165435894878229</v>
      </c>
      <c r="AB129" s="442">
        <f t="shared" si="18"/>
        <v>104.48161237779615</v>
      </c>
      <c r="AC129" s="438">
        <f t="shared" si="19"/>
        <v>107.6055145059301</v>
      </c>
      <c r="AD129" s="410"/>
      <c r="AE129" s="411"/>
      <c r="AF129" s="411"/>
      <c r="AG129" s="411"/>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row>
    <row r="130" spans="1:61" x14ac:dyDescent="0.2">
      <c r="A130" s="159" t="s">
        <v>1411</v>
      </c>
      <c r="B130" s="18" t="str">
        <f>VLOOKUP(LEFT(A130,7),'Tariff Schedule Lookup Table'!$A$8:$G$186,2,FALSE)</f>
        <v>High Pressure Sodium 150</v>
      </c>
      <c r="C130" s="160">
        <f t="shared" si="20"/>
        <v>980</v>
      </c>
      <c r="D130" s="18">
        <f t="shared" si="21"/>
        <v>2</v>
      </c>
      <c r="E130" s="18" t="str">
        <f>VLOOKUP(C130,'Tariff Schedule Lookup Table'!I$7:L$286,2,FALSE)</f>
        <v>HIGH PRESSURE SODIUM 150W</v>
      </c>
      <c r="F130" s="18" t="str">
        <f>IF(E130 = "BULKHEADS ETC", "SHARED OR NO POLE", VLOOKUP(C130,'Tariff Schedule Lookup Table'!I$7:L$286,3,FALSE))</f>
        <v>WOOD POLE</v>
      </c>
      <c r="G130" s="18">
        <f>IF(E130 = "NO CAPITAL", 1, VLOOKUP(C130,'Tariff Schedule Lookup Table'!I$7:L$286,4,FALSE))</f>
        <v>2</v>
      </c>
      <c r="H130" s="18" t="str">
        <f t="shared" si="12"/>
        <v>2-Unmetered, Funded by Others, CE Maintained</v>
      </c>
      <c r="I130" s="123">
        <f>VLOOKUP(F130,'Maintenance Model'!$A$57:$B$61,2,FALSE)</f>
        <v>10.731618231111112</v>
      </c>
      <c r="J130" s="123">
        <f>IF(D130=1,VLOOKUP(C130,'Capital Code Schedules'!A$15:F$300,2,FALSE),IF(D130=2,VLOOKUP(C130,'Capital Code Schedules'!A$15:F$300,3,FALSE),0))</f>
        <v>0</v>
      </c>
      <c r="K130" s="123">
        <v>0</v>
      </c>
      <c r="L130" s="123">
        <f>VLOOKUP(LEFT(A130,10),'Streetlight Tariff Schedule'!B$11:G$260,6, FALSE)+I130</f>
        <v>86.430494527463594</v>
      </c>
      <c r="M130" s="161">
        <f t="shared" si="13"/>
        <v>86.430494527463594</v>
      </c>
      <c r="N130" s="405">
        <f t="shared" si="14"/>
        <v>90.031934176416797</v>
      </c>
      <c r="O130" s="405">
        <v>60.090019745343071</v>
      </c>
      <c r="P130" s="406">
        <v>60.090019745343071</v>
      </c>
      <c r="Q130" s="406">
        <v>63.030756946876132</v>
      </c>
      <c r="R130" s="406">
        <v>63.030756946876132</v>
      </c>
      <c r="S130" s="405">
        <f t="shared" si="15"/>
        <v>94.437994605096947</v>
      </c>
      <c r="T130" s="406">
        <v>65.619504830794142</v>
      </c>
      <c r="U130" s="406">
        <v>65.859231988072239</v>
      </c>
      <c r="V130" s="405">
        <f t="shared" si="16"/>
        <v>98.675854399582065</v>
      </c>
      <c r="W130" s="406">
        <v>68.008232438779373</v>
      </c>
      <c r="X130" s="406">
        <v>68.866148404587477</v>
      </c>
      <c r="Y130" s="405">
        <f t="shared" si="17"/>
        <v>103.18107010816347</v>
      </c>
      <c r="Z130" s="406">
        <v>69.972691666038173</v>
      </c>
      <c r="AA130" s="406">
        <v>71.114678476275671</v>
      </c>
      <c r="AB130" s="442">
        <f t="shared" si="18"/>
        <v>105.42079492600233</v>
      </c>
      <c r="AC130" s="438">
        <f t="shared" si="19"/>
        <v>108.5727777306714</v>
      </c>
      <c r="AD130" s="410"/>
      <c r="AE130" s="411"/>
      <c r="AF130" s="411"/>
      <c r="AG130" s="411"/>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row>
    <row r="131" spans="1:61" x14ac:dyDescent="0.2">
      <c r="A131" s="159" t="s">
        <v>1412</v>
      </c>
      <c r="B131" s="18" t="str">
        <f>VLOOKUP(LEFT(A131,7),'Tariff Schedule Lookup Table'!$A$8:$G$186,2,FALSE)</f>
        <v>High Pressure Sodium 150</v>
      </c>
      <c r="C131" s="160">
        <f t="shared" si="20"/>
        <v>1010</v>
      </c>
      <c r="D131" s="18">
        <f t="shared" si="21"/>
        <v>1</v>
      </c>
      <c r="E131" s="18" t="str">
        <f>VLOOKUP(C131,'Tariff Schedule Lookup Table'!I$7:L$286,2,FALSE)</f>
        <v>HIGH PRESSURE SODIUM 150W</v>
      </c>
      <c r="F131" s="18" t="str">
        <f>IF(E131 = "BULKHEADS ETC", "SHARED OR NO POLE", VLOOKUP(C131,'Tariff Schedule Lookup Table'!I$7:L$286,3,FALSE))</f>
        <v>SHARED OR NO POLE</v>
      </c>
      <c r="G131" s="18">
        <f>IF(E131 = "NO CAPITAL", 1, VLOOKUP(C131,'Tariff Schedule Lookup Table'!I$7:L$286,4,FALSE))</f>
        <v>2</v>
      </c>
      <c r="H131" s="18" t="str">
        <f t="shared" si="12"/>
        <v>1-Unmetered, CE Funded, CE Maintained</v>
      </c>
      <c r="I131" s="123">
        <f>VLOOKUP(F131,'Maintenance Model'!$A$57:$B$61,2,FALSE)</f>
        <v>0</v>
      </c>
      <c r="J131" s="123">
        <f>IF(D131=1,VLOOKUP(C131,'Capital Code Schedules'!A$15:F$300,2,FALSE),IF(D131=2,VLOOKUP(C131,'Capital Code Schedules'!A$15:F$300,3,FALSE),0))</f>
        <v>44.61505821420414</v>
      </c>
      <c r="K131" s="123">
        <v>56.592897557902937</v>
      </c>
      <c r="L131" s="123">
        <f>VLOOKUP(LEFT(A131,10),'Streetlight Tariff Schedule'!B$11:G$260,6, FALSE)+I131</f>
        <v>75.698876296352481</v>
      </c>
      <c r="M131" s="161">
        <f t="shared" si="13"/>
        <v>132.29177385425541</v>
      </c>
      <c r="N131" s="405">
        <f t="shared" si="14"/>
        <v>124.57242510142508</v>
      </c>
      <c r="O131" s="405">
        <v>110.25480708427899</v>
      </c>
      <c r="P131" s="406">
        <v>107.68739144237993</v>
      </c>
      <c r="Q131" s="406">
        <v>111.5546913414142</v>
      </c>
      <c r="R131" s="406">
        <v>114.18565052045025</v>
      </c>
      <c r="S131" s="405">
        <f t="shared" si="15"/>
        <v>129.56296046906471</v>
      </c>
      <c r="T131" s="406">
        <v>115.16642443287301</v>
      </c>
      <c r="U131" s="406">
        <v>118.29347623007006</v>
      </c>
      <c r="V131" s="405">
        <f t="shared" si="16"/>
        <v>134.60987632847312</v>
      </c>
      <c r="W131" s="406">
        <v>118.64914676540226</v>
      </c>
      <c r="X131" s="406">
        <v>122.94395354936722</v>
      </c>
      <c r="Y131" s="405">
        <f t="shared" si="17"/>
        <v>140.18921136070713</v>
      </c>
      <c r="Z131" s="406">
        <v>121.81830849205112</v>
      </c>
      <c r="AA131" s="406">
        <v>126.68424692900452</v>
      </c>
      <c r="AB131" s="442">
        <f t="shared" si="18"/>
        <v>143.02766615607655</v>
      </c>
      <c r="AC131" s="438">
        <f t="shared" si="19"/>
        <v>147.26354956646674</v>
      </c>
      <c r="AD131" s="410"/>
      <c r="AE131" s="411"/>
      <c r="AF131" s="411"/>
      <c r="AG131" s="411"/>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row>
    <row r="132" spans="1:61" x14ac:dyDescent="0.2">
      <c r="A132" s="159" t="s">
        <v>1413</v>
      </c>
      <c r="B132" s="18" t="str">
        <f>VLOOKUP(LEFT(A132,7),'Tariff Schedule Lookup Table'!$A$8:$G$186,2,FALSE)</f>
        <v>High Pressure Sodium 150</v>
      </c>
      <c r="C132" s="160">
        <f t="shared" si="20"/>
        <v>1010</v>
      </c>
      <c r="D132" s="18">
        <f t="shared" si="21"/>
        <v>2</v>
      </c>
      <c r="E132" s="18" t="str">
        <f>VLOOKUP(C132,'Tariff Schedule Lookup Table'!I$7:L$286,2,FALSE)</f>
        <v>HIGH PRESSURE SODIUM 150W</v>
      </c>
      <c r="F132" s="18" t="str">
        <f>IF(E132 = "BULKHEADS ETC", "SHARED OR NO POLE", VLOOKUP(C132,'Tariff Schedule Lookup Table'!I$7:L$286,3,FALSE))</f>
        <v>SHARED OR NO POLE</v>
      </c>
      <c r="G132" s="18">
        <f>IF(E132 = "NO CAPITAL", 1, VLOOKUP(C132,'Tariff Schedule Lookup Table'!I$7:L$286,4,FALSE))</f>
        <v>2</v>
      </c>
      <c r="H132" s="18" t="str">
        <f t="shared" si="12"/>
        <v>2-Unmetered, Funded by Others, CE Maintained</v>
      </c>
      <c r="I132" s="123">
        <f>VLOOKUP(F132,'Maintenance Model'!$A$57:$B$61,2,FALSE)</f>
        <v>0</v>
      </c>
      <c r="J132" s="123">
        <f>IF(D132=1,VLOOKUP(C132,'Capital Code Schedules'!A$15:F$300,2,FALSE),IF(D132=2,VLOOKUP(C132,'Capital Code Schedules'!A$15:F$300,3,FALSE),0))</f>
        <v>0</v>
      </c>
      <c r="K132" s="123">
        <v>0</v>
      </c>
      <c r="L132" s="123">
        <f>VLOOKUP(LEFT(A132,10),'Streetlight Tariff Schedule'!B$11:G$260,6, FALSE)+I132</f>
        <v>75.698876296352481</v>
      </c>
      <c r="M132" s="161">
        <f t="shared" si="13"/>
        <v>75.698876296352481</v>
      </c>
      <c r="N132" s="405">
        <f t="shared" si="14"/>
        <v>78.853144196419393</v>
      </c>
      <c r="O132" s="405">
        <v>49.693819669918895</v>
      </c>
      <c r="P132" s="406">
        <v>49.693819669918895</v>
      </c>
      <c r="Q132" s="406">
        <v>52.125778667584761</v>
      </c>
      <c r="R132" s="406">
        <v>52.125778667584761</v>
      </c>
      <c r="S132" s="405">
        <f t="shared" si="15"/>
        <v>82.712127361660123</v>
      </c>
      <c r="T132" s="406">
        <v>54.266646170366293</v>
      </c>
      <c r="U132" s="406">
        <v>54.464898029397887</v>
      </c>
      <c r="V132" s="405">
        <f t="shared" si="16"/>
        <v>86.423794477507499</v>
      </c>
      <c r="W132" s="406">
        <v>56.242098990898498</v>
      </c>
      <c r="X132" s="406">
        <v>56.951586547692266</v>
      </c>
      <c r="Y132" s="405">
        <f t="shared" si="17"/>
        <v>90.369621334993795</v>
      </c>
      <c r="Z132" s="406">
        <v>57.866686285128395</v>
      </c>
      <c r="AA132" s="406">
        <v>58.811097467781835</v>
      </c>
      <c r="AB132" s="442">
        <f t="shared" si="18"/>
        <v>92.33125134591063</v>
      </c>
      <c r="AC132" s="438">
        <f t="shared" si="19"/>
        <v>95.091869085325001</v>
      </c>
      <c r="AD132" s="410"/>
      <c r="AE132" s="411"/>
      <c r="AF132" s="411"/>
      <c r="AG132" s="411"/>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row>
    <row r="133" spans="1:61" x14ac:dyDescent="0.2">
      <c r="A133" s="159" t="s">
        <v>1414</v>
      </c>
      <c r="B133" s="18" t="str">
        <f>VLOOKUP(LEFT(A133,7),'Tariff Schedule Lookup Table'!$A$8:$G$186,2,FALSE)</f>
        <v>High Pressure Sodium 150</v>
      </c>
      <c r="C133" s="160">
        <f t="shared" si="20"/>
        <v>1360</v>
      </c>
      <c r="D133" s="18">
        <f t="shared" si="21"/>
        <v>2</v>
      </c>
      <c r="E133" s="18" t="str">
        <f>VLOOKUP(C133,'Tariff Schedule Lookup Table'!I$7:L$286,2,FALSE)</f>
        <v>HIGH PRESSURE SODIUM 150W</v>
      </c>
      <c r="F133" s="18" t="str">
        <f>IF(E133 = "BULKHEADS ETC", "SHARED OR NO POLE", VLOOKUP(C133,'Tariff Schedule Lookup Table'!I$7:L$286,3,FALSE))</f>
        <v>R/BOUT COLUMN</v>
      </c>
      <c r="G133" s="18">
        <f>IF(E133 = "NO CAPITAL", 1, VLOOKUP(C133,'Tariff Schedule Lookup Table'!I$7:L$286,4,FALSE))</f>
        <v>3</v>
      </c>
      <c r="H133" s="18" t="str">
        <f t="shared" si="12"/>
        <v>2-Unmetered, Funded by Others, CE Maintained</v>
      </c>
      <c r="I133" s="123">
        <f>VLOOKUP(F133,'Maintenance Model'!$A$57:$B$61,2,FALSE)</f>
        <v>9.9616182311111103</v>
      </c>
      <c r="J133" s="123">
        <f>IF(D133=1,VLOOKUP(C133,'Capital Code Schedules'!A$15:F$300,2,FALSE),IF(D133=2,VLOOKUP(C133,'Capital Code Schedules'!A$15:F$300,3,FALSE),0))</f>
        <v>0</v>
      </c>
      <c r="K133" s="123">
        <v>0</v>
      </c>
      <c r="L133" s="123">
        <f>VLOOKUP(LEFT(A133,10),'Streetlight Tariff Schedule'!B$11:G$260,6, FALSE)+I133</f>
        <v>85.660494527463584</v>
      </c>
      <c r="M133" s="161">
        <f t="shared" si="13"/>
        <v>85.660494527463584</v>
      </c>
      <c r="N133" s="405">
        <f t="shared" si="14"/>
        <v>89.229849337091778</v>
      </c>
      <c r="O133" s="405">
        <v>59.287934906018066</v>
      </c>
      <c r="P133" s="406">
        <v>59.287934906018066</v>
      </c>
      <c r="Q133" s="406">
        <v>62.189418988051678</v>
      </c>
      <c r="R133" s="406">
        <v>62.189418988051678</v>
      </c>
      <c r="S133" s="405">
        <f t="shared" si="15"/>
        <v>93.596656646272493</v>
      </c>
      <c r="T133" s="406">
        <v>64.743612124953046</v>
      </c>
      <c r="U133" s="406">
        <v>64.98013939114702</v>
      </c>
      <c r="V133" s="405">
        <f t="shared" si="16"/>
        <v>97.796761802656832</v>
      </c>
      <c r="W133" s="406">
        <v>67.100454867402163</v>
      </c>
      <c r="X133" s="406">
        <v>67.946919324415532</v>
      </c>
      <c r="Y133" s="405">
        <f t="shared" si="17"/>
        <v>102.26184102799152</v>
      </c>
      <c r="Z133" s="406">
        <v>69.03869238645828</v>
      </c>
      <c r="AA133" s="406">
        <v>70.165435894878229</v>
      </c>
      <c r="AB133" s="442">
        <f t="shared" si="18"/>
        <v>104.48161237779615</v>
      </c>
      <c r="AC133" s="438">
        <f t="shared" si="19"/>
        <v>107.6055145059301</v>
      </c>
      <c r="AD133" s="410"/>
      <c r="AE133" s="411"/>
      <c r="AF133" s="411"/>
      <c r="AG133" s="411"/>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row>
    <row r="134" spans="1:61" x14ac:dyDescent="0.2">
      <c r="A134" s="159" t="s">
        <v>1415</v>
      </c>
      <c r="B134" s="18" t="str">
        <f>VLOOKUP(LEFT(A134,7),'Tariff Schedule Lookup Table'!$A$8:$G$186,2,FALSE)</f>
        <v>High Pressure Sodium 150</v>
      </c>
      <c r="C134" s="160">
        <f t="shared" si="20"/>
        <v>50</v>
      </c>
      <c r="D134" s="18">
        <f t="shared" si="21"/>
        <v>1</v>
      </c>
      <c r="E134" s="18" t="str">
        <f>VLOOKUP(C134,'Tariff Schedule Lookup Table'!I$7:L$286,2,FALSE)</f>
        <v>HIGH PRESSURE SODIUM 150W</v>
      </c>
      <c r="F134" s="18" t="str">
        <f>IF(E134 = "BULKHEADS ETC", "SHARED OR NO POLE", VLOOKUP(C134,'Tariff Schedule Lookup Table'!I$7:L$286,3,FALSE))</f>
        <v>SHARED OR NO POLE</v>
      </c>
      <c r="G134" s="18">
        <f>IF(E134 = "NO CAPITAL", 1, VLOOKUP(C134,'Tariff Schedule Lookup Table'!I$7:L$286,4,FALSE))</f>
        <v>1</v>
      </c>
      <c r="H134" s="18" t="str">
        <f t="shared" si="12"/>
        <v>1-Unmetered, CE Funded, CE Maintained</v>
      </c>
      <c r="I134" s="123">
        <f>VLOOKUP(F134,'Maintenance Model'!$A$57:$B$61,2,FALSE)</f>
        <v>0</v>
      </c>
      <c r="J134" s="123">
        <f>IF(D134=1,VLOOKUP(C134,'Capital Code Schedules'!A$15:F$300,2,FALSE),IF(D134=2,VLOOKUP(C134,'Capital Code Schedules'!A$15:F$300,3,FALSE),0))</f>
        <v>32.009790998230237</v>
      </c>
      <c r="K134" s="123">
        <v>40.603484458437606</v>
      </c>
      <c r="L134" s="123">
        <f>VLOOKUP(LEFT(A134,10),'Streetlight Tariff Schedule'!B$11:G$260,6, FALSE)+I134</f>
        <v>55.862653529403147</v>
      </c>
      <c r="M134" s="161">
        <f t="shared" si="13"/>
        <v>96.466137987840753</v>
      </c>
      <c r="N134" s="405">
        <f t="shared" si="14"/>
        <v>90.992406676604574</v>
      </c>
      <c r="O134" s="405">
        <v>84.274674997577023</v>
      </c>
      <c r="P134" s="406">
        <v>82.432641357091683</v>
      </c>
      <c r="Q134" s="406">
        <v>85.460340682424345</v>
      </c>
      <c r="R134" s="406">
        <v>87.347964655511703</v>
      </c>
      <c r="S134" s="405">
        <f t="shared" si="15"/>
        <v>94.652027669651261</v>
      </c>
      <c r="T134" s="406">
        <v>88.274391722528762</v>
      </c>
      <c r="U134" s="406">
        <v>90.5385732235315</v>
      </c>
      <c r="V134" s="405">
        <f t="shared" si="16"/>
        <v>98.349080843748567</v>
      </c>
      <c r="W134" s="406">
        <v>90.978670692202215</v>
      </c>
      <c r="X134" s="406">
        <v>94.13387033385348</v>
      </c>
      <c r="Y134" s="405">
        <f t="shared" si="17"/>
        <v>102.43292529019402</v>
      </c>
      <c r="Z134" s="406">
        <v>93.421473367225644</v>
      </c>
      <c r="AA134" s="406">
        <v>97.010884158517385</v>
      </c>
      <c r="AB134" s="442">
        <f t="shared" si="18"/>
        <v>104.50961950335009</v>
      </c>
      <c r="AC134" s="438">
        <f t="shared" si="19"/>
        <v>107.60529479683927</v>
      </c>
      <c r="AD134" s="410"/>
      <c r="AE134" s="411"/>
      <c r="AF134" s="411"/>
      <c r="AG134" s="411"/>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row>
    <row r="135" spans="1:61" x14ac:dyDescent="0.2">
      <c r="A135" s="159" t="s">
        <v>1416</v>
      </c>
      <c r="B135" s="18" t="str">
        <f>VLOOKUP(LEFT(A135,7),'Tariff Schedule Lookup Table'!$A$8:$G$186,2,FALSE)</f>
        <v>High Pressure Sodium 150</v>
      </c>
      <c r="C135" s="160">
        <f t="shared" si="20"/>
        <v>50</v>
      </c>
      <c r="D135" s="18">
        <f t="shared" si="21"/>
        <v>2</v>
      </c>
      <c r="E135" s="18" t="str">
        <f>VLOOKUP(C135,'Tariff Schedule Lookup Table'!I$7:L$286,2,FALSE)</f>
        <v>HIGH PRESSURE SODIUM 150W</v>
      </c>
      <c r="F135" s="18" t="str">
        <f>IF(E135 = "BULKHEADS ETC", "SHARED OR NO POLE", VLOOKUP(C135,'Tariff Schedule Lookup Table'!I$7:L$286,3,FALSE))</f>
        <v>SHARED OR NO POLE</v>
      </c>
      <c r="G135" s="18">
        <f>IF(E135 = "NO CAPITAL", 1, VLOOKUP(C135,'Tariff Schedule Lookup Table'!I$7:L$286,4,FALSE))</f>
        <v>1</v>
      </c>
      <c r="H135" s="18" t="str">
        <f t="shared" si="12"/>
        <v>2-Unmetered, Funded by Others, CE Maintained</v>
      </c>
      <c r="I135" s="123">
        <f>VLOOKUP(F135,'Maintenance Model'!$A$57:$B$61,2,FALSE)</f>
        <v>0</v>
      </c>
      <c r="J135" s="123">
        <f>IF(D135=1,VLOOKUP(C135,'Capital Code Schedules'!A$15:F$300,2,FALSE),IF(D135=2,VLOOKUP(C135,'Capital Code Schedules'!A$15:F$300,3,FALSE),0))</f>
        <v>0</v>
      </c>
      <c r="K135" s="123">
        <v>0</v>
      </c>
      <c r="L135" s="123">
        <f>VLOOKUP(LEFT(A135,10),'Streetlight Tariff Schedule'!B$11:G$260,6, FALSE)+I135</f>
        <v>55.862653529403147</v>
      </c>
      <c r="M135" s="161">
        <f t="shared" si="13"/>
        <v>55.862653529403147</v>
      </c>
      <c r="N135" s="405">
        <f t="shared" si="14"/>
        <v>58.190373351168148</v>
      </c>
      <c r="O135" s="405">
        <v>40.824220658307731</v>
      </c>
      <c r="P135" s="406">
        <v>40.824220658307731</v>
      </c>
      <c r="Q135" s="406">
        <v>42.822111571345488</v>
      </c>
      <c r="R135" s="406">
        <v>42.822111571345488</v>
      </c>
      <c r="S135" s="405">
        <f t="shared" si="15"/>
        <v>61.038144019410282</v>
      </c>
      <c r="T135" s="406">
        <v>44.580866440950714</v>
      </c>
      <c r="U135" s="406">
        <v>44.743733326466554</v>
      </c>
      <c r="V135" s="405">
        <f t="shared" si="16"/>
        <v>63.777201509475717</v>
      </c>
      <c r="W135" s="406">
        <v>46.203730659905105</v>
      </c>
      <c r="X135" s="406">
        <v>46.786585364278032</v>
      </c>
      <c r="Y135" s="405">
        <f t="shared" si="17"/>
        <v>66.689059246489336</v>
      </c>
      <c r="Z135" s="406">
        <v>47.538353569129185</v>
      </c>
      <c r="AA135" s="406">
        <v>48.314201567309041</v>
      </c>
      <c r="AB135" s="442">
        <f t="shared" si="18"/>
        <v>68.136661417276187</v>
      </c>
      <c r="AC135" s="438">
        <f t="shared" si="19"/>
        <v>70.173883630460622</v>
      </c>
      <c r="AD135" s="410"/>
      <c r="AE135" s="411"/>
      <c r="AF135" s="411"/>
      <c r="AG135" s="411"/>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row>
    <row r="136" spans="1:61" x14ac:dyDescent="0.2">
      <c r="A136" s="159" t="s">
        <v>1417</v>
      </c>
      <c r="B136" s="18" t="str">
        <f>VLOOKUP(LEFT(A136,7),'Tariff Schedule Lookup Table'!$A$8:$G$186,2,FALSE)</f>
        <v>High Pressure Sodium 150</v>
      </c>
      <c r="C136" s="160">
        <f t="shared" si="20"/>
        <v>220</v>
      </c>
      <c r="D136" s="18">
        <f t="shared" si="21"/>
        <v>1</v>
      </c>
      <c r="E136" s="18" t="str">
        <f>VLOOKUP(C136,'Tariff Schedule Lookup Table'!I$7:L$286,2,FALSE)</f>
        <v>HIGH PRESSURE SODIUM 150W</v>
      </c>
      <c r="F136" s="18" t="str">
        <f>IF(E136 = "BULKHEADS ETC", "SHARED OR NO POLE", VLOOKUP(C136,'Tariff Schedule Lookup Table'!I$7:L$286,3,FALSE))</f>
        <v>WOOD POLE</v>
      </c>
      <c r="G136" s="18">
        <f>IF(E136 = "NO CAPITAL", 1, VLOOKUP(C136,'Tariff Schedule Lookup Table'!I$7:L$286,4,FALSE))</f>
        <v>1</v>
      </c>
      <c r="H136" s="18" t="str">
        <f t="shared" si="12"/>
        <v>1-Unmetered, CE Funded, CE Maintained</v>
      </c>
      <c r="I136" s="123">
        <f>VLOOKUP(F136,'Maintenance Model'!$A$57:$B$61,2,FALSE)</f>
        <v>10.731618231111112</v>
      </c>
      <c r="J136" s="123">
        <f>IF(D136=1,VLOOKUP(C136,'Capital Code Schedules'!A$15:F$300,2,FALSE),IF(D136=2,VLOOKUP(C136,'Capital Code Schedules'!A$15:F$300,3,FALSE),0))</f>
        <v>65.91090936010653</v>
      </c>
      <c r="K136" s="123">
        <v>83.606062407359644</v>
      </c>
      <c r="L136" s="123">
        <f>VLOOKUP(LEFT(A136,10),'Streetlight Tariff Schedule'!B$11:G$260,6, FALSE)+I136</f>
        <v>66.59427176051426</v>
      </c>
      <c r="M136" s="161">
        <f t="shared" si="13"/>
        <v>150.2003341678739</v>
      </c>
      <c r="N136" s="405">
        <f t="shared" si="14"/>
        <v>136.91136769793471</v>
      </c>
      <c r="O136" s="405">
        <v>140.68863868521314</v>
      </c>
      <c r="P136" s="406">
        <v>136.89573318567366</v>
      </c>
      <c r="Q136" s="406">
        <v>141.52286628576422</v>
      </c>
      <c r="R136" s="406">
        <v>145.4096461964173</v>
      </c>
      <c r="S136" s="405">
        <f t="shared" si="15"/>
        <v>141.9778851876938</v>
      </c>
      <c r="T136" s="406">
        <v>145.90244700327534</v>
      </c>
      <c r="U136" s="406">
        <v>150.43357648677605</v>
      </c>
      <c r="V136" s="405">
        <f t="shared" si="16"/>
        <v>147.2157307632551</v>
      </c>
      <c r="W136" s="406">
        <v>150.16531187675466</v>
      </c>
      <c r="X136" s="406">
        <v>156.19327418474381</v>
      </c>
      <c r="Y136" s="405">
        <f t="shared" si="17"/>
        <v>153.10019866170862</v>
      </c>
      <c r="Z136" s="406">
        <v>154.12164405128962</v>
      </c>
      <c r="AA136" s="406">
        <v>160.88843515783523</v>
      </c>
      <c r="AB136" s="442">
        <f t="shared" si="18"/>
        <v>156.12125019471762</v>
      </c>
      <c r="AC136" s="438">
        <f t="shared" si="19"/>
        <v>160.72928328839959</v>
      </c>
      <c r="AD136" s="410"/>
      <c r="AE136" s="411"/>
      <c r="AF136" s="411"/>
      <c r="AG136" s="411"/>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row>
    <row r="137" spans="1:61" x14ac:dyDescent="0.2">
      <c r="A137" s="159" t="s">
        <v>1418</v>
      </c>
      <c r="B137" s="18" t="str">
        <f>VLOOKUP(LEFT(A137,7),'Tariff Schedule Lookup Table'!$A$8:$G$186,2,FALSE)</f>
        <v>High Pressure Sodium 150</v>
      </c>
      <c r="C137" s="160">
        <f t="shared" si="20"/>
        <v>310</v>
      </c>
      <c r="D137" s="18">
        <f t="shared" si="21"/>
        <v>1</v>
      </c>
      <c r="E137" s="18" t="str">
        <f>VLOOKUP(C137,'Tariff Schedule Lookup Table'!I$7:L$286,2,FALSE)</f>
        <v>HIGH PRESSURE SODIUM 150W</v>
      </c>
      <c r="F137" s="18" t="str">
        <f>IF(E137 = "BULKHEADS ETC", "SHARED OR NO POLE", VLOOKUP(C137,'Tariff Schedule Lookup Table'!I$7:L$286,3,FALSE))</f>
        <v>STEEL POLE</v>
      </c>
      <c r="G137" s="18">
        <f>IF(E137 = "NO CAPITAL", 1, VLOOKUP(C137,'Tariff Schedule Lookup Table'!I$7:L$286,4,FALSE))</f>
        <v>1</v>
      </c>
      <c r="H137" s="18" t="str">
        <f t="shared" si="12"/>
        <v>1-Unmetered, CE Funded, CE Maintained</v>
      </c>
      <c r="I137" s="123">
        <f>VLOOKUP(F137,'Maintenance Model'!$A$57:$B$61,2,FALSE)</f>
        <v>9.9616182311111103</v>
      </c>
      <c r="J137" s="123">
        <f>IF(D137=1,VLOOKUP(C137,'Capital Code Schedules'!A$15:F$300,2,FALSE),IF(D137=2,VLOOKUP(C137,'Capital Code Schedules'!A$15:F$300,3,FALSE),0))</f>
        <v>92.1941745337366</v>
      </c>
      <c r="K137" s="123">
        <v>116.94561620368043</v>
      </c>
      <c r="L137" s="123">
        <f>VLOOKUP(LEFT(A137,10),'Streetlight Tariff Schedule'!B$11:G$260,6, FALSE)+I137</f>
        <v>65.82427176051425</v>
      </c>
      <c r="M137" s="161">
        <f t="shared" si="13"/>
        <v>182.76988796419468</v>
      </c>
      <c r="N137" s="405">
        <f t="shared" si="14"/>
        <v>163.04305884528711</v>
      </c>
      <c r="O137" s="405">
        <v>175.56375690469162</v>
      </c>
      <c r="P137" s="406">
        <v>170.25835609912843</v>
      </c>
      <c r="Q137" s="406">
        <v>175.69181259660081</v>
      </c>
      <c r="R137" s="406">
        <v>181.12852207210167</v>
      </c>
      <c r="S137" s="405">
        <f t="shared" si="15"/>
        <v>168.73693417121703</v>
      </c>
      <c r="T137" s="406">
        <v>180.90334310276938</v>
      </c>
      <c r="U137" s="406">
        <v>187.15666381864318</v>
      </c>
      <c r="V137" s="405">
        <f t="shared" si="16"/>
        <v>174.72363613653448</v>
      </c>
      <c r="W137" s="406">
        <v>186.02227363364466</v>
      </c>
      <c r="X137" s="406">
        <v>194.15093893295028</v>
      </c>
      <c r="Y137" s="405">
        <f t="shared" si="17"/>
        <v>181.5302867829312</v>
      </c>
      <c r="Z137" s="406">
        <v>190.86231139835155</v>
      </c>
      <c r="AA137" s="406">
        <v>199.92407787892498</v>
      </c>
      <c r="AB137" s="442">
        <f t="shared" si="18"/>
        <v>185.04793283065052</v>
      </c>
      <c r="AC137" s="438">
        <f t="shared" si="19"/>
        <v>190.49698192465584</v>
      </c>
      <c r="AD137" s="410"/>
      <c r="AE137" s="411"/>
      <c r="AF137" s="411"/>
      <c r="AG137" s="411"/>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row>
    <row r="138" spans="1:61" x14ac:dyDescent="0.2">
      <c r="A138" s="159" t="s">
        <v>1419</v>
      </c>
      <c r="B138" s="18" t="str">
        <f>VLOOKUP(LEFT(A138,7),'Tariff Schedule Lookup Table'!$A$8:$G$186,2,FALSE)</f>
        <v>High Pressure Sodium 220</v>
      </c>
      <c r="C138" s="160">
        <f t="shared" si="20"/>
        <v>60</v>
      </c>
      <c r="D138" s="18">
        <f t="shared" si="21"/>
        <v>1</v>
      </c>
      <c r="E138" s="18" t="str">
        <f>VLOOKUP(C138,'Tariff Schedule Lookup Table'!I$7:L$286,2,FALSE)</f>
        <v>HIGH PRESSURE SODIUM 250W (210/220)</v>
      </c>
      <c r="F138" s="18" t="str">
        <f>IF(E138 = "BULKHEADS ETC", "SHARED OR NO POLE", VLOOKUP(C138,'Tariff Schedule Lookup Table'!I$7:L$286,3,FALSE))</f>
        <v>SHARED OR NO POLE</v>
      </c>
      <c r="G138" s="18">
        <f>IF(E138 = "NO CAPITAL", 1, VLOOKUP(C138,'Tariff Schedule Lookup Table'!I$7:L$286,4,FALSE))</f>
        <v>1</v>
      </c>
      <c r="H138" s="18" t="str">
        <f t="shared" si="12"/>
        <v>1-Unmetered, CE Funded, CE Maintained</v>
      </c>
      <c r="I138" s="123">
        <f>VLOOKUP(F138,'Maintenance Model'!$A$57:$B$61,2,FALSE)</f>
        <v>0</v>
      </c>
      <c r="J138" s="123">
        <f>IF(D138=1,VLOOKUP(C138,'Capital Code Schedules'!A$15:F$300,2,FALSE),IF(D138=2,VLOOKUP(C138,'Capital Code Schedules'!A$15:F$300,3,FALSE),0))</f>
        <v>32.138130136529035</v>
      </c>
      <c r="K138" s="123">
        <v>40.766278904912198</v>
      </c>
      <c r="L138" s="123">
        <f>VLOOKUP(LEFT(A138,10),'Streetlight Tariff Schedule'!B$11:G$260,6, FALSE)+I138</f>
        <v>76.700910966352481</v>
      </c>
      <c r="M138" s="161">
        <f t="shared" si="13"/>
        <v>117.46718987126468</v>
      </c>
      <c r="N138" s="405">
        <f t="shared" si="14"/>
        <v>112.83048112822365</v>
      </c>
      <c r="O138" s="405">
        <v>94.376876616899011</v>
      </c>
      <c r="P138" s="406">
        <v>92.527457579547118</v>
      </c>
      <c r="Q138" s="406">
        <v>96.045150452563036</v>
      </c>
      <c r="R138" s="406">
        <v>97.940342611089392</v>
      </c>
      <c r="S138" s="405">
        <f t="shared" si="15"/>
        <v>117.55565142852176</v>
      </c>
      <c r="T138" s="406">
        <v>99.291142026426883</v>
      </c>
      <c r="U138" s="406">
        <v>101.60335587798095</v>
      </c>
      <c r="V138" s="405">
        <f t="shared" si="16"/>
        <v>122.27828695029842</v>
      </c>
      <c r="W138" s="406">
        <v>102.39441916674522</v>
      </c>
      <c r="X138" s="406">
        <v>105.70167602172572</v>
      </c>
      <c r="Y138" s="405">
        <f t="shared" si="17"/>
        <v>127.45303080783609</v>
      </c>
      <c r="Z138" s="406">
        <v>105.16623026944721</v>
      </c>
      <c r="AA138" s="406">
        <v>108.95559921062437</v>
      </c>
      <c r="AB138" s="442">
        <f t="shared" si="18"/>
        <v>130.07224144518423</v>
      </c>
      <c r="AC138" s="438">
        <f t="shared" si="19"/>
        <v>133.93209860860392</v>
      </c>
      <c r="AD138" s="410"/>
      <c r="AE138" s="411"/>
      <c r="AF138" s="411"/>
      <c r="AG138" s="411"/>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row>
    <row r="139" spans="1:61" x14ac:dyDescent="0.2">
      <c r="A139" s="159" t="s">
        <v>1421</v>
      </c>
      <c r="B139" s="18" t="str">
        <f>VLOOKUP(LEFT(A139,7),'Tariff Schedule Lookup Table'!$A$8:$G$186,2,FALSE)</f>
        <v>High Pressure Sodium 220</v>
      </c>
      <c r="C139" s="160">
        <f t="shared" si="20"/>
        <v>60</v>
      </c>
      <c r="D139" s="18">
        <f t="shared" si="21"/>
        <v>2</v>
      </c>
      <c r="E139" s="18" t="str">
        <f>VLOOKUP(C139,'Tariff Schedule Lookup Table'!I$7:L$286,2,FALSE)</f>
        <v>HIGH PRESSURE SODIUM 250W (210/220)</v>
      </c>
      <c r="F139" s="18" t="str">
        <f>IF(E139 = "BULKHEADS ETC", "SHARED OR NO POLE", VLOOKUP(C139,'Tariff Schedule Lookup Table'!I$7:L$286,3,FALSE))</f>
        <v>SHARED OR NO POLE</v>
      </c>
      <c r="G139" s="18">
        <f>IF(E139 = "NO CAPITAL", 1, VLOOKUP(C139,'Tariff Schedule Lookup Table'!I$7:L$286,4,FALSE))</f>
        <v>1</v>
      </c>
      <c r="H139" s="18" t="str">
        <f t="shared" si="12"/>
        <v>2-Unmetered, Funded by Others, CE Maintained</v>
      </c>
      <c r="I139" s="123">
        <f>VLOOKUP(F139,'Maintenance Model'!$A$57:$B$61,2,FALSE)</f>
        <v>0</v>
      </c>
      <c r="J139" s="123">
        <f>IF(D139=1,VLOOKUP(C139,'Capital Code Schedules'!A$15:F$300,2,FALSE),IF(D139=2,VLOOKUP(C139,'Capital Code Schedules'!A$15:F$300,3,FALSE),0))</f>
        <v>0</v>
      </c>
      <c r="K139" s="123">
        <v>0</v>
      </c>
      <c r="L139" s="123">
        <f>VLOOKUP(LEFT(A139,10),'Streetlight Tariff Schedule'!B$11:G$260,6, FALSE)+I139</f>
        <v>76.700910966352481</v>
      </c>
      <c r="M139" s="161">
        <f t="shared" si="13"/>
        <v>76.700910966352481</v>
      </c>
      <c r="N139" s="405">
        <f t="shared" si="14"/>
        <v>79.89693227081554</v>
      </c>
      <c r="O139" s="405">
        <v>50.752213271738334</v>
      </c>
      <c r="P139" s="406">
        <v>50.752213271738334</v>
      </c>
      <c r="Q139" s="406">
        <v>53.23596884813599</v>
      </c>
      <c r="R139" s="406">
        <v>53.23596884813599</v>
      </c>
      <c r="S139" s="405">
        <f t="shared" si="15"/>
        <v>83.806997236892784</v>
      </c>
      <c r="T139" s="406">
        <v>55.422433177290266</v>
      </c>
      <c r="U139" s="406">
        <v>55.624907462783376</v>
      </c>
      <c r="V139" s="405">
        <f t="shared" si="16"/>
        <v>87.567796114208022</v>
      </c>
      <c r="W139" s="406">
        <v>57.439959773592484</v>
      </c>
      <c r="X139" s="406">
        <v>58.164558205252952</v>
      </c>
      <c r="Y139" s="405">
        <f t="shared" si="17"/>
        <v>91.565854332402225</v>
      </c>
      <c r="Z139" s="406">
        <v>59.099148006313946</v>
      </c>
      <c r="AA139" s="406">
        <v>60.06367353638214</v>
      </c>
      <c r="AB139" s="442">
        <f t="shared" si="18"/>
        <v>93.553450663782726</v>
      </c>
      <c r="AC139" s="438">
        <f t="shared" si="19"/>
        <v>96.350611015463656</v>
      </c>
      <c r="AD139" s="410"/>
      <c r="AE139" s="411"/>
      <c r="AF139" s="411"/>
      <c r="AG139" s="411"/>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row>
    <row r="140" spans="1:61" x14ac:dyDescent="0.2">
      <c r="A140" s="159" t="s">
        <v>1422</v>
      </c>
      <c r="B140" s="18" t="str">
        <f>VLOOKUP(LEFT(A140,7),'Tariff Schedule Lookup Table'!$A$8:$G$186,2,FALSE)</f>
        <v>High Pressure Sodium 220</v>
      </c>
      <c r="C140" s="160">
        <f t="shared" si="20"/>
        <v>230</v>
      </c>
      <c r="D140" s="18">
        <f t="shared" si="21"/>
        <v>2</v>
      </c>
      <c r="E140" s="18" t="str">
        <f>VLOOKUP(C140,'Tariff Schedule Lookup Table'!I$7:L$286,2,FALSE)</f>
        <v>HIGH PRESSURE SODIUM 250W (210/220)</v>
      </c>
      <c r="F140" s="18" t="str">
        <f>IF(E140 = "BULKHEADS ETC", "SHARED OR NO POLE", VLOOKUP(C140,'Tariff Schedule Lookup Table'!I$7:L$286,3,FALSE))</f>
        <v>WOOD POLE</v>
      </c>
      <c r="G140" s="18">
        <f>IF(E140 = "NO CAPITAL", 1, VLOOKUP(C140,'Tariff Schedule Lookup Table'!I$7:L$286,4,FALSE))</f>
        <v>1</v>
      </c>
      <c r="H140" s="18" t="str">
        <f t="shared" si="12"/>
        <v>2-Unmetered, Funded by Others, CE Maintained</v>
      </c>
      <c r="I140" s="123">
        <f>VLOOKUP(F140,'Maintenance Model'!$A$57:$B$61,2,FALSE)</f>
        <v>10.731618231111112</v>
      </c>
      <c r="J140" s="123">
        <f>IF(D140=1,VLOOKUP(C140,'Capital Code Schedules'!A$15:F$300,2,FALSE),IF(D140=2,VLOOKUP(C140,'Capital Code Schedules'!A$15:F$300,3,FALSE),0))</f>
        <v>0</v>
      </c>
      <c r="K140" s="123">
        <v>0</v>
      </c>
      <c r="L140" s="123">
        <f>VLOOKUP(LEFT(A140,10),'Streetlight Tariff Schedule'!B$11:G$260,6, FALSE)+I140</f>
        <v>87.432529197463595</v>
      </c>
      <c r="M140" s="161">
        <f t="shared" si="13"/>
        <v>87.432529197463595</v>
      </c>
      <c r="N140" s="405">
        <f t="shared" si="14"/>
        <v>91.075722250812944</v>
      </c>
      <c r="O140" s="405">
        <v>61.148413347162503</v>
      </c>
      <c r="P140" s="406">
        <v>61.148413347162503</v>
      </c>
      <c r="Q140" s="406">
        <v>64.140947127427367</v>
      </c>
      <c r="R140" s="406">
        <v>64.140947127427367</v>
      </c>
      <c r="S140" s="405">
        <f t="shared" si="15"/>
        <v>95.532864480329607</v>
      </c>
      <c r="T140" s="406">
        <v>66.775291837718115</v>
      </c>
      <c r="U140" s="406">
        <v>67.019241421457721</v>
      </c>
      <c r="V140" s="405">
        <f t="shared" si="16"/>
        <v>99.819856036282573</v>
      </c>
      <c r="W140" s="406">
        <v>69.206093221473338</v>
      </c>
      <c r="X140" s="406">
        <v>70.079120062148164</v>
      </c>
      <c r="Y140" s="405">
        <f t="shared" si="17"/>
        <v>104.3773031055719</v>
      </c>
      <c r="Z140" s="406">
        <v>71.205153387223717</v>
      </c>
      <c r="AA140" s="406">
        <v>72.367254544875976</v>
      </c>
      <c r="AB140" s="442">
        <f t="shared" si="18"/>
        <v>106.64299424387444</v>
      </c>
      <c r="AC140" s="438">
        <f t="shared" si="19"/>
        <v>109.83151966081005</v>
      </c>
      <c r="AD140" s="410"/>
      <c r="AE140" s="411"/>
      <c r="AF140" s="411"/>
      <c r="AG140" s="411"/>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row>
    <row r="141" spans="1:61" x14ac:dyDescent="0.2">
      <c r="A141" s="159" t="s">
        <v>1423</v>
      </c>
      <c r="B141" s="18" t="str">
        <f>VLOOKUP(LEFT(A141,7),'Tariff Schedule Lookup Table'!$A$8:$G$186,2,FALSE)</f>
        <v>High Pressure Sodium 220</v>
      </c>
      <c r="C141" s="160">
        <f t="shared" si="20"/>
        <v>320</v>
      </c>
      <c r="D141" s="18">
        <f t="shared" si="21"/>
        <v>1</v>
      </c>
      <c r="E141" s="18" t="str">
        <f>VLOOKUP(C141,'Tariff Schedule Lookup Table'!I$7:L$286,2,FALSE)</f>
        <v>HIGH PRESSURE SODIUM 250W (210/220)</v>
      </c>
      <c r="F141" s="18" t="str">
        <f>IF(E141 = "BULKHEADS ETC", "SHARED OR NO POLE", VLOOKUP(C141,'Tariff Schedule Lookup Table'!I$7:L$286,3,FALSE))</f>
        <v>STEEL POLE</v>
      </c>
      <c r="G141" s="18">
        <f>IF(E141 = "NO CAPITAL", 1, VLOOKUP(C141,'Tariff Schedule Lookup Table'!I$7:L$286,4,FALSE))</f>
        <v>1</v>
      </c>
      <c r="H141" s="18" t="str">
        <f t="shared" si="12"/>
        <v>1-Unmetered, CE Funded, CE Maintained</v>
      </c>
      <c r="I141" s="123">
        <f>VLOOKUP(F141,'Maintenance Model'!$A$57:$B$61,2,FALSE)</f>
        <v>9.9616182311111103</v>
      </c>
      <c r="J141" s="123">
        <f>IF(D141=1,VLOOKUP(C141,'Capital Code Schedules'!A$15:F$300,2,FALSE),IF(D141=2,VLOOKUP(C141,'Capital Code Schedules'!A$15:F$300,3,FALSE),0))</f>
        <v>92.322513672035399</v>
      </c>
      <c r="K141" s="123">
        <v>117.10841065015505</v>
      </c>
      <c r="L141" s="123">
        <f>VLOOKUP(LEFT(A141,10),'Streetlight Tariff Schedule'!B$11:G$260,6, FALSE)+I141</f>
        <v>86.662529197463584</v>
      </c>
      <c r="M141" s="161">
        <f t="shared" si="13"/>
        <v>203.77093984761865</v>
      </c>
      <c r="N141" s="405">
        <f t="shared" si="14"/>
        <v>184.8811332969062</v>
      </c>
      <c r="O141" s="405">
        <v>185.66595852401363</v>
      </c>
      <c r="P141" s="406">
        <v>180.35317232158388</v>
      </c>
      <c r="Q141" s="406">
        <v>186.27662236673953</v>
      </c>
      <c r="R141" s="406">
        <v>191.72090002767939</v>
      </c>
      <c r="S141" s="405">
        <f t="shared" si="15"/>
        <v>191.64055793008754</v>
      </c>
      <c r="T141" s="406">
        <v>191.92009340666749</v>
      </c>
      <c r="U141" s="406">
        <v>198.22144647309267</v>
      </c>
      <c r="V141" s="405">
        <f t="shared" si="16"/>
        <v>198.65284224308434</v>
      </c>
      <c r="W141" s="406">
        <v>197.43802210818771</v>
      </c>
      <c r="X141" s="406">
        <v>205.71874462082255</v>
      </c>
      <c r="Y141" s="405">
        <f t="shared" si="17"/>
        <v>206.55039230057326</v>
      </c>
      <c r="Z141" s="406">
        <v>202.60706830057313</v>
      </c>
      <c r="AA141" s="406">
        <v>211.868792931032</v>
      </c>
      <c r="AB141" s="442">
        <f t="shared" si="18"/>
        <v>210.61055477248465</v>
      </c>
      <c r="AC141" s="438">
        <f t="shared" si="19"/>
        <v>216.82378573642049</v>
      </c>
      <c r="AD141" s="410"/>
      <c r="AE141" s="411"/>
      <c r="AF141" s="411"/>
      <c r="AG141" s="411"/>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row>
    <row r="142" spans="1:61" x14ac:dyDescent="0.2">
      <c r="A142" s="159" t="s">
        <v>1424</v>
      </c>
      <c r="B142" s="18" t="str">
        <f>VLOOKUP(LEFT(A142,7),'Tariff Schedule Lookup Table'!$A$8:$G$186,2,FALSE)</f>
        <v>High Pressure Sodium 220</v>
      </c>
      <c r="C142" s="160">
        <f t="shared" si="20"/>
        <v>320</v>
      </c>
      <c r="D142" s="18">
        <f t="shared" si="21"/>
        <v>2</v>
      </c>
      <c r="E142" s="18" t="str">
        <f>VLOOKUP(C142,'Tariff Schedule Lookup Table'!I$7:L$286,2,FALSE)</f>
        <v>HIGH PRESSURE SODIUM 250W (210/220)</v>
      </c>
      <c r="F142" s="18" t="str">
        <f>IF(E142 = "BULKHEADS ETC", "SHARED OR NO POLE", VLOOKUP(C142,'Tariff Schedule Lookup Table'!I$7:L$286,3,FALSE))</f>
        <v>STEEL POLE</v>
      </c>
      <c r="G142" s="18">
        <f>IF(E142 = "NO CAPITAL", 1, VLOOKUP(C142,'Tariff Schedule Lookup Table'!I$7:L$286,4,FALSE))</f>
        <v>1</v>
      </c>
      <c r="H142" s="18" t="str">
        <f t="shared" si="12"/>
        <v>2-Unmetered, Funded by Others, CE Maintained</v>
      </c>
      <c r="I142" s="123">
        <f>VLOOKUP(F142,'Maintenance Model'!$A$57:$B$61,2,FALSE)</f>
        <v>9.9616182311111103</v>
      </c>
      <c r="J142" s="123">
        <f>IF(D142=1,VLOOKUP(C142,'Capital Code Schedules'!A$15:F$300,2,FALSE),IF(D142=2,VLOOKUP(C142,'Capital Code Schedules'!A$15:F$300,3,FALSE),0))</f>
        <v>0</v>
      </c>
      <c r="K142" s="123">
        <v>0</v>
      </c>
      <c r="L142" s="123">
        <f>VLOOKUP(LEFT(A142,10),'Streetlight Tariff Schedule'!B$11:G$260,6, FALSE)+I142</f>
        <v>86.662529197463584</v>
      </c>
      <c r="M142" s="161">
        <f t="shared" si="13"/>
        <v>86.662529197463584</v>
      </c>
      <c r="N142" s="405">
        <f t="shared" si="14"/>
        <v>90.273637411487925</v>
      </c>
      <c r="O142" s="405">
        <v>60.346328507837505</v>
      </c>
      <c r="P142" s="406">
        <v>60.346328507837505</v>
      </c>
      <c r="Q142" s="406">
        <v>63.299609168602913</v>
      </c>
      <c r="R142" s="406">
        <v>63.299609168602913</v>
      </c>
      <c r="S142" s="405">
        <f t="shared" si="15"/>
        <v>94.691526521505125</v>
      </c>
      <c r="T142" s="406">
        <v>65.899399131877018</v>
      </c>
      <c r="U142" s="406">
        <v>66.140148824532503</v>
      </c>
      <c r="V142" s="405">
        <f t="shared" si="16"/>
        <v>98.940763439357355</v>
      </c>
      <c r="W142" s="406">
        <v>68.298315650096129</v>
      </c>
      <c r="X142" s="406">
        <v>69.159890981976218</v>
      </c>
      <c r="Y142" s="405">
        <f t="shared" si="17"/>
        <v>103.45807402539995</v>
      </c>
      <c r="Z142" s="406">
        <v>70.271154107643824</v>
      </c>
      <c r="AA142" s="406">
        <v>71.418011963478534</v>
      </c>
      <c r="AB142" s="442">
        <f t="shared" si="18"/>
        <v>105.70381169566826</v>
      </c>
      <c r="AC142" s="438">
        <f t="shared" si="19"/>
        <v>108.86425643606874</v>
      </c>
      <c r="AD142" s="410"/>
      <c r="AE142" s="411"/>
      <c r="AF142" s="411"/>
      <c r="AG142" s="411"/>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row>
    <row r="143" spans="1:61" x14ac:dyDescent="0.2">
      <c r="A143" s="159" t="s">
        <v>1425</v>
      </c>
      <c r="B143" s="18" t="str">
        <f>VLOOKUP(LEFT(A143,7),'Tariff Schedule Lookup Table'!$A$8:$G$186,2,FALSE)</f>
        <v>High Pressure Sodium 220</v>
      </c>
      <c r="C143" s="160">
        <f t="shared" si="20"/>
        <v>390</v>
      </c>
      <c r="D143" s="18">
        <f t="shared" si="21"/>
        <v>2</v>
      </c>
      <c r="E143" s="18" t="str">
        <f>VLOOKUP(C143,'Tariff Schedule Lookup Table'!I$7:L$286,2,FALSE)</f>
        <v>HIGH PRESSURE SODIUM 250W (210/220)</v>
      </c>
      <c r="F143" s="18" t="str">
        <f>IF(E143 = "BULKHEADS ETC", "SHARED OR NO POLE", VLOOKUP(C143,'Tariff Schedule Lookup Table'!I$7:L$286,3,FALSE))</f>
        <v>STEEL POLE</v>
      </c>
      <c r="G143" s="18">
        <f>IF(E143 = "NO CAPITAL", 1, VLOOKUP(C143,'Tariff Schedule Lookup Table'!I$7:L$286,4,FALSE))</f>
        <v>2</v>
      </c>
      <c r="H143" s="18" t="str">
        <f t="shared" si="12"/>
        <v>2-Unmetered, Funded by Others, CE Maintained</v>
      </c>
      <c r="I143" s="123">
        <f>VLOOKUP(F143,'Maintenance Model'!$A$57:$B$61,2,FALSE)</f>
        <v>9.9616182311111103</v>
      </c>
      <c r="J143" s="123">
        <f>IF(D143=1,VLOOKUP(C143,'Capital Code Schedules'!A$15:F$300,2,FALSE),IF(D143=2,VLOOKUP(C143,'Capital Code Schedules'!A$15:F$300,3,FALSE),0))</f>
        <v>0</v>
      </c>
      <c r="K143" s="123">
        <v>0</v>
      </c>
      <c r="L143" s="123">
        <f>VLOOKUP(LEFT(A143,10),'Streetlight Tariff Schedule'!B$11:G$260,6, FALSE)+I143</f>
        <v>86.662529197463584</v>
      </c>
      <c r="M143" s="161">
        <f t="shared" si="13"/>
        <v>86.662529197463584</v>
      </c>
      <c r="N143" s="405">
        <f t="shared" si="14"/>
        <v>90.273637411487925</v>
      </c>
      <c r="O143" s="405">
        <v>60.346328507837505</v>
      </c>
      <c r="P143" s="406">
        <v>60.346328507837505</v>
      </c>
      <c r="Q143" s="406">
        <v>63.299609168602913</v>
      </c>
      <c r="R143" s="406">
        <v>63.299609168602913</v>
      </c>
      <c r="S143" s="405">
        <f t="shared" si="15"/>
        <v>94.691526521505125</v>
      </c>
      <c r="T143" s="406">
        <v>65.899399131877018</v>
      </c>
      <c r="U143" s="406">
        <v>66.140148824532503</v>
      </c>
      <c r="V143" s="405">
        <f t="shared" si="16"/>
        <v>98.940763439357355</v>
      </c>
      <c r="W143" s="406">
        <v>68.298315650096129</v>
      </c>
      <c r="X143" s="406">
        <v>69.159890981976218</v>
      </c>
      <c r="Y143" s="405">
        <f t="shared" si="17"/>
        <v>103.45807402539995</v>
      </c>
      <c r="Z143" s="406">
        <v>70.271154107643824</v>
      </c>
      <c r="AA143" s="406">
        <v>71.418011963478534</v>
      </c>
      <c r="AB143" s="442">
        <f t="shared" si="18"/>
        <v>105.70381169566826</v>
      </c>
      <c r="AC143" s="438">
        <f t="shared" si="19"/>
        <v>108.86425643606874</v>
      </c>
      <c r="AD143" s="410"/>
      <c r="AE143" s="411"/>
      <c r="AF143" s="411"/>
      <c r="AG143" s="411"/>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row>
    <row r="144" spans="1:61" x14ac:dyDescent="0.2">
      <c r="A144" s="159" t="s">
        <v>1426</v>
      </c>
      <c r="B144" s="18" t="str">
        <f>VLOOKUP(LEFT(A144,7),'Tariff Schedule Lookup Table'!$A$8:$G$186,2,FALSE)</f>
        <v>High Pressure Sodium 220</v>
      </c>
      <c r="C144" s="160">
        <f t="shared" si="20"/>
        <v>430</v>
      </c>
      <c r="D144" s="18">
        <f t="shared" si="21"/>
        <v>1</v>
      </c>
      <c r="E144" s="18" t="str">
        <f>VLOOKUP(C144,'Tariff Schedule Lookup Table'!I$7:L$286,2,FALSE)</f>
        <v>HIGH PRESSURE SODIUM 250W (210/220)</v>
      </c>
      <c r="F144" s="18" t="str">
        <f>IF(E144 = "BULKHEADS ETC", "SHARED OR NO POLE", VLOOKUP(C144,'Tariff Schedule Lookup Table'!I$7:L$286,3,FALSE))</f>
        <v>STEEL POLE</v>
      </c>
      <c r="G144" s="18">
        <f>IF(E144 = "NO CAPITAL", 1, VLOOKUP(C144,'Tariff Schedule Lookup Table'!I$7:L$286,4,FALSE))</f>
        <v>3</v>
      </c>
      <c r="H144" s="18" t="str">
        <f t="shared" si="12"/>
        <v>1-Unmetered, CE Funded, CE Maintained</v>
      </c>
      <c r="I144" s="123">
        <f>VLOOKUP(F144,'Maintenance Model'!$A$57:$B$61,2,FALSE)</f>
        <v>9.9616182311111103</v>
      </c>
      <c r="J144" s="123">
        <f>IF(D144=1,VLOOKUP(C144,'Capital Code Schedules'!A$15:F$300,2,FALSE),IF(D144=2,VLOOKUP(C144,'Capital Code Schedules'!A$15:F$300,3,FALSE),0))</f>
        <v>117.78972638058077</v>
      </c>
      <c r="K144" s="123">
        <v>149.41282574203484</v>
      </c>
      <c r="L144" s="123">
        <f>VLOOKUP(LEFT(A144,10),'Streetlight Tariff Schedule'!B$11:G$260,6, FALSE)+I144</f>
        <v>86.662529197463584</v>
      </c>
      <c r="M144" s="161">
        <f t="shared" si="13"/>
        <v>236.07535493949842</v>
      </c>
      <c r="N144" s="405">
        <f t="shared" si="14"/>
        <v>210.97865951998807</v>
      </c>
      <c r="O144" s="405">
        <v>220.23544268597797</v>
      </c>
      <c r="P144" s="406">
        <v>213.45712168698773</v>
      </c>
      <c r="Q144" s="406">
        <v>220.1998944789371</v>
      </c>
      <c r="R144" s="406">
        <v>227.14597892265238</v>
      </c>
      <c r="S144" s="405">
        <f t="shared" si="15"/>
        <v>218.38399792719068</v>
      </c>
      <c r="T144" s="406">
        <v>226.68296650364195</v>
      </c>
      <c r="U144" s="406">
        <v>234.65614011657237</v>
      </c>
      <c r="V144" s="405">
        <f t="shared" si="16"/>
        <v>226.15847028010489</v>
      </c>
      <c r="W144" s="406">
        <v>233.06127631431229</v>
      </c>
      <c r="X144" s="406">
        <v>243.38857437881623</v>
      </c>
      <c r="Y144" s="405">
        <f t="shared" si="17"/>
        <v>234.98846112804884</v>
      </c>
      <c r="Z144" s="406">
        <v>239.11199804829928</v>
      </c>
      <c r="AA144" s="406">
        <v>250.61221283712848</v>
      </c>
      <c r="AB144" s="442">
        <f t="shared" si="18"/>
        <v>239.54913361132378</v>
      </c>
      <c r="AC144" s="438">
        <f t="shared" si="19"/>
        <v>246.60447721946986</v>
      </c>
      <c r="AD144" s="410"/>
      <c r="AE144" s="411"/>
      <c r="AF144" s="411"/>
      <c r="AG144" s="411"/>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row>
    <row r="145" spans="1:61" x14ac:dyDescent="0.2">
      <c r="A145" s="159" t="s">
        <v>1427</v>
      </c>
      <c r="B145" s="18" t="str">
        <f>VLOOKUP(LEFT(A145,7),'Tariff Schedule Lookup Table'!$A$8:$G$186,2,FALSE)</f>
        <v>High Pressure Sodium 250</v>
      </c>
      <c r="C145" s="160">
        <f t="shared" si="20"/>
        <v>60</v>
      </c>
      <c r="D145" s="18">
        <f t="shared" si="21"/>
        <v>1</v>
      </c>
      <c r="E145" s="18" t="str">
        <f>VLOOKUP(C145,'Tariff Schedule Lookup Table'!I$7:L$286,2,FALSE)</f>
        <v>HIGH PRESSURE SODIUM 250W (210/220)</v>
      </c>
      <c r="F145" s="18" t="str">
        <f>IF(E145 = "BULKHEADS ETC", "SHARED OR NO POLE", VLOOKUP(C145,'Tariff Schedule Lookup Table'!I$7:L$286,3,FALSE))</f>
        <v>SHARED OR NO POLE</v>
      </c>
      <c r="G145" s="18">
        <f>IF(E145 = "NO CAPITAL", 1, VLOOKUP(C145,'Tariff Schedule Lookup Table'!I$7:L$286,4,FALSE))</f>
        <v>1</v>
      </c>
      <c r="H145" s="18" t="str">
        <f t="shared" si="12"/>
        <v>1-Unmetered, CE Funded, CE Maintained</v>
      </c>
      <c r="I145" s="123">
        <f>VLOOKUP(F145,'Maintenance Model'!$A$57:$B$61,2,FALSE)</f>
        <v>0</v>
      </c>
      <c r="J145" s="123">
        <f>IF(D145=1,VLOOKUP(C145,'Capital Code Schedules'!A$15:F$300,2,FALSE),IF(D145=2,VLOOKUP(C145,'Capital Code Schedules'!A$15:F$300,3,FALSE),0))</f>
        <v>32.138130136529035</v>
      </c>
      <c r="K145" s="123">
        <v>40.766278904912198</v>
      </c>
      <c r="L145" s="123">
        <f>VLOOKUP(LEFT(A145,10),'Streetlight Tariff Schedule'!B$11:G$260,6, FALSE)+I145</f>
        <v>76.700910966352481</v>
      </c>
      <c r="M145" s="161">
        <f t="shared" si="13"/>
        <v>117.46718987126468</v>
      </c>
      <c r="N145" s="405">
        <f t="shared" si="14"/>
        <v>112.83048112822365</v>
      </c>
      <c r="O145" s="405">
        <v>94.376876616899011</v>
      </c>
      <c r="P145" s="406">
        <v>92.527457579547118</v>
      </c>
      <c r="Q145" s="406">
        <v>96.045150452563036</v>
      </c>
      <c r="R145" s="406">
        <v>97.940342611089392</v>
      </c>
      <c r="S145" s="405">
        <f t="shared" si="15"/>
        <v>117.55565142852176</v>
      </c>
      <c r="T145" s="406">
        <v>99.291142026426883</v>
      </c>
      <c r="U145" s="406">
        <v>101.60335587798095</v>
      </c>
      <c r="V145" s="405">
        <f t="shared" si="16"/>
        <v>122.27828695029842</v>
      </c>
      <c r="W145" s="406">
        <v>102.39441916674522</v>
      </c>
      <c r="X145" s="406">
        <v>105.70167602172572</v>
      </c>
      <c r="Y145" s="405">
        <f t="shared" si="17"/>
        <v>127.45303080783609</v>
      </c>
      <c r="Z145" s="406">
        <v>105.16623026944721</v>
      </c>
      <c r="AA145" s="406">
        <v>108.95559921062437</v>
      </c>
      <c r="AB145" s="442">
        <f t="shared" si="18"/>
        <v>130.07224144518423</v>
      </c>
      <c r="AC145" s="438">
        <f t="shared" si="19"/>
        <v>133.93209860860392</v>
      </c>
      <c r="AD145" s="410"/>
      <c r="AE145" s="411"/>
      <c r="AF145" s="411"/>
      <c r="AG145" s="411"/>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row>
    <row r="146" spans="1:61" x14ac:dyDescent="0.2">
      <c r="A146" s="159" t="s">
        <v>1428</v>
      </c>
      <c r="B146" s="18" t="str">
        <f>VLOOKUP(LEFT(A146,7),'Tariff Schedule Lookup Table'!$A$8:$G$186,2,FALSE)</f>
        <v>High Pressure Sodium 250</v>
      </c>
      <c r="C146" s="160">
        <f t="shared" si="20"/>
        <v>60</v>
      </c>
      <c r="D146" s="18">
        <f t="shared" si="21"/>
        <v>2</v>
      </c>
      <c r="E146" s="18" t="str">
        <f>VLOOKUP(C146,'Tariff Schedule Lookup Table'!I$7:L$286,2,FALSE)</f>
        <v>HIGH PRESSURE SODIUM 250W (210/220)</v>
      </c>
      <c r="F146" s="18" t="str">
        <f>IF(E146 = "BULKHEADS ETC", "SHARED OR NO POLE", VLOOKUP(C146,'Tariff Schedule Lookup Table'!I$7:L$286,3,FALSE))</f>
        <v>SHARED OR NO POLE</v>
      </c>
      <c r="G146" s="18">
        <f>IF(E146 = "NO CAPITAL", 1, VLOOKUP(C146,'Tariff Schedule Lookup Table'!I$7:L$286,4,FALSE))</f>
        <v>1</v>
      </c>
      <c r="H146" s="18" t="str">
        <f t="shared" ref="H146:H209" si="22">VLOOKUP(D146,A$11:B$15, 2, FALSE)</f>
        <v>2-Unmetered, Funded by Others, CE Maintained</v>
      </c>
      <c r="I146" s="123">
        <f>VLOOKUP(F146,'Maintenance Model'!$A$57:$B$61,2,FALSE)</f>
        <v>0</v>
      </c>
      <c r="J146" s="123">
        <f>IF(D146=1,VLOOKUP(C146,'Capital Code Schedules'!A$15:F$300,2,FALSE),IF(D146=2,VLOOKUP(C146,'Capital Code Schedules'!A$15:F$300,3,FALSE),0))</f>
        <v>0</v>
      </c>
      <c r="K146" s="123">
        <v>0</v>
      </c>
      <c r="L146" s="123">
        <f>VLOOKUP(LEFT(A146,10),'Streetlight Tariff Schedule'!B$11:G$260,6, FALSE)+I146</f>
        <v>76.700910966352481</v>
      </c>
      <c r="M146" s="161">
        <f t="shared" si="13"/>
        <v>76.700910966352481</v>
      </c>
      <c r="N146" s="405">
        <f t="shared" si="14"/>
        <v>79.89693227081554</v>
      </c>
      <c r="O146" s="405">
        <v>50.752213271738334</v>
      </c>
      <c r="P146" s="406">
        <v>50.752213271738334</v>
      </c>
      <c r="Q146" s="406">
        <v>53.23596884813599</v>
      </c>
      <c r="R146" s="406">
        <v>53.23596884813599</v>
      </c>
      <c r="S146" s="405">
        <f t="shared" si="15"/>
        <v>83.806997236892784</v>
      </c>
      <c r="T146" s="406">
        <v>55.422433177290266</v>
      </c>
      <c r="U146" s="406">
        <v>55.624907462783376</v>
      </c>
      <c r="V146" s="405">
        <f t="shared" si="16"/>
        <v>87.567796114208022</v>
      </c>
      <c r="W146" s="406">
        <v>57.439959773592484</v>
      </c>
      <c r="X146" s="406">
        <v>58.164558205252952</v>
      </c>
      <c r="Y146" s="405">
        <f t="shared" si="17"/>
        <v>91.565854332402225</v>
      </c>
      <c r="Z146" s="406">
        <v>59.099148006313946</v>
      </c>
      <c r="AA146" s="406">
        <v>60.06367353638214</v>
      </c>
      <c r="AB146" s="442">
        <f t="shared" si="18"/>
        <v>93.553450663782726</v>
      </c>
      <c r="AC146" s="438">
        <f t="shared" si="19"/>
        <v>96.350611015463656</v>
      </c>
      <c r="AD146" s="410"/>
      <c r="AE146" s="411"/>
      <c r="AF146" s="411"/>
      <c r="AG146" s="411"/>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row>
    <row r="147" spans="1:61" x14ac:dyDescent="0.2">
      <c r="A147" s="159" t="s">
        <v>1429</v>
      </c>
      <c r="B147" s="18" t="str">
        <f>VLOOKUP(LEFT(A147,7),'Tariff Schedule Lookup Table'!$A$8:$G$186,2,FALSE)</f>
        <v>High Pressure Sodium 250</v>
      </c>
      <c r="C147" s="160">
        <f t="shared" si="20"/>
        <v>230</v>
      </c>
      <c r="D147" s="18">
        <f t="shared" si="21"/>
        <v>1</v>
      </c>
      <c r="E147" s="18" t="str">
        <f>VLOOKUP(C147,'Tariff Schedule Lookup Table'!I$7:L$286,2,FALSE)</f>
        <v>HIGH PRESSURE SODIUM 250W (210/220)</v>
      </c>
      <c r="F147" s="18" t="str">
        <f>IF(E147 = "BULKHEADS ETC", "SHARED OR NO POLE", VLOOKUP(C147,'Tariff Schedule Lookup Table'!I$7:L$286,3,FALSE))</f>
        <v>WOOD POLE</v>
      </c>
      <c r="G147" s="18">
        <f>IF(E147 = "NO CAPITAL", 1, VLOOKUP(C147,'Tariff Schedule Lookup Table'!I$7:L$286,4,FALSE))</f>
        <v>1</v>
      </c>
      <c r="H147" s="18" t="str">
        <f t="shared" si="22"/>
        <v>1-Unmetered, CE Funded, CE Maintained</v>
      </c>
      <c r="I147" s="123">
        <f>VLOOKUP(F147,'Maintenance Model'!$A$57:$B$61,2,FALSE)</f>
        <v>10.731618231111112</v>
      </c>
      <c r="J147" s="123">
        <f>IF(D147=1,VLOOKUP(C147,'Capital Code Schedules'!A$15:F$300,2,FALSE),IF(D147=2,VLOOKUP(C147,'Capital Code Schedules'!A$15:F$300,3,FALSE),0))</f>
        <v>66.039248498405314</v>
      </c>
      <c r="K147" s="123">
        <v>83.768856853834222</v>
      </c>
      <c r="L147" s="123">
        <f>VLOOKUP(LEFT(A147,10),'Streetlight Tariff Schedule'!B$11:G$260,6, FALSE)+I147</f>
        <v>87.432529197463595</v>
      </c>
      <c r="M147" s="161">
        <f t="shared" ref="M147:M210" si="23">IF(VLOOKUP(D147,A$11:D$15,3,FALSE)="Y",IF(VLOOKUP(D147,A$11:D$15,4,FALSE)="Y",K147+L147,K147),IF(VLOOKUP(D147,A$11:D$15,4,FALSE)="Y",L147,0))</f>
        <v>171.20138605129782</v>
      </c>
      <c r="N147" s="405">
        <f t="shared" ref="N147:N210" si="24">($J147+$L147+$L147*$M$10*$M$14)*(1+$M$12)</f>
        <v>158.7494421495538</v>
      </c>
      <c r="O147" s="405">
        <v>150.79084030453515</v>
      </c>
      <c r="P147" s="406">
        <v>146.99054940812914</v>
      </c>
      <c r="Q147" s="406">
        <v>152.10767605590294</v>
      </c>
      <c r="R147" s="406">
        <v>156.00202415199499</v>
      </c>
      <c r="S147" s="405">
        <f t="shared" ref="S147:S210" si="25">($J147+$L147+$L147*$N$10*$N$14)*(1+$N$12)</f>
        <v>164.88150894656431</v>
      </c>
      <c r="T147" s="406">
        <v>156.91919730717345</v>
      </c>
      <c r="U147" s="406">
        <v>161.49835914122548</v>
      </c>
      <c r="V147" s="405">
        <f t="shared" ref="V147:V210" si="26">($J147+$L147+$L147*$O$10*$O$14)*(1+$O$12)</f>
        <v>171.14493686980498</v>
      </c>
      <c r="W147" s="406">
        <v>161.58106035129771</v>
      </c>
      <c r="X147" s="406">
        <v>167.76107987261605</v>
      </c>
      <c r="Y147" s="405">
        <f t="shared" ref="Y147:Y210" si="27">($J147+$L147+$L147*$P$10*$P$14)*(1+$P$12)</f>
        <v>178.12030417935068</v>
      </c>
      <c r="Z147" s="406">
        <v>165.86640095351123</v>
      </c>
      <c r="AA147" s="406">
        <v>172.83315020994223</v>
      </c>
      <c r="AB147" s="442">
        <f t="shared" ref="AB147:AB210" si="28">($J147+$L147+$L147*$Q$10*$Q$14)*(1+$Q$12)</f>
        <v>181.68387213655174</v>
      </c>
      <c r="AC147" s="438">
        <f t="shared" ref="AC147:AC210" si="29">($J147+$L147+$L147*$R$10*$R$14)*(1+$R$12)</f>
        <v>187.05608710016426</v>
      </c>
      <c r="AD147" s="410"/>
      <c r="AE147" s="411"/>
      <c r="AF147" s="411"/>
      <c r="AG147" s="411"/>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row>
    <row r="148" spans="1:61" x14ac:dyDescent="0.2">
      <c r="A148" s="159" t="s">
        <v>1430</v>
      </c>
      <c r="B148" s="18" t="str">
        <f>VLOOKUP(LEFT(A148,7),'Tariff Schedule Lookup Table'!$A$8:$G$186,2,FALSE)</f>
        <v>High Pressure Sodium 250</v>
      </c>
      <c r="C148" s="160">
        <f t="shared" si="20"/>
        <v>230</v>
      </c>
      <c r="D148" s="18">
        <f t="shared" si="21"/>
        <v>2</v>
      </c>
      <c r="E148" s="18" t="str">
        <f>VLOOKUP(C148,'Tariff Schedule Lookup Table'!I$7:L$286,2,FALSE)</f>
        <v>HIGH PRESSURE SODIUM 250W (210/220)</v>
      </c>
      <c r="F148" s="18" t="str">
        <f>IF(E148 = "BULKHEADS ETC", "SHARED OR NO POLE", VLOOKUP(C148,'Tariff Schedule Lookup Table'!I$7:L$286,3,FALSE))</f>
        <v>WOOD POLE</v>
      </c>
      <c r="G148" s="18">
        <f>IF(E148 = "NO CAPITAL", 1, VLOOKUP(C148,'Tariff Schedule Lookup Table'!I$7:L$286,4,FALSE))</f>
        <v>1</v>
      </c>
      <c r="H148" s="18" t="str">
        <f t="shared" si="22"/>
        <v>2-Unmetered, Funded by Others, CE Maintained</v>
      </c>
      <c r="I148" s="123">
        <f>VLOOKUP(F148,'Maintenance Model'!$A$57:$B$61,2,FALSE)</f>
        <v>10.731618231111112</v>
      </c>
      <c r="J148" s="123">
        <f>IF(D148=1,VLOOKUP(C148,'Capital Code Schedules'!A$15:F$300,2,FALSE),IF(D148=2,VLOOKUP(C148,'Capital Code Schedules'!A$15:F$300,3,FALSE),0))</f>
        <v>0</v>
      </c>
      <c r="K148" s="123">
        <v>0</v>
      </c>
      <c r="L148" s="123">
        <f>VLOOKUP(LEFT(A148,10),'Streetlight Tariff Schedule'!B$11:G$260,6, FALSE)+I148</f>
        <v>87.432529197463595</v>
      </c>
      <c r="M148" s="161">
        <f t="shared" si="23"/>
        <v>87.432529197463595</v>
      </c>
      <c r="N148" s="405">
        <f t="shared" si="24"/>
        <v>91.075722250812944</v>
      </c>
      <c r="O148" s="405">
        <v>61.148413347162503</v>
      </c>
      <c r="P148" s="406">
        <v>61.148413347162503</v>
      </c>
      <c r="Q148" s="406">
        <v>64.140947127427367</v>
      </c>
      <c r="R148" s="406">
        <v>64.140947127427367</v>
      </c>
      <c r="S148" s="405">
        <f t="shared" si="25"/>
        <v>95.532864480329607</v>
      </c>
      <c r="T148" s="406">
        <v>66.775291837718115</v>
      </c>
      <c r="U148" s="406">
        <v>67.019241421457721</v>
      </c>
      <c r="V148" s="405">
        <f t="shared" si="26"/>
        <v>99.819856036282573</v>
      </c>
      <c r="W148" s="406">
        <v>69.206093221473338</v>
      </c>
      <c r="X148" s="406">
        <v>70.079120062148164</v>
      </c>
      <c r="Y148" s="405">
        <f t="shared" si="27"/>
        <v>104.3773031055719</v>
      </c>
      <c r="Z148" s="406">
        <v>71.205153387223717</v>
      </c>
      <c r="AA148" s="406">
        <v>72.367254544875976</v>
      </c>
      <c r="AB148" s="442">
        <f t="shared" si="28"/>
        <v>106.64299424387444</v>
      </c>
      <c r="AC148" s="438">
        <f t="shared" si="29"/>
        <v>109.83151966081005</v>
      </c>
      <c r="AD148" s="410"/>
      <c r="AE148" s="411"/>
      <c r="AF148" s="411"/>
      <c r="AG148" s="411"/>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row>
    <row r="149" spans="1:61" x14ac:dyDescent="0.2">
      <c r="A149" s="159" t="s">
        <v>1431</v>
      </c>
      <c r="B149" s="18" t="str">
        <f>VLOOKUP(LEFT(A149,7),'Tariff Schedule Lookup Table'!$A$8:$G$186,2,FALSE)</f>
        <v>High Pressure Sodium 250</v>
      </c>
      <c r="C149" s="160">
        <f t="shared" si="20"/>
        <v>320</v>
      </c>
      <c r="D149" s="18">
        <f t="shared" si="21"/>
        <v>1</v>
      </c>
      <c r="E149" s="18" t="str">
        <f>VLOOKUP(C149,'Tariff Schedule Lookup Table'!I$7:L$286,2,FALSE)</f>
        <v>HIGH PRESSURE SODIUM 250W (210/220)</v>
      </c>
      <c r="F149" s="18" t="str">
        <f>IF(E149 = "BULKHEADS ETC", "SHARED OR NO POLE", VLOOKUP(C149,'Tariff Schedule Lookup Table'!I$7:L$286,3,FALSE))</f>
        <v>STEEL POLE</v>
      </c>
      <c r="G149" s="18">
        <f>IF(E149 = "NO CAPITAL", 1, VLOOKUP(C149,'Tariff Schedule Lookup Table'!I$7:L$286,4,FALSE))</f>
        <v>1</v>
      </c>
      <c r="H149" s="18" t="str">
        <f t="shared" si="22"/>
        <v>1-Unmetered, CE Funded, CE Maintained</v>
      </c>
      <c r="I149" s="123">
        <f>VLOOKUP(F149,'Maintenance Model'!$A$57:$B$61,2,FALSE)</f>
        <v>9.9616182311111103</v>
      </c>
      <c r="J149" s="123">
        <f>IF(D149=1,VLOOKUP(C149,'Capital Code Schedules'!A$15:F$300,2,FALSE),IF(D149=2,VLOOKUP(C149,'Capital Code Schedules'!A$15:F$300,3,FALSE),0))</f>
        <v>92.322513672035399</v>
      </c>
      <c r="K149" s="123">
        <v>117.10841065015505</v>
      </c>
      <c r="L149" s="123">
        <f>VLOOKUP(LEFT(A149,10),'Streetlight Tariff Schedule'!B$11:G$260,6, FALSE)+I149</f>
        <v>86.662529197463584</v>
      </c>
      <c r="M149" s="161">
        <f t="shared" si="23"/>
        <v>203.77093984761865</v>
      </c>
      <c r="N149" s="405">
        <f t="shared" si="24"/>
        <v>184.8811332969062</v>
      </c>
      <c r="O149" s="405">
        <v>185.66595852401363</v>
      </c>
      <c r="P149" s="406">
        <v>180.35317232158388</v>
      </c>
      <c r="Q149" s="406">
        <v>186.27662236673953</v>
      </c>
      <c r="R149" s="406">
        <v>191.72090002767939</v>
      </c>
      <c r="S149" s="405">
        <f t="shared" si="25"/>
        <v>191.64055793008754</v>
      </c>
      <c r="T149" s="406">
        <v>191.92009340666749</v>
      </c>
      <c r="U149" s="406">
        <v>198.22144647309267</v>
      </c>
      <c r="V149" s="405">
        <f t="shared" si="26"/>
        <v>198.65284224308434</v>
      </c>
      <c r="W149" s="406">
        <v>197.43802210818771</v>
      </c>
      <c r="X149" s="406">
        <v>205.71874462082255</v>
      </c>
      <c r="Y149" s="405">
        <f t="shared" si="27"/>
        <v>206.55039230057326</v>
      </c>
      <c r="Z149" s="406">
        <v>202.60706830057313</v>
      </c>
      <c r="AA149" s="406">
        <v>211.868792931032</v>
      </c>
      <c r="AB149" s="442">
        <f t="shared" si="28"/>
        <v>210.61055477248465</v>
      </c>
      <c r="AC149" s="438">
        <f t="shared" si="29"/>
        <v>216.82378573642049</v>
      </c>
      <c r="AD149" s="410"/>
      <c r="AE149" s="411"/>
      <c r="AF149" s="411"/>
      <c r="AG149" s="411"/>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row>
    <row r="150" spans="1:61" x14ac:dyDescent="0.2">
      <c r="A150" s="159" t="s">
        <v>1432</v>
      </c>
      <c r="B150" s="18" t="str">
        <f>VLOOKUP(LEFT(A150,7),'Tariff Schedule Lookup Table'!$A$8:$G$186,2,FALSE)</f>
        <v>High Pressure Sodium 250</v>
      </c>
      <c r="C150" s="160">
        <f t="shared" si="20"/>
        <v>320</v>
      </c>
      <c r="D150" s="18">
        <f t="shared" si="21"/>
        <v>2</v>
      </c>
      <c r="E150" s="18" t="str">
        <f>VLOOKUP(C150,'Tariff Schedule Lookup Table'!I$7:L$286,2,FALSE)</f>
        <v>HIGH PRESSURE SODIUM 250W (210/220)</v>
      </c>
      <c r="F150" s="18" t="str">
        <f>IF(E150 = "BULKHEADS ETC", "SHARED OR NO POLE", VLOOKUP(C150,'Tariff Schedule Lookup Table'!I$7:L$286,3,FALSE))</f>
        <v>STEEL POLE</v>
      </c>
      <c r="G150" s="18">
        <f>IF(E150 = "NO CAPITAL", 1, VLOOKUP(C150,'Tariff Schedule Lookup Table'!I$7:L$286,4,FALSE))</f>
        <v>1</v>
      </c>
      <c r="H150" s="18" t="str">
        <f t="shared" si="22"/>
        <v>2-Unmetered, Funded by Others, CE Maintained</v>
      </c>
      <c r="I150" s="123">
        <f>VLOOKUP(F150,'Maintenance Model'!$A$57:$B$61,2,FALSE)</f>
        <v>9.9616182311111103</v>
      </c>
      <c r="J150" s="123">
        <f>IF(D150=1,VLOOKUP(C150,'Capital Code Schedules'!A$15:F$300,2,FALSE),IF(D150=2,VLOOKUP(C150,'Capital Code Schedules'!A$15:F$300,3,FALSE),0))</f>
        <v>0</v>
      </c>
      <c r="K150" s="123">
        <v>0</v>
      </c>
      <c r="L150" s="123">
        <f>VLOOKUP(LEFT(A150,10),'Streetlight Tariff Schedule'!B$11:G$260,6, FALSE)+I150</f>
        <v>86.662529197463584</v>
      </c>
      <c r="M150" s="161">
        <f t="shared" si="23"/>
        <v>86.662529197463584</v>
      </c>
      <c r="N150" s="405">
        <f t="shared" si="24"/>
        <v>90.273637411487925</v>
      </c>
      <c r="O150" s="405">
        <v>60.346328507837505</v>
      </c>
      <c r="P150" s="406">
        <v>60.346328507837505</v>
      </c>
      <c r="Q150" s="406">
        <v>63.299609168602913</v>
      </c>
      <c r="R150" s="406">
        <v>63.299609168602913</v>
      </c>
      <c r="S150" s="405">
        <f t="shared" si="25"/>
        <v>94.691526521505125</v>
      </c>
      <c r="T150" s="406">
        <v>65.899399131877018</v>
      </c>
      <c r="U150" s="406">
        <v>66.140148824532503</v>
      </c>
      <c r="V150" s="405">
        <f t="shared" si="26"/>
        <v>98.940763439357355</v>
      </c>
      <c r="W150" s="406">
        <v>68.298315650096129</v>
      </c>
      <c r="X150" s="406">
        <v>69.159890981976218</v>
      </c>
      <c r="Y150" s="405">
        <f t="shared" si="27"/>
        <v>103.45807402539995</v>
      </c>
      <c r="Z150" s="406">
        <v>70.271154107643824</v>
      </c>
      <c r="AA150" s="406">
        <v>71.418011963478534</v>
      </c>
      <c r="AB150" s="442">
        <f t="shared" si="28"/>
        <v>105.70381169566826</v>
      </c>
      <c r="AC150" s="438">
        <f t="shared" si="29"/>
        <v>108.86425643606874</v>
      </c>
      <c r="AD150" s="410"/>
      <c r="AE150" s="411"/>
      <c r="AF150" s="411"/>
      <c r="AG150" s="411"/>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row>
    <row r="151" spans="1:61" x14ac:dyDescent="0.2">
      <c r="A151" s="159" t="s">
        <v>1433</v>
      </c>
      <c r="B151" s="18" t="str">
        <f>VLOOKUP(LEFT(A151,7),'Tariff Schedule Lookup Table'!$A$8:$G$186,2,FALSE)</f>
        <v>High Pressure Sodium 250</v>
      </c>
      <c r="C151" s="160">
        <f t="shared" si="20"/>
        <v>390</v>
      </c>
      <c r="D151" s="18">
        <f t="shared" si="21"/>
        <v>1</v>
      </c>
      <c r="E151" s="18" t="str">
        <f>VLOOKUP(C151,'Tariff Schedule Lookup Table'!I$7:L$286,2,FALSE)</f>
        <v>HIGH PRESSURE SODIUM 250W (210/220)</v>
      </c>
      <c r="F151" s="18" t="str">
        <f>IF(E151 = "BULKHEADS ETC", "SHARED OR NO POLE", VLOOKUP(C151,'Tariff Schedule Lookup Table'!I$7:L$286,3,FALSE))</f>
        <v>STEEL POLE</v>
      </c>
      <c r="G151" s="18">
        <f>IF(E151 = "NO CAPITAL", 1, VLOOKUP(C151,'Tariff Schedule Lookup Table'!I$7:L$286,4,FALSE))</f>
        <v>2</v>
      </c>
      <c r="H151" s="18" t="str">
        <f t="shared" si="22"/>
        <v>1-Unmetered, CE Funded, CE Maintained</v>
      </c>
      <c r="I151" s="123">
        <f>VLOOKUP(F151,'Maintenance Model'!$A$57:$B$61,2,FALSE)</f>
        <v>9.9616182311111103</v>
      </c>
      <c r="J151" s="123">
        <f>IF(D151=1,VLOOKUP(C151,'Capital Code Schedules'!A$15:F$300,2,FALSE),IF(D151=2,VLOOKUP(C151,'Capital Code Schedules'!A$15:F$300,3,FALSE),0))</f>
        <v>105.05612002630808</v>
      </c>
      <c r="K151" s="123">
        <v>133.26061819609492</v>
      </c>
      <c r="L151" s="123">
        <f>VLOOKUP(LEFT(A151,10),'Streetlight Tariff Schedule'!B$11:G$260,6, FALSE)+I151</f>
        <v>86.662529197463584</v>
      </c>
      <c r="M151" s="161">
        <f t="shared" si="23"/>
        <v>219.92314739355851</v>
      </c>
      <c r="N151" s="405">
        <f t="shared" si="24"/>
        <v>197.92989640844712</v>
      </c>
      <c r="O151" s="405">
        <v>202.9507006049958</v>
      </c>
      <c r="P151" s="406">
        <v>196.90514700428579</v>
      </c>
      <c r="Q151" s="406">
        <v>203.2382584228383</v>
      </c>
      <c r="R151" s="406">
        <v>209.43343947516587</v>
      </c>
      <c r="S151" s="405">
        <f t="shared" si="25"/>
        <v>205.01227792863909</v>
      </c>
      <c r="T151" s="406">
        <v>209.30152995515471</v>
      </c>
      <c r="U151" s="406">
        <v>216.43879329483252</v>
      </c>
      <c r="V151" s="405">
        <f t="shared" si="26"/>
        <v>212.4056562615946</v>
      </c>
      <c r="W151" s="406">
        <v>215.24964921124999</v>
      </c>
      <c r="X151" s="406">
        <v>224.55365949981939</v>
      </c>
      <c r="Y151" s="405">
        <f t="shared" si="27"/>
        <v>220.76942671431104</v>
      </c>
      <c r="Z151" s="406">
        <v>220.85953317443619</v>
      </c>
      <c r="AA151" s="406">
        <v>231.24050288408026</v>
      </c>
      <c r="AB151" s="442">
        <f t="shared" si="28"/>
        <v>225.07984419190421</v>
      </c>
      <c r="AC151" s="438">
        <f t="shared" si="29"/>
        <v>231.71413147794516</v>
      </c>
      <c r="AD151" s="410"/>
      <c r="AE151" s="411"/>
      <c r="AF151" s="411"/>
      <c r="AG151" s="411"/>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row>
    <row r="152" spans="1:61" x14ac:dyDescent="0.2">
      <c r="A152" s="159" t="s">
        <v>1434</v>
      </c>
      <c r="B152" s="18" t="str">
        <f>VLOOKUP(LEFT(A152,7),'Tariff Schedule Lookup Table'!$A$8:$G$186,2,FALSE)</f>
        <v>High Pressure Sodium 250</v>
      </c>
      <c r="C152" s="160">
        <f t="shared" si="20"/>
        <v>390</v>
      </c>
      <c r="D152" s="18">
        <f t="shared" si="21"/>
        <v>2</v>
      </c>
      <c r="E152" s="18" t="str">
        <f>VLOOKUP(C152,'Tariff Schedule Lookup Table'!I$7:L$286,2,FALSE)</f>
        <v>HIGH PRESSURE SODIUM 250W (210/220)</v>
      </c>
      <c r="F152" s="18" t="str">
        <f>IF(E152 = "BULKHEADS ETC", "SHARED OR NO POLE", VLOOKUP(C152,'Tariff Schedule Lookup Table'!I$7:L$286,3,FALSE))</f>
        <v>STEEL POLE</v>
      </c>
      <c r="G152" s="18">
        <f>IF(E152 = "NO CAPITAL", 1, VLOOKUP(C152,'Tariff Schedule Lookup Table'!I$7:L$286,4,FALSE))</f>
        <v>2</v>
      </c>
      <c r="H152" s="18" t="str">
        <f t="shared" si="22"/>
        <v>2-Unmetered, Funded by Others, CE Maintained</v>
      </c>
      <c r="I152" s="123">
        <f>VLOOKUP(F152,'Maintenance Model'!$A$57:$B$61,2,FALSE)</f>
        <v>9.9616182311111103</v>
      </c>
      <c r="J152" s="123">
        <f>IF(D152=1,VLOOKUP(C152,'Capital Code Schedules'!A$15:F$300,2,FALSE),IF(D152=2,VLOOKUP(C152,'Capital Code Schedules'!A$15:F$300,3,FALSE),0))</f>
        <v>0</v>
      </c>
      <c r="K152" s="123">
        <v>0</v>
      </c>
      <c r="L152" s="123">
        <f>VLOOKUP(LEFT(A152,10),'Streetlight Tariff Schedule'!B$11:G$260,6, FALSE)+I152</f>
        <v>86.662529197463584</v>
      </c>
      <c r="M152" s="161">
        <f t="shared" si="23"/>
        <v>86.662529197463584</v>
      </c>
      <c r="N152" s="405">
        <f t="shared" si="24"/>
        <v>90.273637411487925</v>
      </c>
      <c r="O152" s="405">
        <v>60.346328507837505</v>
      </c>
      <c r="P152" s="406">
        <v>60.346328507837505</v>
      </c>
      <c r="Q152" s="406">
        <v>63.299609168602913</v>
      </c>
      <c r="R152" s="406">
        <v>63.299609168602913</v>
      </c>
      <c r="S152" s="405">
        <f t="shared" si="25"/>
        <v>94.691526521505125</v>
      </c>
      <c r="T152" s="406">
        <v>65.899399131877018</v>
      </c>
      <c r="U152" s="406">
        <v>66.140148824532503</v>
      </c>
      <c r="V152" s="405">
        <f t="shared" si="26"/>
        <v>98.940763439357355</v>
      </c>
      <c r="W152" s="406">
        <v>68.298315650096129</v>
      </c>
      <c r="X152" s="406">
        <v>69.159890981976218</v>
      </c>
      <c r="Y152" s="405">
        <f t="shared" si="27"/>
        <v>103.45807402539995</v>
      </c>
      <c r="Z152" s="406">
        <v>70.271154107643824</v>
      </c>
      <c r="AA152" s="406">
        <v>71.418011963478534</v>
      </c>
      <c r="AB152" s="442">
        <f t="shared" si="28"/>
        <v>105.70381169566826</v>
      </c>
      <c r="AC152" s="438">
        <f t="shared" si="29"/>
        <v>108.86425643606874</v>
      </c>
      <c r="AD152" s="410"/>
      <c r="AE152" s="411"/>
      <c r="AF152" s="411"/>
      <c r="AG152" s="411"/>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row>
    <row r="153" spans="1:61" x14ac:dyDescent="0.2">
      <c r="A153" s="159" t="s">
        <v>1435</v>
      </c>
      <c r="B153" s="18" t="str">
        <f>VLOOKUP(LEFT(A153,7),'Tariff Schedule Lookup Table'!$A$8:$G$186,2,FALSE)</f>
        <v>High Pressure Sodium 250</v>
      </c>
      <c r="C153" s="160">
        <f t="shared" si="20"/>
        <v>430</v>
      </c>
      <c r="D153" s="18">
        <f t="shared" si="21"/>
        <v>2</v>
      </c>
      <c r="E153" s="18" t="str">
        <f>VLOOKUP(C153,'Tariff Schedule Lookup Table'!I$7:L$286,2,FALSE)</f>
        <v>HIGH PRESSURE SODIUM 250W (210/220)</v>
      </c>
      <c r="F153" s="18" t="str">
        <f>IF(E153 = "BULKHEADS ETC", "SHARED OR NO POLE", VLOOKUP(C153,'Tariff Schedule Lookup Table'!I$7:L$286,3,FALSE))</f>
        <v>STEEL POLE</v>
      </c>
      <c r="G153" s="18">
        <f>IF(E153 = "NO CAPITAL", 1, VLOOKUP(C153,'Tariff Schedule Lookup Table'!I$7:L$286,4,FALSE))</f>
        <v>3</v>
      </c>
      <c r="H153" s="18" t="str">
        <f t="shared" si="22"/>
        <v>2-Unmetered, Funded by Others, CE Maintained</v>
      </c>
      <c r="I153" s="123">
        <f>VLOOKUP(F153,'Maintenance Model'!$A$57:$B$61,2,FALSE)</f>
        <v>9.9616182311111103</v>
      </c>
      <c r="J153" s="123">
        <f>IF(D153=1,VLOOKUP(C153,'Capital Code Schedules'!A$15:F$300,2,FALSE),IF(D153=2,VLOOKUP(C153,'Capital Code Schedules'!A$15:F$300,3,FALSE),0))</f>
        <v>0</v>
      </c>
      <c r="K153" s="123">
        <v>0</v>
      </c>
      <c r="L153" s="123">
        <f>VLOOKUP(LEFT(A153,10),'Streetlight Tariff Schedule'!B$11:G$260,6, FALSE)+I153</f>
        <v>86.662529197463584</v>
      </c>
      <c r="M153" s="161">
        <f t="shared" si="23"/>
        <v>86.662529197463584</v>
      </c>
      <c r="N153" s="405">
        <f t="shared" si="24"/>
        <v>90.273637411487925</v>
      </c>
      <c r="O153" s="405">
        <v>60.346328507837505</v>
      </c>
      <c r="P153" s="406">
        <v>60.346328507837505</v>
      </c>
      <c r="Q153" s="406">
        <v>63.299609168602913</v>
      </c>
      <c r="R153" s="406">
        <v>63.299609168602913</v>
      </c>
      <c r="S153" s="405">
        <f t="shared" si="25"/>
        <v>94.691526521505125</v>
      </c>
      <c r="T153" s="406">
        <v>65.899399131877018</v>
      </c>
      <c r="U153" s="406">
        <v>66.140148824532503</v>
      </c>
      <c r="V153" s="405">
        <f t="shared" si="26"/>
        <v>98.940763439357355</v>
      </c>
      <c r="W153" s="406">
        <v>68.298315650096129</v>
      </c>
      <c r="X153" s="406">
        <v>69.159890981976218</v>
      </c>
      <c r="Y153" s="405">
        <f t="shared" si="27"/>
        <v>103.45807402539995</v>
      </c>
      <c r="Z153" s="406">
        <v>70.271154107643824</v>
      </c>
      <c r="AA153" s="406">
        <v>71.418011963478534</v>
      </c>
      <c r="AB153" s="442">
        <f t="shared" si="28"/>
        <v>105.70381169566826</v>
      </c>
      <c r="AC153" s="438">
        <f t="shared" si="29"/>
        <v>108.86425643606874</v>
      </c>
      <c r="AD153" s="410"/>
      <c r="AE153" s="411"/>
      <c r="AF153" s="411"/>
      <c r="AG153" s="411"/>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row>
    <row r="154" spans="1:61" x14ac:dyDescent="0.2">
      <c r="A154" s="159" t="s">
        <v>1436</v>
      </c>
      <c r="B154" s="18" t="str">
        <f>VLOOKUP(LEFT(A154,7),'Tariff Schedule Lookup Table'!$A$8:$G$186,2,FALSE)</f>
        <v>High Pressure Sodium 250</v>
      </c>
      <c r="C154" s="160">
        <f t="shared" si="20"/>
        <v>470</v>
      </c>
      <c r="D154" s="18">
        <f t="shared" si="21"/>
        <v>1</v>
      </c>
      <c r="E154" s="18" t="str">
        <f>VLOOKUP(C154,'Tariff Schedule Lookup Table'!I$7:L$286,2,FALSE)</f>
        <v>HIGH PRESSURE SODIUM 250W (210/220)</v>
      </c>
      <c r="F154" s="18" t="str">
        <f>IF(E154 = "BULKHEADS ETC", "SHARED OR NO POLE", VLOOKUP(C154,'Tariff Schedule Lookup Table'!I$7:L$286,3,FALSE))</f>
        <v>STEEL POLE</v>
      </c>
      <c r="G154" s="18">
        <f>IF(E154 = "NO CAPITAL", 1, VLOOKUP(C154,'Tariff Schedule Lookup Table'!I$7:L$286,4,FALSE))</f>
        <v>4</v>
      </c>
      <c r="H154" s="18" t="str">
        <f t="shared" si="22"/>
        <v>1-Unmetered, CE Funded, CE Maintained</v>
      </c>
      <c r="I154" s="123">
        <f>VLOOKUP(F154,'Maintenance Model'!$A$57:$B$61,2,FALSE)</f>
        <v>9.9616182311111103</v>
      </c>
      <c r="J154" s="123">
        <f>IF(D154=1,VLOOKUP(C154,'Capital Code Schedules'!A$15:F$300,2,FALSE),IF(D154=2,VLOOKUP(C154,'Capital Code Schedules'!A$15:F$300,3,FALSE),0))</f>
        <v>130.52333273485345</v>
      </c>
      <c r="K154" s="123">
        <v>165.56503328797476</v>
      </c>
      <c r="L154" s="123">
        <f>VLOOKUP(LEFT(A154,10),'Streetlight Tariff Schedule'!B$11:G$260,6, FALSE)+I154</f>
        <v>86.662529197463584</v>
      </c>
      <c r="M154" s="161">
        <f t="shared" si="23"/>
        <v>252.22756248543834</v>
      </c>
      <c r="N154" s="405">
        <f t="shared" si="24"/>
        <v>224.02742263152902</v>
      </c>
      <c r="O154" s="405">
        <v>237.5201847669602</v>
      </c>
      <c r="P154" s="406">
        <v>230.00909636968964</v>
      </c>
      <c r="Q154" s="406">
        <v>237.16153053503589</v>
      </c>
      <c r="R154" s="406">
        <v>244.85851837013888</v>
      </c>
      <c r="S154" s="405">
        <f t="shared" si="25"/>
        <v>231.75571792574226</v>
      </c>
      <c r="T154" s="406">
        <v>244.06440305212922</v>
      </c>
      <c r="U154" s="406">
        <v>252.87348693831225</v>
      </c>
      <c r="V154" s="405">
        <f t="shared" si="26"/>
        <v>239.91128429861521</v>
      </c>
      <c r="W154" s="406">
        <v>250.8729034173746</v>
      </c>
      <c r="X154" s="406">
        <v>262.22348925781307</v>
      </c>
      <c r="Y154" s="405">
        <f t="shared" si="27"/>
        <v>249.20749554178664</v>
      </c>
      <c r="Z154" s="406">
        <v>257.36446292216237</v>
      </c>
      <c r="AA154" s="406">
        <v>269.98392279017679</v>
      </c>
      <c r="AB154" s="442">
        <f t="shared" si="28"/>
        <v>254.01842303074338</v>
      </c>
      <c r="AC154" s="438">
        <f t="shared" si="29"/>
        <v>261.49482296099455</v>
      </c>
      <c r="AD154" s="410"/>
      <c r="AE154" s="411"/>
      <c r="AF154" s="411"/>
      <c r="AG154" s="411"/>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row>
    <row r="155" spans="1:61" x14ac:dyDescent="0.2">
      <c r="A155" s="159" t="s">
        <v>1437</v>
      </c>
      <c r="B155" s="18" t="str">
        <f>VLOOKUP(LEFT(A155,7),'Tariff Schedule Lookup Table'!$A$8:$G$186,2,FALSE)</f>
        <v>High Pressure Sodium 250</v>
      </c>
      <c r="C155" s="160">
        <f t="shared" si="20"/>
        <v>470</v>
      </c>
      <c r="D155" s="18">
        <f t="shared" si="21"/>
        <v>2</v>
      </c>
      <c r="E155" s="18" t="str">
        <f>VLOOKUP(C155,'Tariff Schedule Lookup Table'!I$7:L$286,2,FALSE)</f>
        <v>HIGH PRESSURE SODIUM 250W (210/220)</v>
      </c>
      <c r="F155" s="18" t="str">
        <f>IF(E155 = "BULKHEADS ETC", "SHARED OR NO POLE", VLOOKUP(C155,'Tariff Schedule Lookup Table'!I$7:L$286,3,FALSE))</f>
        <v>STEEL POLE</v>
      </c>
      <c r="G155" s="18">
        <f>IF(E155 = "NO CAPITAL", 1, VLOOKUP(C155,'Tariff Schedule Lookup Table'!I$7:L$286,4,FALSE))</f>
        <v>4</v>
      </c>
      <c r="H155" s="18" t="str">
        <f t="shared" si="22"/>
        <v>2-Unmetered, Funded by Others, CE Maintained</v>
      </c>
      <c r="I155" s="123">
        <f>VLOOKUP(F155,'Maintenance Model'!$A$57:$B$61,2,FALSE)</f>
        <v>9.9616182311111103</v>
      </c>
      <c r="J155" s="123">
        <f>IF(D155=1,VLOOKUP(C155,'Capital Code Schedules'!A$15:F$300,2,FALSE),IF(D155=2,VLOOKUP(C155,'Capital Code Schedules'!A$15:F$300,3,FALSE),0))</f>
        <v>0</v>
      </c>
      <c r="K155" s="123">
        <v>0</v>
      </c>
      <c r="L155" s="123">
        <f>VLOOKUP(LEFT(A155,10),'Streetlight Tariff Schedule'!B$11:G$260,6, FALSE)+I155</f>
        <v>86.662529197463584</v>
      </c>
      <c r="M155" s="161">
        <f t="shared" si="23"/>
        <v>86.662529197463584</v>
      </c>
      <c r="N155" s="405">
        <f t="shared" si="24"/>
        <v>90.273637411487925</v>
      </c>
      <c r="O155" s="405">
        <v>60.346328507837505</v>
      </c>
      <c r="P155" s="406">
        <v>60.346328507837505</v>
      </c>
      <c r="Q155" s="406">
        <v>63.299609168602913</v>
      </c>
      <c r="R155" s="406">
        <v>63.299609168602913</v>
      </c>
      <c r="S155" s="405">
        <f t="shared" si="25"/>
        <v>94.691526521505125</v>
      </c>
      <c r="T155" s="406">
        <v>65.899399131877018</v>
      </c>
      <c r="U155" s="406">
        <v>66.140148824532503</v>
      </c>
      <c r="V155" s="405">
        <f t="shared" si="26"/>
        <v>98.940763439357355</v>
      </c>
      <c r="W155" s="406">
        <v>68.298315650096129</v>
      </c>
      <c r="X155" s="406">
        <v>69.159890981976218</v>
      </c>
      <c r="Y155" s="405">
        <f t="shared" si="27"/>
        <v>103.45807402539995</v>
      </c>
      <c r="Z155" s="406">
        <v>70.271154107643824</v>
      </c>
      <c r="AA155" s="406">
        <v>71.418011963478534</v>
      </c>
      <c r="AB155" s="442">
        <f t="shared" si="28"/>
        <v>105.70381169566826</v>
      </c>
      <c r="AC155" s="438">
        <f t="shared" si="29"/>
        <v>108.86425643606874</v>
      </c>
      <c r="AD155" s="410"/>
      <c r="AE155" s="411"/>
      <c r="AF155" s="411"/>
      <c r="AG155" s="411"/>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row>
    <row r="156" spans="1:61" x14ac:dyDescent="0.2">
      <c r="A156" s="159" t="s">
        <v>1438</v>
      </c>
      <c r="B156" s="18" t="str">
        <f>VLOOKUP(LEFT(A156,7),'Tariff Schedule Lookup Table'!$A$8:$G$186,2,FALSE)</f>
        <v>High Pressure Sodium 250</v>
      </c>
      <c r="C156" s="160">
        <f t="shared" si="20"/>
        <v>550</v>
      </c>
      <c r="D156" s="18">
        <f t="shared" si="21"/>
        <v>1</v>
      </c>
      <c r="E156" s="18" t="str">
        <f>VLOOKUP(C156,'Tariff Schedule Lookup Table'!I$7:L$286,2,FALSE)</f>
        <v>HIGH PRESSURE SODIUM 250W (210/220)</v>
      </c>
      <c r="F156" s="18" t="str">
        <f>IF(E156 = "BULKHEADS ETC", "SHARED OR NO POLE", VLOOKUP(C156,'Tariff Schedule Lookup Table'!I$7:L$286,3,FALSE))</f>
        <v>R/BOUT COLUMN</v>
      </c>
      <c r="G156" s="18">
        <f>IF(E156 = "NO CAPITAL", 1, VLOOKUP(C156,'Tariff Schedule Lookup Table'!I$7:L$286,4,FALSE))</f>
        <v>3</v>
      </c>
      <c r="H156" s="18" t="str">
        <f t="shared" si="22"/>
        <v>1-Unmetered, CE Funded, CE Maintained</v>
      </c>
      <c r="I156" s="123">
        <f>VLOOKUP(F156,'Maintenance Model'!$A$57:$B$61,2,FALSE)</f>
        <v>9.9616182311111103</v>
      </c>
      <c r="J156" s="123">
        <f>IF(D156=1,VLOOKUP(C156,'Capital Code Schedules'!A$15:F$300,2,FALSE),IF(D156=2,VLOOKUP(C156,'Capital Code Schedules'!A$15:F$300,3,FALSE),0))</f>
        <v>177.78992197571316</v>
      </c>
      <c r="K156" s="123">
        <v>225.52132046744151</v>
      </c>
      <c r="L156" s="123">
        <f>VLOOKUP(LEFT(A156,10),'Streetlight Tariff Schedule'!B$11:G$260,6, FALSE)+I156</f>
        <v>86.662529197463584</v>
      </c>
      <c r="M156" s="161">
        <f t="shared" si="23"/>
        <v>312.1838496649051</v>
      </c>
      <c r="N156" s="405">
        <f t="shared" si="24"/>
        <v>272.46385995610007</v>
      </c>
      <c r="O156" s="405">
        <v>301.68039055201257</v>
      </c>
      <c r="P156" s="406">
        <v>291.44930165684815</v>
      </c>
      <c r="Q156" s="406">
        <v>300.12238090305163</v>
      </c>
      <c r="R156" s="406">
        <v>310.60668924837137</v>
      </c>
      <c r="S156" s="405">
        <f t="shared" si="25"/>
        <v>281.39095707409638</v>
      </c>
      <c r="T156" s="406">
        <v>308.58353446675335</v>
      </c>
      <c r="U156" s="406">
        <v>320.49548068657435</v>
      </c>
      <c r="V156" s="405">
        <f t="shared" si="26"/>
        <v>290.96112776269746</v>
      </c>
      <c r="W156" s="406">
        <v>316.98888333451066</v>
      </c>
      <c r="X156" s="406">
        <v>332.13786859414131</v>
      </c>
      <c r="Y156" s="405">
        <f t="shared" si="27"/>
        <v>301.98792869930122</v>
      </c>
      <c r="Z156" s="406">
        <v>325.11681334224755</v>
      </c>
      <c r="AA156" s="406">
        <v>341.89086193759033</v>
      </c>
      <c r="AB156" s="442">
        <f t="shared" si="28"/>
        <v>307.72779181183023</v>
      </c>
      <c r="AC156" s="438">
        <f t="shared" si="29"/>
        <v>316.76713437361104</v>
      </c>
      <c r="AD156" s="410"/>
      <c r="AE156" s="411"/>
      <c r="AF156" s="411"/>
      <c r="AG156" s="411"/>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row>
    <row r="157" spans="1:61" x14ac:dyDescent="0.2">
      <c r="A157" s="159" t="s">
        <v>1439</v>
      </c>
      <c r="B157" s="18" t="str">
        <f>VLOOKUP(LEFT(A157,7),'Tariff Schedule Lookup Table'!$A$8:$G$186,2,FALSE)</f>
        <v>High Pressure Sodium 250</v>
      </c>
      <c r="C157" s="160">
        <f t="shared" si="20"/>
        <v>550</v>
      </c>
      <c r="D157" s="18">
        <f t="shared" si="21"/>
        <v>2</v>
      </c>
      <c r="E157" s="18" t="str">
        <f>VLOOKUP(C157,'Tariff Schedule Lookup Table'!I$7:L$286,2,FALSE)</f>
        <v>HIGH PRESSURE SODIUM 250W (210/220)</v>
      </c>
      <c r="F157" s="18" t="str">
        <f>IF(E157 = "BULKHEADS ETC", "SHARED OR NO POLE", VLOOKUP(C157,'Tariff Schedule Lookup Table'!I$7:L$286,3,FALSE))</f>
        <v>R/BOUT COLUMN</v>
      </c>
      <c r="G157" s="18">
        <f>IF(E157 = "NO CAPITAL", 1, VLOOKUP(C157,'Tariff Schedule Lookup Table'!I$7:L$286,4,FALSE))</f>
        <v>3</v>
      </c>
      <c r="H157" s="18" t="str">
        <f t="shared" si="22"/>
        <v>2-Unmetered, Funded by Others, CE Maintained</v>
      </c>
      <c r="I157" s="123">
        <f>VLOOKUP(F157,'Maintenance Model'!$A$57:$B$61,2,FALSE)</f>
        <v>9.9616182311111103</v>
      </c>
      <c r="J157" s="123">
        <f>IF(D157=1,VLOOKUP(C157,'Capital Code Schedules'!A$15:F$300,2,FALSE),IF(D157=2,VLOOKUP(C157,'Capital Code Schedules'!A$15:F$300,3,FALSE),0))</f>
        <v>0</v>
      </c>
      <c r="K157" s="123">
        <v>0</v>
      </c>
      <c r="L157" s="123">
        <f>VLOOKUP(LEFT(A157,10),'Streetlight Tariff Schedule'!B$11:G$260,6, FALSE)+I157</f>
        <v>86.662529197463584</v>
      </c>
      <c r="M157" s="161">
        <f t="shared" si="23"/>
        <v>86.662529197463584</v>
      </c>
      <c r="N157" s="405">
        <f t="shared" si="24"/>
        <v>90.273637411487925</v>
      </c>
      <c r="O157" s="405">
        <v>60.346328507837505</v>
      </c>
      <c r="P157" s="406">
        <v>60.346328507837505</v>
      </c>
      <c r="Q157" s="406">
        <v>63.299609168602913</v>
      </c>
      <c r="R157" s="406">
        <v>63.299609168602913</v>
      </c>
      <c r="S157" s="405">
        <f t="shared" si="25"/>
        <v>94.691526521505125</v>
      </c>
      <c r="T157" s="406">
        <v>65.899399131877018</v>
      </c>
      <c r="U157" s="406">
        <v>66.140148824532503</v>
      </c>
      <c r="V157" s="405">
        <f t="shared" si="26"/>
        <v>98.940763439357355</v>
      </c>
      <c r="W157" s="406">
        <v>68.298315650096129</v>
      </c>
      <c r="X157" s="406">
        <v>69.159890981976218</v>
      </c>
      <c r="Y157" s="405">
        <f t="shared" si="27"/>
        <v>103.45807402539995</v>
      </c>
      <c r="Z157" s="406">
        <v>70.271154107643824</v>
      </c>
      <c r="AA157" s="406">
        <v>71.418011963478534</v>
      </c>
      <c r="AB157" s="442">
        <f t="shared" si="28"/>
        <v>105.70381169566826</v>
      </c>
      <c r="AC157" s="438">
        <f t="shared" si="29"/>
        <v>108.86425643606874</v>
      </c>
      <c r="AD157" s="410"/>
      <c r="AE157" s="411"/>
      <c r="AF157" s="411"/>
      <c r="AG157" s="411"/>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row>
    <row r="158" spans="1:61" x14ac:dyDescent="0.2">
      <c r="A158" s="159" t="s">
        <v>1440</v>
      </c>
      <c r="B158" s="18" t="str">
        <f>VLOOKUP(LEFT(A158,7),'Tariff Schedule Lookup Table'!$A$8:$G$186,2,FALSE)</f>
        <v>High Pressure Sodium 250</v>
      </c>
      <c r="C158" s="160">
        <f t="shared" si="20"/>
        <v>590</v>
      </c>
      <c r="D158" s="18">
        <f t="shared" si="21"/>
        <v>1</v>
      </c>
      <c r="E158" s="18" t="str">
        <f>VLOOKUP(C158,'Tariff Schedule Lookup Table'!I$7:L$286,2,FALSE)</f>
        <v>HIGH PRESSURE SODIUM 250W (210/220)</v>
      </c>
      <c r="F158" s="18" t="str">
        <f>IF(E158 = "BULKHEADS ETC", "SHARED OR NO POLE", VLOOKUP(C158,'Tariff Schedule Lookup Table'!I$7:L$286,3,FALSE))</f>
        <v>R/BOUT COLUMN</v>
      </c>
      <c r="G158" s="18">
        <f>IF(E158 = "NO CAPITAL", 1, VLOOKUP(C158,'Tariff Schedule Lookup Table'!I$7:L$286,4,FALSE))</f>
        <v>4</v>
      </c>
      <c r="H158" s="18" t="str">
        <f t="shared" si="22"/>
        <v>1-Unmetered, CE Funded, CE Maintained</v>
      </c>
      <c r="I158" s="123">
        <f>VLOOKUP(F158,'Maintenance Model'!$A$57:$B$61,2,FALSE)</f>
        <v>9.9616182311111103</v>
      </c>
      <c r="J158" s="123">
        <f>IF(D158=1,VLOOKUP(C158,'Capital Code Schedules'!A$15:F$300,2,FALSE),IF(D158=2,VLOOKUP(C158,'Capital Code Schedules'!A$15:F$300,3,FALSE),0))</f>
        <v>190.52352832998582</v>
      </c>
      <c r="K158" s="123">
        <v>241.67352801338137</v>
      </c>
      <c r="L158" s="123">
        <f>VLOOKUP(LEFT(A158,10),'Streetlight Tariff Schedule'!B$11:G$260,6, FALSE)+I158</f>
        <v>86.662529197463584</v>
      </c>
      <c r="M158" s="161">
        <f t="shared" si="23"/>
        <v>328.33605721084496</v>
      </c>
      <c r="N158" s="405">
        <f t="shared" si="24"/>
        <v>285.51262306764096</v>
      </c>
      <c r="O158" s="405">
        <v>318.96513263299477</v>
      </c>
      <c r="P158" s="406">
        <v>308.00127633955003</v>
      </c>
      <c r="Q158" s="406">
        <v>317.08401695915035</v>
      </c>
      <c r="R158" s="406">
        <v>328.31922869585782</v>
      </c>
      <c r="S158" s="405">
        <f t="shared" si="25"/>
        <v>294.76267707264788</v>
      </c>
      <c r="T158" s="406">
        <v>325.96497101524051</v>
      </c>
      <c r="U158" s="406">
        <v>338.71282750831415</v>
      </c>
      <c r="V158" s="405">
        <f t="shared" si="26"/>
        <v>304.71394178120767</v>
      </c>
      <c r="W158" s="406">
        <v>334.80051043757288</v>
      </c>
      <c r="X158" s="406">
        <v>350.97278347313812</v>
      </c>
      <c r="Y158" s="405">
        <f t="shared" si="27"/>
        <v>316.20696311303897</v>
      </c>
      <c r="Z158" s="406">
        <v>343.36927821611056</v>
      </c>
      <c r="AA158" s="406">
        <v>361.26257189063853</v>
      </c>
      <c r="AB158" s="442">
        <f t="shared" si="28"/>
        <v>322.19708123124974</v>
      </c>
      <c r="AC158" s="438">
        <f t="shared" si="29"/>
        <v>331.65748011513568</v>
      </c>
      <c r="AD158" s="410"/>
      <c r="AE158" s="411"/>
      <c r="AF158" s="411"/>
      <c r="AG158" s="411"/>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row>
    <row r="159" spans="1:61" x14ac:dyDescent="0.2">
      <c r="A159" s="159" t="s">
        <v>1441</v>
      </c>
      <c r="B159" s="18" t="str">
        <f>VLOOKUP(LEFT(A159,7),'Tariff Schedule Lookup Table'!$A$8:$G$186,2,FALSE)</f>
        <v>High Pressure Sodium 250</v>
      </c>
      <c r="C159" s="160">
        <f t="shared" si="20"/>
        <v>590</v>
      </c>
      <c r="D159" s="18">
        <f t="shared" si="21"/>
        <v>2</v>
      </c>
      <c r="E159" s="18" t="str">
        <f>VLOOKUP(C159,'Tariff Schedule Lookup Table'!I$7:L$286,2,FALSE)</f>
        <v>HIGH PRESSURE SODIUM 250W (210/220)</v>
      </c>
      <c r="F159" s="18" t="str">
        <f>IF(E159 = "BULKHEADS ETC", "SHARED OR NO POLE", VLOOKUP(C159,'Tariff Schedule Lookup Table'!I$7:L$286,3,FALSE))</f>
        <v>R/BOUT COLUMN</v>
      </c>
      <c r="G159" s="18">
        <f>IF(E159 = "NO CAPITAL", 1, VLOOKUP(C159,'Tariff Schedule Lookup Table'!I$7:L$286,4,FALSE))</f>
        <v>4</v>
      </c>
      <c r="H159" s="18" t="str">
        <f t="shared" si="22"/>
        <v>2-Unmetered, Funded by Others, CE Maintained</v>
      </c>
      <c r="I159" s="123">
        <f>VLOOKUP(F159,'Maintenance Model'!$A$57:$B$61,2,FALSE)</f>
        <v>9.9616182311111103</v>
      </c>
      <c r="J159" s="123">
        <f>IF(D159=1,VLOOKUP(C159,'Capital Code Schedules'!A$15:F$300,2,FALSE),IF(D159=2,VLOOKUP(C159,'Capital Code Schedules'!A$15:F$300,3,FALSE),0))</f>
        <v>0</v>
      </c>
      <c r="K159" s="123">
        <v>0</v>
      </c>
      <c r="L159" s="123">
        <f>VLOOKUP(LEFT(A159,10),'Streetlight Tariff Schedule'!B$11:G$260,6, FALSE)+I159</f>
        <v>86.662529197463584</v>
      </c>
      <c r="M159" s="161">
        <f t="shared" si="23"/>
        <v>86.662529197463584</v>
      </c>
      <c r="N159" s="405">
        <f t="shared" si="24"/>
        <v>90.273637411487925</v>
      </c>
      <c r="O159" s="405">
        <v>60.346328507837505</v>
      </c>
      <c r="P159" s="406">
        <v>60.346328507837505</v>
      </c>
      <c r="Q159" s="406">
        <v>63.299609168602913</v>
      </c>
      <c r="R159" s="406">
        <v>63.299609168602913</v>
      </c>
      <c r="S159" s="405">
        <f t="shared" si="25"/>
        <v>94.691526521505125</v>
      </c>
      <c r="T159" s="406">
        <v>65.899399131877018</v>
      </c>
      <c r="U159" s="406">
        <v>66.140148824532503</v>
      </c>
      <c r="V159" s="405">
        <f t="shared" si="26"/>
        <v>98.940763439357355</v>
      </c>
      <c r="W159" s="406">
        <v>68.298315650096129</v>
      </c>
      <c r="X159" s="406">
        <v>69.159890981976218</v>
      </c>
      <c r="Y159" s="405">
        <f t="shared" si="27"/>
        <v>103.45807402539995</v>
      </c>
      <c r="Z159" s="406">
        <v>70.271154107643824</v>
      </c>
      <c r="AA159" s="406">
        <v>71.418011963478534</v>
      </c>
      <c r="AB159" s="442">
        <f t="shared" si="28"/>
        <v>105.70381169566826</v>
      </c>
      <c r="AC159" s="438">
        <f t="shared" si="29"/>
        <v>108.86425643606874</v>
      </c>
      <c r="AD159" s="410"/>
      <c r="AE159" s="411"/>
      <c r="AF159" s="411"/>
      <c r="AG159" s="411"/>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row>
    <row r="160" spans="1:61" x14ac:dyDescent="0.2">
      <c r="A160" s="159" t="s">
        <v>1442</v>
      </c>
      <c r="B160" s="18" t="str">
        <f>VLOOKUP(LEFT(A160,7),'Tariff Schedule Lookup Table'!$A$8:$G$186,2,FALSE)</f>
        <v>High Pressure Sodium 250</v>
      </c>
      <c r="C160" s="160">
        <f t="shared" si="20"/>
        <v>610</v>
      </c>
      <c r="D160" s="18">
        <f t="shared" si="21"/>
        <v>1</v>
      </c>
      <c r="E160" s="18" t="str">
        <f>VLOOKUP(C160,'Tariff Schedule Lookup Table'!I$7:L$286,2,FALSE)</f>
        <v>METAL HALIDE/HPS 250W FLOOD (210/220)</v>
      </c>
      <c r="F160" s="18" t="str">
        <f>IF(E160 = "BULKHEADS ETC", "SHARED OR NO POLE", VLOOKUP(C160,'Tariff Schedule Lookup Table'!I$7:L$286,3,FALSE))</f>
        <v>SHARED OR NO POLE</v>
      </c>
      <c r="G160" s="18">
        <f>IF(E160 = "NO CAPITAL", 1, VLOOKUP(C160,'Tariff Schedule Lookup Table'!I$7:L$286,4,FALSE))</f>
        <v>1</v>
      </c>
      <c r="H160" s="18" t="str">
        <f t="shared" si="22"/>
        <v>1-Unmetered, CE Funded, CE Maintained</v>
      </c>
      <c r="I160" s="123">
        <f>VLOOKUP(F160,'Maintenance Model'!$A$57:$B$61,2,FALSE)</f>
        <v>0</v>
      </c>
      <c r="J160" s="123">
        <f>IF(D160=1,VLOOKUP(C160,'Capital Code Schedules'!A$15:F$300,2,FALSE),IF(D160=2,VLOOKUP(C160,'Capital Code Schedules'!A$15:F$300,3,FALSE),0))</f>
        <v>37.215587737644988</v>
      </c>
      <c r="K160" s="123">
        <v>47.206885493274058</v>
      </c>
      <c r="L160" s="123">
        <f>VLOOKUP(LEFT(A160,10),'Streetlight Tariff Schedule'!B$11:G$260,6, FALSE)+I160</f>
        <v>76.700910966352481</v>
      </c>
      <c r="M160" s="161">
        <f t="shared" si="23"/>
        <v>123.90779645962654</v>
      </c>
      <c r="N160" s="405">
        <f t="shared" si="24"/>
        <v>118.03360580496724</v>
      </c>
      <c r="O160" s="405">
        <v>101.26907530913859</v>
      </c>
      <c r="P160" s="406">
        <v>99.127469180970934</v>
      </c>
      <c r="Q160" s="406">
        <v>102.8085123411221</v>
      </c>
      <c r="R160" s="406">
        <v>105.0031232209619</v>
      </c>
      <c r="S160" s="405">
        <f t="shared" si="25"/>
        <v>122.88755344101473</v>
      </c>
      <c r="T160" s="406">
        <v>106.22189712172776</v>
      </c>
      <c r="U160" s="406">
        <v>108.86742573523482</v>
      </c>
      <c r="V160" s="405">
        <f t="shared" si="26"/>
        <v>127.76214817014744</v>
      </c>
      <c r="W160" s="406">
        <v>109.49671045065482</v>
      </c>
      <c r="X160" s="406">
        <v>113.21199784714049</v>
      </c>
      <c r="Y160" s="405">
        <f t="shared" si="27"/>
        <v>133.12279492303799</v>
      </c>
      <c r="Z160" s="406">
        <v>112.44430326263357</v>
      </c>
      <c r="AA160" s="406">
        <v>116.67996520806348</v>
      </c>
      <c r="AB160" s="442">
        <f t="shared" si="28"/>
        <v>135.84179340881369</v>
      </c>
      <c r="AC160" s="438">
        <f t="shared" si="29"/>
        <v>139.86954453437502</v>
      </c>
      <c r="AD160" s="410"/>
      <c r="AE160" s="411"/>
      <c r="AF160" s="411"/>
      <c r="AG160" s="411"/>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row>
    <row r="161" spans="1:61" x14ac:dyDescent="0.2">
      <c r="A161" s="159" t="s">
        <v>1443</v>
      </c>
      <c r="B161" s="18" t="str">
        <f>VLOOKUP(LEFT(A161,7),'Tariff Schedule Lookup Table'!$A$8:$G$186,2,FALSE)</f>
        <v>High Pressure Sodium 250</v>
      </c>
      <c r="C161" s="160">
        <f t="shared" si="20"/>
        <v>610</v>
      </c>
      <c r="D161" s="18">
        <f t="shared" si="21"/>
        <v>2</v>
      </c>
      <c r="E161" s="18" t="str">
        <f>VLOOKUP(C161,'Tariff Schedule Lookup Table'!I$7:L$286,2,FALSE)</f>
        <v>METAL HALIDE/HPS 250W FLOOD (210/220)</v>
      </c>
      <c r="F161" s="18" t="str">
        <f>IF(E161 = "BULKHEADS ETC", "SHARED OR NO POLE", VLOOKUP(C161,'Tariff Schedule Lookup Table'!I$7:L$286,3,FALSE))</f>
        <v>SHARED OR NO POLE</v>
      </c>
      <c r="G161" s="18">
        <f>IF(E161 = "NO CAPITAL", 1, VLOOKUP(C161,'Tariff Schedule Lookup Table'!I$7:L$286,4,FALSE))</f>
        <v>1</v>
      </c>
      <c r="H161" s="18" t="str">
        <f t="shared" si="22"/>
        <v>2-Unmetered, Funded by Others, CE Maintained</v>
      </c>
      <c r="I161" s="123">
        <f>VLOOKUP(F161,'Maintenance Model'!$A$57:$B$61,2,FALSE)</f>
        <v>0</v>
      </c>
      <c r="J161" s="123">
        <f>IF(D161=1,VLOOKUP(C161,'Capital Code Schedules'!A$15:F$300,2,FALSE),IF(D161=2,VLOOKUP(C161,'Capital Code Schedules'!A$15:F$300,3,FALSE),0))</f>
        <v>0</v>
      </c>
      <c r="K161" s="123">
        <v>0</v>
      </c>
      <c r="L161" s="123">
        <f>VLOOKUP(LEFT(A161,10),'Streetlight Tariff Schedule'!B$11:G$260,6, FALSE)+I161</f>
        <v>76.700910966352481</v>
      </c>
      <c r="M161" s="161">
        <f t="shared" si="23"/>
        <v>76.700910966352481</v>
      </c>
      <c r="N161" s="405">
        <f t="shared" si="24"/>
        <v>79.89693227081554</v>
      </c>
      <c r="O161" s="405">
        <v>50.752213271738334</v>
      </c>
      <c r="P161" s="406">
        <v>50.752213271738334</v>
      </c>
      <c r="Q161" s="406">
        <v>53.23596884813599</v>
      </c>
      <c r="R161" s="406">
        <v>53.23596884813599</v>
      </c>
      <c r="S161" s="405">
        <f t="shared" si="25"/>
        <v>83.806997236892784</v>
      </c>
      <c r="T161" s="406">
        <v>55.422433177290266</v>
      </c>
      <c r="U161" s="406">
        <v>55.624907462783376</v>
      </c>
      <c r="V161" s="405">
        <f t="shared" si="26"/>
        <v>87.567796114208022</v>
      </c>
      <c r="W161" s="406">
        <v>57.439959773592484</v>
      </c>
      <c r="X161" s="406">
        <v>58.164558205252952</v>
      </c>
      <c r="Y161" s="405">
        <f t="shared" si="27"/>
        <v>91.565854332402225</v>
      </c>
      <c r="Z161" s="406">
        <v>59.099148006313946</v>
      </c>
      <c r="AA161" s="406">
        <v>60.06367353638214</v>
      </c>
      <c r="AB161" s="442">
        <f t="shared" si="28"/>
        <v>93.553450663782726</v>
      </c>
      <c r="AC161" s="438">
        <f t="shared" si="29"/>
        <v>96.350611015463656</v>
      </c>
      <c r="AD161" s="410"/>
      <c r="AE161" s="411"/>
      <c r="AF161" s="411"/>
      <c r="AG161" s="411"/>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row>
    <row r="162" spans="1:61" x14ac:dyDescent="0.2">
      <c r="A162" s="159" t="s">
        <v>1444</v>
      </c>
      <c r="B162" s="18" t="str">
        <f>VLOOKUP(LEFT(A162,7),'Tariff Schedule Lookup Table'!$A$8:$G$186,2,FALSE)</f>
        <v>High Pressure Sodium 250</v>
      </c>
      <c r="C162" s="160">
        <f t="shared" si="20"/>
        <v>650</v>
      </c>
      <c r="D162" s="18">
        <f t="shared" si="21"/>
        <v>2</v>
      </c>
      <c r="E162" s="18" t="str">
        <f>VLOOKUP(C162,'Tariff Schedule Lookup Table'!I$7:L$286,2,FALSE)</f>
        <v>METAL HALIDE/HPS 250W FLOOD (210/220)</v>
      </c>
      <c r="F162" s="18" t="str">
        <f>IF(E162 = "BULKHEADS ETC", "SHARED OR NO POLE", VLOOKUP(C162,'Tariff Schedule Lookup Table'!I$7:L$286,3,FALSE))</f>
        <v>SHARED OR NO POLE</v>
      </c>
      <c r="G162" s="18">
        <f>IF(E162 = "NO CAPITAL", 1, VLOOKUP(C162,'Tariff Schedule Lookup Table'!I$7:L$286,4,FALSE))</f>
        <v>2</v>
      </c>
      <c r="H162" s="18" t="str">
        <f t="shared" si="22"/>
        <v>2-Unmetered, Funded by Others, CE Maintained</v>
      </c>
      <c r="I162" s="123">
        <f>VLOOKUP(F162,'Maintenance Model'!$A$57:$B$61,2,FALSE)</f>
        <v>0</v>
      </c>
      <c r="J162" s="123">
        <f>IF(D162=1,VLOOKUP(C162,'Capital Code Schedules'!A$15:F$300,2,FALSE),IF(D162=2,VLOOKUP(C162,'Capital Code Schedules'!A$15:F$300,3,FALSE),0))</f>
        <v>0</v>
      </c>
      <c r="K162" s="123">
        <v>0</v>
      </c>
      <c r="L162" s="123">
        <f>VLOOKUP(LEFT(A162,10),'Streetlight Tariff Schedule'!B$11:G$260,6, FALSE)+I162</f>
        <v>76.700910966352481</v>
      </c>
      <c r="M162" s="161">
        <f t="shared" si="23"/>
        <v>76.700910966352481</v>
      </c>
      <c r="N162" s="405">
        <f t="shared" si="24"/>
        <v>79.89693227081554</v>
      </c>
      <c r="O162" s="405">
        <v>50.752213271738334</v>
      </c>
      <c r="P162" s="406">
        <v>50.752213271738334</v>
      </c>
      <c r="Q162" s="406">
        <v>53.23596884813599</v>
      </c>
      <c r="R162" s="406">
        <v>53.23596884813599</v>
      </c>
      <c r="S162" s="405">
        <f t="shared" si="25"/>
        <v>83.806997236892784</v>
      </c>
      <c r="T162" s="406">
        <v>55.422433177290266</v>
      </c>
      <c r="U162" s="406">
        <v>55.624907462783376</v>
      </c>
      <c r="V162" s="405">
        <f t="shared" si="26"/>
        <v>87.567796114208022</v>
      </c>
      <c r="W162" s="406">
        <v>57.439959773592484</v>
      </c>
      <c r="X162" s="406">
        <v>58.164558205252952</v>
      </c>
      <c r="Y162" s="405">
        <f t="shared" si="27"/>
        <v>91.565854332402225</v>
      </c>
      <c r="Z162" s="406">
        <v>59.099148006313946</v>
      </c>
      <c r="AA162" s="406">
        <v>60.06367353638214</v>
      </c>
      <c r="AB162" s="442">
        <f t="shared" si="28"/>
        <v>93.553450663782726</v>
      </c>
      <c r="AC162" s="438">
        <f t="shared" si="29"/>
        <v>96.350611015463656</v>
      </c>
      <c r="AD162" s="410"/>
      <c r="AE162" s="411"/>
      <c r="AF162" s="411"/>
      <c r="AG162" s="411"/>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row>
    <row r="163" spans="1:61" x14ac:dyDescent="0.2">
      <c r="A163" s="159" t="s">
        <v>1445</v>
      </c>
      <c r="B163" s="18" t="str">
        <f>VLOOKUP(LEFT(A163,7),'Tariff Schedule Lookup Table'!$A$8:$G$186,2,FALSE)</f>
        <v>High Pressure Sodium 250</v>
      </c>
      <c r="C163" s="160">
        <f t="shared" si="20"/>
        <v>760</v>
      </c>
      <c r="D163" s="18">
        <f t="shared" si="21"/>
        <v>1</v>
      </c>
      <c r="E163" s="18" t="str">
        <f>VLOOKUP(C163,'Tariff Schedule Lookup Table'!I$7:L$286,2,FALSE)</f>
        <v>HIGH PRESSURE SODIUM 250W (210/220)</v>
      </c>
      <c r="F163" s="18" t="str">
        <f>IF(E163 = "BULKHEADS ETC", "SHARED OR NO POLE", VLOOKUP(C163,'Tariff Schedule Lookup Table'!I$7:L$286,3,FALSE))</f>
        <v>WOOD POLE</v>
      </c>
      <c r="G163" s="18">
        <f>IF(E163 = "NO CAPITAL", 1, VLOOKUP(C163,'Tariff Schedule Lookup Table'!I$7:L$286,4,FALSE))</f>
        <v>2</v>
      </c>
      <c r="H163" s="18" t="str">
        <f t="shared" si="22"/>
        <v>1-Unmetered, CE Funded, CE Maintained</v>
      </c>
      <c r="I163" s="123">
        <f>VLOOKUP(F163,'Maintenance Model'!$A$57:$B$61,2,FALSE)</f>
        <v>10.731618231111112</v>
      </c>
      <c r="J163" s="123">
        <f>IF(D163=1,VLOOKUP(C163,'Capital Code Schedules'!A$15:F$300,2,FALSE),IF(D163=2,VLOOKUP(C163,'Capital Code Schedules'!A$15:F$300,3,FALSE),0))</f>
        <v>78.772854852678023</v>
      </c>
      <c r="K163" s="123">
        <v>99.921064399774139</v>
      </c>
      <c r="L163" s="123">
        <f>VLOOKUP(LEFT(A163,10),'Streetlight Tariff Schedule'!B$11:G$260,6, FALSE)+I163</f>
        <v>87.432529197463595</v>
      </c>
      <c r="M163" s="161">
        <f t="shared" si="23"/>
        <v>187.35359359723773</v>
      </c>
      <c r="N163" s="405">
        <f t="shared" si="24"/>
        <v>171.79820526109475</v>
      </c>
      <c r="O163" s="405">
        <v>168.07558238551735</v>
      </c>
      <c r="P163" s="406">
        <v>163.54252409083108</v>
      </c>
      <c r="Q163" s="406">
        <v>169.06931211200174</v>
      </c>
      <c r="R163" s="406">
        <v>173.71456359948149</v>
      </c>
      <c r="S163" s="405">
        <f t="shared" si="25"/>
        <v>178.25322894511589</v>
      </c>
      <c r="T163" s="406">
        <v>174.30063385566069</v>
      </c>
      <c r="U163" s="406">
        <v>179.71570596296539</v>
      </c>
      <c r="V163" s="405">
        <f t="shared" si="26"/>
        <v>184.89775088831527</v>
      </c>
      <c r="W163" s="406">
        <v>179.39268745436001</v>
      </c>
      <c r="X163" s="406">
        <v>186.59599475161292</v>
      </c>
      <c r="Y163" s="405">
        <f t="shared" si="27"/>
        <v>192.33933859308848</v>
      </c>
      <c r="Z163" s="406">
        <v>184.11886582737432</v>
      </c>
      <c r="AA163" s="406">
        <v>192.20486016299051</v>
      </c>
      <c r="AB163" s="442">
        <f t="shared" si="28"/>
        <v>196.15316155597134</v>
      </c>
      <c r="AC163" s="438">
        <f t="shared" si="29"/>
        <v>201.94643284168896</v>
      </c>
      <c r="AD163" s="410"/>
      <c r="AE163" s="411"/>
      <c r="AF163" s="411"/>
      <c r="AG163" s="411"/>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row>
    <row r="164" spans="1:61" x14ac:dyDescent="0.2">
      <c r="A164" s="159" t="s">
        <v>1446</v>
      </c>
      <c r="B164" s="18" t="str">
        <f>VLOOKUP(LEFT(A164,7),'Tariff Schedule Lookup Table'!$A$8:$G$186,2,FALSE)</f>
        <v>High Pressure Sodium 250</v>
      </c>
      <c r="C164" s="160">
        <f t="shared" si="20"/>
        <v>760</v>
      </c>
      <c r="D164" s="18">
        <f t="shared" si="21"/>
        <v>2</v>
      </c>
      <c r="E164" s="18" t="str">
        <f>VLOOKUP(C164,'Tariff Schedule Lookup Table'!I$7:L$286,2,FALSE)</f>
        <v>HIGH PRESSURE SODIUM 250W (210/220)</v>
      </c>
      <c r="F164" s="18" t="str">
        <f>IF(E164 = "BULKHEADS ETC", "SHARED OR NO POLE", VLOOKUP(C164,'Tariff Schedule Lookup Table'!I$7:L$286,3,FALSE))</f>
        <v>WOOD POLE</v>
      </c>
      <c r="G164" s="18">
        <f>IF(E164 = "NO CAPITAL", 1, VLOOKUP(C164,'Tariff Schedule Lookup Table'!I$7:L$286,4,FALSE))</f>
        <v>2</v>
      </c>
      <c r="H164" s="18" t="str">
        <f t="shared" si="22"/>
        <v>2-Unmetered, Funded by Others, CE Maintained</v>
      </c>
      <c r="I164" s="123">
        <f>VLOOKUP(F164,'Maintenance Model'!$A$57:$B$61,2,FALSE)</f>
        <v>10.731618231111112</v>
      </c>
      <c r="J164" s="123">
        <f>IF(D164=1,VLOOKUP(C164,'Capital Code Schedules'!A$15:F$300,2,FALSE),IF(D164=2,VLOOKUP(C164,'Capital Code Schedules'!A$15:F$300,3,FALSE),0))</f>
        <v>0</v>
      </c>
      <c r="K164" s="123">
        <v>0</v>
      </c>
      <c r="L164" s="123">
        <f>VLOOKUP(LEFT(A164,10),'Streetlight Tariff Schedule'!B$11:G$260,6, FALSE)+I164</f>
        <v>87.432529197463595</v>
      </c>
      <c r="M164" s="161">
        <f t="shared" si="23"/>
        <v>87.432529197463595</v>
      </c>
      <c r="N164" s="405">
        <f t="shared" si="24"/>
        <v>91.075722250812944</v>
      </c>
      <c r="O164" s="405">
        <v>61.148413347162503</v>
      </c>
      <c r="P164" s="406">
        <v>61.148413347162503</v>
      </c>
      <c r="Q164" s="406">
        <v>64.140947127427367</v>
      </c>
      <c r="R164" s="406">
        <v>64.140947127427367</v>
      </c>
      <c r="S164" s="405">
        <f t="shared" si="25"/>
        <v>95.532864480329607</v>
      </c>
      <c r="T164" s="406">
        <v>66.775291837718115</v>
      </c>
      <c r="U164" s="406">
        <v>67.019241421457721</v>
      </c>
      <c r="V164" s="405">
        <f t="shared" si="26"/>
        <v>99.819856036282573</v>
      </c>
      <c r="W164" s="406">
        <v>69.206093221473338</v>
      </c>
      <c r="X164" s="406">
        <v>70.079120062148164</v>
      </c>
      <c r="Y164" s="405">
        <f t="shared" si="27"/>
        <v>104.3773031055719</v>
      </c>
      <c r="Z164" s="406">
        <v>71.205153387223717</v>
      </c>
      <c r="AA164" s="406">
        <v>72.367254544875976</v>
      </c>
      <c r="AB164" s="442">
        <f t="shared" si="28"/>
        <v>106.64299424387444</v>
      </c>
      <c r="AC164" s="438">
        <f t="shared" si="29"/>
        <v>109.83151966081005</v>
      </c>
      <c r="AD164" s="410"/>
      <c r="AE164" s="411"/>
      <c r="AF164" s="411"/>
      <c r="AG164" s="411"/>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row>
    <row r="165" spans="1:61" x14ac:dyDescent="0.2">
      <c r="A165" s="159" t="s">
        <v>1447</v>
      </c>
      <c r="B165" s="18" t="str">
        <f>VLOOKUP(LEFT(A165,7),'Tariff Schedule Lookup Table'!$A$8:$G$186,2,FALSE)</f>
        <v>High Pressure Sodium 250</v>
      </c>
      <c r="C165" s="160">
        <f t="shared" ref="C165:C219" si="30">1*MID(A165,12,4)</f>
        <v>930</v>
      </c>
      <c r="D165" s="18">
        <f t="shared" ref="D165:D219" si="31">1*(MID(A165,17,3))</f>
        <v>2</v>
      </c>
      <c r="E165" s="18" t="str">
        <f>VLOOKUP(C165,'Tariff Schedule Lookup Table'!I$7:L$286,2,FALSE)</f>
        <v>HIGH PRESSURE SODIUM 250W (210/220)</v>
      </c>
      <c r="F165" s="18" t="str">
        <f>IF(E165 = "BULKHEADS ETC", "SHARED OR NO POLE", VLOOKUP(C165,'Tariff Schedule Lookup Table'!I$7:L$286,3,FALSE))</f>
        <v>WOOD POLE</v>
      </c>
      <c r="G165" s="18">
        <f>IF(E165 = "NO CAPITAL", 1, VLOOKUP(C165,'Tariff Schedule Lookup Table'!I$7:L$286,4,FALSE))</f>
        <v>3</v>
      </c>
      <c r="H165" s="18" t="str">
        <f t="shared" si="22"/>
        <v>2-Unmetered, Funded by Others, CE Maintained</v>
      </c>
      <c r="I165" s="123">
        <f>VLOOKUP(F165,'Maintenance Model'!$A$57:$B$61,2,FALSE)</f>
        <v>10.731618231111112</v>
      </c>
      <c r="J165" s="123">
        <f>IF(D165=1,VLOOKUP(C165,'Capital Code Schedules'!A$15:F$300,2,FALSE),IF(D165=2,VLOOKUP(C165,'Capital Code Schedules'!A$15:F$300,3,FALSE),0))</f>
        <v>0</v>
      </c>
      <c r="K165" s="123">
        <v>0</v>
      </c>
      <c r="L165" s="123">
        <f>VLOOKUP(LEFT(A165,10),'Streetlight Tariff Schedule'!B$11:G$260,6, FALSE)+I165</f>
        <v>87.432529197463595</v>
      </c>
      <c r="M165" s="161">
        <f t="shared" si="23"/>
        <v>87.432529197463595</v>
      </c>
      <c r="N165" s="405">
        <f t="shared" si="24"/>
        <v>91.075722250812944</v>
      </c>
      <c r="O165" s="405">
        <v>61.148413347162503</v>
      </c>
      <c r="P165" s="406">
        <v>61.148413347162503</v>
      </c>
      <c r="Q165" s="406">
        <v>64.140947127427367</v>
      </c>
      <c r="R165" s="406">
        <v>64.140947127427367</v>
      </c>
      <c r="S165" s="405">
        <f t="shared" si="25"/>
        <v>95.532864480329607</v>
      </c>
      <c r="T165" s="406">
        <v>66.775291837718115</v>
      </c>
      <c r="U165" s="406">
        <v>67.019241421457721</v>
      </c>
      <c r="V165" s="405">
        <f t="shared" si="26"/>
        <v>99.819856036282573</v>
      </c>
      <c r="W165" s="406">
        <v>69.206093221473338</v>
      </c>
      <c r="X165" s="406">
        <v>70.079120062148164</v>
      </c>
      <c r="Y165" s="405">
        <f t="shared" si="27"/>
        <v>104.3773031055719</v>
      </c>
      <c r="Z165" s="406">
        <v>71.205153387223717</v>
      </c>
      <c r="AA165" s="406">
        <v>72.367254544875976</v>
      </c>
      <c r="AB165" s="442">
        <f t="shared" si="28"/>
        <v>106.64299424387444</v>
      </c>
      <c r="AC165" s="438">
        <f t="shared" si="29"/>
        <v>109.83151966081005</v>
      </c>
      <c r="AD165" s="410"/>
      <c r="AE165" s="411"/>
      <c r="AF165" s="411"/>
      <c r="AG165" s="411"/>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row>
    <row r="166" spans="1:61" x14ac:dyDescent="0.2">
      <c r="A166" s="159" t="s">
        <v>1448</v>
      </c>
      <c r="B166" s="18" t="str">
        <f>VLOOKUP(LEFT(A166,7),'Tariff Schedule Lookup Table'!$A$8:$G$186,2,FALSE)</f>
        <v>High Pressure Sodium 250</v>
      </c>
      <c r="C166" s="160">
        <f t="shared" si="30"/>
        <v>960</v>
      </c>
      <c r="D166" s="18">
        <f t="shared" si="31"/>
        <v>1</v>
      </c>
      <c r="E166" s="18" t="str">
        <f>VLOOKUP(C166,'Tariff Schedule Lookup Table'!I$7:L$286,2,FALSE)</f>
        <v>HIGH PRESSURE SODIUM 250W (210/220)</v>
      </c>
      <c r="F166" s="18" t="str">
        <f>IF(E166 = "BULKHEADS ETC", "SHARED OR NO POLE", VLOOKUP(C166,'Tariff Schedule Lookup Table'!I$7:L$286,3,FALSE))</f>
        <v>SHARED OR NO POLE</v>
      </c>
      <c r="G166" s="18">
        <f>IF(E166 = "NO CAPITAL", 1, VLOOKUP(C166,'Tariff Schedule Lookup Table'!I$7:L$286,4,FALSE))</f>
        <v>2</v>
      </c>
      <c r="H166" s="18" t="str">
        <f t="shared" si="22"/>
        <v>1-Unmetered, CE Funded, CE Maintained</v>
      </c>
      <c r="I166" s="123">
        <f>VLOOKUP(F166,'Maintenance Model'!$A$57:$B$61,2,FALSE)</f>
        <v>0</v>
      </c>
      <c r="J166" s="123">
        <f>IF(D166=1,VLOOKUP(C166,'Capital Code Schedules'!A$15:F$300,2,FALSE),IF(D166=2,VLOOKUP(C166,'Capital Code Schedules'!A$15:F$300,3,FALSE),0))</f>
        <v>44.871736490801723</v>
      </c>
      <c r="K166" s="123">
        <v>56.918486450852114</v>
      </c>
      <c r="L166" s="123">
        <f>VLOOKUP(LEFT(A166,10),'Streetlight Tariff Schedule'!B$11:G$260,6, FALSE)+I166</f>
        <v>76.700910966352481</v>
      </c>
      <c r="M166" s="161">
        <f t="shared" si="23"/>
        <v>133.6193974172046</v>
      </c>
      <c r="N166" s="405">
        <f t="shared" si="24"/>
        <v>125.8792442397646</v>
      </c>
      <c r="O166" s="405">
        <v>111.6616186978812</v>
      </c>
      <c r="P166" s="406">
        <v>109.07943226224904</v>
      </c>
      <c r="Q166" s="406">
        <v>113.00678650866185</v>
      </c>
      <c r="R166" s="406">
        <v>115.6528820585759</v>
      </c>
      <c r="S166" s="405">
        <f t="shared" si="25"/>
        <v>130.92737142707333</v>
      </c>
      <c r="T166" s="406">
        <v>116.67257857491414</v>
      </c>
      <c r="U166" s="406">
        <v>119.82070269972081</v>
      </c>
      <c r="V166" s="405">
        <f t="shared" si="26"/>
        <v>136.03110096880872</v>
      </c>
      <c r="W166" s="406">
        <v>120.20604626980753</v>
      </c>
      <c r="X166" s="406">
        <v>124.53659090072256</v>
      </c>
      <c r="Y166" s="405">
        <f t="shared" si="27"/>
        <v>141.67206522157389</v>
      </c>
      <c r="Z166" s="406">
        <v>123.4186951433103</v>
      </c>
      <c r="AA166" s="406">
        <v>128.32730916367262</v>
      </c>
      <c r="AB166" s="442">
        <f t="shared" si="28"/>
        <v>144.54153086460383</v>
      </c>
      <c r="AC166" s="438">
        <f t="shared" si="29"/>
        <v>148.82244435012865</v>
      </c>
      <c r="AD166" s="410"/>
      <c r="AE166" s="411"/>
      <c r="AF166" s="411"/>
      <c r="AG166" s="411"/>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row>
    <row r="167" spans="1:61" x14ac:dyDescent="0.2">
      <c r="A167" s="159" t="s">
        <v>1449</v>
      </c>
      <c r="B167" s="18" t="str">
        <f>VLOOKUP(LEFT(A167,7),'Tariff Schedule Lookup Table'!$A$8:$G$186,2,FALSE)</f>
        <v>High Pressure Sodium 250</v>
      </c>
      <c r="C167" s="160">
        <f t="shared" si="30"/>
        <v>960</v>
      </c>
      <c r="D167" s="18">
        <f t="shared" si="31"/>
        <v>2</v>
      </c>
      <c r="E167" s="18" t="str">
        <f>VLOOKUP(C167,'Tariff Schedule Lookup Table'!I$7:L$286,2,FALSE)</f>
        <v>HIGH PRESSURE SODIUM 250W (210/220)</v>
      </c>
      <c r="F167" s="18" t="str">
        <f>IF(E167 = "BULKHEADS ETC", "SHARED OR NO POLE", VLOOKUP(C167,'Tariff Schedule Lookup Table'!I$7:L$286,3,FALSE))</f>
        <v>SHARED OR NO POLE</v>
      </c>
      <c r="G167" s="18">
        <f>IF(E167 = "NO CAPITAL", 1, VLOOKUP(C167,'Tariff Schedule Lookup Table'!I$7:L$286,4,FALSE))</f>
        <v>2</v>
      </c>
      <c r="H167" s="18" t="str">
        <f t="shared" si="22"/>
        <v>2-Unmetered, Funded by Others, CE Maintained</v>
      </c>
      <c r="I167" s="123">
        <f>VLOOKUP(F167,'Maintenance Model'!$A$57:$B$61,2,FALSE)</f>
        <v>0</v>
      </c>
      <c r="J167" s="123">
        <f>IF(D167=1,VLOOKUP(C167,'Capital Code Schedules'!A$15:F$300,2,FALSE),IF(D167=2,VLOOKUP(C167,'Capital Code Schedules'!A$15:F$300,3,FALSE),0))</f>
        <v>0</v>
      </c>
      <c r="K167" s="123">
        <v>0</v>
      </c>
      <c r="L167" s="123">
        <f>VLOOKUP(LEFT(A167,10),'Streetlight Tariff Schedule'!B$11:G$260,6, FALSE)+I167</f>
        <v>76.700910966352481</v>
      </c>
      <c r="M167" s="161">
        <f t="shared" si="23"/>
        <v>76.700910966352481</v>
      </c>
      <c r="N167" s="405">
        <f t="shared" si="24"/>
        <v>79.89693227081554</v>
      </c>
      <c r="O167" s="405">
        <v>50.752213271738334</v>
      </c>
      <c r="P167" s="406">
        <v>50.752213271738334</v>
      </c>
      <c r="Q167" s="406">
        <v>53.23596884813599</v>
      </c>
      <c r="R167" s="406">
        <v>53.23596884813599</v>
      </c>
      <c r="S167" s="405">
        <f t="shared" si="25"/>
        <v>83.806997236892784</v>
      </c>
      <c r="T167" s="406">
        <v>55.422433177290266</v>
      </c>
      <c r="U167" s="406">
        <v>55.624907462783376</v>
      </c>
      <c r="V167" s="405">
        <f t="shared" si="26"/>
        <v>87.567796114208022</v>
      </c>
      <c r="W167" s="406">
        <v>57.439959773592484</v>
      </c>
      <c r="X167" s="406">
        <v>58.164558205252952</v>
      </c>
      <c r="Y167" s="405">
        <f t="shared" si="27"/>
        <v>91.565854332402225</v>
      </c>
      <c r="Z167" s="406">
        <v>59.099148006313946</v>
      </c>
      <c r="AA167" s="406">
        <v>60.06367353638214</v>
      </c>
      <c r="AB167" s="442">
        <f t="shared" si="28"/>
        <v>93.553450663782726</v>
      </c>
      <c r="AC167" s="438">
        <f t="shared" si="29"/>
        <v>96.350611015463656</v>
      </c>
      <c r="AD167" s="410"/>
      <c r="AE167" s="411"/>
      <c r="AF167" s="411"/>
      <c r="AG167" s="411"/>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row>
    <row r="168" spans="1:61" x14ac:dyDescent="0.2">
      <c r="A168" s="159" t="s">
        <v>1450</v>
      </c>
      <c r="B168" s="18" t="str">
        <f>VLOOKUP(LEFT(A168,7),'Tariff Schedule Lookup Table'!$A$8:$G$186,2,FALSE)</f>
        <v>High Pressure Sodium 250</v>
      </c>
      <c r="C168" s="160">
        <f t="shared" si="30"/>
        <v>970</v>
      </c>
      <c r="D168" s="18">
        <f t="shared" si="31"/>
        <v>2</v>
      </c>
      <c r="E168" s="18" t="str">
        <f>VLOOKUP(C168,'Tariff Schedule Lookup Table'!I$7:L$286,2,FALSE)</f>
        <v>HIGH PRESSURE SODIUM 250W (210/220)</v>
      </c>
      <c r="F168" s="18" t="str">
        <f>IF(E168 = "BULKHEADS ETC", "SHARED OR NO POLE", VLOOKUP(C168,'Tariff Schedule Lookup Table'!I$7:L$286,3,FALSE))</f>
        <v>SHARED OR NO POLE</v>
      </c>
      <c r="G168" s="18">
        <f>IF(E168 = "NO CAPITAL", 1, VLOOKUP(C168,'Tariff Schedule Lookup Table'!I$7:L$286,4,FALSE))</f>
        <v>4</v>
      </c>
      <c r="H168" s="18" t="str">
        <f t="shared" si="22"/>
        <v>2-Unmetered, Funded by Others, CE Maintained</v>
      </c>
      <c r="I168" s="123">
        <f>VLOOKUP(F168,'Maintenance Model'!$A$57:$B$61,2,FALSE)</f>
        <v>0</v>
      </c>
      <c r="J168" s="123">
        <f>IF(D168=1,VLOOKUP(C168,'Capital Code Schedules'!A$15:F$300,2,FALSE),IF(D168=2,VLOOKUP(C168,'Capital Code Schedules'!A$15:F$300,3,FALSE),0))</f>
        <v>0</v>
      </c>
      <c r="K168" s="123">
        <v>0</v>
      </c>
      <c r="L168" s="123">
        <f>VLOOKUP(LEFT(A168,10),'Streetlight Tariff Schedule'!B$11:G$260,6, FALSE)+I168</f>
        <v>76.700910966352481</v>
      </c>
      <c r="M168" s="161">
        <f t="shared" si="23"/>
        <v>76.700910966352481</v>
      </c>
      <c r="N168" s="405">
        <f t="shared" si="24"/>
        <v>79.89693227081554</v>
      </c>
      <c r="O168" s="405">
        <v>50.752213271738334</v>
      </c>
      <c r="P168" s="406">
        <v>50.752213271738334</v>
      </c>
      <c r="Q168" s="406">
        <v>53.23596884813599</v>
      </c>
      <c r="R168" s="406">
        <v>53.23596884813599</v>
      </c>
      <c r="S168" s="405">
        <f t="shared" si="25"/>
        <v>83.806997236892784</v>
      </c>
      <c r="T168" s="406">
        <v>55.422433177290266</v>
      </c>
      <c r="U168" s="406">
        <v>55.624907462783376</v>
      </c>
      <c r="V168" s="405">
        <f t="shared" si="26"/>
        <v>87.567796114208022</v>
      </c>
      <c r="W168" s="406">
        <v>57.439959773592484</v>
      </c>
      <c r="X168" s="406">
        <v>58.164558205252952</v>
      </c>
      <c r="Y168" s="405">
        <f t="shared" si="27"/>
        <v>91.565854332402225</v>
      </c>
      <c r="Z168" s="406">
        <v>59.099148006313946</v>
      </c>
      <c r="AA168" s="406">
        <v>60.06367353638214</v>
      </c>
      <c r="AB168" s="442">
        <f t="shared" si="28"/>
        <v>93.553450663782726</v>
      </c>
      <c r="AC168" s="438">
        <f t="shared" si="29"/>
        <v>96.350611015463656</v>
      </c>
      <c r="AD168" s="410"/>
      <c r="AE168" s="411"/>
      <c r="AF168" s="411"/>
      <c r="AG168" s="411"/>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row>
    <row r="169" spans="1:61" x14ac:dyDescent="0.2">
      <c r="A169" s="159" t="s">
        <v>1451</v>
      </c>
      <c r="B169" s="18" t="str">
        <f>VLOOKUP(LEFT(A169,7),'Tariff Schedule Lookup Table'!$A$8:$G$186,2,FALSE)</f>
        <v>High Pressure Sodium 250</v>
      </c>
      <c r="C169" s="160">
        <f t="shared" si="30"/>
        <v>1070</v>
      </c>
      <c r="D169" s="18">
        <f t="shared" si="31"/>
        <v>1</v>
      </c>
      <c r="E169" s="18" t="str">
        <f>VLOOKUP(C169,'Tariff Schedule Lookup Table'!I$7:L$286,2,FALSE)</f>
        <v>METAL HALIDE/HPS 250W FLOOD (210/220)</v>
      </c>
      <c r="F169" s="18" t="str">
        <f>IF(E169 = "BULKHEADS ETC", "SHARED OR NO POLE", VLOOKUP(C169,'Tariff Schedule Lookup Table'!I$7:L$286,3,FALSE))</f>
        <v>WOOD POLE</v>
      </c>
      <c r="G169" s="18">
        <f>IF(E169 = "NO CAPITAL", 1, VLOOKUP(C169,'Tariff Schedule Lookup Table'!I$7:L$286,4,FALSE))</f>
        <v>1</v>
      </c>
      <c r="H169" s="18" t="str">
        <f t="shared" si="22"/>
        <v>1-Unmetered, CE Funded, CE Maintained</v>
      </c>
      <c r="I169" s="123">
        <f>VLOOKUP(F169,'Maintenance Model'!$A$57:$B$61,2,FALSE)</f>
        <v>10.731618231111112</v>
      </c>
      <c r="J169" s="123">
        <f>IF(D169=1,VLOOKUP(C169,'Capital Code Schedules'!A$15:F$300,2,FALSE),IF(D169=2,VLOOKUP(C169,'Capital Code Schedules'!A$15:F$300,3,FALSE),0))</f>
        <v>71.116706099521267</v>
      </c>
      <c r="K169" s="123">
        <v>90.209463442196068</v>
      </c>
      <c r="L169" s="123">
        <f>VLOOKUP(LEFT(A169,10),'Streetlight Tariff Schedule'!B$11:G$260,6, FALSE)+I169</f>
        <v>87.432529197463595</v>
      </c>
      <c r="M169" s="161">
        <f t="shared" si="23"/>
        <v>177.64199263965966</v>
      </c>
      <c r="N169" s="405">
        <f t="shared" si="24"/>
        <v>163.95256682629739</v>
      </c>
      <c r="O169" s="405">
        <v>157.68303899677468</v>
      </c>
      <c r="P169" s="406">
        <v>153.59056100955294</v>
      </c>
      <c r="Q169" s="406">
        <v>158.87103794446196</v>
      </c>
      <c r="R169" s="406">
        <v>163.06480476186744</v>
      </c>
      <c r="S169" s="405">
        <f t="shared" si="25"/>
        <v>170.21341095905728</v>
      </c>
      <c r="T169" s="406">
        <v>163.84995240247432</v>
      </c>
      <c r="U169" s="406">
        <v>168.76242899847932</v>
      </c>
      <c r="V169" s="405">
        <f t="shared" si="26"/>
        <v>176.628798089654</v>
      </c>
      <c r="W169" s="406">
        <v>168.68335163520726</v>
      </c>
      <c r="X169" s="406">
        <v>175.27140169803079</v>
      </c>
      <c r="Y169" s="405">
        <f t="shared" si="27"/>
        <v>183.79006829455258</v>
      </c>
      <c r="Z169" s="406">
        <v>173.14447394669756</v>
      </c>
      <c r="AA169" s="406">
        <v>180.55751620738127</v>
      </c>
      <c r="AB169" s="442">
        <f t="shared" si="28"/>
        <v>187.45342410018119</v>
      </c>
      <c r="AC169" s="438">
        <f t="shared" si="29"/>
        <v>192.99353302593533</v>
      </c>
      <c r="AD169" s="410"/>
      <c r="AE169" s="411"/>
      <c r="AF169" s="411"/>
      <c r="AG169" s="411"/>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row>
    <row r="170" spans="1:61" x14ac:dyDescent="0.2">
      <c r="A170" s="159" t="s">
        <v>1452</v>
      </c>
      <c r="B170" s="18" t="str">
        <f>VLOOKUP(LEFT(A170,7),'Tariff Schedule Lookup Table'!$A$8:$G$186,2,FALSE)</f>
        <v>High Pressure Sodium 250</v>
      </c>
      <c r="C170" s="160">
        <f t="shared" si="30"/>
        <v>1070</v>
      </c>
      <c r="D170" s="18">
        <f t="shared" si="31"/>
        <v>2</v>
      </c>
      <c r="E170" s="18" t="str">
        <f>VLOOKUP(C170,'Tariff Schedule Lookup Table'!I$7:L$286,2,FALSE)</f>
        <v>METAL HALIDE/HPS 250W FLOOD (210/220)</v>
      </c>
      <c r="F170" s="18" t="str">
        <f>IF(E170 = "BULKHEADS ETC", "SHARED OR NO POLE", VLOOKUP(C170,'Tariff Schedule Lookup Table'!I$7:L$286,3,FALSE))</f>
        <v>WOOD POLE</v>
      </c>
      <c r="G170" s="18">
        <f>IF(E170 = "NO CAPITAL", 1, VLOOKUP(C170,'Tariff Schedule Lookup Table'!I$7:L$286,4,FALSE))</f>
        <v>1</v>
      </c>
      <c r="H170" s="18" t="str">
        <f t="shared" si="22"/>
        <v>2-Unmetered, Funded by Others, CE Maintained</v>
      </c>
      <c r="I170" s="123">
        <f>VLOOKUP(F170,'Maintenance Model'!$A$57:$B$61,2,FALSE)</f>
        <v>10.731618231111112</v>
      </c>
      <c r="J170" s="123">
        <f>IF(D170=1,VLOOKUP(C170,'Capital Code Schedules'!A$15:F$300,2,FALSE),IF(D170=2,VLOOKUP(C170,'Capital Code Schedules'!A$15:F$300,3,FALSE),0))</f>
        <v>0</v>
      </c>
      <c r="K170" s="123">
        <v>0</v>
      </c>
      <c r="L170" s="123">
        <f>VLOOKUP(LEFT(A170,10),'Streetlight Tariff Schedule'!B$11:G$260,6, FALSE)+I170</f>
        <v>87.432529197463595</v>
      </c>
      <c r="M170" s="161">
        <f t="shared" si="23"/>
        <v>87.432529197463595</v>
      </c>
      <c r="N170" s="405">
        <f t="shared" si="24"/>
        <v>91.075722250812944</v>
      </c>
      <c r="O170" s="405">
        <v>61.148413347162503</v>
      </c>
      <c r="P170" s="406">
        <v>61.148413347162503</v>
      </c>
      <c r="Q170" s="406">
        <v>64.140947127427367</v>
      </c>
      <c r="R170" s="406">
        <v>64.140947127427367</v>
      </c>
      <c r="S170" s="405">
        <f t="shared" si="25"/>
        <v>95.532864480329607</v>
      </c>
      <c r="T170" s="406">
        <v>66.775291837718115</v>
      </c>
      <c r="U170" s="406">
        <v>67.019241421457721</v>
      </c>
      <c r="V170" s="405">
        <f t="shared" si="26"/>
        <v>99.819856036282573</v>
      </c>
      <c r="W170" s="406">
        <v>69.206093221473338</v>
      </c>
      <c r="X170" s="406">
        <v>70.079120062148164</v>
      </c>
      <c r="Y170" s="405">
        <f t="shared" si="27"/>
        <v>104.3773031055719</v>
      </c>
      <c r="Z170" s="406">
        <v>71.205153387223717</v>
      </c>
      <c r="AA170" s="406">
        <v>72.367254544875976</v>
      </c>
      <c r="AB170" s="442">
        <f t="shared" si="28"/>
        <v>106.64299424387444</v>
      </c>
      <c r="AC170" s="438">
        <f t="shared" si="29"/>
        <v>109.83151966081005</v>
      </c>
      <c r="AD170" s="410"/>
      <c r="AE170" s="411"/>
      <c r="AF170" s="411"/>
      <c r="AG170" s="411"/>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row>
    <row r="171" spans="1:61" x14ac:dyDescent="0.2">
      <c r="A171" s="159" t="s">
        <v>1453</v>
      </c>
      <c r="B171" s="18" t="str">
        <f>VLOOKUP(LEFT(A171,7),'Tariff Schedule Lookup Table'!$A$8:$G$186,2,FALSE)</f>
        <v>High Pressure Sodium 250</v>
      </c>
      <c r="C171" s="160">
        <f t="shared" si="30"/>
        <v>1120</v>
      </c>
      <c r="D171" s="18">
        <f t="shared" si="31"/>
        <v>1</v>
      </c>
      <c r="E171" s="18" t="str">
        <f>VLOOKUP(C171,'Tariff Schedule Lookup Table'!I$7:L$286,2,FALSE)</f>
        <v>METAL HALIDE/HPS 250W FLOOD (210/220)</v>
      </c>
      <c r="F171" s="18" t="str">
        <f>IF(E171 = "BULKHEADS ETC", "SHARED OR NO POLE", VLOOKUP(C171,'Tariff Schedule Lookup Table'!I$7:L$286,3,FALSE))</f>
        <v>STEEL POLE</v>
      </c>
      <c r="G171" s="18">
        <f>IF(E171 = "NO CAPITAL", 1, VLOOKUP(C171,'Tariff Schedule Lookup Table'!I$7:L$286,4,FALSE))</f>
        <v>1</v>
      </c>
      <c r="H171" s="18" t="str">
        <f t="shared" si="22"/>
        <v>1-Unmetered, CE Funded, CE Maintained</v>
      </c>
      <c r="I171" s="123">
        <f>VLOOKUP(F171,'Maintenance Model'!$A$57:$B$61,2,FALSE)</f>
        <v>9.9616182311111103</v>
      </c>
      <c r="J171" s="123">
        <f>IF(D171=1,VLOOKUP(C171,'Capital Code Schedules'!A$15:F$300,2,FALSE),IF(D171=2,VLOOKUP(C171,'Capital Code Schedules'!A$15:F$300,3,FALSE),0))</f>
        <v>97.399971273151337</v>
      </c>
      <c r="K171" s="123">
        <v>123.5490172385169</v>
      </c>
      <c r="L171" s="123">
        <f>VLOOKUP(LEFT(A171,10),'Streetlight Tariff Schedule'!B$11:G$260,6, FALSE)+I171</f>
        <v>86.662529197463584</v>
      </c>
      <c r="M171" s="161">
        <f t="shared" si="23"/>
        <v>210.21154643598049</v>
      </c>
      <c r="N171" s="405">
        <f t="shared" si="24"/>
        <v>190.08425797364976</v>
      </c>
      <c r="O171" s="405">
        <v>192.55815721625322</v>
      </c>
      <c r="P171" s="406">
        <v>186.95318392300769</v>
      </c>
      <c r="Q171" s="406">
        <v>193.03998425529855</v>
      </c>
      <c r="R171" s="406">
        <v>198.78368063755192</v>
      </c>
      <c r="S171" s="405">
        <f t="shared" si="25"/>
        <v>196.97245994258049</v>
      </c>
      <c r="T171" s="406">
        <v>198.85084850196839</v>
      </c>
      <c r="U171" s="406">
        <v>205.48551633034654</v>
      </c>
      <c r="V171" s="405">
        <f t="shared" si="26"/>
        <v>204.13670346293333</v>
      </c>
      <c r="W171" s="406">
        <v>204.54031339209729</v>
      </c>
      <c r="X171" s="406">
        <v>213.22906644623734</v>
      </c>
      <c r="Y171" s="405">
        <f t="shared" si="27"/>
        <v>212.22015641577514</v>
      </c>
      <c r="Z171" s="406">
        <v>209.88514129375946</v>
      </c>
      <c r="AA171" s="406">
        <v>219.59315892847113</v>
      </c>
      <c r="AB171" s="442">
        <f t="shared" si="28"/>
        <v>216.38010673611407</v>
      </c>
      <c r="AC171" s="438">
        <f t="shared" si="29"/>
        <v>222.76123166219153</v>
      </c>
      <c r="AD171" s="410"/>
      <c r="AE171" s="411"/>
      <c r="AF171" s="411"/>
      <c r="AG171" s="411"/>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row>
    <row r="172" spans="1:61" x14ac:dyDescent="0.2">
      <c r="A172" s="159" t="s">
        <v>1454</v>
      </c>
      <c r="B172" s="18" t="str">
        <f>VLOOKUP(LEFT(A172,7),'Tariff Schedule Lookup Table'!$A$8:$G$186,2,FALSE)</f>
        <v>High Pressure Sodium 250</v>
      </c>
      <c r="C172" s="160">
        <f t="shared" si="30"/>
        <v>1120</v>
      </c>
      <c r="D172" s="18">
        <f t="shared" si="31"/>
        <v>2</v>
      </c>
      <c r="E172" s="18" t="str">
        <f>VLOOKUP(C172,'Tariff Schedule Lookup Table'!I$7:L$286,2,FALSE)</f>
        <v>METAL HALIDE/HPS 250W FLOOD (210/220)</v>
      </c>
      <c r="F172" s="18" t="str">
        <f>IF(E172 = "BULKHEADS ETC", "SHARED OR NO POLE", VLOOKUP(C172,'Tariff Schedule Lookup Table'!I$7:L$286,3,FALSE))</f>
        <v>STEEL POLE</v>
      </c>
      <c r="G172" s="18">
        <f>IF(E172 = "NO CAPITAL", 1, VLOOKUP(C172,'Tariff Schedule Lookup Table'!I$7:L$286,4,FALSE))</f>
        <v>1</v>
      </c>
      <c r="H172" s="18" t="str">
        <f t="shared" si="22"/>
        <v>2-Unmetered, Funded by Others, CE Maintained</v>
      </c>
      <c r="I172" s="123">
        <f>VLOOKUP(F172,'Maintenance Model'!$A$57:$B$61,2,FALSE)</f>
        <v>9.9616182311111103</v>
      </c>
      <c r="J172" s="123">
        <f>IF(D172=1,VLOOKUP(C172,'Capital Code Schedules'!A$15:F$300,2,FALSE),IF(D172=2,VLOOKUP(C172,'Capital Code Schedules'!A$15:F$300,3,FALSE),0))</f>
        <v>0</v>
      </c>
      <c r="K172" s="123">
        <v>0</v>
      </c>
      <c r="L172" s="123">
        <f>VLOOKUP(LEFT(A172,10),'Streetlight Tariff Schedule'!B$11:G$260,6, FALSE)+I172</f>
        <v>86.662529197463584</v>
      </c>
      <c r="M172" s="161">
        <f t="shared" si="23"/>
        <v>86.662529197463584</v>
      </c>
      <c r="N172" s="405">
        <f t="shared" si="24"/>
        <v>90.273637411487925</v>
      </c>
      <c r="O172" s="405">
        <v>60.346328507837505</v>
      </c>
      <c r="P172" s="406">
        <v>60.346328507837505</v>
      </c>
      <c r="Q172" s="406">
        <v>63.299609168602913</v>
      </c>
      <c r="R172" s="406">
        <v>63.299609168602913</v>
      </c>
      <c r="S172" s="405">
        <f t="shared" si="25"/>
        <v>94.691526521505125</v>
      </c>
      <c r="T172" s="406">
        <v>65.899399131877018</v>
      </c>
      <c r="U172" s="406">
        <v>66.140148824532503</v>
      </c>
      <c r="V172" s="405">
        <f t="shared" si="26"/>
        <v>98.940763439357355</v>
      </c>
      <c r="W172" s="406">
        <v>68.298315650096129</v>
      </c>
      <c r="X172" s="406">
        <v>69.159890981976218</v>
      </c>
      <c r="Y172" s="405">
        <f t="shared" si="27"/>
        <v>103.45807402539995</v>
      </c>
      <c r="Z172" s="406">
        <v>70.271154107643824</v>
      </c>
      <c r="AA172" s="406">
        <v>71.418011963478534</v>
      </c>
      <c r="AB172" s="442">
        <f t="shared" si="28"/>
        <v>105.70381169566826</v>
      </c>
      <c r="AC172" s="438">
        <f t="shared" si="29"/>
        <v>108.86425643606874</v>
      </c>
      <c r="AD172" s="410"/>
      <c r="AE172" s="411"/>
      <c r="AF172" s="411"/>
      <c r="AG172" s="411"/>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row>
    <row r="173" spans="1:61" x14ac:dyDescent="0.2">
      <c r="A173" s="159" t="s">
        <v>1455</v>
      </c>
      <c r="B173" s="18" t="str">
        <f>VLOOKUP(LEFT(A173,7),'Tariff Schedule Lookup Table'!$A$8:$G$186,2,FALSE)</f>
        <v>High Pressure Sodium 250</v>
      </c>
      <c r="C173" s="160">
        <f t="shared" si="30"/>
        <v>1160</v>
      </c>
      <c r="D173" s="18">
        <f t="shared" si="31"/>
        <v>1</v>
      </c>
      <c r="E173" s="18" t="str">
        <f>VLOOKUP(C173,'Tariff Schedule Lookup Table'!I$7:L$286,2,FALSE)</f>
        <v>METAL HALIDE/HPS 250W FLOOD (210/220)</v>
      </c>
      <c r="F173" s="18" t="str">
        <f>IF(E173 = "BULKHEADS ETC", "SHARED OR NO POLE", VLOOKUP(C173,'Tariff Schedule Lookup Table'!I$7:L$286,3,FALSE))</f>
        <v>WOOD POLE</v>
      </c>
      <c r="G173" s="18">
        <f>IF(E173 = "NO CAPITAL", 1, VLOOKUP(C173,'Tariff Schedule Lookup Table'!I$7:L$286,4,FALSE))</f>
        <v>2</v>
      </c>
      <c r="H173" s="18" t="str">
        <f t="shared" si="22"/>
        <v>1-Unmetered, CE Funded, CE Maintained</v>
      </c>
      <c r="I173" s="123">
        <f>VLOOKUP(F173,'Maintenance Model'!$A$57:$B$61,2,FALSE)</f>
        <v>10.731618231111112</v>
      </c>
      <c r="J173" s="123">
        <f>IF(D173=1,VLOOKUP(C173,'Capital Code Schedules'!A$15:F$300,2,FALSE),IF(D173=2,VLOOKUP(C173,'Capital Code Schedules'!A$15:F$300,3,FALSE),0))</f>
        <v>88.927770054909942</v>
      </c>
      <c r="K173" s="123">
        <v>112.80227757649784</v>
      </c>
      <c r="L173" s="123">
        <f>VLOOKUP(LEFT(A173,10),'Streetlight Tariff Schedule'!B$11:G$260,6, FALSE)+I173</f>
        <v>87.432529197463595</v>
      </c>
      <c r="M173" s="161">
        <f t="shared" si="23"/>
        <v>200.23480677396145</v>
      </c>
      <c r="N173" s="405">
        <f t="shared" si="24"/>
        <v>182.20445461458189</v>
      </c>
      <c r="O173" s="405">
        <v>181.8599797699965</v>
      </c>
      <c r="P173" s="406">
        <v>176.74254729367868</v>
      </c>
      <c r="Q173" s="406">
        <v>182.5960358891198</v>
      </c>
      <c r="R173" s="406">
        <v>187.84012481922647</v>
      </c>
      <c r="S173" s="405">
        <f t="shared" si="25"/>
        <v>188.91703297010184</v>
      </c>
      <c r="T173" s="406">
        <v>188.16214404626245</v>
      </c>
      <c r="U173" s="406">
        <v>194.2438456774731</v>
      </c>
      <c r="V173" s="405">
        <f t="shared" si="26"/>
        <v>195.86547332801334</v>
      </c>
      <c r="W173" s="406">
        <v>193.59727002217915</v>
      </c>
      <c r="X173" s="406">
        <v>201.61663840244245</v>
      </c>
      <c r="Y173" s="405">
        <f t="shared" si="27"/>
        <v>203.67886682349231</v>
      </c>
      <c r="Z173" s="406">
        <v>198.67501181374701</v>
      </c>
      <c r="AA173" s="406">
        <v>207.65359215786867</v>
      </c>
      <c r="AB173" s="442">
        <f t="shared" si="28"/>
        <v>207.69226548323024</v>
      </c>
      <c r="AC173" s="438">
        <f t="shared" si="29"/>
        <v>213.82132469323111</v>
      </c>
      <c r="AD173" s="410"/>
      <c r="AE173" s="411"/>
      <c r="AF173" s="411"/>
      <c r="AG173" s="411"/>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row>
    <row r="174" spans="1:61" ht="22.5" x14ac:dyDescent="0.2">
      <c r="A174" s="159" t="s">
        <v>1456</v>
      </c>
      <c r="B174" s="18" t="str">
        <f>VLOOKUP(LEFT(A174,7),'Tariff Schedule Lookup Table'!$A$8:$G$186,2,FALSE)</f>
        <v>High Pressure Sodium 250</v>
      </c>
      <c r="C174" s="160">
        <f t="shared" si="30"/>
        <v>1330</v>
      </c>
      <c r="D174" s="18">
        <f t="shared" si="31"/>
        <v>2</v>
      </c>
      <c r="E174" s="18" t="str">
        <f>VLOOKUP(C174,'Tariff Schedule Lookup Table'!I$7:L$286,2,FALSE)</f>
        <v>HIGH PRESSURE SODIUM DECORATIVE 250W (210/220)</v>
      </c>
      <c r="F174" s="18" t="str">
        <f>IF(E174 = "BULKHEADS ETC", "SHARED OR NO POLE", VLOOKUP(C174,'Tariff Schedule Lookup Table'!I$7:L$286,3,FALSE))</f>
        <v>STEEL POLE</v>
      </c>
      <c r="G174" s="18">
        <f>IF(E174 = "NO CAPITAL", 1, VLOOKUP(C174,'Tariff Schedule Lookup Table'!I$7:L$286,4,FALSE))</f>
        <v>1</v>
      </c>
      <c r="H174" s="18" t="str">
        <f t="shared" si="22"/>
        <v>2-Unmetered, Funded by Others, CE Maintained</v>
      </c>
      <c r="I174" s="123">
        <f>VLOOKUP(F174,'Maintenance Model'!$A$57:$B$61,2,FALSE)</f>
        <v>9.9616182311111103</v>
      </c>
      <c r="J174" s="123">
        <f>IF(D174=1,VLOOKUP(C174,'Capital Code Schedules'!A$15:F$300,2,FALSE),IF(D174=2,VLOOKUP(C174,'Capital Code Schedules'!A$15:F$300,3,FALSE),0))</f>
        <v>0</v>
      </c>
      <c r="K174" s="123">
        <v>0</v>
      </c>
      <c r="L174" s="123">
        <f>VLOOKUP(LEFT(A174,10),'Streetlight Tariff Schedule'!B$11:G$260,6, FALSE)+I174</f>
        <v>86.662529197463584</v>
      </c>
      <c r="M174" s="161">
        <f t="shared" si="23"/>
        <v>86.662529197463584</v>
      </c>
      <c r="N174" s="405">
        <f t="shared" si="24"/>
        <v>90.273637411487925</v>
      </c>
      <c r="O174" s="405">
        <v>60.346328507837505</v>
      </c>
      <c r="P174" s="406">
        <v>60.346328507837505</v>
      </c>
      <c r="Q174" s="406">
        <v>63.299609168602913</v>
      </c>
      <c r="R174" s="406">
        <v>63.299609168602913</v>
      </c>
      <c r="S174" s="405">
        <f t="shared" si="25"/>
        <v>94.691526521505125</v>
      </c>
      <c r="T174" s="406">
        <v>65.899399131877018</v>
      </c>
      <c r="U174" s="406">
        <v>66.140148824532503</v>
      </c>
      <c r="V174" s="405">
        <f t="shared" si="26"/>
        <v>98.940763439357355</v>
      </c>
      <c r="W174" s="406">
        <v>68.298315650096129</v>
      </c>
      <c r="X174" s="406">
        <v>69.159890981976218</v>
      </c>
      <c r="Y174" s="405">
        <f t="shared" si="27"/>
        <v>103.45807402539995</v>
      </c>
      <c r="Z174" s="406">
        <v>70.271154107643824</v>
      </c>
      <c r="AA174" s="406">
        <v>71.418011963478534</v>
      </c>
      <c r="AB174" s="442">
        <f t="shared" si="28"/>
        <v>105.70381169566826</v>
      </c>
      <c r="AC174" s="438">
        <f t="shared" si="29"/>
        <v>108.86425643606874</v>
      </c>
      <c r="AD174" s="410"/>
      <c r="AE174" s="411"/>
      <c r="AF174" s="411"/>
      <c r="AG174" s="411"/>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row>
    <row r="175" spans="1:61" ht="22.5" x14ac:dyDescent="0.2">
      <c r="A175" s="159" t="s">
        <v>1457</v>
      </c>
      <c r="B175" s="18" t="str">
        <f>VLOOKUP(LEFT(A175,7),'Tariff Schedule Lookup Table'!$A$8:$G$186,2,FALSE)</f>
        <v>High Pressure Sodium 250</v>
      </c>
      <c r="C175" s="160">
        <f t="shared" si="30"/>
        <v>1340</v>
      </c>
      <c r="D175" s="18">
        <f t="shared" si="31"/>
        <v>2</v>
      </c>
      <c r="E175" s="18" t="str">
        <f>VLOOKUP(C175,'Tariff Schedule Lookup Table'!I$7:L$286,2,FALSE)</f>
        <v>HIGH PRESSURE SODIUM DECORATIVE 250W (210/220)</v>
      </c>
      <c r="F175" s="18" t="str">
        <f>IF(E175 = "BULKHEADS ETC", "SHARED OR NO POLE", VLOOKUP(C175,'Tariff Schedule Lookup Table'!I$7:L$286,3,FALSE))</f>
        <v>STEEL POLE</v>
      </c>
      <c r="G175" s="18">
        <f>IF(E175 = "NO CAPITAL", 1, VLOOKUP(C175,'Tariff Schedule Lookup Table'!I$7:L$286,4,FALSE))</f>
        <v>2</v>
      </c>
      <c r="H175" s="18" t="str">
        <f t="shared" si="22"/>
        <v>2-Unmetered, Funded by Others, CE Maintained</v>
      </c>
      <c r="I175" s="123">
        <f>VLOOKUP(F175,'Maintenance Model'!$A$57:$B$61,2,FALSE)</f>
        <v>9.9616182311111103</v>
      </c>
      <c r="J175" s="123">
        <f>IF(D175=1,VLOOKUP(C175,'Capital Code Schedules'!A$15:F$300,2,FALSE),IF(D175=2,VLOOKUP(C175,'Capital Code Schedules'!A$15:F$300,3,FALSE),0))</f>
        <v>0</v>
      </c>
      <c r="K175" s="123">
        <v>0</v>
      </c>
      <c r="L175" s="123">
        <f>VLOOKUP(LEFT(A175,10),'Streetlight Tariff Schedule'!B$11:G$260,6, FALSE)+I175</f>
        <v>86.662529197463584</v>
      </c>
      <c r="M175" s="161">
        <f t="shared" si="23"/>
        <v>86.662529197463584</v>
      </c>
      <c r="N175" s="405">
        <f t="shared" si="24"/>
        <v>90.273637411487925</v>
      </c>
      <c r="O175" s="405">
        <v>60.346328507837505</v>
      </c>
      <c r="P175" s="406">
        <v>60.346328507837505</v>
      </c>
      <c r="Q175" s="406">
        <v>63.299609168602913</v>
      </c>
      <c r="R175" s="406">
        <v>63.299609168602913</v>
      </c>
      <c r="S175" s="405">
        <f t="shared" si="25"/>
        <v>94.691526521505125</v>
      </c>
      <c r="T175" s="406">
        <v>65.899399131877018</v>
      </c>
      <c r="U175" s="406">
        <v>66.140148824532503</v>
      </c>
      <c r="V175" s="405">
        <f t="shared" si="26"/>
        <v>98.940763439357355</v>
      </c>
      <c r="W175" s="406">
        <v>68.298315650096129</v>
      </c>
      <c r="X175" s="406">
        <v>69.159890981976218</v>
      </c>
      <c r="Y175" s="405">
        <f t="shared" si="27"/>
        <v>103.45807402539995</v>
      </c>
      <c r="Z175" s="406">
        <v>70.271154107643824</v>
      </c>
      <c r="AA175" s="406">
        <v>71.418011963478534</v>
      </c>
      <c r="AB175" s="442">
        <f t="shared" si="28"/>
        <v>105.70381169566826</v>
      </c>
      <c r="AC175" s="438">
        <f t="shared" si="29"/>
        <v>108.86425643606874</v>
      </c>
      <c r="AD175" s="410"/>
      <c r="AE175" s="411"/>
      <c r="AF175" s="411"/>
      <c r="AG175" s="411"/>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row>
    <row r="176" spans="1:61" x14ac:dyDescent="0.2">
      <c r="A176" s="159" t="s">
        <v>1458</v>
      </c>
      <c r="B176" s="18" t="str">
        <f>VLOOKUP(LEFT(A176,7),'Tariff Schedule Lookup Table'!$A$8:$G$186,2,FALSE)</f>
        <v>High Pressure Sodium 250</v>
      </c>
      <c r="C176" s="160">
        <f t="shared" si="30"/>
        <v>1380</v>
      </c>
      <c r="D176" s="18">
        <f t="shared" si="31"/>
        <v>2</v>
      </c>
      <c r="E176" s="18" t="str">
        <f>VLOOKUP(C176,'Tariff Schedule Lookup Table'!I$7:L$286,2,FALSE)</f>
        <v>METAL HALIDE/HPS 250W FLOOD (210/220)</v>
      </c>
      <c r="F176" s="18" t="str">
        <f>IF(E176 = "BULKHEADS ETC", "SHARED OR NO POLE", VLOOKUP(C176,'Tariff Schedule Lookup Table'!I$7:L$286,3,FALSE))</f>
        <v>R/BOUT COLUMN</v>
      </c>
      <c r="G176" s="18">
        <f>IF(E176 = "NO CAPITAL", 1, VLOOKUP(C176,'Tariff Schedule Lookup Table'!I$7:L$286,4,FALSE))</f>
        <v>3</v>
      </c>
      <c r="H176" s="18" t="str">
        <f t="shared" si="22"/>
        <v>2-Unmetered, Funded by Others, CE Maintained</v>
      </c>
      <c r="I176" s="123">
        <f>VLOOKUP(F176,'Maintenance Model'!$A$57:$B$61,2,FALSE)</f>
        <v>9.9616182311111103</v>
      </c>
      <c r="J176" s="123">
        <f>IF(D176=1,VLOOKUP(C176,'Capital Code Schedules'!A$15:F$300,2,FALSE),IF(D176=2,VLOOKUP(C176,'Capital Code Schedules'!A$15:F$300,3,FALSE),0))</f>
        <v>0</v>
      </c>
      <c r="K176" s="123">
        <v>0</v>
      </c>
      <c r="L176" s="123">
        <f>VLOOKUP(LEFT(A176,10),'Streetlight Tariff Schedule'!B$11:G$260,6, FALSE)+I176</f>
        <v>86.662529197463584</v>
      </c>
      <c r="M176" s="161">
        <f t="shared" si="23"/>
        <v>86.662529197463584</v>
      </c>
      <c r="N176" s="405">
        <f t="shared" si="24"/>
        <v>90.273637411487925</v>
      </c>
      <c r="O176" s="405">
        <v>60.346328507837505</v>
      </c>
      <c r="P176" s="406">
        <v>60.346328507837505</v>
      </c>
      <c r="Q176" s="406">
        <v>63.299609168602913</v>
      </c>
      <c r="R176" s="406">
        <v>63.299609168602913</v>
      </c>
      <c r="S176" s="405">
        <f t="shared" si="25"/>
        <v>94.691526521505125</v>
      </c>
      <c r="T176" s="406">
        <v>65.899399131877018</v>
      </c>
      <c r="U176" s="406">
        <v>66.140148824532503</v>
      </c>
      <c r="V176" s="405">
        <f t="shared" si="26"/>
        <v>98.940763439357355</v>
      </c>
      <c r="W176" s="406">
        <v>68.298315650096129</v>
      </c>
      <c r="X176" s="406">
        <v>69.159890981976218</v>
      </c>
      <c r="Y176" s="405">
        <f t="shared" si="27"/>
        <v>103.45807402539995</v>
      </c>
      <c r="Z176" s="406">
        <v>70.271154107643824</v>
      </c>
      <c r="AA176" s="406">
        <v>71.418011963478534</v>
      </c>
      <c r="AB176" s="442">
        <f t="shared" si="28"/>
        <v>105.70381169566826</v>
      </c>
      <c r="AC176" s="438">
        <f t="shared" si="29"/>
        <v>108.86425643606874</v>
      </c>
      <c r="AD176" s="410"/>
      <c r="AE176" s="411"/>
      <c r="AF176" s="411"/>
      <c r="AG176" s="411"/>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row>
    <row r="177" spans="1:61" x14ac:dyDescent="0.2">
      <c r="A177" s="159" t="s">
        <v>1459</v>
      </c>
      <c r="B177" s="18" t="str">
        <f>VLOOKUP(LEFT(A177,7),'Tariff Schedule Lookup Table'!$A$8:$G$186,2,FALSE)</f>
        <v>High Pressure Sodium 250</v>
      </c>
      <c r="C177" s="160">
        <f t="shared" si="30"/>
        <v>1450</v>
      </c>
      <c r="D177" s="18">
        <f t="shared" si="31"/>
        <v>2</v>
      </c>
      <c r="E177" s="18" t="str">
        <f>VLOOKUP(C177,'Tariff Schedule Lookup Table'!I$7:L$286,2,FALSE)</f>
        <v>METAL HALIDE/HPS 250W FLOOD (210/220)</v>
      </c>
      <c r="F177" s="18" t="str">
        <f>IF(E177 = "BULKHEADS ETC", "SHARED OR NO POLE", VLOOKUP(C177,'Tariff Schedule Lookup Table'!I$7:L$286,3,FALSE))</f>
        <v>R/BOUT COLUMN</v>
      </c>
      <c r="G177" s="18">
        <f>IF(E177 = "NO CAPITAL", 1, VLOOKUP(C177,'Tariff Schedule Lookup Table'!I$7:L$286,4,FALSE))</f>
        <v>4</v>
      </c>
      <c r="H177" s="18" t="str">
        <f t="shared" si="22"/>
        <v>2-Unmetered, Funded by Others, CE Maintained</v>
      </c>
      <c r="I177" s="123">
        <f>VLOOKUP(F177,'Maintenance Model'!$A$57:$B$61,2,FALSE)</f>
        <v>9.9616182311111103</v>
      </c>
      <c r="J177" s="123">
        <f>IF(D177=1,VLOOKUP(C177,'Capital Code Schedules'!A$15:F$300,2,FALSE),IF(D177=2,VLOOKUP(C177,'Capital Code Schedules'!A$15:F$300,3,FALSE),0))</f>
        <v>0</v>
      </c>
      <c r="K177" s="123">
        <v>0</v>
      </c>
      <c r="L177" s="123">
        <f>VLOOKUP(LEFT(A177,10),'Streetlight Tariff Schedule'!B$11:G$260,6, FALSE)+I177</f>
        <v>86.662529197463584</v>
      </c>
      <c r="M177" s="161">
        <f t="shared" si="23"/>
        <v>86.662529197463584</v>
      </c>
      <c r="N177" s="405">
        <f t="shared" si="24"/>
        <v>90.273637411487925</v>
      </c>
      <c r="O177" s="405">
        <v>60.346328507837505</v>
      </c>
      <c r="P177" s="406">
        <v>60.346328507837505</v>
      </c>
      <c r="Q177" s="406">
        <v>63.299609168602913</v>
      </c>
      <c r="R177" s="406">
        <v>63.299609168602913</v>
      </c>
      <c r="S177" s="405">
        <f t="shared" si="25"/>
        <v>94.691526521505125</v>
      </c>
      <c r="T177" s="406">
        <v>65.899399131877018</v>
      </c>
      <c r="U177" s="406">
        <v>66.140148824532503</v>
      </c>
      <c r="V177" s="405">
        <f t="shared" si="26"/>
        <v>98.940763439357355</v>
      </c>
      <c r="W177" s="406">
        <v>68.298315650096129</v>
      </c>
      <c r="X177" s="406">
        <v>69.159890981976218</v>
      </c>
      <c r="Y177" s="405">
        <f t="shared" si="27"/>
        <v>103.45807402539995</v>
      </c>
      <c r="Z177" s="406">
        <v>70.271154107643824</v>
      </c>
      <c r="AA177" s="406">
        <v>71.418011963478534</v>
      </c>
      <c r="AB177" s="442">
        <f t="shared" si="28"/>
        <v>105.70381169566826</v>
      </c>
      <c r="AC177" s="438">
        <f t="shared" si="29"/>
        <v>108.86425643606874</v>
      </c>
      <c r="AD177" s="410"/>
      <c r="AE177" s="411"/>
      <c r="AF177" s="411"/>
      <c r="AG177" s="411"/>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row>
    <row r="178" spans="1:61" x14ac:dyDescent="0.2">
      <c r="A178" s="159" t="s">
        <v>1460</v>
      </c>
      <c r="B178" s="18" t="str">
        <f>VLOOKUP(LEFT(A178,7),'Tariff Schedule Lookup Table'!$A$8:$G$186,2,FALSE)</f>
        <v>High Pressure Sodium 250</v>
      </c>
      <c r="C178" s="160">
        <f t="shared" si="30"/>
        <v>60</v>
      </c>
      <c r="D178" s="18">
        <f t="shared" si="31"/>
        <v>1</v>
      </c>
      <c r="E178" s="18" t="str">
        <f>VLOOKUP(C178,'Tariff Schedule Lookup Table'!I$7:L$286,2,FALSE)</f>
        <v>HIGH PRESSURE SODIUM 250W (210/220)</v>
      </c>
      <c r="F178" s="18" t="str">
        <f>IF(E178 = "BULKHEADS ETC", "SHARED OR NO POLE", VLOOKUP(C178,'Tariff Schedule Lookup Table'!I$7:L$286,3,FALSE))</f>
        <v>SHARED OR NO POLE</v>
      </c>
      <c r="G178" s="18">
        <f>IF(E178 = "NO CAPITAL", 1, VLOOKUP(C178,'Tariff Schedule Lookup Table'!I$7:L$286,4,FALSE))</f>
        <v>1</v>
      </c>
      <c r="H178" s="18" t="str">
        <f t="shared" si="22"/>
        <v>1-Unmetered, CE Funded, CE Maintained</v>
      </c>
      <c r="I178" s="123">
        <f>VLOOKUP(F178,'Maintenance Model'!$A$57:$B$61,2,FALSE)</f>
        <v>0</v>
      </c>
      <c r="J178" s="123">
        <f>IF(D178=1,VLOOKUP(C178,'Capital Code Schedules'!A$15:F$300,2,FALSE),IF(D178=2,VLOOKUP(C178,'Capital Code Schedules'!A$15:F$300,3,FALSE),0))</f>
        <v>32.138130136529035</v>
      </c>
      <c r="K178" s="123">
        <v>40.766278904912198</v>
      </c>
      <c r="L178" s="123">
        <f>VLOOKUP(LEFT(A178,10),'Streetlight Tariff Schedule'!B$11:G$260,6, FALSE)+I178</f>
        <v>53.090669769403142</v>
      </c>
      <c r="M178" s="161">
        <f t="shared" si="23"/>
        <v>93.856948674315333</v>
      </c>
      <c r="N178" s="405">
        <f t="shared" si="24"/>
        <v>88.236433703704705</v>
      </c>
      <c r="O178" s="405">
        <v>81.520991422734269</v>
      </c>
      <c r="P178" s="406">
        <v>79.671572385382376</v>
      </c>
      <c r="Q178" s="406">
        <v>82.560112863219601</v>
      </c>
      <c r="R178" s="406">
        <v>84.455305021745957</v>
      </c>
      <c r="S178" s="405">
        <f t="shared" si="25"/>
        <v>91.757999303853609</v>
      </c>
      <c r="T178" s="406">
        <v>85.252257962521981</v>
      </c>
      <c r="U178" s="406">
        <v>87.513183682952899</v>
      </c>
      <c r="V178" s="405">
        <f t="shared" si="26"/>
        <v>95.322977537497408</v>
      </c>
      <c r="W178" s="406">
        <v>87.844481719624071</v>
      </c>
      <c r="X178" s="406">
        <v>90.968192800956757</v>
      </c>
      <c r="Y178" s="405">
        <f t="shared" si="27"/>
        <v>99.267030420681181</v>
      </c>
      <c r="Z178" s="406">
        <v>90.196009014777218</v>
      </c>
      <c r="AA178" s="406">
        <v>93.741056995703715</v>
      </c>
      <c r="AB178" s="442">
        <f t="shared" si="28"/>
        <v>101.27441483334927</v>
      </c>
      <c r="AC178" s="438">
        <f t="shared" si="29"/>
        <v>104.27324401499308</v>
      </c>
      <c r="AD178" s="410"/>
      <c r="AE178" s="411"/>
      <c r="AF178" s="411"/>
      <c r="AG178" s="411"/>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row>
    <row r="179" spans="1:61" x14ac:dyDescent="0.2">
      <c r="A179" s="159" t="s">
        <v>1461</v>
      </c>
      <c r="B179" s="18" t="str">
        <f>VLOOKUP(LEFT(A179,7),'Tariff Schedule Lookup Table'!$A$8:$G$186,2,FALSE)</f>
        <v>High Pressure Sodium 250</v>
      </c>
      <c r="C179" s="160">
        <f t="shared" si="30"/>
        <v>60</v>
      </c>
      <c r="D179" s="18">
        <f t="shared" si="31"/>
        <v>2</v>
      </c>
      <c r="E179" s="18" t="str">
        <f>VLOOKUP(C179,'Tariff Schedule Lookup Table'!I$7:L$286,2,FALSE)</f>
        <v>HIGH PRESSURE SODIUM 250W (210/220)</v>
      </c>
      <c r="F179" s="18" t="str">
        <f>IF(E179 = "BULKHEADS ETC", "SHARED OR NO POLE", VLOOKUP(C179,'Tariff Schedule Lookup Table'!I$7:L$286,3,FALSE))</f>
        <v>SHARED OR NO POLE</v>
      </c>
      <c r="G179" s="18">
        <f>IF(E179 = "NO CAPITAL", 1, VLOOKUP(C179,'Tariff Schedule Lookup Table'!I$7:L$286,4,FALSE))</f>
        <v>1</v>
      </c>
      <c r="H179" s="18" t="str">
        <f t="shared" si="22"/>
        <v>2-Unmetered, Funded by Others, CE Maintained</v>
      </c>
      <c r="I179" s="123">
        <f>VLOOKUP(F179,'Maintenance Model'!$A$57:$B$61,2,FALSE)</f>
        <v>0</v>
      </c>
      <c r="J179" s="123">
        <f>IF(D179=1,VLOOKUP(C179,'Capital Code Schedules'!A$15:F$300,2,FALSE),IF(D179=2,VLOOKUP(C179,'Capital Code Schedules'!A$15:F$300,3,FALSE),0))</f>
        <v>0</v>
      </c>
      <c r="K179" s="123">
        <v>0</v>
      </c>
      <c r="L179" s="123">
        <f>VLOOKUP(LEFT(A179,10),'Streetlight Tariff Schedule'!B$11:G$260,6, FALSE)+I179</f>
        <v>53.090669769403142</v>
      </c>
      <c r="M179" s="161">
        <f t="shared" si="23"/>
        <v>53.090669769403142</v>
      </c>
      <c r="N179" s="405">
        <f t="shared" si="24"/>
        <v>55.302884846296564</v>
      </c>
      <c r="O179" s="405">
        <v>37.896328077573614</v>
      </c>
      <c r="P179" s="406">
        <v>37.896328077573614</v>
      </c>
      <c r="Q179" s="406">
        <v>39.750931258792562</v>
      </c>
      <c r="R179" s="406">
        <v>39.750931258792562</v>
      </c>
      <c r="S179" s="405">
        <f t="shared" si="25"/>
        <v>58.009345112224629</v>
      </c>
      <c r="T179" s="406">
        <v>41.383549113385371</v>
      </c>
      <c r="U179" s="406">
        <v>41.534735267755352</v>
      </c>
      <c r="V179" s="405">
        <f t="shared" si="26"/>
        <v>60.612486701406993</v>
      </c>
      <c r="W179" s="406">
        <v>42.890022326471325</v>
      </c>
      <c r="X179" s="406">
        <v>43.431074984484006</v>
      </c>
      <c r="Y179" s="405">
        <f t="shared" si="27"/>
        <v>63.379853945247319</v>
      </c>
      <c r="Z179" s="406">
        <v>44.128926751643966</v>
      </c>
      <c r="AA179" s="406">
        <v>44.849131321461492</v>
      </c>
      <c r="AB179" s="442">
        <f t="shared" si="28"/>
        <v>64.755624051947748</v>
      </c>
      <c r="AC179" s="438">
        <f t="shared" si="29"/>
        <v>66.691756421852787</v>
      </c>
      <c r="AD179" s="410"/>
      <c r="AE179" s="411"/>
      <c r="AF179" s="411"/>
      <c r="AG179" s="411"/>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row>
    <row r="180" spans="1:61" x14ac:dyDescent="0.2">
      <c r="A180" s="159" t="s">
        <v>1462</v>
      </c>
      <c r="B180" s="18" t="str">
        <f>VLOOKUP(LEFT(A180,7),'Tariff Schedule Lookup Table'!$A$8:$G$186,2,FALSE)</f>
        <v>High Pressure Sodium 250</v>
      </c>
      <c r="C180" s="160">
        <f t="shared" si="30"/>
        <v>230</v>
      </c>
      <c r="D180" s="18">
        <f t="shared" si="31"/>
        <v>1</v>
      </c>
      <c r="E180" s="18" t="str">
        <f>VLOOKUP(C180,'Tariff Schedule Lookup Table'!I$7:L$286,2,FALSE)</f>
        <v>HIGH PRESSURE SODIUM 250W (210/220)</v>
      </c>
      <c r="F180" s="18" t="str">
        <f>IF(E180 = "BULKHEADS ETC", "SHARED OR NO POLE", VLOOKUP(C180,'Tariff Schedule Lookup Table'!I$7:L$286,3,FALSE))</f>
        <v>WOOD POLE</v>
      </c>
      <c r="G180" s="18">
        <f>IF(E180 = "NO CAPITAL", 1, VLOOKUP(C180,'Tariff Schedule Lookup Table'!I$7:L$286,4,FALSE))</f>
        <v>1</v>
      </c>
      <c r="H180" s="18" t="str">
        <f t="shared" si="22"/>
        <v>1-Unmetered, CE Funded, CE Maintained</v>
      </c>
      <c r="I180" s="123">
        <f>VLOOKUP(F180,'Maintenance Model'!$A$57:$B$61,2,FALSE)</f>
        <v>10.731618231111112</v>
      </c>
      <c r="J180" s="123">
        <f>IF(D180=1,VLOOKUP(C180,'Capital Code Schedules'!A$15:F$300,2,FALSE),IF(D180=2,VLOOKUP(C180,'Capital Code Schedules'!A$15:F$300,3,FALSE),0))</f>
        <v>66.039248498405314</v>
      </c>
      <c r="K180" s="123">
        <v>83.768856853834222</v>
      </c>
      <c r="L180" s="123">
        <f>VLOOKUP(LEFT(A180,10),'Streetlight Tariff Schedule'!B$11:G$260,6, FALSE)+I180</f>
        <v>63.822288000514256</v>
      </c>
      <c r="M180" s="161">
        <f t="shared" si="23"/>
        <v>147.59114485434847</v>
      </c>
      <c r="N180" s="405">
        <f t="shared" si="24"/>
        <v>134.15539472503482</v>
      </c>
      <c r="O180" s="405">
        <v>137.93495511037042</v>
      </c>
      <c r="P180" s="406">
        <v>134.13466421396441</v>
      </c>
      <c r="Q180" s="406">
        <v>138.62263846655949</v>
      </c>
      <c r="R180" s="406">
        <v>142.51698656265154</v>
      </c>
      <c r="S180" s="405">
        <f t="shared" si="25"/>
        <v>139.08385682189618</v>
      </c>
      <c r="T180" s="406">
        <v>142.88031324326855</v>
      </c>
      <c r="U180" s="406">
        <v>147.40818694619747</v>
      </c>
      <c r="V180" s="405">
        <f t="shared" si="26"/>
        <v>144.18962745700392</v>
      </c>
      <c r="W180" s="406">
        <v>147.03112290417656</v>
      </c>
      <c r="X180" s="406">
        <v>153.02759665184709</v>
      </c>
      <c r="Y180" s="405">
        <f t="shared" si="27"/>
        <v>149.93430379219575</v>
      </c>
      <c r="Z180" s="406">
        <v>150.89617969884122</v>
      </c>
      <c r="AA180" s="406">
        <v>157.61860799502156</v>
      </c>
      <c r="AB180" s="442">
        <f t="shared" si="28"/>
        <v>152.88604552471676</v>
      </c>
      <c r="AC180" s="438">
        <f t="shared" si="29"/>
        <v>157.39723250655339</v>
      </c>
      <c r="AD180" s="410"/>
      <c r="AE180" s="411"/>
      <c r="AF180" s="411"/>
      <c r="AG180" s="411"/>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row>
    <row r="181" spans="1:61" x14ac:dyDescent="0.2">
      <c r="A181" s="159" t="s">
        <v>1463</v>
      </c>
      <c r="B181" s="18" t="str">
        <f>VLOOKUP(LEFT(A181,7),'Tariff Schedule Lookup Table'!$A$8:$G$186,2,FALSE)</f>
        <v>High Pressure Sodium 250</v>
      </c>
      <c r="C181" s="160">
        <f t="shared" si="30"/>
        <v>320</v>
      </c>
      <c r="D181" s="18">
        <f t="shared" si="31"/>
        <v>1</v>
      </c>
      <c r="E181" s="18" t="str">
        <f>VLOOKUP(C181,'Tariff Schedule Lookup Table'!I$7:L$286,2,FALSE)</f>
        <v>HIGH PRESSURE SODIUM 250W (210/220)</v>
      </c>
      <c r="F181" s="18" t="str">
        <f>IF(E181 = "BULKHEADS ETC", "SHARED OR NO POLE", VLOOKUP(C181,'Tariff Schedule Lookup Table'!I$7:L$286,3,FALSE))</f>
        <v>STEEL POLE</v>
      </c>
      <c r="G181" s="18">
        <f>IF(E181 = "NO CAPITAL", 1, VLOOKUP(C181,'Tariff Schedule Lookup Table'!I$7:L$286,4,FALSE))</f>
        <v>1</v>
      </c>
      <c r="H181" s="18" t="str">
        <f t="shared" si="22"/>
        <v>1-Unmetered, CE Funded, CE Maintained</v>
      </c>
      <c r="I181" s="123">
        <f>VLOOKUP(F181,'Maintenance Model'!$A$57:$B$61,2,FALSE)</f>
        <v>9.9616182311111103</v>
      </c>
      <c r="J181" s="123">
        <f>IF(D181=1,VLOOKUP(C181,'Capital Code Schedules'!A$15:F$300,2,FALSE),IF(D181=2,VLOOKUP(C181,'Capital Code Schedules'!A$15:F$300,3,FALSE),0))</f>
        <v>92.322513672035399</v>
      </c>
      <c r="K181" s="123">
        <v>117.10841065015505</v>
      </c>
      <c r="L181" s="123">
        <f>VLOOKUP(LEFT(A181,10),'Streetlight Tariff Schedule'!B$11:G$260,6, FALSE)+I181</f>
        <v>63.052288000514253</v>
      </c>
      <c r="M181" s="161">
        <f t="shared" si="23"/>
        <v>180.1606986506693</v>
      </c>
      <c r="N181" s="405">
        <f t="shared" si="24"/>
        <v>160.28708587238725</v>
      </c>
      <c r="O181" s="405">
        <v>172.8100733298489</v>
      </c>
      <c r="P181" s="406">
        <v>167.49728712741916</v>
      </c>
      <c r="Q181" s="406">
        <v>172.79158477739608</v>
      </c>
      <c r="R181" s="406">
        <v>178.23586243833597</v>
      </c>
      <c r="S181" s="405">
        <f t="shared" si="25"/>
        <v>165.84290580541938</v>
      </c>
      <c r="T181" s="406">
        <v>177.88120934276262</v>
      </c>
      <c r="U181" s="406">
        <v>184.13127427806467</v>
      </c>
      <c r="V181" s="405">
        <f t="shared" si="26"/>
        <v>171.69753283028334</v>
      </c>
      <c r="W181" s="406">
        <v>182.88808466106653</v>
      </c>
      <c r="X181" s="406">
        <v>190.98526140005362</v>
      </c>
      <c r="Y181" s="405">
        <f t="shared" si="27"/>
        <v>178.36439191341836</v>
      </c>
      <c r="Z181" s="406">
        <v>187.63684704590315</v>
      </c>
      <c r="AA181" s="406">
        <v>196.65425071611136</v>
      </c>
      <c r="AB181" s="442">
        <f t="shared" si="28"/>
        <v>181.8127281606497</v>
      </c>
      <c r="AC181" s="438">
        <f t="shared" si="29"/>
        <v>187.16493114280968</v>
      </c>
      <c r="AD181" s="410"/>
      <c r="AE181" s="411"/>
      <c r="AF181" s="411"/>
      <c r="AG181" s="411"/>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row>
    <row r="182" spans="1:61" x14ac:dyDescent="0.2">
      <c r="A182" s="159" t="s">
        <v>1464</v>
      </c>
      <c r="B182" s="18" t="str">
        <f>VLOOKUP(LEFT(A182,7),'Tariff Schedule Lookup Table'!$A$8:$G$186,2,FALSE)</f>
        <v>High Pressure Sodium 250</v>
      </c>
      <c r="C182" s="160">
        <f t="shared" si="30"/>
        <v>320</v>
      </c>
      <c r="D182" s="18">
        <f t="shared" si="31"/>
        <v>2</v>
      </c>
      <c r="E182" s="18" t="str">
        <f>VLOOKUP(C182,'Tariff Schedule Lookup Table'!I$7:L$286,2,FALSE)</f>
        <v>HIGH PRESSURE SODIUM 250W (210/220)</v>
      </c>
      <c r="F182" s="18" t="str">
        <f>IF(E182 = "BULKHEADS ETC", "SHARED OR NO POLE", VLOOKUP(C182,'Tariff Schedule Lookup Table'!I$7:L$286,3,FALSE))</f>
        <v>STEEL POLE</v>
      </c>
      <c r="G182" s="18">
        <f>IF(E182 = "NO CAPITAL", 1, VLOOKUP(C182,'Tariff Schedule Lookup Table'!I$7:L$286,4,FALSE))</f>
        <v>1</v>
      </c>
      <c r="H182" s="18" t="str">
        <f t="shared" si="22"/>
        <v>2-Unmetered, Funded by Others, CE Maintained</v>
      </c>
      <c r="I182" s="123">
        <f>VLOOKUP(F182,'Maintenance Model'!$A$57:$B$61,2,FALSE)</f>
        <v>9.9616182311111103</v>
      </c>
      <c r="J182" s="123">
        <f>IF(D182=1,VLOOKUP(C182,'Capital Code Schedules'!A$15:F$300,2,FALSE),IF(D182=2,VLOOKUP(C182,'Capital Code Schedules'!A$15:F$300,3,FALSE),0))</f>
        <v>0</v>
      </c>
      <c r="K182" s="123">
        <v>0</v>
      </c>
      <c r="L182" s="123">
        <f>VLOOKUP(LEFT(A182,10),'Streetlight Tariff Schedule'!B$11:G$260,6, FALSE)+I182</f>
        <v>63.052288000514253</v>
      </c>
      <c r="M182" s="161">
        <f t="shared" si="23"/>
        <v>63.052288000514253</v>
      </c>
      <c r="N182" s="405">
        <f t="shared" si="24"/>
        <v>65.679589986968963</v>
      </c>
      <c r="O182" s="405">
        <v>47.490443313672777</v>
      </c>
      <c r="P182" s="406">
        <v>47.490443313672777</v>
      </c>
      <c r="Q182" s="406">
        <v>49.814571579259479</v>
      </c>
      <c r="R182" s="406">
        <v>49.814571579259479</v>
      </c>
      <c r="S182" s="405">
        <f t="shared" si="25"/>
        <v>68.893874396837006</v>
      </c>
      <c r="T182" s="406">
        <v>51.860515067972123</v>
      </c>
      <c r="U182" s="406">
        <v>52.049976629504485</v>
      </c>
      <c r="V182" s="405">
        <f t="shared" si="26"/>
        <v>71.98545402655634</v>
      </c>
      <c r="W182" s="406">
        <v>53.748378202974983</v>
      </c>
      <c r="X182" s="406">
        <v>54.426407761207273</v>
      </c>
      <c r="Y182" s="405">
        <f t="shared" si="27"/>
        <v>75.272073638245047</v>
      </c>
      <c r="Z182" s="406">
        <v>55.300932852973844</v>
      </c>
      <c r="AA182" s="406">
        <v>56.203469748557879</v>
      </c>
      <c r="AB182" s="442">
        <f t="shared" si="28"/>
        <v>76.905985083833301</v>
      </c>
      <c r="AC182" s="438">
        <f t="shared" si="29"/>
        <v>79.205401842457917</v>
      </c>
      <c r="AD182" s="410"/>
      <c r="AE182" s="411"/>
      <c r="AF182" s="411"/>
      <c r="AG182" s="411"/>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row>
    <row r="183" spans="1:61" x14ac:dyDescent="0.2">
      <c r="A183" s="159" t="s">
        <v>1465</v>
      </c>
      <c r="B183" s="18" t="str">
        <f>VLOOKUP(LEFT(A183,7),'Tariff Schedule Lookup Table'!$A$8:$G$186,2,FALSE)</f>
        <v>High Pressure Sodium 250</v>
      </c>
      <c r="C183" s="160">
        <f t="shared" si="30"/>
        <v>470</v>
      </c>
      <c r="D183" s="18">
        <f t="shared" si="31"/>
        <v>1</v>
      </c>
      <c r="E183" s="18" t="str">
        <f>VLOOKUP(C183,'Tariff Schedule Lookup Table'!I$7:L$286,2,FALSE)</f>
        <v>HIGH PRESSURE SODIUM 250W (210/220)</v>
      </c>
      <c r="F183" s="18" t="str">
        <f>IF(E183 = "BULKHEADS ETC", "SHARED OR NO POLE", VLOOKUP(C183,'Tariff Schedule Lookup Table'!I$7:L$286,3,FALSE))</f>
        <v>STEEL POLE</v>
      </c>
      <c r="G183" s="18">
        <f>IF(E183 = "NO CAPITAL", 1, VLOOKUP(C183,'Tariff Schedule Lookup Table'!I$7:L$286,4,FALSE))</f>
        <v>4</v>
      </c>
      <c r="H183" s="18" t="str">
        <f t="shared" si="22"/>
        <v>1-Unmetered, CE Funded, CE Maintained</v>
      </c>
      <c r="I183" s="123">
        <f>VLOOKUP(F183,'Maintenance Model'!$A$57:$B$61,2,FALSE)</f>
        <v>9.9616182311111103</v>
      </c>
      <c r="J183" s="123">
        <f>IF(D183=1,VLOOKUP(C183,'Capital Code Schedules'!A$15:F$300,2,FALSE),IF(D183=2,VLOOKUP(C183,'Capital Code Schedules'!A$15:F$300,3,FALSE),0))</f>
        <v>130.52333273485345</v>
      </c>
      <c r="K183" s="123">
        <v>165.56503328797476</v>
      </c>
      <c r="L183" s="123">
        <f>VLOOKUP(LEFT(A183,10),'Streetlight Tariff Schedule'!B$11:G$260,6, FALSE)+I183</f>
        <v>63.052288000514253</v>
      </c>
      <c r="M183" s="161">
        <f t="shared" si="23"/>
        <v>228.61732128848899</v>
      </c>
      <c r="N183" s="405">
        <f t="shared" si="24"/>
        <v>199.43337520701002</v>
      </c>
      <c r="O183" s="405">
        <v>224.66429957279547</v>
      </c>
      <c r="P183" s="406">
        <v>217.15321117552492</v>
      </c>
      <c r="Q183" s="406">
        <v>223.67649294569247</v>
      </c>
      <c r="R183" s="406">
        <v>231.37348078079546</v>
      </c>
      <c r="S183" s="405">
        <f t="shared" si="25"/>
        <v>205.95806580107407</v>
      </c>
      <c r="T183" s="406">
        <v>230.02551898822432</v>
      </c>
      <c r="U183" s="406">
        <v>238.78331474328422</v>
      </c>
      <c r="V183" s="405">
        <f t="shared" si="26"/>
        <v>212.95597488581419</v>
      </c>
      <c r="W183" s="406">
        <v>236.32296597025342</v>
      </c>
      <c r="X183" s="406">
        <v>247.49000603704411</v>
      </c>
      <c r="Y183" s="405">
        <f t="shared" si="27"/>
        <v>221.02149515463171</v>
      </c>
      <c r="Z183" s="406">
        <v>242.39424166749242</v>
      </c>
      <c r="AA183" s="406">
        <v>254.76938057525609</v>
      </c>
      <c r="AB183" s="442">
        <f t="shared" si="28"/>
        <v>225.2205964189084</v>
      </c>
      <c r="AC183" s="438">
        <f t="shared" si="29"/>
        <v>231.83596836738369</v>
      </c>
      <c r="AD183" s="410"/>
      <c r="AE183" s="411"/>
      <c r="AF183" s="411"/>
      <c r="AG183" s="411"/>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row>
    <row r="184" spans="1:61" x14ac:dyDescent="0.2">
      <c r="A184" s="159" t="s">
        <v>1466</v>
      </c>
      <c r="B184" s="18" t="str">
        <f>VLOOKUP(LEFT(A184,7),'Tariff Schedule Lookup Table'!$A$8:$G$186,2,FALSE)</f>
        <v>High Pressure Sodium 250</v>
      </c>
      <c r="C184" s="160">
        <f t="shared" si="30"/>
        <v>590</v>
      </c>
      <c r="D184" s="18">
        <f t="shared" si="31"/>
        <v>1</v>
      </c>
      <c r="E184" s="18" t="str">
        <f>VLOOKUP(C184,'Tariff Schedule Lookup Table'!I$7:L$286,2,FALSE)</f>
        <v>HIGH PRESSURE SODIUM 250W (210/220)</v>
      </c>
      <c r="F184" s="18" t="str">
        <f>IF(E184 = "BULKHEADS ETC", "SHARED OR NO POLE", VLOOKUP(C184,'Tariff Schedule Lookup Table'!I$7:L$286,3,FALSE))</f>
        <v>R/BOUT COLUMN</v>
      </c>
      <c r="G184" s="18">
        <f>IF(E184 = "NO CAPITAL", 1, VLOOKUP(C184,'Tariff Schedule Lookup Table'!I$7:L$286,4,FALSE))</f>
        <v>4</v>
      </c>
      <c r="H184" s="18" t="str">
        <f t="shared" si="22"/>
        <v>1-Unmetered, CE Funded, CE Maintained</v>
      </c>
      <c r="I184" s="123">
        <f>VLOOKUP(F184,'Maintenance Model'!$A$57:$B$61,2,FALSE)</f>
        <v>9.9616182311111103</v>
      </c>
      <c r="J184" s="123">
        <f>IF(D184=1,VLOOKUP(C184,'Capital Code Schedules'!A$15:F$300,2,FALSE),IF(D184=2,VLOOKUP(C184,'Capital Code Schedules'!A$15:F$300,3,FALSE),0))</f>
        <v>190.52352832998582</v>
      </c>
      <c r="K184" s="123">
        <v>241.67352801338137</v>
      </c>
      <c r="L184" s="123">
        <f>VLOOKUP(LEFT(A184,10),'Streetlight Tariff Schedule'!B$11:G$260,6, FALSE)+I184</f>
        <v>63.052288000514253</v>
      </c>
      <c r="M184" s="161">
        <f t="shared" si="23"/>
        <v>304.72581601389561</v>
      </c>
      <c r="N184" s="405">
        <f t="shared" si="24"/>
        <v>260.91857564312193</v>
      </c>
      <c r="O184" s="405">
        <v>306.10924743883004</v>
      </c>
      <c r="P184" s="406">
        <v>295.14539114538536</v>
      </c>
      <c r="Q184" s="406">
        <v>303.59897936980695</v>
      </c>
      <c r="R184" s="406">
        <v>314.83419110651437</v>
      </c>
      <c r="S184" s="405">
        <f t="shared" si="25"/>
        <v>268.96502494797977</v>
      </c>
      <c r="T184" s="406">
        <v>311.92608695133566</v>
      </c>
      <c r="U184" s="406">
        <v>324.62265531328609</v>
      </c>
      <c r="V184" s="405">
        <f t="shared" si="26"/>
        <v>277.75863236840661</v>
      </c>
      <c r="W184" s="406">
        <v>320.25057299045176</v>
      </c>
      <c r="X184" s="406">
        <v>336.23930025236911</v>
      </c>
      <c r="Y184" s="405">
        <f t="shared" si="27"/>
        <v>288.02096272588403</v>
      </c>
      <c r="Z184" s="406">
        <v>328.39905696144069</v>
      </c>
      <c r="AA184" s="406">
        <v>346.04802967571788</v>
      </c>
      <c r="AB184" s="442">
        <f t="shared" si="28"/>
        <v>293.39925461941482</v>
      </c>
      <c r="AC184" s="438">
        <f t="shared" si="29"/>
        <v>301.99862552152484</v>
      </c>
      <c r="AD184" s="410"/>
      <c r="AE184" s="411"/>
      <c r="AF184" s="411"/>
      <c r="AG184" s="411"/>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row>
    <row r="185" spans="1:61" x14ac:dyDescent="0.2">
      <c r="A185" s="159" t="s">
        <v>1467</v>
      </c>
      <c r="B185" s="18" t="str">
        <f>VLOOKUP(LEFT(A185,7),'Tariff Schedule Lookup Table'!$A$8:$G$186,2,FALSE)</f>
        <v>High Pressure Sodium 250</v>
      </c>
      <c r="C185" s="160">
        <f t="shared" si="30"/>
        <v>590</v>
      </c>
      <c r="D185" s="18">
        <f t="shared" si="31"/>
        <v>2</v>
      </c>
      <c r="E185" s="18" t="str">
        <f>VLOOKUP(C185,'Tariff Schedule Lookup Table'!I$7:L$286,2,FALSE)</f>
        <v>HIGH PRESSURE SODIUM 250W (210/220)</v>
      </c>
      <c r="F185" s="18" t="str">
        <f>IF(E185 = "BULKHEADS ETC", "SHARED OR NO POLE", VLOOKUP(C185,'Tariff Schedule Lookup Table'!I$7:L$286,3,FALSE))</f>
        <v>R/BOUT COLUMN</v>
      </c>
      <c r="G185" s="18">
        <f>IF(E185 = "NO CAPITAL", 1, VLOOKUP(C185,'Tariff Schedule Lookup Table'!I$7:L$286,4,FALSE))</f>
        <v>4</v>
      </c>
      <c r="H185" s="18" t="str">
        <f t="shared" si="22"/>
        <v>2-Unmetered, Funded by Others, CE Maintained</v>
      </c>
      <c r="I185" s="123">
        <f>VLOOKUP(F185,'Maintenance Model'!$A$57:$B$61,2,FALSE)</f>
        <v>9.9616182311111103</v>
      </c>
      <c r="J185" s="123">
        <f>IF(D185=1,VLOOKUP(C185,'Capital Code Schedules'!A$15:F$300,2,FALSE),IF(D185=2,VLOOKUP(C185,'Capital Code Schedules'!A$15:F$300,3,FALSE),0))</f>
        <v>0</v>
      </c>
      <c r="K185" s="123">
        <v>0</v>
      </c>
      <c r="L185" s="123">
        <f>VLOOKUP(LEFT(A185,10),'Streetlight Tariff Schedule'!B$11:G$260,6, FALSE)+I185</f>
        <v>63.052288000514253</v>
      </c>
      <c r="M185" s="161">
        <f t="shared" si="23"/>
        <v>63.052288000514253</v>
      </c>
      <c r="N185" s="405">
        <f t="shared" si="24"/>
        <v>65.679589986968963</v>
      </c>
      <c r="O185" s="405">
        <v>47.490443313672777</v>
      </c>
      <c r="P185" s="406">
        <v>47.490443313672777</v>
      </c>
      <c r="Q185" s="406">
        <v>49.814571579259479</v>
      </c>
      <c r="R185" s="406">
        <v>49.814571579259479</v>
      </c>
      <c r="S185" s="405">
        <f t="shared" si="25"/>
        <v>68.893874396837006</v>
      </c>
      <c r="T185" s="406">
        <v>51.860515067972123</v>
      </c>
      <c r="U185" s="406">
        <v>52.049976629504485</v>
      </c>
      <c r="V185" s="405">
        <f t="shared" si="26"/>
        <v>71.98545402655634</v>
      </c>
      <c r="W185" s="406">
        <v>53.748378202974983</v>
      </c>
      <c r="X185" s="406">
        <v>54.426407761207273</v>
      </c>
      <c r="Y185" s="405">
        <f t="shared" si="27"/>
        <v>75.272073638245047</v>
      </c>
      <c r="Z185" s="406">
        <v>55.300932852973844</v>
      </c>
      <c r="AA185" s="406">
        <v>56.203469748557879</v>
      </c>
      <c r="AB185" s="442">
        <f t="shared" si="28"/>
        <v>76.905985083833301</v>
      </c>
      <c r="AC185" s="438">
        <f t="shared" si="29"/>
        <v>79.205401842457917</v>
      </c>
      <c r="AD185" s="410"/>
      <c r="AE185" s="411"/>
      <c r="AF185" s="411"/>
      <c r="AG185" s="411"/>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row>
    <row r="186" spans="1:61" x14ac:dyDescent="0.2">
      <c r="A186" s="159" t="s">
        <v>1468</v>
      </c>
      <c r="B186" s="18" t="str">
        <f>VLOOKUP(LEFT(A186,7),'Tariff Schedule Lookup Table'!$A$8:$G$186,2,FALSE)</f>
        <v>High Pressure Sodium 250</v>
      </c>
      <c r="C186" s="160">
        <f t="shared" si="30"/>
        <v>960</v>
      </c>
      <c r="D186" s="18">
        <f t="shared" si="31"/>
        <v>1</v>
      </c>
      <c r="E186" s="18" t="str">
        <f>VLOOKUP(C186,'Tariff Schedule Lookup Table'!I$7:L$286,2,FALSE)</f>
        <v>HIGH PRESSURE SODIUM 250W (210/220)</v>
      </c>
      <c r="F186" s="18" t="str">
        <f>IF(E186 = "BULKHEADS ETC", "SHARED OR NO POLE", VLOOKUP(C186,'Tariff Schedule Lookup Table'!I$7:L$286,3,FALSE))</f>
        <v>SHARED OR NO POLE</v>
      </c>
      <c r="G186" s="18">
        <f>IF(E186 = "NO CAPITAL", 1, VLOOKUP(C186,'Tariff Schedule Lookup Table'!I$7:L$286,4,FALSE))</f>
        <v>2</v>
      </c>
      <c r="H186" s="18" t="str">
        <f t="shared" si="22"/>
        <v>1-Unmetered, CE Funded, CE Maintained</v>
      </c>
      <c r="I186" s="123">
        <f>VLOOKUP(F186,'Maintenance Model'!$A$57:$B$61,2,FALSE)</f>
        <v>0</v>
      </c>
      <c r="J186" s="123">
        <f>IF(D186=1,VLOOKUP(C186,'Capital Code Schedules'!A$15:F$300,2,FALSE),IF(D186=2,VLOOKUP(C186,'Capital Code Schedules'!A$15:F$300,3,FALSE),0))</f>
        <v>44.871736490801723</v>
      </c>
      <c r="K186" s="123">
        <v>56.918486450852114</v>
      </c>
      <c r="L186" s="123">
        <f>VLOOKUP(LEFT(A186,10),'Streetlight Tariff Schedule'!B$11:G$260,6, FALSE)+I186</f>
        <v>53.090669769403142</v>
      </c>
      <c r="M186" s="161">
        <f t="shared" si="23"/>
        <v>110.00915622025525</v>
      </c>
      <c r="N186" s="405">
        <f t="shared" si="24"/>
        <v>101.28519681524563</v>
      </c>
      <c r="O186" s="405">
        <v>98.805733503716482</v>
      </c>
      <c r="P186" s="406">
        <v>96.223547068084315</v>
      </c>
      <c r="Q186" s="406">
        <v>99.521748919318412</v>
      </c>
      <c r="R186" s="406">
        <v>102.16784446923248</v>
      </c>
      <c r="S186" s="405">
        <f t="shared" si="25"/>
        <v>105.12971930240518</v>
      </c>
      <c r="T186" s="406">
        <v>102.63369451100922</v>
      </c>
      <c r="U186" s="406">
        <v>105.73053050469279</v>
      </c>
      <c r="V186" s="405">
        <f t="shared" si="26"/>
        <v>109.07579155600769</v>
      </c>
      <c r="W186" s="406">
        <v>105.65610882268638</v>
      </c>
      <c r="X186" s="406">
        <v>109.80310767995363</v>
      </c>
      <c r="Y186" s="405">
        <f t="shared" si="27"/>
        <v>113.48606483441897</v>
      </c>
      <c r="Z186" s="406">
        <v>108.44847388864032</v>
      </c>
      <c r="AA186" s="406">
        <v>113.112766948752</v>
      </c>
      <c r="AB186" s="442">
        <f t="shared" si="28"/>
        <v>115.74370425276884</v>
      </c>
      <c r="AC186" s="438">
        <f t="shared" si="29"/>
        <v>119.16358975651777</v>
      </c>
      <c r="AD186" s="410"/>
      <c r="AE186" s="411"/>
      <c r="AF186" s="411"/>
      <c r="AG186" s="411"/>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row>
    <row r="187" spans="1:61" x14ac:dyDescent="0.2">
      <c r="A187" s="159" t="s">
        <v>1469</v>
      </c>
      <c r="B187" s="18" t="str">
        <f>VLOOKUP(LEFT(A187,7),'Tariff Schedule Lookup Table'!$A$8:$G$186,2,FALSE)</f>
        <v>High Pressure Sodium 250</v>
      </c>
      <c r="C187" s="160">
        <f t="shared" si="30"/>
        <v>1120</v>
      </c>
      <c r="D187" s="18">
        <f t="shared" si="31"/>
        <v>2</v>
      </c>
      <c r="E187" s="18" t="str">
        <f>VLOOKUP(C187,'Tariff Schedule Lookup Table'!I$7:L$286,2,FALSE)</f>
        <v>METAL HALIDE/HPS 250W FLOOD (210/220)</v>
      </c>
      <c r="F187" s="18" t="str">
        <f>IF(E187 = "BULKHEADS ETC", "SHARED OR NO POLE", VLOOKUP(C187,'Tariff Schedule Lookup Table'!I$7:L$286,3,FALSE))</f>
        <v>STEEL POLE</v>
      </c>
      <c r="G187" s="18">
        <f>IF(E187 = "NO CAPITAL", 1, VLOOKUP(C187,'Tariff Schedule Lookup Table'!I$7:L$286,4,FALSE))</f>
        <v>1</v>
      </c>
      <c r="H187" s="18" t="str">
        <f t="shared" si="22"/>
        <v>2-Unmetered, Funded by Others, CE Maintained</v>
      </c>
      <c r="I187" s="123">
        <f>VLOOKUP(F187,'Maintenance Model'!$A$57:$B$61,2,FALSE)</f>
        <v>9.9616182311111103</v>
      </c>
      <c r="J187" s="123">
        <f>IF(D187=1,VLOOKUP(C187,'Capital Code Schedules'!A$15:F$300,2,FALSE),IF(D187=2,VLOOKUP(C187,'Capital Code Schedules'!A$15:F$300,3,FALSE),0))</f>
        <v>0</v>
      </c>
      <c r="K187" s="123">
        <v>0</v>
      </c>
      <c r="L187" s="123">
        <f>VLOOKUP(LEFT(A187,10),'Streetlight Tariff Schedule'!B$11:G$260,6, FALSE)+I187</f>
        <v>63.052288000514253</v>
      </c>
      <c r="M187" s="161">
        <f t="shared" si="23"/>
        <v>63.052288000514253</v>
      </c>
      <c r="N187" s="405">
        <f t="shared" si="24"/>
        <v>65.679589986968963</v>
      </c>
      <c r="O187" s="405">
        <v>47.490443313672777</v>
      </c>
      <c r="P187" s="406">
        <v>47.490443313672777</v>
      </c>
      <c r="Q187" s="406">
        <v>49.814571579259479</v>
      </c>
      <c r="R187" s="406">
        <v>49.814571579259479</v>
      </c>
      <c r="S187" s="405">
        <f t="shared" si="25"/>
        <v>68.893874396837006</v>
      </c>
      <c r="T187" s="406">
        <v>51.860515067972123</v>
      </c>
      <c r="U187" s="406">
        <v>52.049976629504485</v>
      </c>
      <c r="V187" s="405">
        <f t="shared" si="26"/>
        <v>71.98545402655634</v>
      </c>
      <c r="W187" s="406">
        <v>53.748378202974983</v>
      </c>
      <c r="X187" s="406">
        <v>54.426407761207273</v>
      </c>
      <c r="Y187" s="405">
        <f t="shared" si="27"/>
        <v>75.272073638245047</v>
      </c>
      <c r="Z187" s="406">
        <v>55.300932852973844</v>
      </c>
      <c r="AA187" s="406">
        <v>56.203469748557879</v>
      </c>
      <c r="AB187" s="442">
        <f t="shared" si="28"/>
        <v>76.905985083833301</v>
      </c>
      <c r="AC187" s="438">
        <f t="shared" si="29"/>
        <v>79.205401842457917</v>
      </c>
      <c r="AD187" s="410"/>
      <c r="AE187" s="411"/>
      <c r="AF187" s="411"/>
      <c r="AG187" s="411"/>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row>
    <row r="188" spans="1:61" ht="22.5" x14ac:dyDescent="0.2">
      <c r="A188" s="159" t="s">
        <v>1470</v>
      </c>
      <c r="B188" s="18" t="str">
        <f>VLOOKUP(LEFT(A188,7),'Tariff Schedule Lookup Table'!$A$8:$G$186,2,FALSE)</f>
        <v>High Pressure Sodium 2x250</v>
      </c>
      <c r="C188" s="160">
        <f t="shared" si="30"/>
        <v>860</v>
      </c>
      <c r="D188" s="18">
        <f t="shared" si="31"/>
        <v>2</v>
      </c>
      <c r="E188" s="18" t="str">
        <f>VLOOKUP(C188,'Tariff Schedule Lookup Table'!I$7:L$286,2,FALSE)</f>
        <v>HIGH PRESSURE SODIUM 2X250 W OR 2X400 W FLOOD</v>
      </c>
      <c r="F188" s="18" t="str">
        <f>IF(E188 = "BULKHEADS ETC", "SHARED OR NO POLE", VLOOKUP(C188,'Tariff Schedule Lookup Table'!I$7:L$286,3,FALSE))</f>
        <v>R/BOUT COLUMN</v>
      </c>
      <c r="G188" s="18">
        <f>IF(E188 = "NO CAPITAL", 1, VLOOKUP(C188,'Tariff Schedule Lookup Table'!I$7:L$286,4,FALSE))</f>
        <v>3</v>
      </c>
      <c r="H188" s="18" t="str">
        <f t="shared" si="22"/>
        <v>2-Unmetered, Funded by Others, CE Maintained</v>
      </c>
      <c r="I188" s="123">
        <f>VLOOKUP(F188,'Maintenance Model'!$A$57:$B$61,2,FALSE)</f>
        <v>9.9616182311111103</v>
      </c>
      <c r="J188" s="123">
        <f>IF(D188=1,VLOOKUP(C188,'Capital Code Schedules'!A$15:F$300,2,FALSE),IF(D188=2,VLOOKUP(C188,'Capital Code Schedules'!A$15:F$300,3,FALSE),0))</f>
        <v>0</v>
      </c>
      <c r="K188" s="123">
        <v>0</v>
      </c>
      <c r="L188" s="123">
        <f>VLOOKUP(LEFT(A188,10),'Streetlight Tariff Schedule'!B$11:G$260,6, FALSE)+I188</f>
        <v>97.66484311746359</v>
      </c>
      <c r="M188" s="161">
        <f t="shared" si="23"/>
        <v>97.66484311746359</v>
      </c>
      <c r="N188" s="405">
        <f t="shared" si="24"/>
        <v>101.73440259684691</v>
      </c>
      <c r="O188" s="405">
        <v>71.967461994303434</v>
      </c>
      <c r="P188" s="406">
        <v>71.967461994303434</v>
      </c>
      <c r="Q188" s="406">
        <v>75.489467706457788</v>
      </c>
      <c r="R188" s="406">
        <v>75.489467706457788</v>
      </c>
      <c r="S188" s="405">
        <f t="shared" si="25"/>
        <v>106.71316851604892</v>
      </c>
      <c r="T188" s="406">
        <v>78.589909605765712</v>
      </c>
      <c r="U188" s="406">
        <v>78.877021428220246</v>
      </c>
      <c r="V188" s="405">
        <f t="shared" si="26"/>
        <v>111.50187086288879</v>
      </c>
      <c r="W188" s="406">
        <v>81.450795058474242</v>
      </c>
      <c r="X188" s="406">
        <v>82.478287392896149</v>
      </c>
      <c r="Y188" s="405">
        <f t="shared" si="27"/>
        <v>116.59268039480838</v>
      </c>
      <c r="Z188" s="406">
        <v>83.803550896735786</v>
      </c>
      <c r="AA188" s="406">
        <v>85.171263750085799</v>
      </c>
      <c r="AB188" s="442">
        <f t="shared" si="28"/>
        <v>119.12352757040814</v>
      </c>
      <c r="AC188" s="438">
        <f t="shared" si="29"/>
        <v>122.68520921772453</v>
      </c>
      <c r="AD188" s="410"/>
      <c r="AE188" s="411"/>
      <c r="AF188" s="411"/>
      <c r="AG188" s="411"/>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row>
    <row r="189" spans="1:61" ht="22.5" x14ac:dyDescent="0.2">
      <c r="A189" s="159" t="s">
        <v>1471</v>
      </c>
      <c r="B189" s="18" t="str">
        <f>VLOOKUP(LEFT(A189,7),'Tariff Schedule Lookup Table'!$A$8:$G$186,2,FALSE)</f>
        <v>High Pressure Sodium 2x250</v>
      </c>
      <c r="C189" s="160">
        <f t="shared" si="30"/>
        <v>870</v>
      </c>
      <c r="D189" s="18">
        <f t="shared" si="31"/>
        <v>2</v>
      </c>
      <c r="E189" s="18" t="str">
        <f>VLOOKUP(C189,'Tariff Schedule Lookup Table'!I$7:L$286,2,FALSE)</f>
        <v>HIGH PRESSURE SODIUM 2X250 W OR 2X400 W FLOOD</v>
      </c>
      <c r="F189" s="18" t="str">
        <f>IF(E189 = "BULKHEADS ETC", "SHARED OR NO POLE", VLOOKUP(C189,'Tariff Schedule Lookup Table'!I$7:L$286,3,FALSE))</f>
        <v>R/BOUT COLUMN</v>
      </c>
      <c r="G189" s="18">
        <f>IF(E189 = "NO CAPITAL", 1, VLOOKUP(C189,'Tariff Schedule Lookup Table'!I$7:L$286,4,FALSE))</f>
        <v>4</v>
      </c>
      <c r="H189" s="18" t="str">
        <f t="shared" si="22"/>
        <v>2-Unmetered, Funded by Others, CE Maintained</v>
      </c>
      <c r="I189" s="123">
        <f>VLOOKUP(F189,'Maintenance Model'!$A$57:$B$61,2,FALSE)</f>
        <v>9.9616182311111103</v>
      </c>
      <c r="J189" s="123">
        <f>IF(D189=1,VLOOKUP(C189,'Capital Code Schedules'!A$15:F$300,2,FALSE),IF(D189=2,VLOOKUP(C189,'Capital Code Schedules'!A$15:F$300,3,FALSE),0))</f>
        <v>0</v>
      </c>
      <c r="K189" s="123">
        <v>0</v>
      </c>
      <c r="L189" s="123">
        <f>VLOOKUP(LEFT(A189,10),'Streetlight Tariff Schedule'!B$11:G$260,6, FALSE)+I189</f>
        <v>97.66484311746359</v>
      </c>
      <c r="M189" s="161">
        <f t="shared" si="23"/>
        <v>97.66484311746359</v>
      </c>
      <c r="N189" s="405">
        <f t="shared" si="24"/>
        <v>101.73440259684691</v>
      </c>
      <c r="O189" s="405">
        <v>71.967461994303434</v>
      </c>
      <c r="P189" s="406">
        <v>71.967461994303434</v>
      </c>
      <c r="Q189" s="406">
        <v>75.489467706457788</v>
      </c>
      <c r="R189" s="406">
        <v>75.489467706457788</v>
      </c>
      <c r="S189" s="405">
        <f t="shared" si="25"/>
        <v>106.71316851604892</v>
      </c>
      <c r="T189" s="406">
        <v>78.589909605765712</v>
      </c>
      <c r="U189" s="406">
        <v>78.877021428220246</v>
      </c>
      <c r="V189" s="405">
        <f t="shared" si="26"/>
        <v>111.50187086288879</v>
      </c>
      <c r="W189" s="406">
        <v>81.450795058474242</v>
      </c>
      <c r="X189" s="406">
        <v>82.478287392896149</v>
      </c>
      <c r="Y189" s="405">
        <f t="shared" si="27"/>
        <v>116.59268039480838</v>
      </c>
      <c r="Z189" s="406">
        <v>83.803550896735786</v>
      </c>
      <c r="AA189" s="406">
        <v>85.171263750085799</v>
      </c>
      <c r="AB189" s="442">
        <f t="shared" si="28"/>
        <v>119.12352757040814</v>
      </c>
      <c r="AC189" s="438">
        <f t="shared" si="29"/>
        <v>122.68520921772453</v>
      </c>
      <c r="AD189" s="410"/>
      <c r="AE189" s="411"/>
      <c r="AF189" s="411"/>
      <c r="AG189" s="411"/>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row>
    <row r="190" spans="1:61" x14ac:dyDescent="0.2">
      <c r="A190" s="159" t="s">
        <v>1472</v>
      </c>
      <c r="B190" s="18" t="str">
        <f>VLOOKUP(LEFT(A190,7),'Tariff Schedule Lookup Table'!$A$8:$G$186,2,FALSE)</f>
        <v>High Pressure Sodium 310 (Retrofit)</v>
      </c>
      <c r="C190" s="160">
        <f t="shared" si="30"/>
        <v>70</v>
      </c>
      <c r="D190" s="18">
        <f t="shared" si="31"/>
        <v>1</v>
      </c>
      <c r="E190" s="18" t="str">
        <f>VLOOKUP(C190,'Tariff Schedule Lookup Table'!I$7:L$286,2,FALSE)</f>
        <v>HIGH PRESSURE SODIUM 400W (310/360)</v>
      </c>
      <c r="F190" s="18" t="str">
        <f>IF(E190 = "BULKHEADS ETC", "SHARED OR NO POLE", VLOOKUP(C190,'Tariff Schedule Lookup Table'!I$7:L$286,3,FALSE))</f>
        <v>SHARED OR NO POLE</v>
      </c>
      <c r="G190" s="18">
        <f>IF(E190 = "NO CAPITAL", 1, VLOOKUP(C190,'Tariff Schedule Lookup Table'!I$7:L$286,4,FALSE))</f>
        <v>1</v>
      </c>
      <c r="H190" s="18" t="str">
        <f t="shared" si="22"/>
        <v>1-Unmetered, CE Funded, CE Maintained</v>
      </c>
      <c r="I190" s="123">
        <f>VLOOKUP(F190,'Maintenance Model'!$A$57:$B$61,2,FALSE)</f>
        <v>0</v>
      </c>
      <c r="J190" s="123">
        <f>IF(D190=1,VLOOKUP(C190,'Capital Code Schedules'!A$15:F$300,2,FALSE),IF(D190=2,VLOOKUP(C190,'Capital Code Schedules'!A$15:F$300,3,FALSE),0))</f>
        <v>35.784047435083579</v>
      </c>
      <c r="K190" s="123">
        <v>45.391018453408257</v>
      </c>
      <c r="L190" s="123">
        <f>VLOOKUP(LEFT(A190,10),'Streetlight Tariff Schedule'!B$11:G$260,6, FALSE)+I190</f>
        <v>76.700910966352481</v>
      </c>
      <c r="M190" s="161">
        <f t="shared" si="23"/>
        <v>122.09192941976073</v>
      </c>
      <c r="N190" s="405">
        <f t="shared" si="24"/>
        <v>116.56663487991743</v>
      </c>
      <c r="O190" s="405">
        <v>99.32588622194001</v>
      </c>
      <c r="P190" s="406">
        <v>97.266659431868447</v>
      </c>
      <c r="Q190" s="406">
        <v>100.90164755072932</v>
      </c>
      <c r="R190" s="406">
        <v>103.01184020385516</v>
      </c>
      <c r="S190" s="405">
        <f t="shared" si="25"/>
        <v>121.38427498556995</v>
      </c>
      <c r="T190" s="406">
        <v>104.26783742777279</v>
      </c>
      <c r="U190" s="406">
        <v>106.81939115214054</v>
      </c>
      <c r="V190" s="405">
        <f t="shared" si="26"/>
        <v>126.21602627872248</v>
      </c>
      <c r="W190" s="406">
        <v>107.49428777927443</v>
      </c>
      <c r="X190" s="406">
        <v>111.09453489167932</v>
      </c>
      <c r="Y190" s="405">
        <f t="shared" si="27"/>
        <v>131.52425949949372</v>
      </c>
      <c r="Z190" s="406">
        <v>110.39232063013652</v>
      </c>
      <c r="AA190" s="406">
        <v>114.50215455837166</v>
      </c>
      <c r="AB190" s="442">
        <f t="shared" si="28"/>
        <v>134.21512376181505</v>
      </c>
      <c r="AC190" s="438">
        <f t="shared" si="29"/>
        <v>138.19553880064871</v>
      </c>
      <c r="AD190" s="410"/>
      <c r="AE190" s="411"/>
      <c r="AF190" s="411"/>
      <c r="AG190" s="411"/>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row>
    <row r="191" spans="1:61" x14ac:dyDescent="0.2">
      <c r="A191" s="159" t="s">
        <v>1473</v>
      </c>
      <c r="B191" s="18" t="str">
        <f>VLOOKUP(LEFT(A191,7),'Tariff Schedule Lookup Table'!$A$8:$G$186,2,FALSE)</f>
        <v>High Pressure Sodium 310 (Retrofit)</v>
      </c>
      <c r="C191" s="160">
        <f t="shared" si="30"/>
        <v>70</v>
      </c>
      <c r="D191" s="18">
        <f t="shared" si="31"/>
        <v>2</v>
      </c>
      <c r="E191" s="18" t="str">
        <f>VLOOKUP(C191,'Tariff Schedule Lookup Table'!I$7:L$286,2,FALSE)</f>
        <v>HIGH PRESSURE SODIUM 400W (310/360)</v>
      </c>
      <c r="F191" s="18" t="str">
        <f>IF(E191 = "BULKHEADS ETC", "SHARED OR NO POLE", VLOOKUP(C191,'Tariff Schedule Lookup Table'!I$7:L$286,3,FALSE))</f>
        <v>SHARED OR NO POLE</v>
      </c>
      <c r="G191" s="18">
        <f>IF(E191 = "NO CAPITAL", 1, VLOOKUP(C191,'Tariff Schedule Lookup Table'!I$7:L$286,4,FALSE))</f>
        <v>1</v>
      </c>
      <c r="H191" s="18" t="str">
        <f t="shared" si="22"/>
        <v>2-Unmetered, Funded by Others, CE Maintained</v>
      </c>
      <c r="I191" s="123">
        <f>VLOOKUP(F191,'Maintenance Model'!$A$57:$B$61,2,FALSE)</f>
        <v>0</v>
      </c>
      <c r="J191" s="123">
        <f>IF(D191=1,VLOOKUP(C191,'Capital Code Schedules'!A$15:F$300,2,FALSE),IF(D191=2,VLOOKUP(C191,'Capital Code Schedules'!A$15:F$300,3,FALSE),0))</f>
        <v>0</v>
      </c>
      <c r="K191" s="123">
        <v>0</v>
      </c>
      <c r="L191" s="123">
        <f>VLOOKUP(LEFT(A191,10),'Streetlight Tariff Schedule'!B$11:G$260,6, FALSE)+I191</f>
        <v>76.700910966352481</v>
      </c>
      <c r="M191" s="161">
        <f t="shared" si="23"/>
        <v>76.700910966352481</v>
      </c>
      <c r="N191" s="405">
        <f t="shared" si="24"/>
        <v>79.89693227081554</v>
      </c>
      <c r="O191" s="405">
        <v>50.752213271738334</v>
      </c>
      <c r="P191" s="406">
        <v>50.752213271738334</v>
      </c>
      <c r="Q191" s="406">
        <v>53.23596884813599</v>
      </c>
      <c r="R191" s="406">
        <v>53.23596884813599</v>
      </c>
      <c r="S191" s="405">
        <f t="shared" si="25"/>
        <v>83.806997236892784</v>
      </c>
      <c r="T191" s="406">
        <v>55.422433177290266</v>
      </c>
      <c r="U191" s="406">
        <v>55.624907462783376</v>
      </c>
      <c r="V191" s="405">
        <f t="shared" si="26"/>
        <v>87.567796114208022</v>
      </c>
      <c r="W191" s="406">
        <v>57.439959773592484</v>
      </c>
      <c r="X191" s="406">
        <v>58.164558205252952</v>
      </c>
      <c r="Y191" s="405">
        <f t="shared" si="27"/>
        <v>91.565854332402225</v>
      </c>
      <c r="Z191" s="406">
        <v>59.099148006313946</v>
      </c>
      <c r="AA191" s="406">
        <v>60.06367353638214</v>
      </c>
      <c r="AB191" s="442">
        <f t="shared" si="28"/>
        <v>93.553450663782726</v>
      </c>
      <c r="AC191" s="438">
        <f t="shared" si="29"/>
        <v>96.350611015463656</v>
      </c>
      <c r="AD191" s="410"/>
      <c r="AE191" s="411"/>
      <c r="AF191" s="411"/>
      <c r="AG191" s="411"/>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row>
    <row r="192" spans="1:61" x14ac:dyDescent="0.2">
      <c r="A192" s="159" t="s">
        <v>1474</v>
      </c>
      <c r="B192" s="18" t="str">
        <f>VLOOKUP(LEFT(A192,7),'Tariff Schedule Lookup Table'!$A$8:$G$186,2,FALSE)</f>
        <v>High Pressure Sodium 310 (Retrofit)</v>
      </c>
      <c r="C192" s="160">
        <f t="shared" si="30"/>
        <v>240</v>
      </c>
      <c r="D192" s="18">
        <f t="shared" si="31"/>
        <v>2</v>
      </c>
      <c r="E192" s="18" t="str">
        <f>VLOOKUP(C192,'Tariff Schedule Lookup Table'!I$7:L$286,2,FALSE)</f>
        <v>HIGH PRESSURE SODIUM 400W (310/360)</v>
      </c>
      <c r="F192" s="18" t="str">
        <f>IF(E192 = "BULKHEADS ETC", "SHARED OR NO POLE", VLOOKUP(C192,'Tariff Schedule Lookup Table'!I$7:L$286,3,FALSE))</f>
        <v>WOOD POLE</v>
      </c>
      <c r="G192" s="18">
        <f>IF(E192 = "NO CAPITAL", 1, VLOOKUP(C192,'Tariff Schedule Lookup Table'!I$7:L$286,4,FALSE))</f>
        <v>1</v>
      </c>
      <c r="H192" s="18" t="str">
        <f t="shared" si="22"/>
        <v>2-Unmetered, Funded by Others, CE Maintained</v>
      </c>
      <c r="I192" s="123">
        <f>VLOOKUP(F192,'Maintenance Model'!$A$57:$B$61,2,FALSE)</f>
        <v>10.731618231111112</v>
      </c>
      <c r="J192" s="123">
        <f>IF(D192=1,VLOOKUP(C192,'Capital Code Schedules'!A$15:F$300,2,FALSE),IF(D192=2,VLOOKUP(C192,'Capital Code Schedules'!A$15:F$300,3,FALSE),0))</f>
        <v>0</v>
      </c>
      <c r="K192" s="123">
        <v>0</v>
      </c>
      <c r="L192" s="123">
        <f>VLOOKUP(LEFT(A192,10),'Streetlight Tariff Schedule'!B$11:G$260,6, FALSE)+I192</f>
        <v>87.432529197463595</v>
      </c>
      <c r="M192" s="161">
        <f t="shared" si="23"/>
        <v>87.432529197463595</v>
      </c>
      <c r="N192" s="405">
        <f t="shared" si="24"/>
        <v>91.075722250812944</v>
      </c>
      <c r="O192" s="405">
        <v>61.148413347162503</v>
      </c>
      <c r="P192" s="406">
        <v>61.148413347162503</v>
      </c>
      <c r="Q192" s="406">
        <v>64.140947127427367</v>
      </c>
      <c r="R192" s="406">
        <v>64.140947127427367</v>
      </c>
      <c r="S192" s="405">
        <f t="shared" si="25"/>
        <v>95.532864480329607</v>
      </c>
      <c r="T192" s="406">
        <v>66.775291837718115</v>
      </c>
      <c r="U192" s="406">
        <v>67.019241421457721</v>
      </c>
      <c r="V192" s="405">
        <f t="shared" si="26"/>
        <v>99.819856036282573</v>
      </c>
      <c r="W192" s="406">
        <v>69.206093221473338</v>
      </c>
      <c r="X192" s="406">
        <v>70.079120062148164</v>
      </c>
      <c r="Y192" s="405">
        <f t="shared" si="27"/>
        <v>104.3773031055719</v>
      </c>
      <c r="Z192" s="406">
        <v>71.205153387223717</v>
      </c>
      <c r="AA192" s="406">
        <v>72.367254544875976</v>
      </c>
      <c r="AB192" s="442">
        <f t="shared" si="28"/>
        <v>106.64299424387444</v>
      </c>
      <c r="AC192" s="438">
        <f t="shared" si="29"/>
        <v>109.83151966081005</v>
      </c>
      <c r="AD192" s="410"/>
      <c r="AE192" s="411"/>
      <c r="AF192" s="411"/>
      <c r="AG192" s="411"/>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row>
    <row r="193" spans="1:61" x14ac:dyDescent="0.2">
      <c r="A193" s="159" t="s">
        <v>1475</v>
      </c>
      <c r="B193" s="18" t="str">
        <f>VLOOKUP(LEFT(A193,7),'Tariff Schedule Lookup Table'!$A$8:$G$186,2,FALSE)</f>
        <v>High Pressure Sodium 310 (Retrofit)</v>
      </c>
      <c r="C193" s="160">
        <f t="shared" si="30"/>
        <v>330</v>
      </c>
      <c r="D193" s="18">
        <f t="shared" si="31"/>
        <v>2</v>
      </c>
      <c r="E193" s="18" t="str">
        <f>VLOOKUP(C193,'Tariff Schedule Lookup Table'!I$7:L$286,2,FALSE)</f>
        <v>HIGH PRESSURE SODIUM 400W (310/360)</v>
      </c>
      <c r="F193" s="18" t="str">
        <f>IF(E193 = "BULKHEADS ETC", "SHARED OR NO POLE", VLOOKUP(C193,'Tariff Schedule Lookup Table'!I$7:L$286,3,FALSE))</f>
        <v>STEEL POLE</v>
      </c>
      <c r="G193" s="18">
        <f>IF(E193 = "NO CAPITAL", 1, VLOOKUP(C193,'Tariff Schedule Lookup Table'!I$7:L$286,4,FALSE))</f>
        <v>1</v>
      </c>
      <c r="H193" s="18" t="str">
        <f t="shared" si="22"/>
        <v>2-Unmetered, Funded by Others, CE Maintained</v>
      </c>
      <c r="I193" s="123">
        <f>VLOOKUP(F193,'Maintenance Model'!$A$57:$B$61,2,FALSE)</f>
        <v>9.9616182311111103</v>
      </c>
      <c r="J193" s="123">
        <f>IF(D193=1,VLOOKUP(C193,'Capital Code Schedules'!A$15:F$300,2,FALSE),IF(D193=2,VLOOKUP(C193,'Capital Code Schedules'!A$15:F$300,3,FALSE),0))</f>
        <v>0</v>
      </c>
      <c r="K193" s="123">
        <v>0</v>
      </c>
      <c r="L193" s="123">
        <f>VLOOKUP(LEFT(A193,10),'Streetlight Tariff Schedule'!B$11:G$260,6, FALSE)+I193</f>
        <v>86.662529197463584</v>
      </c>
      <c r="M193" s="161">
        <f t="shared" si="23"/>
        <v>86.662529197463584</v>
      </c>
      <c r="N193" s="405">
        <f t="shared" si="24"/>
        <v>90.273637411487925</v>
      </c>
      <c r="O193" s="405">
        <v>60.346328507837505</v>
      </c>
      <c r="P193" s="406">
        <v>60.346328507837505</v>
      </c>
      <c r="Q193" s="406">
        <v>63.299609168602913</v>
      </c>
      <c r="R193" s="406">
        <v>63.299609168602913</v>
      </c>
      <c r="S193" s="405">
        <f t="shared" si="25"/>
        <v>94.691526521505125</v>
      </c>
      <c r="T193" s="406">
        <v>65.899399131877018</v>
      </c>
      <c r="U193" s="406">
        <v>66.140148824532503</v>
      </c>
      <c r="V193" s="405">
        <f t="shared" si="26"/>
        <v>98.940763439357355</v>
      </c>
      <c r="W193" s="406">
        <v>68.298315650096129</v>
      </c>
      <c r="X193" s="406">
        <v>69.159890981976218</v>
      </c>
      <c r="Y193" s="405">
        <f t="shared" si="27"/>
        <v>103.45807402539995</v>
      </c>
      <c r="Z193" s="406">
        <v>70.271154107643824</v>
      </c>
      <c r="AA193" s="406">
        <v>71.418011963478534</v>
      </c>
      <c r="AB193" s="442">
        <f t="shared" si="28"/>
        <v>105.70381169566826</v>
      </c>
      <c r="AC193" s="438">
        <f t="shared" si="29"/>
        <v>108.86425643606874</v>
      </c>
      <c r="AD193" s="410"/>
      <c r="AE193" s="411"/>
      <c r="AF193" s="411"/>
      <c r="AG193" s="411"/>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row>
    <row r="194" spans="1:61" x14ac:dyDescent="0.2">
      <c r="A194" s="159" t="s">
        <v>1476</v>
      </c>
      <c r="B194" s="18" t="str">
        <f>VLOOKUP(LEFT(A194,7),'Tariff Schedule Lookup Table'!$A$8:$G$186,2,FALSE)</f>
        <v>High Pressure Sodium 310 (Retrofit)</v>
      </c>
      <c r="C194" s="160">
        <f t="shared" si="30"/>
        <v>400</v>
      </c>
      <c r="D194" s="18">
        <f t="shared" si="31"/>
        <v>2</v>
      </c>
      <c r="E194" s="18" t="str">
        <f>VLOOKUP(C194,'Tariff Schedule Lookup Table'!I$7:L$286,2,FALSE)</f>
        <v>HIGH PRESSURE SODIUM 400W (310/360)</v>
      </c>
      <c r="F194" s="18" t="str">
        <f>IF(E194 = "BULKHEADS ETC", "SHARED OR NO POLE", VLOOKUP(C194,'Tariff Schedule Lookup Table'!I$7:L$286,3,FALSE))</f>
        <v>STEEL POLE</v>
      </c>
      <c r="G194" s="18">
        <f>IF(E194 = "NO CAPITAL", 1, VLOOKUP(C194,'Tariff Schedule Lookup Table'!I$7:L$286,4,FALSE))</f>
        <v>2</v>
      </c>
      <c r="H194" s="18" t="str">
        <f t="shared" si="22"/>
        <v>2-Unmetered, Funded by Others, CE Maintained</v>
      </c>
      <c r="I194" s="123">
        <f>VLOOKUP(F194,'Maintenance Model'!$A$57:$B$61,2,FALSE)</f>
        <v>9.9616182311111103</v>
      </c>
      <c r="J194" s="123">
        <f>IF(D194=1,VLOOKUP(C194,'Capital Code Schedules'!A$15:F$300,2,FALSE),IF(D194=2,VLOOKUP(C194,'Capital Code Schedules'!A$15:F$300,3,FALSE),0))</f>
        <v>0</v>
      </c>
      <c r="K194" s="123">
        <v>0</v>
      </c>
      <c r="L194" s="123">
        <f>VLOOKUP(LEFT(A194,10),'Streetlight Tariff Schedule'!B$11:G$260,6, FALSE)+I194</f>
        <v>86.662529197463584</v>
      </c>
      <c r="M194" s="161">
        <f t="shared" si="23"/>
        <v>86.662529197463584</v>
      </c>
      <c r="N194" s="405">
        <f t="shared" si="24"/>
        <v>90.273637411487925</v>
      </c>
      <c r="O194" s="405">
        <v>60.346328507837505</v>
      </c>
      <c r="P194" s="406">
        <v>60.346328507837505</v>
      </c>
      <c r="Q194" s="406">
        <v>63.299609168602913</v>
      </c>
      <c r="R194" s="406">
        <v>63.299609168602913</v>
      </c>
      <c r="S194" s="405">
        <f t="shared" si="25"/>
        <v>94.691526521505125</v>
      </c>
      <c r="T194" s="406">
        <v>65.899399131877018</v>
      </c>
      <c r="U194" s="406">
        <v>66.140148824532503</v>
      </c>
      <c r="V194" s="405">
        <f t="shared" si="26"/>
        <v>98.940763439357355</v>
      </c>
      <c r="W194" s="406">
        <v>68.298315650096129</v>
      </c>
      <c r="X194" s="406">
        <v>69.159890981976218</v>
      </c>
      <c r="Y194" s="405">
        <f t="shared" si="27"/>
        <v>103.45807402539995</v>
      </c>
      <c r="Z194" s="406">
        <v>70.271154107643824</v>
      </c>
      <c r="AA194" s="406">
        <v>71.418011963478534</v>
      </c>
      <c r="AB194" s="442">
        <f t="shared" si="28"/>
        <v>105.70381169566826</v>
      </c>
      <c r="AC194" s="438">
        <f t="shared" si="29"/>
        <v>108.86425643606874</v>
      </c>
      <c r="AD194" s="410"/>
      <c r="AE194" s="411"/>
      <c r="AF194" s="411"/>
      <c r="AG194" s="411"/>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row>
    <row r="195" spans="1:61" x14ac:dyDescent="0.2">
      <c r="A195" s="159" t="s">
        <v>1477</v>
      </c>
      <c r="B195" s="18" t="str">
        <f>VLOOKUP(LEFT(A195,7),'Tariff Schedule Lookup Table'!$A$8:$G$186,2,FALSE)</f>
        <v>High Pressure Sodium 310 (Retrofit)</v>
      </c>
      <c r="C195" s="160">
        <f t="shared" si="30"/>
        <v>1030</v>
      </c>
      <c r="D195" s="18">
        <f t="shared" si="31"/>
        <v>1</v>
      </c>
      <c r="E195" s="18" t="str">
        <f>VLOOKUP(C195,'Tariff Schedule Lookup Table'!I$7:L$286,2,FALSE)</f>
        <v>HIGH PRESSURE SODIUM 400W (310/360)</v>
      </c>
      <c r="F195" s="18" t="str">
        <f>IF(E195 = "BULKHEADS ETC", "SHARED OR NO POLE", VLOOKUP(C195,'Tariff Schedule Lookup Table'!I$7:L$286,3,FALSE))</f>
        <v>SHARED OR NO POLE</v>
      </c>
      <c r="G195" s="18">
        <f>IF(E195 = "NO CAPITAL", 1, VLOOKUP(C195,'Tariff Schedule Lookup Table'!I$7:L$286,4,FALSE))</f>
        <v>2</v>
      </c>
      <c r="H195" s="18" t="str">
        <f t="shared" si="22"/>
        <v>1-Unmetered, CE Funded, CE Maintained</v>
      </c>
      <c r="I195" s="123">
        <f>VLOOKUP(F195,'Maintenance Model'!$A$57:$B$61,2,FALSE)</f>
        <v>0</v>
      </c>
      <c r="J195" s="123">
        <f>IF(D195=1,VLOOKUP(C195,'Capital Code Schedules'!A$15:F$300,2,FALSE),IF(D195=2,VLOOKUP(C195,'Capital Code Schedules'!A$15:F$300,3,FALSE),0))</f>
        <v>52.163571087910817</v>
      </c>
      <c r="K195" s="123">
        <v>66.167965547844219</v>
      </c>
      <c r="L195" s="123">
        <f>VLOOKUP(LEFT(A195,10),'Streetlight Tariff Schedule'!B$11:G$260,6, FALSE)+I195</f>
        <v>76.700910966352481</v>
      </c>
      <c r="M195" s="161">
        <f t="shared" si="23"/>
        <v>142.8688765141967</v>
      </c>
      <c r="N195" s="405">
        <f t="shared" si="24"/>
        <v>133.35155174315216</v>
      </c>
      <c r="O195" s="405">
        <v>121.55963790796318</v>
      </c>
      <c r="P195" s="406">
        <v>118.5578359668917</v>
      </c>
      <c r="Q195" s="406">
        <v>122.71978070499441</v>
      </c>
      <c r="R195" s="406">
        <v>125.7958772441074</v>
      </c>
      <c r="S195" s="405">
        <f t="shared" si="25"/>
        <v>138.58461854116973</v>
      </c>
      <c r="T195" s="406">
        <v>126.62596937760593</v>
      </c>
      <c r="U195" s="406">
        <v>130.25277324803997</v>
      </c>
      <c r="V195" s="405">
        <f t="shared" si="26"/>
        <v>143.90657962565686</v>
      </c>
      <c r="W195" s="406">
        <v>130.40578349486594</v>
      </c>
      <c r="X195" s="406">
        <v>135.32230864062976</v>
      </c>
      <c r="Y195" s="405">
        <f t="shared" si="27"/>
        <v>149.81452260488919</v>
      </c>
      <c r="Z195" s="406">
        <v>133.87087586468891</v>
      </c>
      <c r="AA195" s="406">
        <v>139.42041985916717</v>
      </c>
      <c r="AB195" s="442">
        <f t="shared" si="28"/>
        <v>152.82729549786546</v>
      </c>
      <c r="AC195" s="438">
        <f t="shared" si="29"/>
        <v>157.34932473421819</v>
      </c>
      <c r="AD195" s="410"/>
      <c r="AE195" s="411"/>
      <c r="AF195" s="411"/>
      <c r="AG195" s="411"/>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row>
    <row r="196" spans="1:61" x14ac:dyDescent="0.2">
      <c r="A196" s="159" t="s">
        <v>1478</v>
      </c>
      <c r="B196" s="18" t="str">
        <f>VLOOKUP(LEFT(A196,7),'Tariff Schedule Lookup Table'!$A$8:$G$186,2,FALSE)</f>
        <v>High Pressure Sodium 360</v>
      </c>
      <c r="C196" s="160">
        <f t="shared" si="30"/>
        <v>70</v>
      </c>
      <c r="D196" s="18">
        <f t="shared" si="31"/>
        <v>1</v>
      </c>
      <c r="E196" s="18" t="str">
        <f>VLOOKUP(C196,'Tariff Schedule Lookup Table'!I$7:L$286,2,FALSE)</f>
        <v>HIGH PRESSURE SODIUM 400W (310/360)</v>
      </c>
      <c r="F196" s="18" t="str">
        <f>IF(E196 = "BULKHEADS ETC", "SHARED OR NO POLE", VLOOKUP(C196,'Tariff Schedule Lookup Table'!I$7:L$286,3,FALSE))</f>
        <v>SHARED OR NO POLE</v>
      </c>
      <c r="G196" s="18">
        <f>IF(E196 = "NO CAPITAL", 1, VLOOKUP(C196,'Tariff Schedule Lookup Table'!I$7:L$286,4,FALSE))</f>
        <v>1</v>
      </c>
      <c r="H196" s="18" t="str">
        <f t="shared" si="22"/>
        <v>1-Unmetered, CE Funded, CE Maintained</v>
      </c>
      <c r="I196" s="123">
        <f>VLOOKUP(F196,'Maintenance Model'!$A$57:$B$61,2,FALSE)</f>
        <v>0</v>
      </c>
      <c r="J196" s="123">
        <f>IF(D196=1,VLOOKUP(C196,'Capital Code Schedules'!A$15:F$300,2,FALSE),IF(D196=2,VLOOKUP(C196,'Capital Code Schedules'!A$15:F$300,3,FALSE),0))</f>
        <v>35.784047435083579</v>
      </c>
      <c r="K196" s="123">
        <v>45.391018453408257</v>
      </c>
      <c r="L196" s="123">
        <f>VLOOKUP(LEFT(A196,10),'Streetlight Tariff Schedule'!B$11:G$260,6, FALSE)+I196</f>
        <v>79.550488866352481</v>
      </c>
      <c r="M196" s="161">
        <f t="shared" si="23"/>
        <v>124.94150731976075</v>
      </c>
      <c r="N196" s="405">
        <f t="shared" si="24"/>
        <v>119.53495076571687</v>
      </c>
      <c r="O196" s="405">
        <v>102.33573718572556</v>
      </c>
      <c r="P196" s="406">
        <v>100.27651039565401</v>
      </c>
      <c r="Q196" s="406">
        <v>104.05879719635566</v>
      </c>
      <c r="R196" s="406">
        <v>106.16898984948148</v>
      </c>
      <c r="S196" s="405">
        <f t="shared" si="25"/>
        <v>124.49785687374823</v>
      </c>
      <c r="T196" s="406">
        <v>107.55465495080087</v>
      </c>
      <c r="U196" s="406">
        <v>110.11821637658785</v>
      </c>
      <c r="V196" s="405">
        <f t="shared" si="26"/>
        <v>129.46932866346495</v>
      </c>
      <c r="W196" s="406">
        <v>110.90075435756303</v>
      </c>
      <c r="X196" s="406">
        <v>114.54397365083051</v>
      </c>
      <c r="Y196" s="405">
        <f t="shared" si="27"/>
        <v>134.92609699546162</v>
      </c>
      <c r="Z196" s="406">
        <v>113.89718507089113</v>
      </c>
      <c r="AA196" s="406">
        <v>118.06422001380373</v>
      </c>
      <c r="AB196" s="442">
        <f t="shared" si="28"/>
        <v>137.69080406497602</v>
      </c>
      <c r="AC196" s="438">
        <f t="shared" si="29"/>
        <v>141.77513868208436</v>
      </c>
      <c r="AD196" s="410"/>
      <c r="AE196" s="411"/>
      <c r="AF196" s="411"/>
      <c r="AG196" s="411"/>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row>
    <row r="197" spans="1:61" x14ac:dyDescent="0.2">
      <c r="A197" s="159" t="s">
        <v>1479</v>
      </c>
      <c r="B197" s="18" t="str">
        <f>VLOOKUP(LEFT(A197,7),'Tariff Schedule Lookup Table'!$A$8:$G$186,2,FALSE)</f>
        <v>High Pressure Sodium 360</v>
      </c>
      <c r="C197" s="160">
        <f t="shared" si="30"/>
        <v>70</v>
      </c>
      <c r="D197" s="18">
        <f t="shared" si="31"/>
        <v>2</v>
      </c>
      <c r="E197" s="18" t="str">
        <f>VLOOKUP(C197,'Tariff Schedule Lookup Table'!I$7:L$286,2,FALSE)</f>
        <v>HIGH PRESSURE SODIUM 400W (310/360)</v>
      </c>
      <c r="F197" s="18" t="str">
        <f>IF(E197 = "BULKHEADS ETC", "SHARED OR NO POLE", VLOOKUP(C197,'Tariff Schedule Lookup Table'!I$7:L$286,3,FALSE))</f>
        <v>SHARED OR NO POLE</v>
      </c>
      <c r="G197" s="18">
        <f>IF(E197 = "NO CAPITAL", 1, VLOOKUP(C197,'Tariff Schedule Lookup Table'!I$7:L$286,4,FALSE))</f>
        <v>1</v>
      </c>
      <c r="H197" s="18" t="str">
        <f t="shared" si="22"/>
        <v>2-Unmetered, Funded by Others, CE Maintained</v>
      </c>
      <c r="I197" s="123">
        <f>VLOOKUP(F197,'Maintenance Model'!$A$57:$B$61,2,FALSE)</f>
        <v>0</v>
      </c>
      <c r="J197" s="123">
        <f>IF(D197=1,VLOOKUP(C197,'Capital Code Schedules'!A$15:F$300,2,FALSE),IF(D197=2,VLOOKUP(C197,'Capital Code Schedules'!A$15:F$300,3,FALSE),0))</f>
        <v>0</v>
      </c>
      <c r="K197" s="123">
        <v>0</v>
      </c>
      <c r="L197" s="123">
        <f>VLOOKUP(LEFT(A197,10),'Streetlight Tariff Schedule'!B$11:G$260,6, FALSE)+I197</f>
        <v>79.550488866352481</v>
      </c>
      <c r="M197" s="161">
        <f t="shared" si="23"/>
        <v>79.550488866352481</v>
      </c>
      <c r="N197" s="405">
        <f t="shared" si="24"/>
        <v>82.865248156614982</v>
      </c>
      <c r="O197" s="405">
        <v>53.762064235523887</v>
      </c>
      <c r="P197" s="406">
        <v>53.762064235523887</v>
      </c>
      <c r="Q197" s="406">
        <v>56.393118493762309</v>
      </c>
      <c r="R197" s="406">
        <v>56.393118493762309</v>
      </c>
      <c r="S197" s="405">
        <f t="shared" si="25"/>
        <v>86.920579125071058</v>
      </c>
      <c r="T197" s="406">
        <v>58.709250700318336</v>
      </c>
      <c r="U197" s="406">
        <v>58.923732687230697</v>
      </c>
      <c r="V197" s="405">
        <f t="shared" si="26"/>
        <v>90.821098498950477</v>
      </c>
      <c r="W197" s="406">
        <v>60.846426351881064</v>
      </c>
      <c r="X197" s="406">
        <v>61.613996964404137</v>
      </c>
      <c r="Y197" s="405">
        <f t="shared" si="27"/>
        <v>94.967691828370121</v>
      </c>
      <c r="Z197" s="406">
        <v>62.604012447068541</v>
      </c>
      <c r="AA197" s="406">
        <v>63.625738991814217</v>
      </c>
      <c r="AB197" s="442">
        <f t="shared" si="28"/>
        <v>97.029130966943697</v>
      </c>
      <c r="AC197" s="438">
        <f t="shared" si="29"/>
        <v>99.930210896899297</v>
      </c>
      <c r="AD197" s="410"/>
      <c r="AE197" s="411"/>
      <c r="AF197" s="411"/>
      <c r="AG197" s="411"/>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row>
    <row r="198" spans="1:61" x14ac:dyDescent="0.2">
      <c r="A198" s="159" t="s">
        <v>1480</v>
      </c>
      <c r="B198" s="18" t="str">
        <f>VLOOKUP(LEFT(A198,7),'Tariff Schedule Lookup Table'!$A$8:$G$186,2,FALSE)</f>
        <v>High Pressure Sodium 360</v>
      </c>
      <c r="C198" s="160">
        <f t="shared" si="30"/>
        <v>240</v>
      </c>
      <c r="D198" s="18">
        <f t="shared" si="31"/>
        <v>1</v>
      </c>
      <c r="E198" s="18" t="str">
        <f>VLOOKUP(C198,'Tariff Schedule Lookup Table'!I$7:L$286,2,FALSE)</f>
        <v>HIGH PRESSURE SODIUM 400W (310/360)</v>
      </c>
      <c r="F198" s="18" t="str">
        <f>IF(E198 = "BULKHEADS ETC", "SHARED OR NO POLE", VLOOKUP(C198,'Tariff Schedule Lookup Table'!I$7:L$286,3,FALSE))</f>
        <v>WOOD POLE</v>
      </c>
      <c r="G198" s="18">
        <f>IF(E198 = "NO CAPITAL", 1, VLOOKUP(C198,'Tariff Schedule Lookup Table'!I$7:L$286,4,FALSE))</f>
        <v>1</v>
      </c>
      <c r="H198" s="18" t="str">
        <f t="shared" si="22"/>
        <v>1-Unmetered, CE Funded, CE Maintained</v>
      </c>
      <c r="I198" s="123">
        <f>VLOOKUP(F198,'Maintenance Model'!$A$57:$B$61,2,FALSE)</f>
        <v>10.731618231111112</v>
      </c>
      <c r="J198" s="123">
        <f>IF(D198=1,VLOOKUP(C198,'Capital Code Schedules'!A$15:F$300,2,FALSE),IF(D198=2,VLOOKUP(C198,'Capital Code Schedules'!A$15:F$300,3,FALSE),0))</f>
        <v>69.685165796959865</v>
      </c>
      <c r="K198" s="123">
        <v>88.393596402330274</v>
      </c>
      <c r="L198" s="123">
        <f>VLOOKUP(LEFT(A198,10),'Streetlight Tariff Schedule'!B$11:G$260,6, FALSE)+I198</f>
        <v>90.282107097463594</v>
      </c>
      <c r="M198" s="161">
        <f t="shared" si="23"/>
        <v>178.67570349979388</v>
      </c>
      <c r="N198" s="405">
        <f t="shared" si="24"/>
        <v>165.45391178704699</v>
      </c>
      <c r="O198" s="405">
        <v>158.74970087336166</v>
      </c>
      <c r="P198" s="406">
        <v>154.73960222423599</v>
      </c>
      <c r="Q198" s="406">
        <v>160.12132279969552</v>
      </c>
      <c r="R198" s="406">
        <v>164.23067139038704</v>
      </c>
      <c r="S198" s="405">
        <f t="shared" si="25"/>
        <v>171.82371439179076</v>
      </c>
      <c r="T198" s="406">
        <v>165.18271023154742</v>
      </c>
      <c r="U198" s="406">
        <v>170.01321963983239</v>
      </c>
      <c r="V198" s="405">
        <f t="shared" si="26"/>
        <v>178.33597858297145</v>
      </c>
      <c r="W198" s="406">
        <v>170.08739554211547</v>
      </c>
      <c r="X198" s="406">
        <v>176.60337750172084</v>
      </c>
      <c r="Y198" s="405">
        <f t="shared" si="27"/>
        <v>185.59337036697619</v>
      </c>
      <c r="Z198" s="406">
        <v>174.59735575495509</v>
      </c>
      <c r="AA198" s="406">
        <v>181.94177101312155</v>
      </c>
      <c r="AB198" s="442">
        <f t="shared" si="28"/>
        <v>189.3024347563435</v>
      </c>
      <c r="AC198" s="438">
        <f t="shared" si="29"/>
        <v>194.89912717364467</v>
      </c>
      <c r="AD198" s="410"/>
      <c r="AE198" s="411"/>
      <c r="AF198" s="411"/>
      <c r="AG198" s="411"/>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row>
    <row r="199" spans="1:61" x14ac:dyDescent="0.2">
      <c r="A199" s="159" t="s">
        <v>1481</v>
      </c>
      <c r="B199" s="18" t="str">
        <f>VLOOKUP(LEFT(A199,7),'Tariff Schedule Lookup Table'!$A$8:$G$186,2,FALSE)</f>
        <v>High Pressure Sodium 360</v>
      </c>
      <c r="C199" s="160">
        <f t="shared" si="30"/>
        <v>240</v>
      </c>
      <c r="D199" s="18">
        <f t="shared" si="31"/>
        <v>2</v>
      </c>
      <c r="E199" s="18" t="str">
        <f>VLOOKUP(C199,'Tariff Schedule Lookup Table'!I$7:L$286,2,FALSE)</f>
        <v>HIGH PRESSURE SODIUM 400W (310/360)</v>
      </c>
      <c r="F199" s="18" t="str">
        <f>IF(E199 = "BULKHEADS ETC", "SHARED OR NO POLE", VLOOKUP(C199,'Tariff Schedule Lookup Table'!I$7:L$286,3,FALSE))</f>
        <v>WOOD POLE</v>
      </c>
      <c r="G199" s="18">
        <f>IF(E199 = "NO CAPITAL", 1, VLOOKUP(C199,'Tariff Schedule Lookup Table'!I$7:L$286,4,FALSE))</f>
        <v>1</v>
      </c>
      <c r="H199" s="18" t="str">
        <f t="shared" si="22"/>
        <v>2-Unmetered, Funded by Others, CE Maintained</v>
      </c>
      <c r="I199" s="123">
        <f>VLOOKUP(F199,'Maintenance Model'!$A$57:$B$61,2,FALSE)</f>
        <v>10.731618231111112</v>
      </c>
      <c r="J199" s="123">
        <f>IF(D199=1,VLOOKUP(C199,'Capital Code Schedules'!A$15:F$300,2,FALSE),IF(D199=2,VLOOKUP(C199,'Capital Code Schedules'!A$15:F$300,3,FALSE),0))</f>
        <v>0</v>
      </c>
      <c r="K199" s="123">
        <v>0</v>
      </c>
      <c r="L199" s="123">
        <f>VLOOKUP(LEFT(A199,10),'Streetlight Tariff Schedule'!B$11:G$260,6, FALSE)+I199</f>
        <v>90.282107097463594</v>
      </c>
      <c r="M199" s="161">
        <f t="shared" si="23"/>
        <v>90.282107097463594</v>
      </c>
      <c r="N199" s="405">
        <f t="shared" si="24"/>
        <v>94.044038136612386</v>
      </c>
      <c r="O199" s="405">
        <v>64.158264310948056</v>
      </c>
      <c r="P199" s="406">
        <v>64.158264310948056</v>
      </c>
      <c r="Q199" s="406">
        <v>67.298096773053686</v>
      </c>
      <c r="R199" s="406">
        <v>67.298096773053686</v>
      </c>
      <c r="S199" s="405">
        <f t="shared" si="25"/>
        <v>98.646446368507895</v>
      </c>
      <c r="T199" s="406">
        <v>70.062109360746192</v>
      </c>
      <c r="U199" s="406">
        <v>70.318066645905034</v>
      </c>
      <c r="V199" s="405">
        <f t="shared" si="26"/>
        <v>103.07315842102501</v>
      </c>
      <c r="W199" s="406">
        <v>72.612559799761911</v>
      </c>
      <c r="X199" s="406">
        <v>73.528558821299342</v>
      </c>
      <c r="Y199" s="405">
        <f t="shared" si="27"/>
        <v>107.77914060153978</v>
      </c>
      <c r="Z199" s="406">
        <v>74.710017827978319</v>
      </c>
      <c r="AA199" s="406">
        <v>75.929320000308053</v>
      </c>
      <c r="AB199" s="442">
        <f t="shared" si="28"/>
        <v>110.11867454703541</v>
      </c>
      <c r="AC199" s="438">
        <f t="shared" si="29"/>
        <v>113.41111954224569</v>
      </c>
      <c r="AD199" s="410"/>
      <c r="AE199" s="411"/>
      <c r="AF199" s="411"/>
      <c r="AG199" s="411"/>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row>
    <row r="200" spans="1:61" x14ac:dyDescent="0.2">
      <c r="A200" s="159" t="s">
        <v>1482</v>
      </c>
      <c r="B200" s="18" t="str">
        <f>VLOOKUP(LEFT(A200,7),'Tariff Schedule Lookup Table'!$A$8:$G$186,2,FALSE)</f>
        <v>High Pressure Sodium 360</v>
      </c>
      <c r="C200" s="160">
        <f t="shared" si="30"/>
        <v>330</v>
      </c>
      <c r="D200" s="18">
        <f t="shared" si="31"/>
        <v>1</v>
      </c>
      <c r="E200" s="18" t="str">
        <f>VLOOKUP(C200,'Tariff Schedule Lookup Table'!I$7:L$286,2,FALSE)</f>
        <v>HIGH PRESSURE SODIUM 400W (310/360)</v>
      </c>
      <c r="F200" s="18" t="str">
        <f>IF(E200 = "BULKHEADS ETC", "SHARED OR NO POLE", VLOOKUP(C200,'Tariff Schedule Lookup Table'!I$7:L$286,3,FALSE))</f>
        <v>STEEL POLE</v>
      </c>
      <c r="G200" s="18">
        <f>IF(E200 = "NO CAPITAL", 1, VLOOKUP(C200,'Tariff Schedule Lookup Table'!I$7:L$286,4,FALSE))</f>
        <v>1</v>
      </c>
      <c r="H200" s="18" t="str">
        <f t="shared" si="22"/>
        <v>1-Unmetered, CE Funded, CE Maintained</v>
      </c>
      <c r="I200" s="123">
        <f>VLOOKUP(F200,'Maintenance Model'!$A$57:$B$61,2,FALSE)</f>
        <v>9.9616182311111103</v>
      </c>
      <c r="J200" s="123">
        <f>IF(D200=1,VLOOKUP(C200,'Capital Code Schedules'!A$15:F$300,2,FALSE),IF(D200=2,VLOOKUP(C200,'Capital Code Schedules'!A$15:F$300,3,FALSE),0))</f>
        <v>95.968430970589921</v>
      </c>
      <c r="K200" s="123">
        <v>121.73315019865107</v>
      </c>
      <c r="L200" s="123">
        <f>VLOOKUP(LEFT(A200,10),'Streetlight Tariff Schedule'!B$11:G$260,6, FALSE)+I200</f>
        <v>89.512107097463598</v>
      </c>
      <c r="M200" s="161">
        <f t="shared" si="23"/>
        <v>211.24525729611469</v>
      </c>
      <c r="N200" s="405">
        <f t="shared" si="24"/>
        <v>191.58560293439945</v>
      </c>
      <c r="O200" s="405">
        <v>193.62481909284014</v>
      </c>
      <c r="P200" s="406">
        <v>188.10222513769074</v>
      </c>
      <c r="Q200" s="406">
        <v>194.29026911053211</v>
      </c>
      <c r="R200" s="406">
        <v>199.94954726607145</v>
      </c>
      <c r="S200" s="405">
        <f t="shared" si="25"/>
        <v>198.58276337531402</v>
      </c>
      <c r="T200" s="406">
        <v>200.18360633104146</v>
      </c>
      <c r="U200" s="406">
        <v>206.73630697169955</v>
      </c>
      <c r="V200" s="405">
        <f t="shared" si="26"/>
        <v>205.84388395625086</v>
      </c>
      <c r="W200" s="406">
        <v>205.94435729900547</v>
      </c>
      <c r="X200" s="406">
        <v>214.56104224992731</v>
      </c>
      <c r="Y200" s="405">
        <f t="shared" si="27"/>
        <v>214.02345848819877</v>
      </c>
      <c r="Z200" s="406">
        <v>211.33802310201702</v>
      </c>
      <c r="AA200" s="406">
        <v>220.97741373421132</v>
      </c>
      <c r="AB200" s="442">
        <f t="shared" si="28"/>
        <v>218.22911739227644</v>
      </c>
      <c r="AC200" s="438">
        <f t="shared" si="29"/>
        <v>224.66682580990093</v>
      </c>
      <c r="AD200" s="410"/>
      <c r="AE200" s="411"/>
      <c r="AF200" s="411"/>
      <c r="AG200" s="411"/>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row>
    <row r="201" spans="1:61" x14ac:dyDescent="0.2">
      <c r="A201" s="159" t="s">
        <v>1483</v>
      </c>
      <c r="B201" s="18" t="str">
        <f>VLOOKUP(LEFT(A201,7),'Tariff Schedule Lookup Table'!$A$8:$G$186,2,FALSE)</f>
        <v>High Pressure Sodium 360</v>
      </c>
      <c r="C201" s="160">
        <f t="shared" si="30"/>
        <v>330</v>
      </c>
      <c r="D201" s="18">
        <f t="shared" si="31"/>
        <v>2</v>
      </c>
      <c r="E201" s="18" t="str">
        <f>VLOOKUP(C201,'Tariff Schedule Lookup Table'!I$7:L$286,2,FALSE)</f>
        <v>HIGH PRESSURE SODIUM 400W (310/360)</v>
      </c>
      <c r="F201" s="18" t="str">
        <f>IF(E201 = "BULKHEADS ETC", "SHARED OR NO POLE", VLOOKUP(C201,'Tariff Schedule Lookup Table'!I$7:L$286,3,FALSE))</f>
        <v>STEEL POLE</v>
      </c>
      <c r="G201" s="18">
        <f>IF(E201 = "NO CAPITAL", 1, VLOOKUP(C201,'Tariff Schedule Lookup Table'!I$7:L$286,4,FALSE))</f>
        <v>1</v>
      </c>
      <c r="H201" s="18" t="str">
        <f t="shared" si="22"/>
        <v>2-Unmetered, Funded by Others, CE Maintained</v>
      </c>
      <c r="I201" s="123">
        <f>VLOOKUP(F201,'Maintenance Model'!$A$57:$B$61,2,FALSE)</f>
        <v>9.9616182311111103</v>
      </c>
      <c r="J201" s="123">
        <f>IF(D201=1,VLOOKUP(C201,'Capital Code Schedules'!A$15:F$300,2,FALSE),IF(D201=2,VLOOKUP(C201,'Capital Code Schedules'!A$15:F$300,3,FALSE),0))</f>
        <v>0</v>
      </c>
      <c r="K201" s="123">
        <v>0</v>
      </c>
      <c r="L201" s="123">
        <f>VLOOKUP(LEFT(A201,10),'Streetlight Tariff Schedule'!B$11:G$260,6, FALSE)+I201</f>
        <v>89.512107097463598</v>
      </c>
      <c r="M201" s="161">
        <f t="shared" si="23"/>
        <v>89.512107097463598</v>
      </c>
      <c r="N201" s="405">
        <f t="shared" si="24"/>
        <v>93.241953297287381</v>
      </c>
      <c r="O201" s="405">
        <v>63.356179471623051</v>
      </c>
      <c r="P201" s="406">
        <v>63.356179471623051</v>
      </c>
      <c r="Q201" s="406">
        <v>66.456758814229218</v>
      </c>
      <c r="R201" s="406">
        <v>66.456758814229218</v>
      </c>
      <c r="S201" s="405">
        <f t="shared" si="25"/>
        <v>97.805108409683442</v>
      </c>
      <c r="T201" s="406">
        <v>69.186216654905095</v>
      </c>
      <c r="U201" s="406">
        <v>69.43897404897983</v>
      </c>
      <c r="V201" s="405">
        <f t="shared" si="26"/>
        <v>102.19406582409982</v>
      </c>
      <c r="W201" s="406">
        <v>71.704782228384715</v>
      </c>
      <c r="X201" s="406">
        <v>72.609329741127411</v>
      </c>
      <c r="Y201" s="405">
        <f t="shared" si="27"/>
        <v>106.85991152136785</v>
      </c>
      <c r="Z201" s="406">
        <v>73.776018548398426</v>
      </c>
      <c r="AA201" s="406">
        <v>74.980077418910611</v>
      </c>
      <c r="AB201" s="442">
        <f t="shared" si="28"/>
        <v>109.17949199882926</v>
      </c>
      <c r="AC201" s="438">
        <f t="shared" si="29"/>
        <v>112.44385631750443</v>
      </c>
      <c r="AD201" s="410"/>
      <c r="AE201" s="411"/>
      <c r="AF201" s="411"/>
      <c r="AG201" s="411"/>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row>
    <row r="202" spans="1:61" x14ac:dyDescent="0.2">
      <c r="A202" s="159" t="s">
        <v>1484</v>
      </c>
      <c r="B202" s="18" t="str">
        <f>VLOOKUP(LEFT(A202,7),'Tariff Schedule Lookup Table'!$A$8:$G$186,2,FALSE)</f>
        <v>High Pressure Sodium 360</v>
      </c>
      <c r="C202" s="160">
        <f t="shared" si="30"/>
        <v>1020</v>
      </c>
      <c r="D202" s="18">
        <f t="shared" si="31"/>
        <v>1</v>
      </c>
      <c r="E202" s="18" t="str">
        <f>VLOOKUP(C202,'Tariff Schedule Lookup Table'!I$7:L$286,2,FALSE)</f>
        <v>HIGH PRESSURE SODIUM 250W (210/220)</v>
      </c>
      <c r="F202" s="18" t="str">
        <f>IF(E202 = "BULKHEADS ETC", "SHARED OR NO POLE", VLOOKUP(C202,'Tariff Schedule Lookup Table'!I$7:L$286,3,FALSE))</f>
        <v>SHARED OR NO POLE</v>
      </c>
      <c r="G202" s="18">
        <f>IF(E202 = "NO CAPITAL", 1, VLOOKUP(C202,'Tariff Schedule Lookup Table'!I$7:L$286,4,FALSE))</f>
        <v>3</v>
      </c>
      <c r="H202" s="18" t="str">
        <f t="shared" si="22"/>
        <v>1-Unmetered, CE Funded, CE Maintained</v>
      </c>
      <c r="I202" s="123">
        <f>VLOOKUP(F202,'Maintenance Model'!$A$57:$B$61,2,FALSE)</f>
        <v>0</v>
      </c>
      <c r="J202" s="123">
        <f>IF(D202=1,VLOOKUP(C202,'Capital Code Schedules'!A$15:F$300,2,FALSE),IF(D202=2,VLOOKUP(C202,'Capital Code Schedules'!A$15:F$300,3,FALSE),0))</f>
        <v>57.605342845074404</v>
      </c>
      <c r="K202" s="123">
        <v>73.070693996792002</v>
      </c>
      <c r="L202" s="123">
        <f>VLOOKUP(LEFT(A202,10),'Streetlight Tariff Schedule'!B$11:G$260,6, FALSE)+I202</f>
        <v>79.550488866352481</v>
      </c>
      <c r="M202" s="161">
        <f t="shared" si="23"/>
        <v>152.6211828631445</v>
      </c>
      <c r="N202" s="405">
        <f t="shared" si="24"/>
        <v>141.89632323710498</v>
      </c>
      <c r="O202" s="405">
        <v>131.95621174264892</v>
      </c>
      <c r="P202" s="406">
        <v>128.64125790873649</v>
      </c>
      <c r="Q202" s="406">
        <v>133.12557221038693</v>
      </c>
      <c r="R202" s="406">
        <v>136.52257115168868</v>
      </c>
      <c r="S202" s="405">
        <f t="shared" si="25"/>
        <v>147.4126733138032</v>
      </c>
      <c r="T202" s="406">
        <v>137.34083264642942</v>
      </c>
      <c r="U202" s="406">
        <v>141.33687474590798</v>
      </c>
      <c r="V202" s="405">
        <f t="shared" si="26"/>
        <v>153.03721737206146</v>
      </c>
      <c r="W202" s="406">
        <v>141.42413995115839</v>
      </c>
      <c r="X202" s="406">
        <v>146.82094453887055</v>
      </c>
      <c r="Y202" s="405">
        <f t="shared" si="27"/>
        <v>159.29293713127956</v>
      </c>
      <c r="Z202" s="406">
        <v>145.17602445792798</v>
      </c>
      <c r="AA202" s="406">
        <v>151.26108457215295</v>
      </c>
      <c r="AB202" s="442">
        <f t="shared" si="28"/>
        <v>162.48650058718437</v>
      </c>
      <c r="AC202" s="438">
        <f t="shared" si="29"/>
        <v>167.29238997308897</v>
      </c>
      <c r="AD202" s="410"/>
      <c r="AE202" s="411"/>
      <c r="AF202" s="411"/>
      <c r="AG202" s="411"/>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row>
    <row r="203" spans="1:61" x14ac:dyDescent="0.2">
      <c r="A203" s="159" t="s">
        <v>1485</v>
      </c>
      <c r="B203" s="18" t="str">
        <f>VLOOKUP(LEFT(A203,7),'Tariff Schedule Lookup Table'!$A$8:$G$186,2,FALSE)</f>
        <v>High Pressure Sodium 360</v>
      </c>
      <c r="C203" s="160">
        <f t="shared" si="30"/>
        <v>1030</v>
      </c>
      <c r="D203" s="18">
        <f t="shared" si="31"/>
        <v>1</v>
      </c>
      <c r="E203" s="18" t="str">
        <f>VLOOKUP(C203,'Tariff Schedule Lookup Table'!I$7:L$286,2,FALSE)</f>
        <v>HIGH PRESSURE SODIUM 400W (310/360)</v>
      </c>
      <c r="F203" s="18" t="str">
        <f>IF(E203 = "BULKHEADS ETC", "SHARED OR NO POLE", VLOOKUP(C203,'Tariff Schedule Lookup Table'!I$7:L$286,3,FALSE))</f>
        <v>SHARED OR NO POLE</v>
      </c>
      <c r="G203" s="18">
        <f>IF(E203 = "NO CAPITAL", 1, VLOOKUP(C203,'Tariff Schedule Lookup Table'!I$7:L$286,4,FALSE))</f>
        <v>2</v>
      </c>
      <c r="H203" s="18" t="str">
        <f t="shared" si="22"/>
        <v>1-Unmetered, CE Funded, CE Maintained</v>
      </c>
      <c r="I203" s="123">
        <f>VLOOKUP(F203,'Maintenance Model'!$A$57:$B$61,2,FALSE)</f>
        <v>0</v>
      </c>
      <c r="J203" s="123">
        <f>IF(D203=1,VLOOKUP(C203,'Capital Code Schedules'!A$15:F$300,2,FALSE),IF(D203=2,VLOOKUP(C203,'Capital Code Schedules'!A$15:F$300,3,FALSE),0))</f>
        <v>52.163571087910817</v>
      </c>
      <c r="K203" s="123">
        <v>66.167965547844219</v>
      </c>
      <c r="L203" s="123">
        <f>VLOOKUP(LEFT(A203,10),'Streetlight Tariff Schedule'!B$11:G$260,6, FALSE)+I203</f>
        <v>79.550488866352481</v>
      </c>
      <c r="M203" s="161">
        <f t="shared" si="23"/>
        <v>145.71845441419669</v>
      </c>
      <c r="N203" s="405">
        <f t="shared" si="24"/>
        <v>136.31986762895158</v>
      </c>
      <c r="O203" s="405">
        <v>124.56948887174873</v>
      </c>
      <c r="P203" s="406">
        <v>121.56768693067725</v>
      </c>
      <c r="Q203" s="406">
        <v>125.87693035062073</v>
      </c>
      <c r="R203" s="406">
        <v>128.95302688973374</v>
      </c>
      <c r="S203" s="405">
        <f t="shared" si="25"/>
        <v>141.69820042934799</v>
      </c>
      <c r="T203" s="406">
        <v>129.91278690063399</v>
      </c>
      <c r="U203" s="406">
        <v>133.55159847248729</v>
      </c>
      <c r="V203" s="405">
        <f t="shared" si="26"/>
        <v>147.15988201039931</v>
      </c>
      <c r="W203" s="406">
        <v>133.81225007315453</v>
      </c>
      <c r="X203" s="406">
        <v>138.77174739978093</v>
      </c>
      <c r="Y203" s="405">
        <f t="shared" si="27"/>
        <v>153.21636010085706</v>
      </c>
      <c r="Z203" s="406">
        <v>137.37574030544351</v>
      </c>
      <c r="AA203" s="406">
        <v>142.98248531459924</v>
      </c>
      <c r="AB203" s="442">
        <f t="shared" si="28"/>
        <v>156.30297580102641</v>
      </c>
      <c r="AC203" s="438">
        <f t="shared" si="29"/>
        <v>160.92892461565384</v>
      </c>
      <c r="AD203" s="410"/>
      <c r="AE203" s="411"/>
      <c r="AF203" s="411"/>
      <c r="AG203" s="411"/>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row>
    <row r="204" spans="1:61" x14ac:dyDescent="0.2">
      <c r="A204" s="159" t="s">
        <v>1486</v>
      </c>
      <c r="B204" s="18" t="str">
        <f>VLOOKUP(LEFT(A204,7),'Tariff Schedule Lookup Table'!$A$8:$G$186,2,FALSE)</f>
        <v>High Pressure Sodium 400</v>
      </c>
      <c r="C204" s="160">
        <f t="shared" si="30"/>
        <v>70</v>
      </c>
      <c r="D204" s="18">
        <f t="shared" si="31"/>
        <v>1</v>
      </c>
      <c r="E204" s="18" t="str">
        <f>VLOOKUP(C204,'Tariff Schedule Lookup Table'!I$7:L$286,2,FALSE)</f>
        <v>HIGH PRESSURE SODIUM 400W (310/360)</v>
      </c>
      <c r="F204" s="18" t="str">
        <f>IF(E204 = "BULKHEADS ETC", "SHARED OR NO POLE", VLOOKUP(C204,'Tariff Schedule Lookup Table'!I$7:L$286,3,FALSE))</f>
        <v>SHARED OR NO POLE</v>
      </c>
      <c r="G204" s="18">
        <f>IF(E204 = "NO CAPITAL", 1, VLOOKUP(C204,'Tariff Schedule Lookup Table'!I$7:L$286,4,FALSE))</f>
        <v>1</v>
      </c>
      <c r="H204" s="18" t="str">
        <f t="shared" si="22"/>
        <v>1-Unmetered, CE Funded, CE Maintained</v>
      </c>
      <c r="I204" s="123">
        <f>VLOOKUP(F204,'Maintenance Model'!$A$57:$B$61,2,FALSE)</f>
        <v>0</v>
      </c>
      <c r="J204" s="123">
        <f>IF(D204=1,VLOOKUP(C204,'Capital Code Schedules'!A$15:F$300,2,FALSE),IF(D204=2,VLOOKUP(C204,'Capital Code Schedules'!A$15:F$300,3,FALSE),0))</f>
        <v>35.784047435083579</v>
      </c>
      <c r="K204" s="123">
        <v>45.391018453408257</v>
      </c>
      <c r="L204" s="123">
        <f>VLOOKUP(LEFT(A204,10),'Streetlight Tariff Schedule'!B$11:G$260,6, FALSE)+I204</f>
        <v>79.550488866352481</v>
      </c>
      <c r="M204" s="161">
        <f t="shared" si="23"/>
        <v>124.94150731976075</v>
      </c>
      <c r="N204" s="405">
        <f t="shared" si="24"/>
        <v>119.53495076571687</v>
      </c>
      <c r="O204" s="405">
        <v>102.33573718572556</v>
      </c>
      <c r="P204" s="406">
        <v>100.27651039565401</v>
      </c>
      <c r="Q204" s="406">
        <v>104.05879719635566</v>
      </c>
      <c r="R204" s="406">
        <v>106.16898984948148</v>
      </c>
      <c r="S204" s="405">
        <f t="shared" si="25"/>
        <v>124.49785687374823</v>
      </c>
      <c r="T204" s="406">
        <v>107.55465495080087</v>
      </c>
      <c r="U204" s="406">
        <v>110.11821637658785</v>
      </c>
      <c r="V204" s="405">
        <f t="shared" si="26"/>
        <v>129.46932866346495</v>
      </c>
      <c r="W204" s="406">
        <v>110.90075435756303</v>
      </c>
      <c r="X204" s="406">
        <v>114.54397365083051</v>
      </c>
      <c r="Y204" s="405">
        <f t="shared" si="27"/>
        <v>134.92609699546162</v>
      </c>
      <c r="Z204" s="406">
        <v>113.89718507089113</v>
      </c>
      <c r="AA204" s="406">
        <v>118.06422001380373</v>
      </c>
      <c r="AB204" s="442">
        <f t="shared" si="28"/>
        <v>137.69080406497602</v>
      </c>
      <c r="AC204" s="438">
        <f t="shared" si="29"/>
        <v>141.77513868208436</v>
      </c>
      <c r="AD204" s="410"/>
      <c r="AE204" s="411"/>
      <c r="AF204" s="411"/>
      <c r="AG204" s="411"/>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row>
    <row r="205" spans="1:61" x14ac:dyDescent="0.2">
      <c r="A205" s="159" t="s">
        <v>1487</v>
      </c>
      <c r="B205" s="18" t="str">
        <f>VLOOKUP(LEFT(A205,7),'Tariff Schedule Lookup Table'!$A$8:$G$186,2,FALSE)</f>
        <v>High Pressure Sodium 400</v>
      </c>
      <c r="C205" s="160">
        <f t="shared" si="30"/>
        <v>70</v>
      </c>
      <c r="D205" s="18">
        <f t="shared" si="31"/>
        <v>2</v>
      </c>
      <c r="E205" s="18" t="str">
        <f>VLOOKUP(C205,'Tariff Schedule Lookup Table'!I$7:L$286,2,FALSE)</f>
        <v>HIGH PRESSURE SODIUM 400W (310/360)</v>
      </c>
      <c r="F205" s="18" t="str">
        <f>IF(E205 = "BULKHEADS ETC", "SHARED OR NO POLE", VLOOKUP(C205,'Tariff Schedule Lookup Table'!I$7:L$286,3,FALSE))</f>
        <v>SHARED OR NO POLE</v>
      </c>
      <c r="G205" s="18">
        <f>IF(E205 = "NO CAPITAL", 1, VLOOKUP(C205,'Tariff Schedule Lookup Table'!I$7:L$286,4,FALSE))</f>
        <v>1</v>
      </c>
      <c r="H205" s="18" t="str">
        <f t="shared" si="22"/>
        <v>2-Unmetered, Funded by Others, CE Maintained</v>
      </c>
      <c r="I205" s="123">
        <f>VLOOKUP(F205,'Maintenance Model'!$A$57:$B$61,2,FALSE)</f>
        <v>0</v>
      </c>
      <c r="J205" s="123">
        <f>IF(D205=1,VLOOKUP(C205,'Capital Code Schedules'!A$15:F$300,2,FALSE),IF(D205=2,VLOOKUP(C205,'Capital Code Schedules'!A$15:F$300,3,FALSE),0))</f>
        <v>0</v>
      </c>
      <c r="K205" s="123">
        <v>0</v>
      </c>
      <c r="L205" s="123">
        <f>VLOOKUP(LEFT(A205,10),'Streetlight Tariff Schedule'!B$11:G$260,6, FALSE)+I205</f>
        <v>79.550488866352481</v>
      </c>
      <c r="M205" s="161">
        <f t="shared" si="23"/>
        <v>79.550488866352481</v>
      </c>
      <c r="N205" s="405">
        <f t="shared" si="24"/>
        <v>82.865248156614982</v>
      </c>
      <c r="O205" s="405">
        <v>53.762064235523887</v>
      </c>
      <c r="P205" s="406">
        <v>53.762064235523887</v>
      </c>
      <c r="Q205" s="406">
        <v>56.393118493762309</v>
      </c>
      <c r="R205" s="406">
        <v>56.393118493762309</v>
      </c>
      <c r="S205" s="405">
        <f t="shared" si="25"/>
        <v>86.920579125071058</v>
      </c>
      <c r="T205" s="406">
        <v>58.709250700318336</v>
      </c>
      <c r="U205" s="406">
        <v>58.923732687230697</v>
      </c>
      <c r="V205" s="405">
        <f t="shared" si="26"/>
        <v>90.821098498950477</v>
      </c>
      <c r="W205" s="406">
        <v>60.846426351881064</v>
      </c>
      <c r="X205" s="406">
        <v>61.613996964404137</v>
      </c>
      <c r="Y205" s="405">
        <f t="shared" si="27"/>
        <v>94.967691828370121</v>
      </c>
      <c r="Z205" s="406">
        <v>62.604012447068541</v>
      </c>
      <c r="AA205" s="406">
        <v>63.625738991814217</v>
      </c>
      <c r="AB205" s="442">
        <f t="shared" si="28"/>
        <v>97.029130966943697</v>
      </c>
      <c r="AC205" s="438">
        <f t="shared" si="29"/>
        <v>99.930210896899297</v>
      </c>
      <c r="AD205" s="410"/>
      <c r="AE205" s="411"/>
      <c r="AF205" s="411"/>
      <c r="AG205" s="411"/>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row>
    <row r="206" spans="1:61" x14ac:dyDescent="0.2">
      <c r="A206" s="159" t="s">
        <v>1488</v>
      </c>
      <c r="B206" s="18" t="str">
        <f>VLOOKUP(LEFT(A206,7),'Tariff Schedule Lookup Table'!$A$8:$G$186,2,FALSE)</f>
        <v>High Pressure Sodium 400</v>
      </c>
      <c r="C206" s="160">
        <f t="shared" si="30"/>
        <v>240</v>
      </c>
      <c r="D206" s="18">
        <f t="shared" si="31"/>
        <v>1</v>
      </c>
      <c r="E206" s="18" t="str">
        <f>VLOOKUP(C206,'Tariff Schedule Lookup Table'!I$7:L$286,2,FALSE)</f>
        <v>HIGH PRESSURE SODIUM 400W (310/360)</v>
      </c>
      <c r="F206" s="18" t="str">
        <f>IF(E206 = "BULKHEADS ETC", "SHARED OR NO POLE", VLOOKUP(C206,'Tariff Schedule Lookup Table'!I$7:L$286,3,FALSE))</f>
        <v>WOOD POLE</v>
      </c>
      <c r="G206" s="18">
        <f>IF(E206 = "NO CAPITAL", 1, VLOOKUP(C206,'Tariff Schedule Lookup Table'!I$7:L$286,4,FALSE))</f>
        <v>1</v>
      </c>
      <c r="H206" s="18" t="str">
        <f t="shared" si="22"/>
        <v>1-Unmetered, CE Funded, CE Maintained</v>
      </c>
      <c r="I206" s="123">
        <f>VLOOKUP(F206,'Maintenance Model'!$A$57:$B$61,2,FALSE)</f>
        <v>10.731618231111112</v>
      </c>
      <c r="J206" s="123">
        <f>IF(D206=1,VLOOKUP(C206,'Capital Code Schedules'!A$15:F$300,2,FALSE),IF(D206=2,VLOOKUP(C206,'Capital Code Schedules'!A$15:F$300,3,FALSE),0))</f>
        <v>69.685165796959865</v>
      </c>
      <c r="K206" s="123">
        <v>88.393596402330274</v>
      </c>
      <c r="L206" s="123">
        <f>VLOOKUP(LEFT(A206,10),'Streetlight Tariff Schedule'!B$11:G$260,6, FALSE)+I206</f>
        <v>90.282107097463594</v>
      </c>
      <c r="M206" s="161">
        <f t="shared" si="23"/>
        <v>178.67570349979388</v>
      </c>
      <c r="N206" s="405">
        <f t="shared" si="24"/>
        <v>165.45391178704699</v>
      </c>
      <c r="O206" s="405">
        <v>158.74970087336166</v>
      </c>
      <c r="P206" s="406">
        <v>154.73960222423599</v>
      </c>
      <c r="Q206" s="406">
        <v>160.12132279969552</v>
      </c>
      <c r="R206" s="406">
        <v>164.23067139038704</v>
      </c>
      <c r="S206" s="405">
        <f t="shared" si="25"/>
        <v>171.82371439179076</v>
      </c>
      <c r="T206" s="406">
        <v>165.18271023154742</v>
      </c>
      <c r="U206" s="406">
        <v>170.01321963983239</v>
      </c>
      <c r="V206" s="405">
        <f t="shared" si="26"/>
        <v>178.33597858297145</v>
      </c>
      <c r="W206" s="406">
        <v>170.08739554211547</v>
      </c>
      <c r="X206" s="406">
        <v>176.60337750172084</v>
      </c>
      <c r="Y206" s="405">
        <f t="shared" si="27"/>
        <v>185.59337036697619</v>
      </c>
      <c r="Z206" s="406">
        <v>174.59735575495509</v>
      </c>
      <c r="AA206" s="406">
        <v>181.94177101312155</v>
      </c>
      <c r="AB206" s="442">
        <f t="shared" si="28"/>
        <v>189.3024347563435</v>
      </c>
      <c r="AC206" s="438">
        <f t="shared" si="29"/>
        <v>194.89912717364467</v>
      </c>
      <c r="AD206" s="410"/>
      <c r="AE206" s="411"/>
      <c r="AF206" s="411"/>
      <c r="AG206" s="411"/>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row>
    <row r="207" spans="1:61" x14ac:dyDescent="0.2">
      <c r="A207" s="159" t="s">
        <v>1489</v>
      </c>
      <c r="B207" s="18" t="str">
        <f>VLOOKUP(LEFT(A207,7),'Tariff Schedule Lookup Table'!$A$8:$G$186,2,FALSE)</f>
        <v>High Pressure Sodium 400</v>
      </c>
      <c r="C207" s="160">
        <f t="shared" si="30"/>
        <v>240</v>
      </c>
      <c r="D207" s="18">
        <f t="shared" si="31"/>
        <v>2</v>
      </c>
      <c r="E207" s="18" t="str">
        <f>VLOOKUP(C207,'Tariff Schedule Lookup Table'!I$7:L$286,2,FALSE)</f>
        <v>HIGH PRESSURE SODIUM 400W (310/360)</v>
      </c>
      <c r="F207" s="18" t="str">
        <f>IF(E207 = "BULKHEADS ETC", "SHARED OR NO POLE", VLOOKUP(C207,'Tariff Schedule Lookup Table'!I$7:L$286,3,FALSE))</f>
        <v>WOOD POLE</v>
      </c>
      <c r="G207" s="18">
        <f>IF(E207 = "NO CAPITAL", 1, VLOOKUP(C207,'Tariff Schedule Lookup Table'!I$7:L$286,4,FALSE))</f>
        <v>1</v>
      </c>
      <c r="H207" s="18" t="str">
        <f t="shared" si="22"/>
        <v>2-Unmetered, Funded by Others, CE Maintained</v>
      </c>
      <c r="I207" s="123">
        <f>VLOOKUP(F207,'Maintenance Model'!$A$57:$B$61,2,FALSE)</f>
        <v>10.731618231111112</v>
      </c>
      <c r="J207" s="123">
        <f>IF(D207=1,VLOOKUP(C207,'Capital Code Schedules'!A$15:F$300,2,FALSE),IF(D207=2,VLOOKUP(C207,'Capital Code Schedules'!A$15:F$300,3,FALSE),0))</f>
        <v>0</v>
      </c>
      <c r="K207" s="123">
        <v>0</v>
      </c>
      <c r="L207" s="123">
        <f>VLOOKUP(LEFT(A207,10),'Streetlight Tariff Schedule'!B$11:G$260,6, FALSE)+I207</f>
        <v>90.282107097463594</v>
      </c>
      <c r="M207" s="161">
        <f t="shared" si="23"/>
        <v>90.282107097463594</v>
      </c>
      <c r="N207" s="405">
        <f t="shared" si="24"/>
        <v>94.044038136612386</v>
      </c>
      <c r="O207" s="405">
        <v>64.158264310948056</v>
      </c>
      <c r="P207" s="406">
        <v>64.158264310948056</v>
      </c>
      <c r="Q207" s="406">
        <v>67.298096773053686</v>
      </c>
      <c r="R207" s="406">
        <v>67.298096773053686</v>
      </c>
      <c r="S207" s="405">
        <f t="shared" si="25"/>
        <v>98.646446368507895</v>
      </c>
      <c r="T207" s="406">
        <v>70.062109360746192</v>
      </c>
      <c r="U207" s="406">
        <v>70.318066645905034</v>
      </c>
      <c r="V207" s="405">
        <f t="shared" si="26"/>
        <v>103.07315842102501</v>
      </c>
      <c r="W207" s="406">
        <v>72.612559799761911</v>
      </c>
      <c r="X207" s="406">
        <v>73.528558821299342</v>
      </c>
      <c r="Y207" s="405">
        <f t="shared" si="27"/>
        <v>107.77914060153978</v>
      </c>
      <c r="Z207" s="406">
        <v>74.710017827978319</v>
      </c>
      <c r="AA207" s="406">
        <v>75.929320000308053</v>
      </c>
      <c r="AB207" s="442">
        <f t="shared" si="28"/>
        <v>110.11867454703541</v>
      </c>
      <c r="AC207" s="438">
        <f t="shared" si="29"/>
        <v>113.41111954224569</v>
      </c>
      <c r="AD207" s="410"/>
      <c r="AE207" s="411"/>
      <c r="AF207" s="411"/>
      <c r="AG207" s="411"/>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row>
    <row r="208" spans="1:61" x14ac:dyDescent="0.2">
      <c r="A208" s="159" t="s">
        <v>1490</v>
      </c>
      <c r="B208" s="18" t="str">
        <f>VLOOKUP(LEFT(A208,7),'Tariff Schedule Lookup Table'!$A$8:$G$186,2,FALSE)</f>
        <v>High Pressure Sodium 400</v>
      </c>
      <c r="C208" s="160">
        <f t="shared" si="30"/>
        <v>270</v>
      </c>
      <c r="D208" s="18">
        <f t="shared" si="31"/>
        <v>2</v>
      </c>
      <c r="E208" s="18" t="str">
        <f>VLOOKUP(C208,'Tariff Schedule Lookup Table'!I$7:L$286,2,FALSE)</f>
        <v>METAL HALIDE/HPS 400W FLOOD (310/360)</v>
      </c>
      <c r="F208" s="18" t="str">
        <f>IF(E208 = "BULKHEADS ETC", "SHARED OR NO POLE", VLOOKUP(C208,'Tariff Schedule Lookup Table'!I$7:L$286,3,FALSE))</f>
        <v>R/BOUT COLUMN</v>
      </c>
      <c r="G208" s="18">
        <f>IF(E208 = "NO CAPITAL", 1, VLOOKUP(C208,'Tariff Schedule Lookup Table'!I$7:L$286,4,FALSE))</f>
        <v>3</v>
      </c>
      <c r="H208" s="18" t="str">
        <f t="shared" si="22"/>
        <v>2-Unmetered, Funded by Others, CE Maintained</v>
      </c>
      <c r="I208" s="123">
        <f>VLOOKUP(F208,'Maintenance Model'!$A$57:$B$61,2,FALSE)</f>
        <v>9.9616182311111103</v>
      </c>
      <c r="J208" s="123">
        <f>IF(D208=1,VLOOKUP(C208,'Capital Code Schedules'!A$15:F$300,2,FALSE),IF(D208=2,VLOOKUP(C208,'Capital Code Schedules'!A$15:F$300,3,FALSE),0))</f>
        <v>0</v>
      </c>
      <c r="K208" s="123">
        <v>0</v>
      </c>
      <c r="L208" s="123">
        <f>VLOOKUP(LEFT(A208,10),'Streetlight Tariff Schedule'!B$11:G$260,6, FALSE)+I208</f>
        <v>89.512107097463598</v>
      </c>
      <c r="M208" s="161">
        <f t="shared" si="23"/>
        <v>89.512107097463598</v>
      </c>
      <c r="N208" s="405">
        <f t="shared" si="24"/>
        <v>93.241953297287381</v>
      </c>
      <c r="O208" s="405">
        <v>63.356179471623051</v>
      </c>
      <c r="P208" s="406">
        <v>63.356179471623051</v>
      </c>
      <c r="Q208" s="406">
        <v>66.456758814229218</v>
      </c>
      <c r="R208" s="406">
        <v>66.456758814229218</v>
      </c>
      <c r="S208" s="405">
        <f t="shared" si="25"/>
        <v>97.805108409683442</v>
      </c>
      <c r="T208" s="406">
        <v>69.186216654905095</v>
      </c>
      <c r="U208" s="406">
        <v>69.43897404897983</v>
      </c>
      <c r="V208" s="405">
        <f t="shared" si="26"/>
        <v>102.19406582409982</v>
      </c>
      <c r="W208" s="406">
        <v>71.704782228384715</v>
      </c>
      <c r="X208" s="406">
        <v>72.609329741127411</v>
      </c>
      <c r="Y208" s="405">
        <f t="shared" si="27"/>
        <v>106.85991152136785</v>
      </c>
      <c r="Z208" s="406">
        <v>73.776018548398426</v>
      </c>
      <c r="AA208" s="406">
        <v>74.980077418910611</v>
      </c>
      <c r="AB208" s="442">
        <f t="shared" si="28"/>
        <v>109.17949199882926</v>
      </c>
      <c r="AC208" s="438">
        <f t="shared" si="29"/>
        <v>112.44385631750443</v>
      </c>
      <c r="AD208" s="410"/>
      <c r="AE208" s="411"/>
      <c r="AF208" s="411"/>
      <c r="AG208" s="411"/>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row>
    <row r="209" spans="1:61" x14ac:dyDescent="0.2">
      <c r="A209" s="159" t="s">
        <v>1491</v>
      </c>
      <c r="B209" s="18" t="str">
        <f>VLOOKUP(LEFT(A209,7),'Tariff Schedule Lookup Table'!$A$8:$G$186,2,FALSE)</f>
        <v>High Pressure Sodium 400</v>
      </c>
      <c r="C209" s="160">
        <f t="shared" si="30"/>
        <v>330</v>
      </c>
      <c r="D209" s="18">
        <f t="shared" si="31"/>
        <v>1</v>
      </c>
      <c r="E209" s="18" t="str">
        <f>VLOOKUP(C209,'Tariff Schedule Lookup Table'!I$7:L$286,2,FALSE)</f>
        <v>HIGH PRESSURE SODIUM 400W (310/360)</v>
      </c>
      <c r="F209" s="18" t="str">
        <f>IF(E209 = "BULKHEADS ETC", "SHARED OR NO POLE", VLOOKUP(C209,'Tariff Schedule Lookup Table'!I$7:L$286,3,FALSE))</f>
        <v>STEEL POLE</v>
      </c>
      <c r="G209" s="18">
        <f>IF(E209 = "NO CAPITAL", 1, VLOOKUP(C209,'Tariff Schedule Lookup Table'!I$7:L$286,4,FALSE))</f>
        <v>1</v>
      </c>
      <c r="H209" s="18" t="str">
        <f t="shared" si="22"/>
        <v>1-Unmetered, CE Funded, CE Maintained</v>
      </c>
      <c r="I209" s="123">
        <f>VLOOKUP(F209,'Maintenance Model'!$A$57:$B$61,2,FALSE)</f>
        <v>9.9616182311111103</v>
      </c>
      <c r="J209" s="123">
        <f>IF(D209=1,VLOOKUP(C209,'Capital Code Schedules'!A$15:F$300,2,FALSE),IF(D209=2,VLOOKUP(C209,'Capital Code Schedules'!A$15:F$300,3,FALSE),0))</f>
        <v>95.968430970589921</v>
      </c>
      <c r="K209" s="123">
        <v>121.73315019865107</v>
      </c>
      <c r="L209" s="123">
        <f>VLOOKUP(LEFT(A209,10),'Streetlight Tariff Schedule'!B$11:G$260,6, FALSE)+I209</f>
        <v>89.512107097463598</v>
      </c>
      <c r="M209" s="161">
        <f t="shared" si="23"/>
        <v>211.24525729611469</v>
      </c>
      <c r="N209" s="405">
        <f t="shared" si="24"/>
        <v>191.58560293439945</v>
      </c>
      <c r="O209" s="405">
        <v>193.62481909284014</v>
      </c>
      <c r="P209" s="406">
        <v>188.10222513769074</v>
      </c>
      <c r="Q209" s="406">
        <v>194.29026911053211</v>
      </c>
      <c r="R209" s="406">
        <v>199.94954726607145</v>
      </c>
      <c r="S209" s="405">
        <f t="shared" si="25"/>
        <v>198.58276337531402</v>
      </c>
      <c r="T209" s="406">
        <v>200.18360633104146</v>
      </c>
      <c r="U209" s="406">
        <v>206.73630697169955</v>
      </c>
      <c r="V209" s="405">
        <f t="shared" si="26"/>
        <v>205.84388395625086</v>
      </c>
      <c r="W209" s="406">
        <v>205.94435729900547</v>
      </c>
      <c r="X209" s="406">
        <v>214.56104224992731</v>
      </c>
      <c r="Y209" s="405">
        <f t="shared" si="27"/>
        <v>214.02345848819877</v>
      </c>
      <c r="Z209" s="406">
        <v>211.33802310201702</v>
      </c>
      <c r="AA209" s="406">
        <v>220.97741373421132</v>
      </c>
      <c r="AB209" s="442">
        <f t="shared" si="28"/>
        <v>218.22911739227644</v>
      </c>
      <c r="AC209" s="438">
        <f t="shared" si="29"/>
        <v>224.66682580990093</v>
      </c>
      <c r="AD209" s="410"/>
      <c r="AE209" s="411"/>
      <c r="AF209" s="411"/>
      <c r="AG209" s="411"/>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row>
    <row r="210" spans="1:61" x14ac:dyDescent="0.2">
      <c r="A210" s="159" t="s">
        <v>1492</v>
      </c>
      <c r="B210" s="18" t="str">
        <f>VLOOKUP(LEFT(A210,7),'Tariff Schedule Lookup Table'!$A$8:$G$186,2,FALSE)</f>
        <v>High Pressure Sodium 400</v>
      </c>
      <c r="C210" s="160">
        <f t="shared" si="30"/>
        <v>330</v>
      </c>
      <c r="D210" s="18">
        <f t="shared" si="31"/>
        <v>2</v>
      </c>
      <c r="E210" s="18" t="str">
        <f>VLOOKUP(C210,'Tariff Schedule Lookup Table'!I$7:L$286,2,FALSE)</f>
        <v>HIGH PRESSURE SODIUM 400W (310/360)</v>
      </c>
      <c r="F210" s="18" t="str">
        <f>IF(E210 = "BULKHEADS ETC", "SHARED OR NO POLE", VLOOKUP(C210,'Tariff Schedule Lookup Table'!I$7:L$286,3,FALSE))</f>
        <v>STEEL POLE</v>
      </c>
      <c r="G210" s="18">
        <f>IF(E210 = "NO CAPITAL", 1, VLOOKUP(C210,'Tariff Schedule Lookup Table'!I$7:L$286,4,FALSE))</f>
        <v>1</v>
      </c>
      <c r="H210" s="18" t="str">
        <f t="shared" ref="H210:H273" si="32">VLOOKUP(D210,A$11:B$15, 2, FALSE)</f>
        <v>2-Unmetered, Funded by Others, CE Maintained</v>
      </c>
      <c r="I210" s="123">
        <f>VLOOKUP(F210,'Maintenance Model'!$A$57:$B$61,2,FALSE)</f>
        <v>9.9616182311111103</v>
      </c>
      <c r="J210" s="123">
        <f>IF(D210=1,VLOOKUP(C210,'Capital Code Schedules'!A$15:F$300,2,FALSE),IF(D210=2,VLOOKUP(C210,'Capital Code Schedules'!A$15:F$300,3,FALSE),0))</f>
        <v>0</v>
      </c>
      <c r="K210" s="123">
        <v>0</v>
      </c>
      <c r="L210" s="123">
        <f>VLOOKUP(LEFT(A210,10),'Streetlight Tariff Schedule'!B$11:G$260,6, FALSE)+I210</f>
        <v>89.512107097463598</v>
      </c>
      <c r="M210" s="161">
        <f t="shared" si="23"/>
        <v>89.512107097463598</v>
      </c>
      <c r="N210" s="405">
        <f t="shared" si="24"/>
        <v>93.241953297287381</v>
      </c>
      <c r="O210" s="405">
        <v>63.356179471623051</v>
      </c>
      <c r="P210" s="406">
        <v>63.356179471623051</v>
      </c>
      <c r="Q210" s="406">
        <v>66.456758814229218</v>
      </c>
      <c r="R210" s="406">
        <v>66.456758814229218</v>
      </c>
      <c r="S210" s="405">
        <f t="shared" si="25"/>
        <v>97.805108409683442</v>
      </c>
      <c r="T210" s="406">
        <v>69.186216654905095</v>
      </c>
      <c r="U210" s="406">
        <v>69.43897404897983</v>
      </c>
      <c r="V210" s="405">
        <f t="shared" si="26"/>
        <v>102.19406582409982</v>
      </c>
      <c r="W210" s="406">
        <v>71.704782228384715</v>
      </c>
      <c r="X210" s="406">
        <v>72.609329741127411</v>
      </c>
      <c r="Y210" s="405">
        <f t="shared" si="27"/>
        <v>106.85991152136785</v>
      </c>
      <c r="Z210" s="406">
        <v>73.776018548398426</v>
      </c>
      <c r="AA210" s="406">
        <v>74.980077418910611</v>
      </c>
      <c r="AB210" s="442">
        <f t="shared" si="28"/>
        <v>109.17949199882926</v>
      </c>
      <c r="AC210" s="438">
        <f t="shared" si="29"/>
        <v>112.44385631750443</v>
      </c>
      <c r="AD210" s="410"/>
      <c r="AE210" s="411"/>
      <c r="AF210" s="411"/>
      <c r="AG210" s="411"/>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row>
    <row r="211" spans="1:61" x14ac:dyDescent="0.2">
      <c r="A211" s="159" t="s">
        <v>1493</v>
      </c>
      <c r="B211" s="18" t="str">
        <f>VLOOKUP(LEFT(A211,7),'Tariff Schedule Lookup Table'!$A$8:$G$186,2,FALSE)</f>
        <v>High Pressure Sodium 400</v>
      </c>
      <c r="C211" s="160">
        <f t="shared" si="30"/>
        <v>400</v>
      </c>
      <c r="D211" s="18">
        <f t="shared" si="31"/>
        <v>1</v>
      </c>
      <c r="E211" s="18" t="str">
        <f>VLOOKUP(C211,'Tariff Schedule Lookup Table'!I$7:L$286,2,FALSE)</f>
        <v>HIGH PRESSURE SODIUM 400W (310/360)</v>
      </c>
      <c r="F211" s="18" t="str">
        <f>IF(E211 = "BULKHEADS ETC", "SHARED OR NO POLE", VLOOKUP(C211,'Tariff Schedule Lookup Table'!I$7:L$286,3,FALSE))</f>
        <v>STEEL POLE</v>
      </c>
      <c r="G211" s="18">
        <f>IF(E211 = "NO CAPITAL", 1, VLOOKUP(C211,'Tariff Schedule Lookup Table'!I$7:L$286,4,FALSE))</f>
        <v>2</v>
      </c>
      <c r="H211" s="18" t="str">
        <f t="shared" si="32"/>
        <v>1-Unmetered, CE Funded, CE Maintained</v>
      </c>
      <c r="I211" s="123">
        <f>VLOOKUP(F211,'Maintenance Model'!$A$57:$B$61,2,FALSE)</f>
        <v>9.9616182311111103</v>
      </c>
      <c r="J211" s="123">
        <f>IF(D211=1,VLOOKUP(C211,'Capital Code Schedules'!A$15:F$300,2,FALSE),IF(D211=2,VLOOKUP(C211,'Capital Code Schedules'!A$15:F$300,3,FALSE),0))</f>
        <v>112.34795462341719</v>
      </c>
      <c r="K211" s="123">
        <v>142.51009729308706</v>
      </c>
      <c r="L211" s="123">
        <f>VLOOKUP(LEFT(A211,10),'Streetlight Tariff Schedule'!B$11:G$260,6, FALSE)+I211</f>
        <v>89.512107097463598</v>
      </c>
      <c r="M211" s="161">
        <f t="shared" ref="M211:M274" si="33">IF(VLOOKUP(D211,A$11:D$15,3,FALSE)="Y",IF(VLOOKUP(D211,A$11:D$15,4,FALSE)="Y",K211+L211,K211),IF(VLOOKUP(D211,A$11:D$15,4,FALSE)="Y",L211,0))</f>
        <v>232.02220439055066</v>
      </c>
      <c r="N211" s="405">
        <f t="shared" ref="N211:N274" si="34">($J211+$L211+$L211*$M$10*$M$14)*(1+$M$12)</f>
        <v>208.37051979763416</v>
      </c>
      <c r="O211" s="405">
        <v>215.85857077886331</v>
      </c>
      <c r="P211" s="406">
        <v>209.39340167271399</v>
      </c>
      <c r="Q211" s="406">
        <v>216.10840226479721</v>
      </c>
      <c r="R211" s="406">
        <v>222.73358430632371</v>
      </c>
      <c r="S211" s="405">
        <f t="shared" ref="S211:S274" si="35">($J211+$L211+$L211*$N$10*$N$14)*(1+$N$12)</f>
        <v>215.78310693091382</v>
      </c>
      <c r="T211" s="406">
        <v>222.5417382808746</v>
      </c>
      <c r="U211" s="406">
        <v>230.16968906759899</v>
      </c>
      <c r="V211" s="405">
        <f t="shared" ref="V211:V274" si="36">($J211+$L211+$L211*$O$10*$O$14)*(1+$O$12)</f>
        <v>223.53443730318526</v>
      </c>
      <c r="W211" s="406">
        <v>228.85585301459699</v>
      </c>
      <c r="X211" s="406">
        <v>238.78881599887774</v>
      </c>
      <c r="Y211" s="405">
        <f t="shared" ref="Y211:Y274" si="37">($J211+$L211+$L211*$P$10*$P$14)*(1+$P$12)</f>
        <v>232.31372159359424</v>
      </c>
      <c r="Z211" s="406">
        <v>234.81657833656942</v>
      </c>
      <c r="AA211" s="406">
        <v>245.89567903500685</v>
      </c>
      <c r="AB211" s="442">
        <f t="shared" ref="AB211:AB274" si="38">($J211+$L211+$L211*$Q$10*$Q$14)*(1+$Q$12)</f>
        <v>236.84128912832688</v>
      </c>
      <c r="AC211" s="438">
        <f t="shared" ref="AC211:AC274" si="39">($J211+$L211+$L211*$R$10*$R$14)*(1+$R$12)</f>
        <v>243.82061174347044</v>
      </c>
      <c r="AD211" s="410"/>
      <c r="AE211" s="411"/>
      <c r="AF211" s="411"/>
      <c r="AG211" s="411"/>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row>
    <row r="212" spans="1:61" x14ac:dyDescent="0.2">
      <c r="A212" s="159" t="s">
        <v>1494</v>
      </c>
      <c r="B212" s="18" t="str">
        <f>VLOOKUP(LEFT(A212,7),'Tariff Schedule Lookup Table'!$A$8:$G$186,2,FALSE)</f>
        <v>High Pressure Sodium 400</v>
      </c>
      <c r="C212" s="160">
        <f t="shared" si="30"/>
        <v>400</v>
      </c>
      <c r="D212" s="18">
        <f t="shared" si="31"/>
        <v>2</v>
      </c>
      <c r="E212" s="18" t="str">
        <f>VLOOKUP(C212,'Tariff Schedule Lookup Table'!I$7:L$286,2,FALSE)</f>
        <v>HIGH PRESSURE SODIUM 400W (310/360)</v>
      </c>
      <c r="F212" s="18" t="str">
        <f>IF(E212 = "BULKHEADS ETC", "SHARED OR NO POLE", VLOOKUP(C212,'Tariff Schedule Lookup Table'!I$7:L$286,3,FALSE))</f>
        <v>STEEL POLE</v>
      </c>
      <c r="G212" s="18">
        <f>IF(E212 = "NO CAPITAL", 1, VLOOKUP(C212,'Tariff Schedule Lookup Table'!I$7:L$286,4,FALSE))</f>
        <v>2</v>
      </c>
      <c r="H212" s="18" t="str">
        <f t="shared" si="32"/>
        <v>2-Unmetered, Funded by Others, CE Maintained</v>
      </c>
      <c r="I212" s="123">
        <f>VLOOKUP(F212,'Maintenance Model'!$A$57:$B$61,2,FALSE)</f>
        <v>9.9616182311111103</v>
      </c>
      <c r="J212" s="123">
        <f>IF(D212=1,VLOOKUP(C212,'Capital Code Schedules'!A$15:F$300,2,FALSE),IF(D212=2,VLOOKUP(C212,'Capital Code Schedules'!A$15:F$300,3,FALSE),0))</f>
        <v>0</v>
      </c>
      <c r="K212" s="123">
        <v>0</v>
      </c>
      <c r="L212" s="123">
        <f>VLOOKUP(LEFT(A212,10),'Streetlight Tariff Schedule'!B$11:G$260,6, FALSE)+I212</f>
        <v>89.512107097463598</v>
      </c>
      <c r="M212" s="161">
        <f t="shared" si="33"/>
        <v>89.512107097463598</v>
      </c>
      <c r="N212" s="405">
        <f t="shared" si="34"/>
        <v>93.241953297287381</v>
      </c>
      <c r="O212" s="405">
        <v>63.356179471623051</v>
      </c>
      <c r="P212" s="406">
        <v>63.356179471623051</v>
      </c>
      <c r="Q212" s="406">
        <v>66.456758814229218</v>
      </c>
      <c r="R212" s="406">
        <v>66.456758814229218</v>
      </c>
      <c r="S212" s="405">
        <f t="shared" si="35"/>
        <v>97.805108409683442</v>
      </c>
      <c r="T212" s="406">
        <v>69.186216654905095</v>
      </c>
      <c r="U212" s="406">
        <v>69.43897404897983</v>
      </c>
      <c r="V212" s="405">
        <f t="shared" si="36"/>
        <v>102.19406582409982</v>
      </c>
      <c r="W212" s="406">
        <v>71.704782228384715</v>
      </c>
      <c r="X212" s="406">
        <v>72.609329741127411</v>
      </c>
      <c r="Y212" s="405">
        <f t="shared" si="37"/>
        <v>106.85991152136785</v>
      </c>
      <c r="Z212" s="406">
        <v>73.776018548398426</v>
      </c>
      <c r="AA212" s="406">
        <v>74.980077418910611</v>
      </c>
      <c r="AB212" s="442">
        <f t="shared" si="38"/>
        <v>109.17949199882926</v>
      </c>
      <c r="AC212" s="438">
        <f t="shared" si="39"/>
        <v>112.44385631750443</v>
      </c>
      <c r="AD212" s="410"/>
      <c r="AE212" s="411"/>
      <c r="AF212" s="411"/>
      <c r="AG212" s="411"/>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row>
    <row r="213" spans="1:61" x14ac:dyDescent="0.2">
      <c r="A213" s="159" t="s">
        <v>1495</v>
      </c>
      <c r="B213" s="18" t="str">
        <f>VLOOKUP(LEFT(A213,7),'Tariff Schedule Lookup Table'!$A$8:$G$186,2,FALSE)</f>
        <v>High Pressure Sodium 400</v>
      </c>
      <c r="C213" s="160">
        <f t="shared" si="30"/>
        <v>440</v>
      </c>
      <c r="D213" s="18">
        <f t="shared" si="31"/>
        <v>1</v>
      </c>
      <c r="E213" s="18" t="str">
        <f>VLOOKUP(C213,'Tariff Schedule Lookup Table'!I$7:L$286,2,FALSE)</f>
        <v>HIGH PRESSURE SODIUM 400W (310/360)</v>
      </c>
      <c r="F213" s="18" t="str">
        <f>IF(E213 = "BULKHEADS ETC", "SHARED OR NO POLE", VLOOKUP(C213,'Tariff Schedule Lookup Table'!I$7:L$286,3,FALSE))</f>
        <v>STEEL POLE</v>
      </c>
      <c r="G213" s="18">
        <f>IF(E213 = "NO CAPITAL", 1, VLOOKUP(C213,'Tariff Schedule Lookup Table'!I$7:L$286,4,FALSE))</f>
        <v>3</v>
      </c>
      <c r="H213" s="18" t="str">
        <f t="shared" si="32"/>
        <v>1-Unmetered, CE Funded, CE Maintained</v>
      </c>
      <c r="I213" s="123">
        <f>VLOOKUP(F213,'Maintenance Model'!$A$57:$B$61,2,FALSE)</f>
        <v>9.9616182311111103</v>
      </c>
      <c r="J213" s="123">
        <f>IF(D213=1,VLOOKUP(C213,'Capital Code Schedules'!A$15:F$300,2,FALSE),IF(D213=2,VLOOKUP(C213,'Capital Code Schedules'!A$15:F$300,3,FALSE),0))</f>
        <v>128.72747827624443</v>
      </c>
      <c r="K213" s="123">
        <v>163.28704438752303</v>
      </c>
      <c r="L213" s="123">
        <f>VLOOKUP(LEFT(A213,10),'Streetlight Tariff Schedule'!B$11:G$260,6, FALSE)+I213</f>
        <v>89.512107097463598</v>
      </c>
      <c r="M213" s="161">
        <f t="shared" si="33"/>
        <v>252.79915148498662</v>
      </c>
      <c r="N213" s="405">
        <f t="shared" si="34"/>
        <v>225.15543666086887</v>
      </c>
      <c r="O213" s="405">
        <v>238.09232246488651</v>
      </c>
      <c r="P213" s="406">
        <v>230.68457820773725</v>
      </c>
      <c r="Q213" s="406">
        <v>237.92653541906228</v>
      </c>
      <c r="R213" s="406">
        <v>245.51762134657596</v>
      </c>
      <c r="S213" s="405">
        <f t="shared" si="35"/>
        <v>232.98345048651356</v>
      </c>
      <c r="T213" s="406">
        <v>244.89987023070776</v>
      </c>
      <c r="U213" s="406">
        <v>253.60307116349844</v>
      </c>
      <c r="V213" s="405">
        <f t="shared" si="36"/>
        <v>241.22499065011959</v>
      </c>
      <c r="W213" s="406">
        <v>251.7673487301885</v>
      </c>
      <c r="X213" s="406">
        <v>263.01658974782822</v>
      </c>
      <c r="Y213" s="405">
        <f t="shared" si="37"/>
        <v>250.60398469898968</v>
      </c>
      <c r="Z213" s="406">
        <v>258.29513357112182</v>
      </c>
      <c r="AA213" s="406">
        <v>270.81394433580238</v>
      </c>
      <c r="AB213" s="442">
        <f t="shared" si="38"/>
        <v>255.45346086437726</v>
      </c>
      <c r="AC213" s="438">
        <f t="shared" si="39"/>
        <v>262.97439767703992</v>
      </c>
      <c r="AD213" s="410"/>
      <c r="AE213" s="411"/>
      <c r="AF213" s="411"/>
      <c r="AG213" s="411"/>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row>
    <row r="214" spans="1:61" x14ac:dyDescent="0.2">
      <c r="A214" s="159" t="s">
        <v>1496</v>
      </c>
      <c r="B214" s="18" t="str">
        <f>VLOOKUP(LEFT(A214,7),'Tariff Schedule Lookup Table'!$A$8:$G$186,2,FALSE)</f>
        <v>High Pressure Sodium 400</v>
      </c>
      <c r="C214" s="160">
        <f t="shared" si="30"/>
        <v>440</v>
      </c>
      <c r="D214" s="18">
        <f t="shared" si="31"/>
        <v>2</v>
      </c>
      <c r="E214" s="18" t="str">
        <f>VLOOKUP(C214,'Tariff Schedule Lookup Table'!I$7:L$286,2,FALSE)</f>
        <v>HIGH PRESSURE SODIUM 400W (310/360)</v>
      </c>
      <c r="F214" s="18" t="str">
        <f>IF(E214 = "BULKHEADS ETC", "SHARED OR NO POLE", VLOOKUP(C214,'Tariff Schedule Lookup Table'!I$7:L$286,3,FALSE))</f>
        <v>STEEL POLE</v>
      </c>
      <c r="G214" s="18">
        <f>IF(E214 = "NO CAPITAL", 1, VLOOKUP(C214,'Tariff Schedule Lookup Table'!I$7:L$286,4,FALSE))</f>
        <v>3</v>
      </c>
      <c r="H214" s="18" t="str">
        <f t="shared" si="32"/>
        <v>2-Unmetered, Funded by Others, CE Maintained</v>
      </c>
      <c r="I214" s="123">
        <f>VLOOKUP(F214,'Maintenance Model'!$A$57:$B$61,2,FALSE)</f>
        <v>9.9616182311111103</v>
      </c>
      <c r="J214" s="123">
        <f>IF(D214=1,VLOOKUP(C214,'Capital Code Schedules'!A$15:F$300,2,FALSE),IF(D214=2,VLOOKUP(C214,'Capital Code Schedules'!A$15:F$300,3,FALSE),0))</f>
        <v>0</v>
      </c>
      <c r="K214" s="123">
        <v>0</v>
      </c>
      <c r="L214" s="123">
        <f>VLOOKUP(LEFT(A214,10),'Streetlight Tariff Schedule'!B$11:G$260,6, FALSE)+I214</f>
        <v>89.512107097463598</v>
      </c>
      <c r="M214" s="161">
        <f t="shared" si="33"/>
        <v>89.512107097463598</v>
      </c>
      <c r="N214" s="405">
        <f t="shared" si="34"/>
        <v>93.241953297287381</v>
      </c>
      <c r="O214" s="405">
        <v>63.356179471623051</v>
      </c>
      <c r="P214" s="406">
        <v>63.356179471623051</v>
      </c>
      <c r="Q214" s="406">
        <v>66.456758814229218</v>
      </c>
      <c r="R214" s="406">
        <v>66.456758814229218</v>
      </c>
      <c r="S214" s="405">
        <f t="shared" si="35"/>
        <v>97.805108409683442</v>
      </c>
      <c r="T214" s="406">
        <v>69.186216654905095</v>
      </c>
      <c r="U214" s="406">
        <v>69.43897404897983</v>
      </c>
      <c r="V214" s="405">
        <f t="shared" si="36"/>
        <v>102.19406582409982</v>
      </c>
      <c r="W214" s="406">
        <v>71.704782228384715</v>
      </c>
      <c r="X214" s="406">
        <v>72.609329741127411</v>
      </c>
      <c r="Y214" s="405">
        <f t="shared" si="37"/>
        <v>106.85991152136785</v>
      </c>
      <c r="Z214" s="406">
        <v>73.776018548398426</v>
      </c>
      <c r="AA214" s="406">
        <v>74.980077418910611</v>
      </c>
      <c r="AB214" s="442">
        <f t="shared" si="38"/>
        <v>109.17949199882926</v>
      </c>
      <c r="AC214" s="438">
        <f t="shared" si="39"/>
        <v>112.44385631750443</v>
      </c>
      <c r="AD214" s="410"/>
      <c r="AE214" s="411"/>
      <c r="AF214" s="411"/>
      <c r="AG214" s="411"/>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row>
    <row r="215" spans="1:61" x14ac:dyDescent="0.2">
      <c r="A215" s="159" t="s">
        <v>1497</v>
      </c>
      <c r="B215" s="18" t="str">
        <f>VLOOKUP(LEFT(A215,7),'Tariff Schedule Lookup Table'!$A$8:$G$186,2,FALSE)</f>
        <v>High Pressure Sodium 400</v>
      </c>
      <c r="C215" s="160">
        <f t="shared" si="30"/>
        <v>480</v>
      </c>
      <c r="D215" s="18">
        <f t="shared" si="31"/>
        <v>2</v>
      </c>
      <c r="E215" s="18" t="str">
        <f>VLOOKUP(C215,'Tariff Schedule Lookup Table'!I$7:L$286,2,FALSE)</f>
        <v>HIGH PRESSURE SODIUM 400W (310/360)</v>
      </c>
      <c r="F215" s="18" t="str">
        <f>IF(E215 = "BULKHEADS ETC", "SHARED OR NO POLE", VLOOKUP(C215,'Tariff Schedule Lookup Table'!I$7:L$286,3,FALSE))</f>
        <v>STEEL POLE</v>
      </c>
      <c r="G215" s="18">
        <f>IF(E215 = "NO CAPITAL", 1, VLOOKUP(C215,'Tariff Schedule Lookup Table'!I$7:L$286,4,FALSE))</f>
        <v>4</v>
      </c>
      <c r="H215" s="18" t="str">
        <f t="shared" si="32"/>
        <v>2-Unmetered, Funded by Others, CE Maintained</v>
      </c>
      <c r="I215" s="123">
        <f>VLOOKUP(F215,'Maintenance Model'!$A$57:$B$61,2,FALSE)</f>
        <v>9.9616182311111103</v>
      </c>
      <c r="J215" s="123">
        <f>IF(D215=1,VLOOKUP(C215,'Capital Code Schedules'!A$15:F$300,2,FALSE),IF(D215=2,VLOOKUP(C215,'Capital Code Schedules'!A$15:F$300,3,FALSE),0))</f>
        <v>0</v>
      </c>
      <c r="K215" s="123">
        <v>0</v>
      </c>
      <c r="L215" s="123">
        <f>VLOOKUP(LEFT(A215,10),'Streetlight Tariff Schedule'!B$11:G$260,6, FALSE)+I215</f>
        <v>89.512107097463598</v>
      </c>
      <c r="M215" s="161">
        <f t="shared" si="33"/>
        <v>89.512107097463598</v>
      </c>
      <c r="N215" s="405">
        <f t="shared" si="34"/>
        <v>93.241953297287381</v>
      </c>
      <c r="O215" s="405">
        <v>63.356179471623051</v>
      </c>
      <c r="P215" s="406">
        <v>63.356179471623051</v>
      </c>
      <c r="Q215" s="406">
        <v>66.456758814229218</v>
      </c>
      <c r="R215" s="406">
        <v>66.456758814229218</v>
      </c>
      <c r="S215" s="405">
        <f t="shared" si="35"/>
        <v>97.805108409683442</v>
      </c>
      <c r="T215" s="406">
        <v>69.186216654905095</v>
      </c>
      <c r="U215" s="406">
        <v>69.43897404897983</v>
      </c>
      <c r="V215" s="405">
        <f t="shared" si="36"/>
        <v>102.19406582409982</v>
      </c>
      <c r="W215" s="406">
        <v>71.704782228384715</v>
      </c>
      <c r="X215" s="406">
        <v>72.609329741127411</v>
      </c>
      <c r="Y215" s="405">
        <f t="shared" si="37"/>
        <v>106.85991152136785</v>
      </c>
      <c r="Z215" s="406">
        <v>73.776018548398426</v>
      </c>
      <c r="AA215" s="406">
        <v>74.980077418910611</v>
      </c>
      <c r="AB215" s="442">
        <f t="shared" si="38"/>
        <v>109.17949199882926</v>
      </c>
      <c r="AC215" s="438">
        <f t="shared" si="39"/>
        <v>112.44385631750443</v>
      </c>
      <c r="AD215" s="410"/>
      <c r="AE215" s="411"/>
      <c r="AF215" s="411"/>
      <c r="AG215" s="411"/>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row>
    <row r="216" spans="1:61" x14ac:dyDescent="0.2">
      <c r="A216" s="159" t="s">
        <v>1498</v>
      </c>
      <c r="B216" s="18" t="str">
        <f>VLOOKUP(LEFT(A216,7),'Tariff Schedule Lookup Table'!$A$8:$G$186,2,FALSE)</f>
        <v>High Pressure Sodium 400</v>
      </c>
      <c r="C216" s="160">
        <f t="shared" si="30"/>
        <v>560</v>
      </c>
      <c r="D216" s="18">
        <f t="shared" si="31"/>
        <v>2</v>
      </c>
      <c r="E216" s="18" t="str">
        <f>VLOOKUP(C216,'Tariff Schedule Lookup Table'!I$7:L$286,2,FALSE)</f>
        <v>HIGH PRESSURE SODIUM 400W (310/360)</v>
      </c>
      <c r="F216" s="18" t="str">
        <f>IF(E216 = "BULKHEADS ETC", "SHARED OR NO POLE", VLOOKUP(C216,'Tariff Schedule Lookup Table'!I$7:L$286,3,FALSE))</f>
        <v>R/BOUT COLUMN</v>
      </c>
      <c r="G216" s="18">
        <f>IF(E216 = "NO CAPITAL", 1, VLOOKUP(C216,'Tariff Schedule Lookup Table'!I$7:L$286,4,FALSE))</f>
        <v>3</v>
      </c>
      <c r="H216" s="18" t="str">
        <f t="shared" si="32"/>
        <v>2-Unmetered, Funded by Others, CE Maintained</v>
      </c>
      <c r="I216" s="123">
        <f>VLOOKUP(F216,'Maintenance Model'!$A$57:$B$61,2,FALSE)</f>
        <v>9.9616182311111103</v>
      </c>
      <c r="J216" s="123">
        <f>IF(D216=1,VLOOKUP(C216,'Capital Code Schedules'!A$15:F$300,2,FALSE),IF(D216=2,VLOOKUP(C216,'Capital Code Schedules'!A$15:F$300,3,FALSE),0))</f>
        <v>0</v>
      </c>
      <c r="K216" s="123">
        <v>0</v>
      </c>
      <c r="L216" s="123">
        <f>VLOOKUP(LEFT(A216,10),'Streetlight Tariff Schedule'!B$11:G$260,6, FALSE)+I216</f>
        <v>89.512107097463598</v>
      </c>
      <c r="M216" s="161">
        <f t="shared" si="33"/>
        <v>89.512107097463598</v>
      </c>
      <c r="N216" s="405">
        <f t="shared" si="34"/>
        <v>93.241953297287381</v>
      </c>
      <c r="O216" s="405">
        <v>63.356179471623051</v>
      </c>
      <c r="P216" s="406">
        <v>63.356179471623051</v>
      </c>
      <c r="Q216" s="406">
        <v>66.456758814229218</v>
      </c>
      <c r="R216" s="406">
        <v>66.456758814229218</v>
      </c>
      <c r="S216" s="405">
        <f t="shared" si="35"/>
        <v>97.805108409683442</v>
      </c>
      <c r="T216" s="406">
        <v>69.186216654905095</v>
      </c>
      <c r="U216" s="406">
        <v>69.43897404897983</v>
      </c>
      <c r="V216" s="405">
        <f t="shared" si="36"/>
        <v>102.19406582409982</v>
      </c>
      <c r="W216" s="406">
        <v>71.704782228384715</v>
      </c>
      <c r="X216" s="406">
        <v>72.609329741127411</v>
      </c>
      <c r="Y216" s="405">
        <f t="shared" si="37"/>
        <v>106.85991152136785</v>
      </c>
      <c r="Z216" s="406">
        <v>73.776018548398426</v>
      </c>
      <c r="AA216" s="406">
        <v>74.980077418910611</v>
      </c>
      <c r="AB216" s="442">
        <f t="shared" si="38"/>
        <v>109.17949199882926</v>
      </c>
      <c r="AC216" s="438">
        <f t="shared" si="39"/>
        <v>112.44385631750443</v>
      </c>
      <c r="AD216" s="410"/>
      <c r="AE216" s="411"/>
      <c r="AF216" s="411"/>
      <c r="AG216" s="411"/>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row>
    <row r="217" spans="1:61" x14ac:dyDescent="0.2">
      <c r="A217" s="159" t="s">
        <v>1499</v>
      </c>
      <c r="B217" s="18" t="str">
        <f>VLOOKUP(LEFT(A217,7),'Tariff Schedule Lookup Table'!$A$8:$G$186,2,FALSE)</f>
        <v>High Pressure Sodium 400</v>
      </c>
      <c r="C217" s="160">
        <f t="shared" si="30"/>
        <v>600</v>
      </c>
      <c r="D217" s="18">
        <f t="shared" si="31"/>
        <v>2</v>
      </c>
      <c r="E217" s="18" t="str">
        <f>VLOOKUP(C217,'Tariff Schedule Lookup Table'!I$7:L$286,2,FALSE)</f>
        <v>HIGH PRESSURE SODIUM 400W (310/360)</v>
      </c>
      <c r="F217" s="18" t="str">
        <f>IF(E217 = "BULKHEADS ETC", "SHARED OR NO POLE", VLOOKUP(C217,'Tariff Schedule Lookup Table'!I$7:L$286,3,FALSE))</f>
        <v>R/BOUT COLUMN</v>
      </c>
      <c r="G217" s="18">
        <f>IF(E217 = "NO CAPITAL", 1, VLOOKUP(C217,'Tariff Schedule Lookup Table'!I$7:L$286,4,FALSE))</f>
        <v>4</v>
      </c>
      <c r="H217" s="18" t="str">
        <f t="shared" si="32"/>
        <v>2-Unmetered, Funded by Others, CE Maintained</v>
      </c>
      <c r="I217" s="123">
        <f>VLOOKUP(F217,'Maintenance Model'!$A$57:$B$61,2,FALSE)</f>
        <v>9.9616182311111103</v>
      </c>
      <c r="J217" s="123">
        <f>IF(D217=1,VLOOKUP(C217,'Capital Code Schedules'!A$15:F$300,2,FALSE),IF(D217=2,VLOOKUP(C217,'Capital Code Schedules'!A$15:F$300,3,FALSE),0))</f>
        <v>0</v>
      </c>
      <c r="K217" s="123">
        <v>0</v>
      </c>
      <c r="L217" s="123">
        <f>VLOOKUP(LEFT(A217,10),'Streetlight Tariff Schedule'!B$11:G$260,6, FALSE)+I217</f>
        <v>89.512107097463598</v>
      </c>
      <c r="M217" s="161">
        <f t="shared" si="33"/>
        <v>89.512107097463598</v>
      </c>
      <c r="N217" s="405">
        <f t="shared" si="34"/>
        <v>93.241953297287381</v>
      </c>
      <c r="O217" s="405">
        <v>63.356179471623051</v>
      </c>
      <c r="P217" s="406">
        <v>63.356179471623051</v>
      </c>
      <c r="Q217" s="406">
        <v>66.456758814229218</v>
      </c>
      <c r="R217" s="406">
        <v>66.456758814229218</v>
      </c>
      <c r="S217" s="405">
        <f t="shared" si="35"/>
        <v>97.805108409683442</v>
      </c>
      <c r="T217" s="406">
        <v>69.186216654905095</v>
      </c>
      <c r="U217" s="406">
        <v>69.43897404897983</v>
      </c>
      <c r="V217" s="405">
        <f t="shared" si="36"/>
        <v>102.19406582409982</v>
      </c>
      <c r="W217" s="406">
        <v>71.704782228384715</v>
      </c>
      <c r="X217" s="406">
        <v>72.609329741127411</v>
      </c>
      <c r="Y217" s="405">
        <f t="shared" si="37"/>
        <v>106.85991152136785</v>
      </c>
      <c r="Z217" s="406">
        <v>73.776018548398426</v>
      </c>
      <c r="AA217" s="406">
        <v>74.980077418910611</v>
      </c>
      <c r="AB217" s="442">
        <f t="shared" si="38"/>
        <v>109.17949199882926</v>
      </c>
      <c r="AC217" s="438">
        <f t="shared" si="39"/>
        <v>112.44385631750443</v>
      </c>
      <c r="AD217" s="410"/>
      <c r="AE217" s="411"/>
      <c r="AF217" s="411"/>
      <c r="AG217" s="411"/>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row>
    <row r="218" spans="1:61" x14ac:dyDescent="0.2">
      <c r="A218" s="159" t="s">
        <v>1500</v>
      </c>
      <c r="B218" s="18" t="str">
        <f>VLOOKUP(LEFT(A218,7),'Tariff Schedule Lookup Table'!$A$8:$G$186,2,FALSE)</f>
        <v>High Pressure Sodium 400</v>
      </c>
      <c r="C218" s="160">
        <f t="shared" si="30"/>
        <v>620</v>
      </c>
      <c r="D218" s="18">
        <f t="shared" si="31"/>
        <v>1</v>
      </c>
      <c r="E218" s="18" t="str">
        <f>VLOOKUP(C218,'Tariff Schedule Lookup Table'!I$7:L$286,2,FALSE)</f>
        <v>METAL HALIDE/HPS 400W FLOOD (310/360)</v>
      </c>
      <c r="F218" s="18" t="str">
        <f>IF(E218 = "BULKHEADS ETC", "SHARED OR NO POLE", VLOOKUP(C218,'Tariff Schedule Lookup Table'!I$7:L$286,3,FALSE))</f>
        <v>SHARED OR NO POLE</v>
      </c>
      <c r="G218" s="18">
        <f>IF(E218 = "NO CAPITAL", 1, VLOOKUP(C218,'Tariff Schedule Lookup Table'!I$7:L$286,4,FALSE))</f>
        <v>1</v>
      </c>
      <c r="H218" s="18" t="str">
        <f t="shared" si="32"/>
        <v>1-Unmetered, CE Funded, CE Maintained</v>
      </c>
      <c r="I218" s="123">
        <f>VLOOKUP(F218,'Maintenance Model'!$A$57:$B$61,2,FALSE)</f>
        <v>0</v>
      </c>
      <c r="J218" s="123">
        <f>IF(D218=1,VLOOKUP(C218,'Capital Code Schedules'!A$15:F$300,2,FALSE),IF(D218=2,VLOOKUP(C218,'Capital Code Schedules'!A$15:F$300,3,FALSE),0))</f>
        <v>34.455205908772193</v>
      </c>
      <c r="K218" s="123">
        <v>43.705421810047042</v>
      </c>
      <c r="L218" s="123">
        <f>VLOOKUP(LEFT(A218,10),'Streetlight Tariff Schedule'!B$11:G$260,6, FALSE)+I218</f>
        <v>79.550488866352481</v>
      </c>
      <c r="M218" s="161">
        <f t="shared" si="33"/>
        <v>123.25591067639952</v>
      </c>
      <c r="N218" s="405">
        <f t="shared" si="34"/>
        <v>118.17322041162929</v>
      </c>
      <c r="O218" s="405">
        <v>100.53195258537281</v>
      </c>
      <c r="P218" s="406">
        <v>98.549195235369595</v>
      </c>
      <c r="Q218" s="406">
        <v>102.2887309858542</v>
      </c>
      <c r="R218" s="406">
        <v>104.32056158027</v>
      </c>
      <c r="S218" s="405">
        <f t="shared" si="35"/>
        <v>123.10242369339699</v>
      </c>
      <c r="T218" s="406">
        <v>105.74077960158951</v>
      </c>
      <c r="U218" s="406">
        <v>108.21710790170386</v>
      </c>
      <c r="V218" s="405">
        <f t="shared" si="36"/>
        <v>128.03412563747369</v>
      </c>
      <c r="W218" s="406">
        <v>109.04198559345869</v>
      </c>
      <c r="X218" s="406">
        <v>112.57841759864793</v>
      </c>
      <c r="Y218" s="405">
        <f t="shared" si="37"/>
        <v>133.44224058688926</v>
      </c>
      <c r="Z218" s="406">
        <v>111.99241177987521</v>
      </c>
      <c r="AA218" s="406">
        <v>116.04264561413396</v>
      </c>
      <c r="AB218" s="442">
        <f t="shared" si="38"/>
        <v>136.18083178361277</v>
      </c>
      <c r="AC218" s="438">
        <f t="shared" si="39"/>
        <v>140.22122620733344</v>
      </c>
      <c r="AD218" s="410"/>
      <c r="AE218" s="411"/>
      <c r="AF218" s="411"/>
      <c r="AG218" s="411"/>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row>
    <row r="219" spans="1:61" x14ac:dyDescent="0.2">
      <c r="A219" s="159" t="s">
        <v>1501</v>
      </c>
      <c r="B219" s="18" t="str">
        <f>VLOOKUP(LEFT(A219,7),'Tariff Schedule Lookup Table'!$A$8:$G$186,2,FALSE)</f>
        <v>High Pressure Sodium 400</v>
      </c>
      <c r="C219" s="160">
        <f t="shared" si="30"/>
        <v>620</v>
      </c>
      <c r="D219" s="18">
        <f t="shared" si="31"/>
        <v>2</v>
      </c>
      <c r="E219" s="18" t="str">
        <f>VLOOKUP(C219,'Tariff Schedule Lookup Table'!I$7:L$286,2,FALSE)</f>
        <v>METAL HALIDE/HPS 400W FLOOD (310/360)</v>
      </c>
      <c r="F219" s="18" t="str">
        <f>IF(E219 = "BULKHEADS ETC", "SHARED OR NO POLE", VLOOKUP(C219,'Tariff Schedule Lookup Table'!I$7:L$286,3,FALSE))</f>
        <v>SHARED OR NO POLE</v>
      </c>
      <c r="G219" s="18">
        <f>IF(E219 = "NO CAPITAL", 1, VLOOKUP(C219,'Tariff Schedule Lookup Table'!I$7:L$286,4,FALSE))</f>
        <v>1</v>
      </c>
      <c r="H219" s="18" t="str">
        <f t="shared" si="32"/>
        <v>2-Unmetered, Funded by Others, CE Maintained</v>
      </c>
      <c r="I219" s="123">
        <f>VLOOKUP(F219,'Maintenance Model'!$A$57:$B$61,2,FALSE)</f>
        <v>0</v>
      </c>
      <c r="J219" s="123">
        <f>IF(D219=1,VLOOKUP(C219,'Capital Code Schedules'!A$15:F$300,2,FALSE),IF(D219=2,VLOOKUP(C219,'Capital Code Schedules'!A$15:F$300,3,FALSE),0))</f>
        <v>0</v>
      </c>
      <c r="K219" s="123">
        <v>0</v>
      </c>
      <c r="L219" s="123">
        <f>VLOOKUP(LEFT(A219,10),'Streetlight Tariff Schedule'!B$11:G$260,6, FALSE)+I219</f>
        <v>79.550488866352481</v>
      </c>
      <c r="M219" s="161">
        <f t="shared" si="33"/>
        <v>79.550488866352481</v>
      </c>
      <c r="N219" s="405">
        <f t="shared" si="34"/>
        <v>82.865248156614982</v>
      </c>
      <c r="O219" s="405">
        <v>53.762064235523887</v>
      </c>
      <c r="P219" s="406">
        <v>53.762064235523887</v>
      </c>
      <c r="Q219" s="406">
        <v>56.393118493762309</v>
      </c>
      <c r="R219" s="406">
        <v>56.393118493762309</v>
      </c>
      <c r="S219" s="405">
        <f t="shared" si="35"/>
        <v>86.920579125071058</v>
      </c>
      <c r="T219" s="406">
        <v>58.709250700318336</v>
      </c>
      <c r="U219" s="406">
        <v>58.923732687230697</v>
      </c>
      <c r="V219" s="405">
        <f t="shared" si="36"/>
        <v>90.821098498950477</v>
      </c>
      <c r="W219" s="406">
        <v>60.846426351881064</v>
      </c>
      <c r="X219" s="406">
        <v>61.613996964404137</v>
      </c>
      <c r="Y219" s="405">
        <f t="shared" si="37"/>
        <v>94.967691828370121</v>
      </c>
      <c r="Z219" s="406">
        <v>62.604012447068541</v>
      </c>
      <c r="AA219" s="406">
        <v>63.625738991814217</v>
      </c>
      <c r="AB219" s="442">
        <f t="shared" si="38"/>
        <v>97.029130966943697</v>
      </c>
      <c r="AC219" s="438">
        <f t="shared" si="39"/>
        <v>99.930210896899297</v>
      </c>
      <c r="AD219" s="410"/>
      <c r="AE219" s="411"/>
      <c r="AF219" s="411"/>
      <c r="AG219" s="411"/>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row>
    <row r="220" spans="1:61" x14ac:dyDescent="0.2">
      <c r="A220" s="159" t="s">
        <v>1502</v>
      </c>
      <c r="B220" s="18" t="str">
        <f>VLOOKUP(LEFT(A220,7),'Tariff Schedule Lookup Table'!$A$8:$G$186,2,FALSE)</f>
        <v>High Pressure Sodium 400</v>
      </c>
      <c r="C220" s="160">
        <f t="shared" ref="C220:C271" si="40">1*MID(A220,12,4)</f>
        <v>660</v>
      </c>
      <c r="D220" s="18">
        <f t="shared" ref="D220:D271" si="41">1*(MID(A220,17,3))</f>
        <v>2</v>
      </c>
      <c r="E220" s="18" t="str">
        <f>VLOOKUP(C220,'Tariff Schedule Lookup Table'!I$7:L$286,2,FALSE)</f>
        <v>METAL HALIDE/HPS 400W FLOOD (310/360)</v>
      </c>
      <c r="F220" s="18" t="str">
        <f>IF(E220 = "BULKHEADS ETC", "SHARED OR NO POLE", VLOOKUP(C220,'Tariff Schedule Lookup Table'!I$7:L$286,3,FALSE))</f>
        <v>SHARED OR NO POLE</v>
      </c>
      <c r="G220" s="18">
        <f>IF(E220 = "NO CAPITAL", 1, VLOOKUP(C220,'Tariff Schedule Lookup Table'!I$7:L$286,4,FALSE))</f>
        <v>2</v>
      </c>
      <c r="H220" s="18" t="str">
        <f t="shared" si="32"/>
        <v>2-Unmetered, Funded by Others, CE Maintained</v>
      </c>
      <c r="I220" s="123">
        <f>VLOOKUP(F220,'Maintenance Model'!$A$57:$B$61,2,FALSE)</f>
        <v>0</v>
      </c>
      <c r="J220" s="123">
        <f>IF(D220=1,VLOOKUP(C220,'Capital Code Schedules'!A$15:F$300,2,FALSE),IF(D220=2,VLOOKUP(C220,'Capital Code Schedules'!A$15:F$300,3,FALSE),0))</f>
        <v>0</v>
      </c>
      <c r="K220" s="123">
        <v>0</v>
      </c>
      <c r="L220" s="123">
        <f>VLOOKUP(LEFT(A220,10),'Streetlight Tariff Schedule'!B$11:G$260,6, FALSE)+I220</f>
        <v>79.550488866352481</v>
      </c>
      <c r="M220" s="161">
        <f t="shared" si="33"/>
        <v>79.550488866352481</v>
      </c>
      <c r="N220" s="405">
        <f t="shared" si="34"/>
        <v>82.865248156614982</v>
      </c>
      <c r="O220" s="405">
        <v>53.762064235523887</v>
      </c>
      <c r="P220" s="406">
        <v>53.762064235523887</v>
      </c>
      <c r="Q220" s="406">
        <v>56.393118493762309</v>
      </c>
      <c r="R220" s="406">
        <v>56.393118493762309</v>
      </c>
      <c r="S220" s="405">
        <f t="shared" si="35"/>
        <v>86.920579125071058</v>
      </c>
      <c r="T220" s="406">
        <v>58.709250700318336</v>
      </c>
      <c r="U220" s="406">
        <v>58.923732687230697</v>
      </c>
      <c r="V220" s="405">
        <f t="shared" si="36"/>
        <v>90.821098498950477</v>
      </c>
      <c r="W220" s="406">
        <v>60.846426351881064</v>
      </c>
      <c r="X220" s="406">
        <v>61.613996964404137</v>
      </c>
      <c r="Y220" s="405">
        <f t="shared" si="37"/>
        <v>94.967691828370121</v>
      </c>
      <c r="Z220" s="406">
        <v>62.604012447068541</v>
      </c>
      <c r="AA220" s="406">
        <v>63.625738991814217</v>
      </c>
      <c r="AB220" s="442">
        <f t="shared" si="38"/>
        <v>97.029130966943697</v>
      </c>
      <c r="AC220" s="438">
        <f t="shared" si="39"/>
        <v>99.930210896899297</v>
      </c>
      <c r="AD220" s="410"/>
      <c r="AE220" s="411"/>
      <c r="AF220" s="411"/>
      <c r="AG220" s="411"/>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row>
    <row r="221" spans="1:61" x14ac:dyDescent="0.2">
      <c r="A221" s="159" t="s">
        <v>1503</v>
      </c>
      <c r="B221" s="18" t="str">
        <f>VLOOKUP(LEFT(A221,7),'Tariff Schedule Lookup Table'!$A$8:$G$186,2,FALSE)</f>
        <v>High Pressure Sodium 400</v>
      </c>
      <c r="C221" s="160">
        <f t="shared" si="40"/>
        <v>770</v>
      </c>
      <c r="D221" s="18">
        <f t="shared" si="41"/>
        <v>2</v>
      </c>
      <c r="E221" s="18" t="str">
        <f>VLOOKUP(C221,'Tariff Schedule Lookup Table'!I$7:L$286,2,FALSE)</f>
        <v>HIGH PRESSURE SODIUM 400W (310/360)</v>
      </c>
      <c r="F221" s="18" t="str">
        <f>IF(E221 = "BULKHEADS ETC", "SHARED OR NO POLE", VLOOKUP(C221,'Tariff Schedule Lookup Table'!I$7:L$286,3,FALSE))</f>
        <v>WOOD POLE</v>
      </c>
      <c r="G221" s="18">
        <f>IF(E221 = "NO CAPITAL", 1, VLOOKUP(C221,'Tariff Schedule Lookup Table'!I$7:L$286,4,FALSE))</f>
        <v>2</v>
      </c>
      <c r="H221" s="18" t="str">
        <f t="shared" si="32"/>
        <v>2-Unmetered, Funded by Others, CE Maintained</v>
      </c>
      <c r="I221" s="123">
        <f>VLOOKUP(F221,'Maintenance Model'!$A$57:$B$61,2,FALSE)</f>
        <v>10.731618231111112</v>
      </c>
      <c r="J221" s="123">
        <f>IF(D221=1,VLOOKUP(C221,'Capital Code Schedules'!A$15:F$300,2,FALSE),IF(D221=2,VLOOKUP(C221,'Capital Code Schedules'!A$15:F$300,3,FALSE),0))</f>
        <v>0</v>
      </c>
      <c r="K221" s="123">
        <v>0</v>
      </c>
      <c r="L221" s="123">
        <f>VLOOKUP(LEFT(A221,10),'Streetlight Tariff Schedule'!B$11:G$260,6, FALSE)+I221</f>
        <v>90.282107097463594</v>
      </c>
      <c r="M221" s="161">
        <f t="shared" si="33"/>
        <v>90.282107097463594</v>
      </c>
      <c r="N221" s="405">
        <f t="shared" si="34"/>
        <v>94.044038136612386</v>
      </c>
      <c r="O221" s="405">
        <v>64.158264310948056</v>
      </c>
      <c r="P221" s="406">
        <v>64.158264310948056</v>
      </c>
      <c r="Q221" s="406">
        <v>67.298096773053686</v>
      </c>
      <c r="R221" s="406">
        <v>67.298096773053686</v>
      </c>
      <c r="S221" s="405">
        <f t="shared" si="35"/>
        <v>98.646446368507895</v>
      </c>
      <c r="T221" s="406">
        <v>70.062109360746192</v>
      </c>
      <c r="U221" s="406">
        <v>70.318066645905034</v>
      </c>
      <c r="V221" s="405">
        <f t="shared" si="36"/>
        <v>103.07315842102501</v>
      </c>
      <c r="W221" s="406">
        <v>72.612559799761911</v>
      </c>
      <c r="X221" s="406">
        <v>73.528558821299342</v>
      </c>
      <c r="Y221" s="405">
        <f t="shared" si="37"/>
        <v>107.77914060153978</v>
      </c>
      <c r="Z221" s="406">
        <v>74.710017827978319</v>
      </c>
      <c r="AA221" s="406">
        <v>75.929320000308053</v>
      </c>
      <c r="AB221" s="442">
        <f t="shared" si="38"/>
        <v>110.11867454703541</v>
      </c>
      <c r="AC221" s="438">
        <f t="shared" si="39"/>
        <v>113.41111954224569</v>
      </c>
      <c r="AD221" s="410"/>
      <c r="AE221" s="411"/>
      <c r="AF221" s="411"/>
      <c r="AG221" s="411"/>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row>
    <row r="222" spans="1:61" x14ac:dyDescent="0.2">
      <c r="A222" s="159" t="s">
        <v>1504</v>
      </c>
      <c r="B222" s="18" t="str">
        <f>VLOOKUP(LEFT(A222,7),'Tariff Schedule Lookup Table'!$A$8:$G$186,2,FALSE)</f>
        <v>High Pressure Sodium 400</v>
      </c>
      <c r="C222" s="160">
        <f t="shared" si="40"/>
        <v>900</v>
      </c>
      <c r="D222" s="18">
        <f t="shared" si="41"/>
        <v>2</v>
      </c>
      <c r="E222" s="18" t="str">
        <f>VLOOKUP(C222,'Tariff Schedule Lookup Table'!I$7:L$286,2,FALSE)</f>
        <v>METAL HALIDE/HPS 400W FLOOD (310/360)</v>
      </c>
      <c r="F222" s="18" t="str">
        <f>IF(E222 = "BULKHEADS ETC", "SHARED OR NO POLE", VLOOKUP(C222,'Tariff Schedule Lookup Table'!I$7:L$286,3,FALSE))</f>
        <v>WOOD POLE</v>
      </c>
      <c r="G222" s="18">
        <f>IF(E222 = "NO CAPITAL", 1, VLOOKUP(C222,'Tariff Schedule Lookup Table'!I$7:L$286,4,FALSE))</f>
        <v>2</v>
      </c>
      <c r="H222" s="18" t="str">
        <f t="shared" si="32"/>
        <v>2-Unmetered, Funded by Others, CE Maintained</v>
      </c>
      <c r="I222" s="123">
        <f>VLOOKUP(F222,'Maintenance Model'!$A$57:$B$61,2,FALSE)</f>
        <v>10.731618231111112</v>
      </c>
      <c r="J222" s="123">
        <f>IF(D222=1,VLOOKUP(C222,'Capital Code Schedules'!A$15:F$300,2,FALSE),IF(D222=2,VLOOKUP(C222,'Capital Code Schedules'!A$15:F$300,3,FALSE),0))</f>
        <v>0</v>
      </c>
      <c r="K222" s="123">
        <v>0</v>
      </c>
      <c r="L222" s="123">
        <f>VLOOKUP(LEFT(A222,10),'Streetlight Tariff Schedule'!B$11:G$260,6, FALSE)+I222</f>
        <v>90.282107097463594</v>
      </c>
      <c r="M222" s="161">
        <f t="shared" si="33"/>
        <v>90.282107097463594</v>
      </c>
      <c r="N222" s="405">
        <f t="shared" si="34"/>
        <v>94.044038136612386</v>
      </c>
      <c r="O222" s="405">
        <v>64.158264310948056</v>
      </c>
      <c r="P222" s="406">
        <v>64.158264310948056</v>
      </c>
      <c r="Q222" s="406">
        <v>67.298096773053686</v>
      </c>
      <c r="R222" s="406">
        <v>67.298096773053686</v>
      </c>
      <c r="S222" s="405">
        <f t="shared" si="35"/>
        <v>98.646446368507895</v>
      </c>
      <c r="T222" s="406">
        <v>70.062109360746192</v>
      </c>
      <c r="U222" s="406">
        <v>70.318066645905034</v>
      </c>
      <c r="V222" s="405">
        <f t="shared" si="36"/>
        <v>103.07315842102501</v>
      </c>
      <c r="W222" s="406">
        <v>72.612559799761911</v>
      </c>
      <c r="X222" s="406">
        <v>73.528558821299342</v>
      </c>
      <c r="Y222" s="405">
        <f t="shared" si="37"/>
        <v>107.77914060153978</v>
      </c>
      <c r="Z222" s="406">
        <v>74.710017827978319</v>
      </c>
      <c r="AA222" s="406">
        <v>75.929320000308053</v>
      </c>
      <c r="AB222" s="442">
        <f t="shared" si="38"/>
        <v>110.11867454703541</v>
      </c>
      <c r="AC222" s="438">
        <f t="shared" si="39"/>
        <v>113.41111954224569</v>
      </c>
      <c r="AD222" s="410"/>
      <c r="AE222" s="411"/>
      <c r="AF222" s="411"/>
      <c r="AG222" s="411"/>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row>
    <row r="223" spans="1:61" x14ac:dyDescent="0.2">
      <c r="A223" s="159" t="s">
        <v>1505</v>
      </c>
      <c r="B223" s="18" t="str">
        <f>VLOOKUP(LEFT(A223,7),'Tariff Schedule Lookup Table'!$A$8:$G$186,2,FALSE)</f>
        <v>High Pressure Sodium 400</v>
      </c>
      <c r="C223" s="160">
        <f t="shared" si="40"/>
        <v>1030</v>
      </c>
      <c r="D223" s="18">
        <f t="shared" si="41"/>
        <v>1</v>
      </c>
      <c r="E223" s="18" t="str">
        <f>VLOOKUP(C223,'Tariff Schedule Lookup Table'!I$7:L$286,2,FALSE)</f>
        <v>HIGH PRESSURE SODIUM 400W (310/360)</v>
      </c>
      <c r="F223" s="18" t="str">
        <f>IF(E223 = "BULKHEADS ETC", "SHARED OR NO POLE", VLOOKUP(C223,'Tariff Schedule Lookup Table'!I$7:L$286,3,FALSE))</f>
        <v>SHARED OR NO POLE</v>
      </c>
      <c r="G223" s="18">
        <f>IF(E223 = "NO CAPITAL", 1, VLOOKUP(C223,'Tariff Schedule Lookup Table'!I$7:L$286,4,FALSE))</f>
        <v>2</v>
      </c>
      <c r="H223" s="18" t="str">
        <f t="shared" si="32"/>
        <v>1-Unmetered, CE Funded, CE Maintained</v>
      </c>
      <c r="I223" s="123">
        <f>VLOOKUP(F223,'Maintenance Model'!$A$57:$B$61,2,FALSE)</f>
        <v>0</v>
      </c>
      <c r="J223" s="123">
        <f>IF(D223=1,VLOOKUP(C223,'Capital Code Schedules'!A$15:F$300,2,FALSE),IF(D223=2,VLOOKUP(C223,'Capital Code Schedules'!A$15:F$300,3,FALSE),0))</f>
        <v>52.163571087910817</v>
      </c>
      <c r="K223" s="123">
        <v>66.167965547844219</v>
      </c>
      <c r="L223" s="123">
        <f>VLOOKUP(LEFT(A223,10),'Streetlight Tariff Schedule'!B$11:G$260,6, FALSE)+I223</f>
        <v>79.550488866352481</v>
      </c>
      <c r="M223" s="161">
        <f t="shared" si="33"/>
        <v>145.71845441419669</v>
      </c>
      <c r="N223" s="405">
        <f t="shared" si="34"/>
        <v>136.31986762895158</v>
      </c>
      <c r="O223" s="405">
        <v>124.56948887174873</v>
      </c>
      <c r="P223" s="406">
        <v>121.56768693067725</v>
      </c>
      <c r="Q223" s="406">
        <v>125.87693035062073</v>
      </c>
      <c r="R223" s="406">
        <v>128.95302688973374</v>
      </c>
      <c r="S223" s="405">
        <f t="shared" si="35"/>
        <v>141.69820042934799</v>
      </c>
      <c r="T223" s="406">
        <v>129.91278690063399</v>
      </c>
      <c r="U223" s="406">
        <v>133.55159847248729</v>
      </c>
      <c r="V223" s="405">
        <f t="shared" si="36"/>
        <v>147.15988201039931</v>
      </c>
      <c r="W223" s="406">
        <v>133.81225007315453</v>
      </c>
      <c r="X223" s="406">
        <v>138.77174739978093</v>
      </c>
      <c r="Y223" s="405">
        <f t="shared" si="37"/>
        <v>153.21636010085706</v>
      </c>
      <c r="Z223" s="406">
        <v>137.37574030544351</v>
      </c>
      <c r="AA223" s="406">
        <v>142.98248531459924</v>
      </c>
      <c r="AB223" s="442">
        <f t="shared" si="38"/>
        <v>156.30297580102641</v>
      </c>
      <c r="AC223" s="438">
        <f t="shared" si="39"/>
        <v>160.92892461565384</v>
      </c>
      <c r="AD223" s="410"/>
      <c r="AE223" s="411"/>
      <c r="AF223" s="411"/>
      <c r="AG223" s="411"/>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row>
    <row r="224" spans="1:61" x14ac:dyDescent="0.2">
      <c r="A224" s="159" t="s">
        <v>1506</v>
      </c>
      <c r="B224" s="18" t="str">
        <f>VLOOKUP(LEFT(A224,7),'Tariff Schedule Lookup Table'!$A$8:$G$186,2,FALSE)</f>
        <v>High Pressure Sodium 400</v>
      </c>
      <c r="C224" s="160">
        <f t="shared" si="40"/>
        <v>1030</v>
      </c>
      <c r="D224" s="18">
        <f t="shared" si="41"/>
        <v>2</v>
      </c>
      <c r="E224" s="18" t="str">
        <f>VLOOKUP(C224,'Tariff Schedule Lookup Table'!I$7:L$286,2,FALSE)</f>
        <v>HIGH PRESSURE SODIUM 400W (310/360)</v>
      </c>
      <c r="F224" s="18" t="str">
        <f>IF(E224 = "BULKHEADS ETC", "SHARED OR NO POLE", VLOOKUP(C224,'Tariff Schedule Lookup Table'!I$7:L$286,3,FALSE))</f>
        <v>SHARED OR NO POLE</v>
      </c>
      <c r="G224" s="18">
        <f>IF(E224 = "NO CAPITAL", 1, VLOOKUP(C224,'Tariff Schedule Lookup Table'!I$7:L$286,4,FALSE))</f>
        <v>2</v>
      </c>
      <c r="H224" s="18" t="str">
        <f t="shared" si="32"/>
        <v>2-Unmetered, Funded by Others, CE Maintained</v>
      </c>
      <c r="I224" s="123">
        <f>VLOOKUP(F224,'Maintenance Model'!$A$57:$B$61,2,FALSE)</f>
        <v>0</v>
      </c>
      <c r="J224" s="123">
        <f>IF(D224=1,VLOOKUP(C224,'Capital Code Schedules'!A$15:F$300,2,FALSE),IF(D224=2,VLOOKUP(C224,'Capital Code Schedules'!A$15:F$300,3,FALSE),0))</f>
        <v>0</v>
      </c>
      <c r="K224" s="123">
        <v>0</v>
      </c>
      <c r="L224" s="123">
        <f>VLOOKUP(LEFT(A224,10),'Streetlight Tariff Schedule'!B$11:G$260,6, FALSE)+I224</f>
        <v>79.550488866352481</v>
      </c>
      <c r="M224" s="161">
        <f t="shared" si="33"/>
        <v>79.550488866352481</v>
      </c>
      <c r="N224" s="405">
        <f t="shared" si="34"/>
        <v>82.865248156614982</v>
      </c>
      <c r="O224" s="405">
        <v>53.762064235523887</v>
      </c>
      <c r="P224" s="406">
        <v>53.762064235523887</v>
      </c>
      <c r="Q224" s="406">
        <v>56.393118493762309</v>
      </c>
      <c r="R224" s="406">
        <v>56.393118493762309</v>
      </c>
      <c r="S224" s="405">
        <f t="shared" si="35"/>
        <v>86.920579125071058</v>
      </c>
      <c r="T224" s="406">
        <v>58.709250700318336</v>
      </c>
      <c r="U224" s="406">
        <v>58.923732687230697</v>
      </c>
      <c r="V224" s="405">
        <f t="shared" si="36"/>
        <v>90.821098498950477</v>
      </c>
      <c r="W224" s="406">
        <v>60.846426351881064</v>
      </c>
      <c r="X224" s="406">
        <v>61.613996964404137</v>
      </c>
      <c r="Y224" s="405">
        <f t="shared" si="37"/>
        <v>94.967691828370121</v>
      </c>
      <c r="Z224" s="406">
        <v>62.604012447068541</v>
      </c>
      <c r="AA224" s="406">
        <v>63.625738991814217</v>
      </c>
      <c r="AB224" s="442">
        <f t="shared" si="38"/>
        <v>97.029130966943697</v>
      </c>
      <c r="AC224" s="438">
        <f t="shared" si="39"/>
        <v>99.930210896899297</v>
      </c>
      <c r="AD224" s="410"/>
      <c r="AE224" s="411"/>
      <c r="AF224" s="411"/>
      <c r="AG224" s="411"/>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row>
    <row r="225" spans="1:61" x14ac:dyDescent="0.2">
      <c r="A225" s="159" t="s">
        <v>1507</v>
      </c>
      <c r="B225" s="18" t="str">
        <f>VLOOKUP(LEFT(A225,7),'Tariff Schedule Lookup Table'!$A$8:$G$186,2,FALSE)</f>
        <v>High Pressure Sodium 400</v>
      </c>
      <c r="C225" s="160">
        <f t="shared" si="40"/>
        <v>1100</v>
      </c>
      <c r="D225" s="18">
        <f t="shared" si="41"/>
        <v>1</v>
      </c>
      <c r="E225" s="18" t="str">
        <f>VLOOKUP(C225,'Tariff Schedule Lookup Table'!I$7:L$286,2,FALSE)</f>
        <v>METAL HALIDE/HPS 400W FLOOD (310/360)</v>
      </c>
      <c r="F225" s="18" t="str">
        <f>IF(E225 = "BULKHEADS ETC", "SHARED OR NO POLE", VLOOKUP(C225,'Tariff Schedule Lookup Table'!I$7:L$286,3,FALSE))</f>
        <v>WOOD POLE</v>
      </c>
      <c r="G225" s="18">
        <f>IF(E225 = "NO CAPITAL", 1, VLOOKUP(C225,'Tariff Schedule Lookup Table'!I$7:L$286,4,FALSE))</f>
        <v>1</v>
      </c>
      <c r="H225" s="18" t="str">
        <f t="shared" si="32"/>
        <v>1-Unmetered, CE Funded, CE Maintained</v>
      </c>
      <c r="I225" s="123">
        <f>VLOOKUP(F225,'Maintenance Model'!$A$57:$B$61,2,FALSE)</f>
        <v>10.731618231111112</v>
      </c>
      <c r="J225" s="123">
        <f>IF(D225=1,VLOOKUP(C225,'Capital Code Schedules'!A$15:F$300,2,FALSE),IF(D225=2,VLOOKUP(C225,'Capital Code Schedules'!A$15:F$300,3,FALSE),0))</f>
        <v>73.527525225964666</v>
      </c>
      <c r="K225" s="123">
        <v>93.267517052669831</v>
      </c>
      <c r="L225" s="123">
        <f>VLOOKUP(LEFT(A225,10),'Streetlight Tariff Schedule'!B$11:G$260,6, FALSE)+I225</f>
        <v>90.282107097463594</v>
      </c>
      <c r="M225" s="161">
        <f t="shared" si="33"/>
        <v>183.54962415013341</v>
      </c>
      <c r="N225" s="405">
        <f t="shared" si="34"/>
        <v>169.39136961191969</v>
      </c>
      <c r="O225" s="405">
        <v>163.96536326035644</v>
      </c>
      <c r="P225" s="406">
        <v>159.73415241067147</v>
      </c>
      <c r="Q225" s="406">
        <v>165.23948810324526</v>
      </c>
      <c r="R225" s="406">
        <v>169.57542142145994</v>
      </c>
      <c r="S225" s="405">
        <f t="shared" si="35"/>
        <v>175.85862429782907</v>
      </c>
      <c r="T225" s="406">
        <v>170.42755012635999</v>
      </c>
      <c r="U225" s="406">
        <v>175.51029504679087</v>
      </c>
      <c r="V225" s="405">
        <f t="shared" si="36"/>
        <v>182.48588342133183</v>
      </c>
      <c r="W225" s="406">
        <v>175.46204522432467</v>
      </c>
      <c r="X225" s="406">
        <v>182.28680376497522</v>
      </c>
      <c r="Y225" s="405">
        <f t="shared" si="37"/>
        <v>189.88395697935698</v>
      </c>
      <c r="Z225" s="406">
        <v>180.10502801679897</v>
      </c>
      <c r="AA225" s="406">
        <v>187.78717492487868</v>
      </c>
      <c r="AB225" s="442">
        <f t="shared" si="38"/>
        <v>193.66853569310223</v>
      </c>
      <c r="AC225" s="438">
        <f t="shared" si="39"/>
        <v>199.39228164766305</v>
      </c>
      <c r="AD225" s="410"/>
      <c r="AE225" s="411"/>
      <c r="AF225" s="411"/>
      <c r="AG225" s="411"/>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row>
    <row r="226" spans="1:61" x14ac:dyDescent="0.2">
      <c r="A226" s="159" t="s">
        <v>1508</v>
      </c>
      <c r="B226" s="18" t="str">
        <f>VLOOKUP(LEFT(A226,7),'Tariff Schedule Lookup Table'!$A$8:$G$186,2,FALSE)</f>
        <v>High Pressure Sodium 400</v>
      </c>
      <c r="C226" s="160">
        <f t="shared" si="40"/>
        <v>1100</v>
      </c>
      <c r="D226" s="18">
        <f t="shared" si="41"/>
        <v>2</v>
      </c>
      <c r="E226" s="18" t="str">
        <f>VLOOKUP(C226,'Tariff Schedule Lookup Table'!I$7:L$286,2,FALSE)</f>
        <v>METAL HALIDE/HPS 400W FLOOD (310/360)</v>
      </c>
      <c r="F226" s="18" t="str">
        <f>IF(E226 = "BULKHEADS ETC", "SHARED OR NO POLE", VLOOKUP(C226,'Tariff Schedule Lookup Table'!I$7:L$286,3,FALSE))</f>
        <v>WOOD POLE</v>
      </c>
      <c r="G226" s="18">
        <f>IF(E226 = "NO CAPITAL", 1, VLOOKUP(C226,'Tariff Schedule Lookup Table'!I$7:L$286,4,FALSE))</f>
        <v>1</v>
      </c>
      <c r="H226" s="18" t="str">
        <f t="shared" si="32"/>
        <v>2-Unmetered, Funded by Others, CE Maintained</v>
      </c>
      <c r="I226" s="123">
        <f>VLOOKUP(F226,'Maintenance Model'!$A$57:$B$61,2,FALSE)</f>
        <v>10.731618231111112</v>
      </c>
      <c r="J226" s="123">
        <f>IF(D226=1,VLOOKUP(C226,'Capital Code Schedules'!A$15:F$300,2,FALSE),IF(D226=2,VLOOKUP(C226,'Capital Code Schedules'!A$15:F$300,3,FALSE),0))</f>
        <v>0</v>
      </c>
      <c r="K226" s="123">
        <v>0</v>
      </c>
      <c r="L226" s="123">
        <f>VLOOKUP(LEFT(A226,10),'Streetlight Tariff Schedule'!B$11:G$260,6, FALSE)+I226</f>
        <v>90.282107097463594</v>
      </c>
      <c r="M226" s="161">
        <f t="shared" si="33"/>
        <v>90.282107097463594</v>
      </c>
      <c r="N226" s="405">
        <f t="shared" si="34"/>
        <v>94.044038136612386</v>
      </c>
      <c r="O226" s="405">
        <v>64.158264310948056</v>
      </c>
      <c r="P226" s="406">
        <v>64.158264310948056</v>
      </c>
      <c r="Q226" s="406">
        <v>67.298096773053686</v>
      </c>
      <c r="R226" s="406">
        <v>67.298096773053686</v>
      </c>
      <c r="S226" s="405">
        <f t="shared" si="35"/>
        <v>98.646446368507895</v>
      </c>
      <c r="T226" s="406">
        <v>70.062109360746192</v>
      </c>
      <c r="U226" s="406">
        <v>70.318066645905034</v>
      </c>
      <c r="V226" s="405">
        <f t="shared" si="36"/>
        <v>103.07315842102501</v>
      </c>
      <c r="W226" s="406">
        <v>72.612559799761911</v>
      </c>
      <c r="X226" s="406">
        <v>73.528558821299342</v>
      </c>
      <c r="Y226" s="405">
        <f t="shared" si="37"/>
        <v>107.77914060153978</v>
      </c>
      <c r="Z226" s="406">
        <v>74.710017827978319</v>
      </c>
      <c r="AA226" s="406">
        <v>75.929320000308053</v>
      </c>
      <c r="AB226" s="442">
        <f t="shared" si="38"/>
        <v>110.11867454703541</v>
      </c>
      <c r="AC226" s="438">
        <f t="shared" si="39"/>
        <v>113.41111954224569</v>
      </c>
      <c r="AD226" s="410"/>
      <c r="AE226" s="411"/>
      <c r="AF226" s="411"/>
      <c r="AG226" s="411"/>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row>
    <row r="227" spans="1:61" x14ac:dyDescent="0.2">
      <c r="A227" s="159" t="s">
        <v>1509</v>
      </c>
      <c r="B227" s="18" t="str">
        <f>VLOOKUP(LEFT(A227,7),'Tariff Schedule Lookup Table'!$A$8:$G$186,2,FALSE)</f>
        <v>High Pressure Sodium 400</v>
      </c>
      <c r="C227" s="160">
        <f t="shared" si="40"/>
        <v>1130</v>
      </c>
      <c r="D227" s="18">
        <f t="shared" si="41"/>
        <v>1</v>
      </c>
      <c r="E227" s="18" t="str">
        <f>VLOOKUP(C227,'Tariff Schedule Lookup Table'!I$7:L$286,2,FALSE)</f>
        <v>METAL HALIDE/HPS 400W FLOOD (310/360)</v>
      </c>
      <c r="F227" s="18" t="str">
        <f>IF(E227 = "BULKHEADS ETC", "SHARED OR NO POLE", VLOOKUP(C227,'Tariff Schedule Lookup Table'!I$7:L$286,3,FALSE))</f>
        <v>STEEL POLE</v>
      </c>
      <c r="G227" s="18">
        <f>IF(E227 = "NO CAPITAL", 1, VLOOKUP(C227,'Tariff Schedule Lookup Table'!I$7:L$286,4,FALSE))</f>
        <v>2</v>
      </c>
      <c r="H227" s="18" t="str">
        <f t="shared" si="32"/>
        <v>1-Unmetered, CE Funded, CE Maintained</v>
      </c>
      <c r="I227" s="123">
        <f>VLOOKUP(F227,'Maintenance Model'!$A$57:$B$61,2,FALSE)</f>
        <v>9.9616182311111103</v>
      </c>
      <c r="J227" s="123">
        <f>IF(D227=1,VLOOKUP(C227,'Capital Code Schedules'!A$15:F$300,2,FALSE),IF(D227=2,VLOOKUP(C227,'Capital Code Schedules'!A$15:F$300,3,FALSE),0))</f>
        <v>120.03267348142677</v>
      </c>
      <c r="K227" s="123">
        <v>152.25793859376614</v>
      </c>
      <c r="L227" s="123">
        <f>VLOOKUP(LEFT(A227,10),'Streetlight Tariff Schedule'!B$11:G$260,6, FALSE)+I227</f>
        <v>89.512107097463598</v>
      </c>
      <c r="M227" s="161">
        <f t="shared" si="33"/>
        <v>241.77004569122974</v>
      </c>
      <c r="N227" s="405">
        <f t="shared" si="34"/>
        <v>216.24543544737949</v>
      </c>
      <c r="O227" s="405">
        <v>226.28989555285284</v>
      </c>
      <c r="P227" s="406">
        <v>219.38250204558489</v>
      </c>
      <c r="Q227" s="406">
        <v>226.34473287189664</v>
      </c>
      <c r="R227" s="406">
        <v>233.42308436846949</v>
      </c>
      <c r="S227" s="405">
        <f t="shared" si="35"/>
        <v>223.85292674299032</v>
      </c>
      <c r="T227" s="406">
        <v>233.03141807049977</v>
      </c>
      <c r="U227" s="406">
        <v>241.16383988151594</v>
      </c>
      <c r="V227" s="405">
        <f t="shared" si="36"/>
        <v>231.83424697990594</v>
      </c>
      <c r="W227" s="406">
        <v>239.60515237901538</v>
      </c>
      <c r="X227" s="406">
        <v>250.15566852538649</v>
      </c>
      <c r="Y227" s="405">
        <f t="shared" si="37"/>
        <v>240.89489481835577</v>
      </c>
      <c r="Z227" s="406">
        <v>245.83192286025715</v>
      </c>
      <c r="AA227" s="406">
        <v>257.58648685852108</v>
      </c>
      <c r="AB227" s="442">
        <f t="shared" si="38"/>
        <v>245.57349100184419</v>
      </c>
      <c r="AC227" s="438">
        <f t="shared" si="39"/>
        <v>252.80692069150712</v>
      </c>
      <c r="AD227" s="410"/>
      <c r="AE227" s="411"/>
      <c r="AF227" s="411"/>
      <c r="AG227" s="411"/>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row>
    <row r="228" spans="1:61" x14ac:dyDescent="0.2">
      <c r="A228" s="159" t="s">
        <v>1510</v>
      </c>
      <c r="B228" s="18" t="str">
        <f>VLOOKUP(LEFT(A228,7),'Tariff Schedule Lookup Table'!$A$8:$G$186,2,FALSE)</f>
        <v>High Pressure Sodium 400</v>
      </c>
      <c r="C228" s="160">
        <f t="shared" si="40"/>
        <v>1170</v>
      </c>
      <c r="D228" s="18">
        <f t="shared" si="41"/>
        <v>1</v>
      </c>
      <c r="E228" s="18" t="str">
        <f>VLOOKUP(C228,'Tariff Schedule Lookup Table'!I$7:L$286,2,FALSE)</f>
        <v>METAL HALIDE/HPS 400W FLOOD (310/360)</v>
      </c>
      <c r="F228" s="18" t="str">
        <f>IF(E228 = "BULKHEADS ETC", "SHARED OR NO POLE", VLOOKUP(C228,'Tariff Schedule Lookup Table'!I$7:L$286,3,FALSE))</f>
        <v>STEEL POLE</v>
      </c>
      <c r="G228" s="18">
        <f>IF(E228 = "NO CAPITAL", 1, VLOOKUP(C228,'Tariff Schedule Lookup Table'!I$7:L$286,4,FALSE))</f>
        <v>1</v>
      </c>
      <c r="H228" s="18" t="str">
        <f t="shared" si="32"/>
        <v>1-Unmetered, CE Funded, CE Maintained</v>
      </c>
      <c r="I228" s="123">
        <f>VLOOKUP(F228,'Maintenance Model'!$A$57:$B$61,2,FALSE)</f>
        <v>9.9616182311111103</v>
      </c>
      <c r="J228" s="123">
        <f>IF(D228=1,VLOOKUP(C228,'Capital Code Schedules'!A$15:F$300,2,FALSE),IF(D228=2,VLOOKUP(C228,'Capital Code Schedules'!A$15:F$300,3,FALSE),0))</f>
        <v>99.810790399594723</v>
      </c>
      <c r="K228" s="123">
        <v>126.60707084899062</v>
      </c>
      <c r="L228" s="123">
        <f>VLOOKUP(LEFT(A228,10),'Streetlight Tariff Schedule'!B$11:G$260,6, FALSE)+I228</f>
        <v>89.512107097463598</v>
      </c>
      <c r="M228" s="161">
        <f t="shared" si="33"/>
        <v>216.11917794645422</v>
      </c>
      <c r="N228" s="405">
        <f t="shared" si="34"/>
        <v>195.52306075927208</v>
      </c>
      <c r="O228" s="405">
        <v>198.84048147983489</v>
      </c>
      <c r="P228" s="406">
        <v>193.09677532412618</v>
      </c>
      <c r="Q228" s="406">
        <v>199.40843441408182</v>
      </c>
      <c r="R228" s="406">
        <v>205.29429729714434</v>
      </c>
      <c r="S228" s="405">
        <f t="shared" si="35"/>
        <v>202.61767328135224</v>
      </c>
      <c r="T228" s="406">
        <v>205.42844622585403</v>
      </c>
      <c r="U228" s="406">
        <v>212.23338237865801</v>
      </c>
      <c r="V228" s="405">
        <f t="shared" si="36"/>
        <v>209.99378879461119</v>
      </c>
      <c r="W228" s="406">
        <v>211.31900698121464</v>
      </c>
      <c r="X228" s="406">
        <v>220.24446851318169</v>
      </c>
      <c r="Y228" s="405">
        <f t="shared" si="37"/>
        <v>218.31404510057953</v>
      </c>
      <c r="Z228" s="406">
        <v>216.84569536386087</v>
      </c>
      <c r="AA228" s="406">
        <v>226.82281764596843</v>
      </c>
      <c r="AB228" s="442">
        <f t="shared" si="38"/>
        <v>222.59521832903511</v>
      </c>
      <c r="AC228" s="438">
        <f t="shared" si="39"/>
        <v>229.15998028391925</v>
      </c>
      <c r="AD228" s="410"/>
      <c r="AE228" s="411"/>
      <c r="AF228" s="411"/>
      <c r="AG228" s="411"/>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row>
    <row r="229" spans="1:61" x14ac:dyDescent="0.2">
      <c r="A229" s="159" t="s">
        <v>1511</v>
      </c>
      <c r="B229" s="18" t="str">
        <f>VLOOKUP(LEFT(A229,7),'Tariff Schedule Lookup Table'!$A$8:$G$186,2,FALSE)</f>
        <v>High Pressure Sodium 400</v>
      </c>
      <c r="C229" s="160">
        <f t="shared" si="40"/>
        <v>1170</v>
      </c>
      <c r="D229" s="18">
        <f t="shared" si="41"/>
        <v>2</v>
      </c>
      <c r="E229" s="18" t="str">
        <f>VLOOKUP(C229,'Tariff Schedule Lookup Table'!I$7:L$286,2,FALSE)</f>
        <v>METAL HALIDE/HPS 400W FLOOD (310/360)</v>
      </c>
      <c r="F229" s="18" t="str">
        <f>IF(E229 = "BULKHEADS ETC", "SHARED OR NO POLE", VLOOKUP(C229,'Tariff Schedule Lookup Table'!I$7:L$286,3,FALSE))</f>
        <v>STEEL POLE</v>
      </c>
      <c r="G229" s="18">
        <f>IF(E229 = "NO CAPITAL", 1, VLOOKUP(C229,'Tariff Schedule Lookup Table'!I$7:L$286,4,FALSE))</f>
        <v>1</v>
      </c>
      <c r="H229" s="18" t="str">
        <f t="shared" si="32"/>
        <v>2-Unmetered, Funded by Others, CE Maintained</v>
      </c>
      <c r="I229" s="123">
        <f>VLOOKUP(F229,'Maintenance Model'!$A$57:$B$61,2,FALSE)</f>
        <v>9.9616182311111103</v>
      </c>
      <c r="J229" s="123">
        <f>IF(D229=1,VLOOKUP(C229,'Capital Code Schedules'!A$15:F$300,2,FALSE),IF(D229=2,VLOOKUP(C229,'Capital Code Schedules'!A$15:F$300,3,FALSE),0))</f>
        <v>0</v>
      </c>
      <c r="K229" s="123">
        <v>0</v>
      </c>
      <c r="L229" s="123">
        <f>VLOOKUP(LEFT(A229,10),'Streetlight Tariff Schedule'!B$11:G$260,6, FALSE)+I229</f>
        <v>89.512107097463598</v>
      </c>
      <c r="M229" s="161">
        <f t="shared" si="33"/>
        <v>89.512107097463598</v>
      </c>
      <c r="N229" s="405">
        <f t="shared" si="34"/>
        <v>93.241953297287381</v>
      </c>
      <c r="O229" s="405">
        <v>63.356179471623051</v>
      </c>
      <c r="P229" s="406">
        <v>63.356179471623051</v>
      </c>
      <c r="Q229" s="406">
        <v>66.456758814229218</v>
      </c>
      <c r="R229" s="406">
        <v>66.456758814229218</v>
      </c>
      <c r="S229" s="405">
        <f t="shared" si="35"/>
        <v>97.805108409683442</v>
      </c>
      <c r="T229" s="406">
        <v>69.186216654905095</v>
      </c>
      <c r="U229" s="406">
        <v>69.43897404897983</v>
      </c>
      <c r="V229" s="405">
        <f t="shared" si="36"/>
        <v>102.19406582409982</v>
      </c>
      <c r="W229" s="406">
        <v>71.704782228384715</v>
      </c>
      <c r="X229" s="406">
        <v>72.609329741127411</v>
      </c>
      <c r="Y229" s="405">
        <f t="shared" si="37"/>
        <v>106.85991152136785</v>
      </c>
      <c r="Z229" s="406">
        <v>73.776018548398426</v>
      </c>
      <c r="AA229" s="406">
        <v>74.980077418910611</v>
      </c>
      <c r="AB229" s="442">
        <f t="shared" si="38"/>
        <v>109.17949199882926</v>
      </c>
      <c r="AC229" s="438">
        <f t="shared" si="39"/>
        <v>112.44385631750443</v>
      </c>
      <c r="AD229" s="410"/>
      <c r="AE229" s="411"/>
      <c r="AF229" s="411"/>
      <c r="AG229" s="411"/>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row>
    <row r="230" spans="1:61" x14ac:dyDescent="0.2">
      <c r="A230" s="159" t="s">
        <v>1512</v>
      </c>
      <c r="B230" s="18" t="str">
        <f>VLOOKUP(LEFT(A230,7),'Tariff Schedule Lookup Table'!$A$8:$G$186,2,FALSE)</f>
        <v>High Pressure Sodium 400</v>
      </c>
      <c r="C230" s="160">
        <f t="shared" si="40"/>
        <v>1250</v>
      </c>
      <c r="D230" s="18">
        <f t="shared" si="41"/>
        <v>1</v>
      </c>
      <c r="E230" s="18" t="str">
        <f>VLOOKUP(C230,'Tariff Schedule Lookup Table'!I$7:L$286,2,FALSE)</f>
        <v>METAL HALIDE/HPS 400W FLOOD (310/360)</v>
      </c>
      <c r="F230" s="18" t="str">
        <f>IF(E230 = "BULKHEADS ETC", "SHARED OR NO POLE", VLOOKUP(C230,'Tariff Schedule Lookup Table'!I$7:L$286,3,FALSE))</f>
        <v>WOOD POLE</v>
      </c>
      <c r="G230" s="18">
        <f>IF(E230 = "NO CAPITAL", 1, VLOOKUP(C230,'Tariff Schedule Lookup Table'!I$7:L$286,4,FALSE))</f>
        <v>3</v>
      </c>
      <c r="H230" s="18" t="str">
        <f t="shared" si="32"/>
        <v>1-Unmetered, CE Funded, CE Maintained</v>
      </c>
      <c r="I230" s="123">
        <f>VLOOKUP(F230,'Maintenance Model'!$A$57:$B$61,2,FALSE)</f>
        <v>10.731618231111112</v>
      </c>
      <c r="J230" s="123">
        <f>IF(D230=1,VLOOKUP(C230,'Capital Code Schedules'!A$15:F$300,2,FALSE),IF(D230=2,VLOOKUP(C230,'Capital Code Schedules'!A$15:F$300,3,FALSE),0))</f>
        <v>113.97129138962873</v>
      </c>
      <c r="K230" s="123">
        <v>144.56925254222082</v>
      </c>
      <c r="L230" s="123">
        <f>VLOOKUP(LEFT(A230,10),'Streetlight Tariff Schedule'!B$11:G$260,6, FALSE)+I230</f>
        <v>90.282107097463594</v>
      </c>
      <c r="M230" s="161">
        <f t="shared" si="33"/>
        <v>234.8513596396844</v>
      </c>
      <c r="N230" s="405">
        <f t="shared" si="34"/>
        <v>210.83611898813444</v>
      </c>
      <c r="O230" s="405">
        <v>218.86419140639237</v>
      </c>
      <c r="P230" s="406">
        <v>212.30560585358884</v>
      </c>
      <c r="Q230" s="406">
        <v>219.11208501887484</v>
      </c>
      <c r="R230" s="406">
        <v>225.83299556411026</v>
      </c>
      <c r="S230" s="405">
        <f t="shared" si="35"/>
        <v>218.32913122110511</v>
      </c>
      <c r="T230" s="406">
        <v>225.63349381565143</v>
      </c>
      <c r="U230" s="406">
        <v>233.37121005250671</v>
      </c>
      <c r="V230" s="405">
        <f t="shared" si="36"/>
        <v>226.16679979192128</v>
      </c>
      <c r="W230" s="406">
        <v>232.03433601992606</v>
      </c>
      <c r="X230" s="406">
        <v>242.10920378938482</v>
      </c>
      <c r="Y230" s="405">
        <f t="shared" si="37"/>
        <v>235.04565641490939</v>
      </c>
      <c r="Z230" s="406">
        <v>238.07748300959148</v>
      </c>
      <c r="AA230" s="406">
        <v>249.31451334998397</v>
      </c>
      <c r="AB230" s="442">
        <f t="shared" si="38"/>
        <v>239.62508103872037</v>
      </c>
      <c r="AC230" s="438">
        <f t="shared" si="39"/>
        <v>246.68616246283869</v>
      </c>
      <c r="AD230" s="410"/>
      <c r="AE230" s="411"/>
      <c r="AF230" s="411"/>
      <c r="AG230" s="411"/>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row>
    <row r="231" spans="1:61" x14ac:dyDescent="0.2">
      <c r="A231" s="159" t="s">
        <v>1513</v>
      </c>
      <c r="B231" s="18" t="str">
        <f>VLOOKUP(LEFT(A231,7),'Tariff Schedule Lookup Table'!$A$8:$G$186,2,FALSE)</f>
        <v>High Pressure Sodium 400</v>
      </c>
      <c r="C231" s="160">
        <f t="shared" si="40"/>
        <v>70</v>
      </c>
      <c r="D231" s="18">
        <f t="shared" si="41"/>
        <v>1</v>
      </c>
      <c r="E231" s="18" t="str">
        <f>VLOOKUP(C231,'Tariff Schedule Lookup Table'!I$7:L$286,2,FALSE)</f>
        <v>HIGH PRESSURE SODIUM 400W (310/360)</v>
      </c>
      <c r="F231" s="18" t="str">
        <f>IF(E231 = "BULKHEADS ETC", "SHARED OR NO POLE", VLOOKUP(C231,'Tariff Schedule Lookup Table'!I$7:L$286,3,FALSE))</f>
        <v>SHARED OR NO POLE</v>
      </c>
      <c r="G231" s="18">
        <f>IF(E231 = "NO CAPITAL", 1, VLOOKUP(C231,'Tariff Schedule Lookup Table'!I$7:L$286,4,FALSE))</f>
        <v>1</v>
      </c>
      <c r="H231" s="18" t="str">
        <f t="shared" si="32"/>
        <v>1-Unmetered, CE Funded, CE Maintained</v>
      </c>
      <c r="I231" s="123">
        <f>VLOOKUP(F231,'Maintenance Model'!$A$57:$B$61,2,FALSE)</f>
        <v>0</v>
      </c>
      <c r="J231" s="123">
        <f>IF(D231=1,VLOOKUP(C231,'Capital Code Schedules'!A$15:F$300,2,FALSE),IF(D231=2,VLOOKUP(C231,'Capital Code Schedules'!A$15:F$300,3,FALSE),0))</f>
        <v>35.784047435083579</v>
      </c>
      <c r="K231" s="123">
        <v>45.391018453408257</v>
      </c>
      <c r="L231" s="123">
        <f>VLOOKUP(LEFT(A231,10),'Streetlight Tariff Schedule'!B$11:G$260,6, FALSE)+I231</f>
        <v>58.126261889403139</v>
      </c>
      <c r="M231" s="161">
        <f t="shared" si="33"/>
        <v>103.5172803428114</v>
      </c>
      <c r="N231" s="405">
        <f t="shared" si="34"/>
        <v>97.218005762510728</v>
      </c>
      <c r="O231" s="405">
        <v>91.78881747269962</v>
      </c>
      <c r="P231" s="406">
        <v>89.729590682628057</v>
      </c>
      <c r="Q231" s="406">
        <v>92.995723231872987</v>
      </c>
      <c r="R231" s="406">
        <v>95.105915884998808</v>
      </c>
      <c r="S231" s="405">
        <f t="shared" si="35"/>
        <v>101.08874597221781</v>
      </c>
      <c r="T231" s="406">
        <v>96.037207428035828</v>
      </c>
      <c r="U231" s="406">
        <v>98.558692264539616</v>
      </c>
      <c r="V231" s="405">
        <f t="shared" si="36"/>
        <v>105.00974511764475</v>
      </c>
      <c r="W231" s="406">
        <v>98.964040567213488</v>
      </c>
      <c r="X231" s="406">
        <v>102.45667960022732</v>
      </c>
      <c r="Y231" s="405">
        <f t="shared" si="37"/>
        <v>109.34976912868771</v>
      </c>
      <c r="Z231" s="406">
        <v>101.61567203039628</v>
      </c>
      <c r="AA231" s="406">
        <v>105.58226697924744</v>
      </c>
      <c r="AB231" s="442">
        <f t="shared" si="38"/>
        <v>111.5592974603547</v>
      </c>
      <c r="AC231" s="438">
        <f t="shared" si="39"/>
        <v>114.86232456089878</v>
      </c>
      <c r="AD231" s="410"/>
      <c r="AE231" s="411"/>
      <c r="AF231" s="411"/>
      <c r="AG231" s="411"/>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row>
    <row r="232" spans="1:61" ht="22.5" x14ac:dyDescent="0.2">
      <c r="A232" s="159" t="s">
        <v>1514</v>
      </c>
      <c r="B232" s="18" t="str">
        <f>VLOOKUP(LEFT(A232,7),'Tariff Schedule Lookup Table'!$A$8:$G$186,2,FALSE)</f>
        <v>High Pressure Sodium 2x400</v>
      </c>
      <c r="C232" s="160">
        <f t="shared" si="40"/>
        <v>860</v>
      </c>
      <c r="D232" s="18">
        <f t="shared" si="41"/>
        <v>1</v>
      </c>
      <c r="E232" s="18" t="str">
        <f>VLOOKUP(C232,'Tariff Schedule Lookup Table'!I$7:L$286,2,FALSE)</f>
        <v>HIGH PRESSURE SODIUM 2X250 W OR 2X400 W FLOOD</v>
      </c>
      <c r="F232" s="18" t="str">
        <f>IF(E232 = "BULKHEADS ETC", "SHARED OR NO POLE", VLOOKUP(C232,'Tariff Schedule Lookup Table'!I$7:L$286,3,FALSE))</f>
        <v>R/BOUT COLUMN</v>
      </c>
      <c r="G232" s="18">
        <f>IF(E232 = "NO CAPITAL", 1, VLOOKUP(C232,'Tariff Schedule Lookup Table'!I$7:L$286,4,FALSE))</f>
        <v>3</v>
      </c>
      <c r="H232" s="18" t="str">
        <f t="shared" si="32"/>
        <v>1-Unmetered, CE Funded, CE Maintained</v>
      </c>
      <c r="I232" s="123">
        <f>VLOOKUP(F232,'Maintenance Model'!$A$57:$B$61,2,FALSE)</f>
        <v>9.9616182311111103</v>
      </c>
      <c r="J232" s="123">
        <f>IF(D232=1,VLOOKUP(C232,'Capital Code Schedules'!A$15:F$300,2,FALSE),IF(D232=2,VLOOKUP(C232,'Capital Code Schedules'!A$15:F$300,3,FALSE),0))</f>
        <v>200.25475215839111</v>
      </c>
      <c r="K232" s="123">
        <v>254.01730106394828</v>
      </c>
      <c r="L232" s="123">
        <f>VLOOKUP(LEFT(A232,10),'Streetlight Tariff Schedule'!B$11:G$260,6, FALSE)+I232</f>
        <v>103.36399891746359</v>
      </c>
      <c r="M232" s="161">
        <f t="shared" si="33"/>
        <v>357.38129998141187</v>
      </c>
      <c r="N232" s="405">
        <f t="shared" si="34"/>
        <v>312.88209164275708</v>
      </c>
      <c r="O232" s="405">
        <v>349.815241942157</v>
      </c>
      <c r="P232" s="406">
        <v>338.29139318715556</v>
      </c>
      <c r="Q232" s="406">
        <v>348.55052593730716</v>
      </c>
      <c r="R232" s="406">
        <v>360.35958994899488</v>
      </c>
      <c r="S232" s="405">
        <f t="shared" si="35"/>
        <v>323.23036323425595</v>
      </c>
      <c r="T232" s="406">
        <v>358.51228587517363</v>
      </c>
      <c r="U232" s="406">
        <v>371.96933578251094</v>
      </c>
      <c r="V232" s="405">
        <f t="shared" si="36"/>
        <v>334.29177245606689</v>
      </c>
      <c r="W232" s="406">
        <v>368.37785078368114</v>
      </c>
      <c r="X232" s="406">
        <v>385.58399792298746</v>
      </c>
      <c r="Y232" s="405">
        <f t="shared" si="37"/>
        <v>347.01165597276054</v>
      </c>
      <c r="Z232" s="406">
        <v>377.86022688044829</v>
      </c>
      <c r="AA232" s="406">
        <v>396.94412241357492</v>
      </c>
      <c r="AB232" s="442">
        <f t="shared" si="38"/>
        <v>353.62581805306041</v>
      </c>
      <c r="AC232" s="438">
        <f t="shared" si="39"/>
        <v>364.01707091632733</v>
      </c>
      <c r="AD232" s="410"/>
      <c r="AE232" s="411"/>
      <c r="AF232" s="411"/>
      <c r="AG232" s="411"/>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row>
    <row r="233" spans="1:61" ht="22.5" x14ac:dyDescent="0.2">
      <c r="A233" s="159" t="s">
        <v>1515</v>
      </c>
      <c r="B233" s="18" t="str">
        <f>VLOOKUP(LEFT(A233,7),'Tariff Schedule Lookup Table'!$A$8:$G$186,2,FALSE)</f>
        <v>High Pressure Sodium 2x400</v>
      </c>
      <c r="C233" s="160">
        <f t="shared" si="40"/>
        <v>870</v>
      </c>
      <c r="D233" s="18">
        <f t="shared" si="41"/>
        <v>1</v>
      </c>
      <c r="E233" s="18" t="str">
        <f>VLOOKUP(C233,'Tariff Schedule Lookup Table'!I$7:L$286,2,FALSE)</f>
        <v>HIGH PRESSURE SODIUM 2X250 W OR 2X400 W FLOOD</v>
      </c>
      <c r="F233" s="18" t="str">
        <f>IF(E233 = "BULKHEADS ETC", "SHARED OR NO POLE", VLOOKUP(C233,'Tariff Schedule Lookup Table'!I$7:L$286,3,FALSE))</f>
        <v>R/BOUT COLUMN</v>
      </c>
      <c r="G233" s="18">
        <f>IF(E233 = "NO CAPITAL", 1, VLOOKUP(C233,'Tariff Schedule Lookup Table'!I$7:L$286,4,FALSE))</f>
        <v>4</v>
      </c>
      <c r="H233" s="18" t="str">
        <f t="shared" si="32"/>
        <v>1-Unmetered, CE Funded, CE Maintained</v>
      </c>
      <c r="I233" s="123">
        <f>VLOOKUP(F233,'Maintenance Model'!$A$57:$B$61,2,FALSE)</f>
        <v>9.9616182311111103</v>
      </c>
      <c r="J233" s="123">
        <f>IF(D233=1,VLOOKUP(C233,'Capital Code Schedules'!A$15:F$300,2,FALSE),IF(D233=2,VLOOKUP(C233,'Capital Code Schedules'!A$15:F$300,3,FALSE),0))</f>
        <v>220.47663524022317</v>
      </c>
      <c r="K233" s="123">
        <v>279.66816880872375</v>
      </c>
      <c r="L233" s="123">
        <f>VLOOKUP(LEFT(A233,10),'Streetlight Tariff Schedule'!B$11:G$260,6, FALSE)+I233</f>
        <v>103.36399891746359</v>
      </c>
      <c r="M233" s="161">
        <f t="shared" si="33"/>
        <v>383.03216772618737</v>
      </c>
      <c r="N233" s="405">
        <f t="shared" si="34"/>
        <v>333.60446633086445</v>
      </c>
      <c r="O233" s="405">
        <v>377.26465601517486</v>
      </c>
      <c r="P233" s="406">
        <v>364.57711990861424</v>
      </c>
      <c r="Q233" s="406">
        <v>375.48682439512191</v>
      </c>
      <c r="R233" s="406">
        <v>388.48837702031994</v>
      </c>
      <c r="S233" s="405">
        <f t="shared" si="35"/>
        <v>344.46561669589403</v>
      </c>
      <c r="T233" s="406">
        <v>386.11525771981928</v>
      </c>
      <c r="U233" s="406">
        <v>400.89979328536879</v>
      </c>
      <c r="V233" s="405">
        <f t="shared" si="36"/>
        <v>356.13223064136162</v>
      </c>
      <c r="W233" s="406">
        <v>396.66399618148176</v>
      </c>
      <c r="X233" s="406">
        <v>415.49519793519221</v>
      </c>
      <c r="Y233" s="405">
        <f t="shared" si="37"/>
        <v>369.59250569053677</v>
      </c>
      <c r="Z233" s="406">
        <v>406.84645437684446</v>
      </c>
      <c r="AA233" s="406">
        <v>427.70779162612746</v>
      </c>
      <c r="AB233" s="442">
        <f t="shared" si="38"/>
        <v>376.60409072586953</v>
      </c>
      <c r="AC233" s="438">
        <f t="shared" si="39"/>
        <v>387.66401132391519</v>
      </c>
      <c r="AD233" s="410"/>
      <c r="AE233" s="411"/>
      <c r="AF233" s="411"/>
      <c r="AG233" s="411"/>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row>
    <row r="234" spans="1:61" ht="22.5" x14ac:dyDescent="0.2">
      <c r="A234" s="159" t="s">
        <v>1516</v>
      </c>
      <c r="B234" s="18" t="str">
        <f>VLOOKUP(LEFT(A234,7),'Tariff Schedule Lookup Table'!$A$8:$G$186,2,FALSE)</f>
        <v>High Pressure Sodium 2x400</v>
      </c>
      <c r="C234" s="160">
        <f t="shared" si="40"/>
        <v>870</v>
      </c>
      <c r="D234" s="18">
        <f t="shared" si="41"/>
        <v>2</v>
      </c>
      <c r="E234" s="18" t="str">
        <f>VLOOKUP(C234,'Tariff Schedule Lookup Table'!I$7:L$286,2,FALSE)</f>
        <v>HIGH PRESSURE SODIUM 2X250 W OR 2X400 W FLOOD</v>
      </c>
      <c r="F234" s="18" t="str">
        <f>IF(E234 = "BULKHEADS ETC", "SHARED OR NO POLE", VLOOKUP(C234,'Tariff Schedule Lookup Table'!I$7:L$286,3,FALSE))</f>
        <v>R/BOUT COLUMN</v>
      </c>
      <c r="G234" s="18">
        <f>IF(E234 = "NO CAPITAL", 1, VLOOKUP(C234,'Tariff Schedule Lookup Table'!I$7:L$286,4,FALSE))</f>
        <v>4</v>
      </c>
      <c r="H234" s="18" t="str">
        <f t="shared" si="32"/>
        <v>2-Unmetered, Funded by Others, CE Maintained</v>
      </c>
      <c r="I234" s="123">
        <f>VLOOKUP(F234,'Maintenance Model'!$A$57:$B$61,2,FALSE)</f>
        <v>9.9616182311111103</v>
      </c>
      <c r="J234" s="123">
        <f>IF(D234=1,VLOOKUP(C234,'Capital Code Schedules'!A$15:F$300,2,FALSE),IF(D234=2,VLOOKUP(C234,'Capital Code Schedules'!A$15:F$300,3,FALSE),0))</f>
        <v>0</v>
      </c>
      <c r="K234" s="123">
        <v>0</v>
      </c>
      <c r="L234" s="123">
        <f>VLOOKUP(LEFT(A234,10),'Streetlight Tariff Schedule'!B$11:G$260,6, FALSE)+I234</f>
        <v>103.36399891746359</v>
      </c>
      <c r="M234" s="161">
        <f t="shared" si="33"/>
        <v>103.36399891746359</v>
      </c>
      <c r="N234" s="405">
        <f t="shared" si="34"/>
        <v>107.67103436844579</v>
      </c>
      <c r="O234" s="405">
        <v>77.987163921874554</v>
      </c>
      <c r="P234" s="406">
        <v>77.987163921874554</v>
      </c>
      <c r="Q234" s="406">
        <v>81.803766997710426</v>
      </c>
      <c r="R234" s="406">
        <v>81.803766997710426</v>
      </c>
      <c r="S234" s="405">
        <f t="shared" si="35"/>
        <v>112.9403322924055</v>
      </c>
      <c r="T234" s="406">
        <v>85.16354465182188</v>
      </c>
      <c r="U234" s="406">
        <v>85.474671877114915</v>
      </c>
      <c r="V234" s="405">
        <f t="shared" si="36"/>
        <v>118.00847563237367</v>
      </c>
      <c r="W234" s="406">
        <v>88.263728215051415</v>
      </c>
      <c r="X234" s="406">
        <v>89.377164911198534</v>
      </c>
      <c r="Y234" s="405">
        <f t="shared" si="37"/>
        <v>123.39635538674416</v>
      </c>
      <c r="Z234" s="406">
        <v>90.813279778244976</v>
      </c>
      <c r="AA234" s="406">
        <v>92.295394660949967</v>
      </c>
      <c r="AB234" s="442">
        <f t="shared" si="38"/>
        <v>126.07488817673011</v>
      </c>
      <c r="AC234" s="438">
        <f t="shared" si="39"/>
        <v>129.84440898059583</v>
      </c>
      <c r="AD234" s="410"/>
      <c r="AE234" s="411"/>
      <c r="AF234" s="411"/>
      <c r="AG234" s="411"/>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row>
    <row r="235" spans="1:61" x14ac:dyDescent="0.2">
      <c r="A235" s="159" t="s">
        <v>1517</v>
      </c>
      <c r="B235" s="18" t="str">
        <f>VLOOKUP(LEFT(A235,7),'Tariff Schedule Lookup Table'!$A$8:$G$186,2,FALSE)</f>
        <v>High Pressure Sodium 600 (Internal Ignitor)</v>
      </c>
      <c r="C235" s="160">
        <f t="shared" si="40"/>
        <v>250</v>
      </c>
      <c r="D235" s="18">
        <f t="shared" si="41"/>
        <v>1</v>
      </c>
      <c r="E235" s="18" t="str">
        <f>VLOOKUP(C235,'Tariff Schedule Lookup Table'!I$7:L$286,2,FALSE)</f>
        <v>HIGH PRESSURE SODIUM 600W HIGH MAST</v>
      </c>
      <c r="F235" s="18" t="str">
        <f>IF(E235 = "BULKHEADS ETC", "SHARED OR NO POLE", VLOOKUP(C235,'Tariff Schedule Lookup Table'!I$7:L$286,3,FALSE))</f>
        <v>WOOD POLE</v>
      </c>
      <c r="G235" s="18">
        <f>IF(E235 = "NO CAPITAL", 1, VLOOKUP(C235,'Tariff Schedule Lookup Table'!I$7:L$286,4,FALSE))</f>
        <v>1</v>
      </c>
      <c r="H235" s="18" t="str">
        <f t="shared" si="32"/>
        <v>1-Unmetered, CE Funded, CE Maintained</v>
      </c>
      <c r="I235" s="123">
        <f>VLOOKUP(F235,'Maintenance Model'!$A$57:$B$61,2,FALSE)</f>
        <v>10.731618231111112</v>
      </c>
      <c r="J235" s="123">
        <f>IF(D235=1,VLOOKUP(C235,'Capital Code Schedules'!A$15:F$300,2,FALSE),IF(D235=2,VLOOKUP(C235,'Capital Code Schedules'!A$15:F$300,3,FALSE),0))</f>
        <v>171.86224006998557</v>
      </c>
      <c r="K235" s="123">
        <v>218.00222919480308</v>
      </c>
      <c r="L235" s="123">
        <f>VLOOKUP(LEFT(A235,10),'Streetlight Tariff Schedule'!B$11:G$260,6, FALSE)+I235</f>
        <v>111.36630789746359</v>
      </c>
      <c r="M235" s="161">
        <f t="shared" si="33"/>
        <v>329.36853709226665</v>
      </c>
      <c r="N235" s="405">
        <f t="shared" si="34"/>
        <v>292.12261905217952</v>
      </c>
      <c r="O235" s="405">
        <v>319.71609450331738</v>
      </c>
      <c r="P235" s="406">
        <v>309.82611965919591</v>
      </c>
      <c r="Q235" s="406">
        <v>319.58491922139427</v>
      </c>
      <c r="R235" s="406">
        <v>329.71967094290778</v>
      </c>
      <c r="S235" s="405">
        <f t="shared" si="35"/>
        <v>302.1587261068413</v>
      </c>
      <c r="T235" s="406">
        <v>328.97429261636336</v>
      </c>
      <c r="U235" s="406">
        <v>340.60116356100355</v>
      </c>
      <c r="V235" s="405">
        <f t="shared" si="36"/>
        <v>312.76276751450985</v>
      </c>
      <c r="W235" s="406">
        <v>338.21620600779755</v>
      </c>
      <c r="X235" s="406">
        <v>353.26121316652331</v>
      </c>
      <c r="Y235" s="405">
        <f t="shared" si="37"/>
        <v>324.86022791635986</v>
      </c>
      <c r="Z235" s="406">
        <v>346.99159088010271</v>
      </c>
      <c r="AA235" s="406">
        <v>363.74029246870259</v>
      </c>
      <c r="AB235" s="442">
        <f t="shared" si="38"/>
        <v>331.12375733854077</v>
      </c>
      <c r="AC235" s="438">
        <f t="shared" si="39"/>
        <v>340.86799951795763</v>
      </c>
      <c r="AD235" s="410"/>
      <c r="AE235" s="411"/>
      <c r="AF235" s="411"/>
      <c r="AG235" s="411"/>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row>
    <row r="236" spans="1:61" x14ac:dyDescent="0.2">
      <c r="A236" s="159" t="s">
        <v>1518</v>
      </c>
      <c r="B236" s="18" t="str">
        <f>VLOOKUP(LEFT(A236,7),'Tariff Schedule Lookup Table'!$A$8:$G$186,2,FALSE)</f>
        <v>High Pressure Sodium 1000</v>
      </c>
      <c r="C236" s="160">
        <f t="shared" si="40"/>
        <v>120</v>
      </c>
      <c r="D236" s="18">
        <f t="shared" si="41"/>
        <v>1</v>
      </c>
      <c r="E236" s="18" t="str">
        <f>VLOOKUP(C236,'Tariff Schedule Lookup Table'!I$7:L$286,2,FALSE)</f>
        <v xml:space="preserve">METAL HALIDE 1000W FLOODLIGHT </v>
      </c>
      <c r="F236" s="18" t="str">
        <f>IF(E236 = "BULKHEADS ETC", "SHARED OR NO POLE", VLOOKUP(C236,'Tariff Schedule Lookup Table'!I$7:L$286,3,FALSE))</f>
        <v>SHARED OR NO POLE</v>
      </c>
      <c r="G236" s="18">
        <f>IF(E236 = "NO CAPITAL", 1, VLOOKUP(C236,'Tariff Schedule Lookup Table'!I$7:L$286,4,FALSE))</f>
        <v>1</v>
      </c>
      <c r="H236" s="18" t="str">
        <f t="shared" si="32"/>
        <v>1-Unmetered, CE Funded, CE Maintained</v>
      </c>
      <c r="I236" s="123">
        <f>VLOOKUP(F236,'Maintenance Model'!$A$57:$B$61,2,FALSE)</f>
        <v>0</v>
      </c>
      <c r="J236" s="123">
        <f>IF(D236=1,VLOOKUP(C236,'Capital Code Schedules'!A$15:F$300,2,FALSE),IF(D236=2,VLOOKUP(C236,'Capital Code Schedules'!A$15:F$300,3,FALSE),0))</f>
        <v>60.355285078550516</v>
      </c>
      <c r="K236" s="123">
        <v>76.558915358334843</v>
      </c>
      <c r="L236" s="123">
        <f>VLOOKUP(LEFT(A236,10),'Streetlight Tariff Schedule'!B$11:G$260,6, FALSE)+I236</f>
        <v>141.09548505435251</v>
      </c>
      <c r="M236" s="161">
        <f t="shared" si="33"/>
        <v>217.65440041268735</v>
      </c>
      <c r="N236" s="405">
        <f t="shared" si="34"/>
        <v>208.82381794178139</v>
      </c>
      <c r="O236" s="405">
        <v>200.69557788994294</v>
      </c>
      <c r="P236" s="406">
        <v>197.22237603423824</v>
      </c>
      <c r="Q236" s="406">
        <v>204.97650781697791</v>
      </c>
      <c r="R236" s="406">
        <v>208.53567141861132</v>
      </c>
      <c r="S236" s="405">
        <f t="shared" si="35"/>
        <v>217.54735917162571</v>
      </c>
      <c r="T236" s="406">
        <v>212.08298641691761</v>
      </c>
      <c r="U236" s="406">
        <v>216.51889275958368</v>
      </c>
      <c r="V236" s="405">
        <f t="shared" si="36"/>
        <v>226.27187817440731</v>
      </c>
      <c r="W236" s="406">
        <v>218.84336985524715</v>
      </c>
      <c r="X236" s="406">
        <v>225.38927341460379</v>
      </c>
      <c r="Y236" s="405">
        <f t="shared" si="37"/>
        <v>235.83633418880623</v>
      </c>
      <c r="Z236" s="406">
        <v>224.81564799706678</v>
      </c>
      <c r="AA236" s="406">
        <v>232.37784338392612</v>
      </c>
      <c r="AB236" s="442">
        <f t="shared" si="38"/>
        <v>240.67879466664596</v>
      </c>
      <c r="AC236" s="438">
        <f t="shared" si="39"/>
        <v>247.82006335253359</v>
      </c>
      <c r="AD236" s="410"/>
      <c r="AE236" s="411"/>
      <c r="AF236" s="411"/>
      <c r="AG236" s="411"/>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row>
    <row r="237" spans="1:61" x14ac:dyDescent="0.2">
      <c r="A237" s="159" t="s">
        <v>1519</v>
      </c>
      <c r="B237" s="18" t="str">
        <f>VLOOKUP(LEFT(A237,7),'Tariff Schedule Lookup Table'!$A$8:$G$186,2,FALSE)</f>
        <v>High Pressure Sodium 1000</v>
      </c>
      <c r="C237" s="160">
        <f t="shared" si="40"/>
        <v>120</v>
      </c>
      <c r="D237" s="18">
        <f t="shared" si="41"/>
        <v>2</v>
      </c>
      <c r="E237" s="18" t="str">
        <f>VLOOKUP(C237,'Tariff Schedule Lookup Table'!I$7:L$286,2,FALSE)</f>
        <v xml:space="preserve">METAL HALIDE 1000W FLOODLIGHT </v>
      </c>
      <c r="F237" s="18" t="str">
        <f>IF(E237 = "BULKHEADS ETC", "SHARED OR NO POLE", VLOOKUP(C237,'Tariff Schedule Lookup Table'!I$7:L$286,3,FALSE))</f>
        <v>SHARED OR NO POLE</v>
      </c>
      <c r="G237" s="18">
        <f>IF(E237 = "NO CAPITAL", 1, VLOOKUP(C237,'Tariff Schedule Lookup Table'!I$7:L$286,4,FALSE))</f>
        <v>1</v>
      </c>
      <c r="H237" s="18" t="str">
        <f t="shared" si="32"/>
        <v>2-Unmetered, Funded by Others, CE Maintained</v>
      </c>
      <c r="I237" s="123">
        <f>VLOOKUP(F237,'Maintenance Model'!$A$57:$B$61,2,FALSE)</f>
        <v>0</v>
      </c>
      <c r="J237" s="123">
        <f>IF(D237=1,VLOOKUP(C237,'Capital Code Schedules'!A$15:F$300,2,FALSE),IF(D237=2,VLOOKUP(C237,'Capital Code Schedules'!A$15:F$300,3,FALSE),0))</f>
        <v>0</v>
      </c>
      <c r="K237" s="123">
        <v>0</v>
      </c>
      <c r="L237" s="123">
        <f>VLOOKUP(LEFT(A237,10),'Streetlight Tariff Schedule'!B$11:G$260,6, FALSE)+I237</f>
        <v>141.09548505435251</v>
      </c>
      <c r="M237" s="161">
        <f t="shared" si="33"/>
        <v>141.09548505435251</v>
      </c>
      <c r="N237" s="405">
        <f t="shared" si="34"/>
        <v>146.97473955753674</v>
      </c>
      <c r="O237" s="405">
        <v>118.76862752078462</v>
      </c>
      <c r="P237" s="406">
        <v>118.76862752078462</v>
      </c>
      <c r="Q237" s="406">
        <v>124.5810290278163</v>
      </c>
      <c r="R237" s="406">
        <v>124.5810290278163</v>
      </c>
      <c r="S237" s="405">
        <f t="shared" si="35"/>
        <v>154.16751609737102</v>
      </c>
      <c r="T237" s="406">
        <v>129.69771952772425</v>
      </c>
      <c r="U237" s="406">
        <v>130.17154306065103</v>
      </c>
      <c r="V237" s="405">
        <f t="shared" si="36"/>
        <v>161.08570957253636</v>
      </c>
      <c r="W237" s="406">
        <v>134.41906761054622</v>
      </c>
      <c r="X237" s="406">
        <v>136.1147485608773</v>
      </c>
      <c r="Y237" s="405">
        <f t="shared" si="37"/>
        <v>168.44035447133186</v>
      </c>
      <c r="Z237" s="406">
        <v>138.30184427180956</v>
      </c>
      <c r="AA237" s="406">
        <v>140.55899457186842</v>
      </c>
      <c r="AB237" s="442">
        <f t="shared" si="38"/>
        <v>172.09664570614405</v>
      </c>
      <c r="AC237" s="438">
        <f t="shared" si="39"/>
        <v>177.24217385728107</v>
      </c>
      <c r="AD237" s="410"/>
      <c r="AE237" s="411"/>
      <c r="AF237" s="411"/>
      <c r="AG237" s="411"/>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row>
    <row r="238" spans="1:61" x14ac:dyDescent="0.2">
      <c r="A238" s="159" t="s">
        <v>1520</v>
      </c>
      <c r="B238" s="18" t="str">
        <f>VLOOKUP(LEFT(A238,7),'Tariff Schedule Lookup Table'!$A$8:$G$186,2,FALSE)</f>
        <v>High Pressure Sodium 1000</v>
      </c>
      <c r="C238" s="160">
        <f t="shared" si="40"/>
        <v>850</v>
      </c>
      <c r="D238" s="18">
        <f t="shared" si="41"/>
        <v>1</v>
      </c>
      <c r="E238" s="18" t="str">
        <f>VLOOKUP(C238,'Tariff Schedule Lookup Table'!I$7:L$286,2,FALSE)</f>
        <v xml:space="preserve">METAL HALIDE 1000W FLOODLIGHT </v>
      </c>
      <c r="F238" s="18" t="str">
        <f>IF(E238 = "BULKHEADS ETC", "SHARED OR NO POLE", VLOOKUP(C238,'Tariff Schedule Lookup Table'!I$7:L$286,3,FALSE))</f>
        <v>R/BOUT COLUMN</v>
      </c>
      <c r="G238" s="18">
        <f>IF(E238 = "NO CAPITAL", 1, VLOOKUP(C238,'Tariff Schedule Lookup Table'!I$7:L$286,4,FALSE))</f>
        <v>2</v>
      </c>
      <c r="H238" s="18" t="str">
        <f t="shared" si="32"/>
        <v>1-Unmetered, CE Funded, CE Maintained</v>
      </c>
      <c r="I238" s="123">
        <f>VLOOKUP(F238,'Maintenance Model'!$A$57:$B$61,2,FALSE)</f>
        <v>9.9616182311111103</v>
      </c>
      <c r="J238" s="123">
        <f>IF(D238=1,VLOOKUP(C238,'Capital Code Schedules'!A$15:F$300,2,FALSE),IF(D238=2,VLOOKUP(C238,'Capital Code Schedules'!A$15:F$300,3,FALSE),0))</f>
        <v>180.03286907655911</v>
      </c>
      <c r="K238" s="123">
        <v>228.36643331917276</v>
      </c>
      <c r="L238" s="123">
        <f>VLOOKUP(LEFT(A238,10),'Streetlight Tariff Schedule'!B$11:G$260,6, FALSE)+I238</f>
        <v>151.05710328546363</v>
      </c>
      <c r="M238" s="161">
        <f t="shared" si="33"/>
        <v>379.42353660463641</v>
      </c>
      <c r="N238" s="405">
        <f t="shared" si="34"/>
        <v>341.84012728441314</v>
      </c>
      <c r="O238" s="405">
        <v>372.74140670414818</v>
      </c>
      <c r="P238" s="406">
        <v>362.38124530070604</v>
      </c>
      <c r="Q238" s="406">
        <v>374.45512983006512</v>
      </c>
      <c r="R238" s="406">
        <v>385.07170522824248</v>
      </c>
      <c r="S238" s="405">
        <f t="shared" si="35"/>
        <v>354.10682286219588</v>
      </c>
      <c r="T238" s="406">
        <v>385.92045486101699</v>
      </c>
      <c r="U238" s="406">
        <v>398.25099082493824</v>
      </c>
      <c r="V238" s="405">
        <f t="shared" si="36"/>
        <v>366.90151553608428</v>
      </c>
      <c r="W238" s="406">
        <v>397.10540065787887</v>
      </c>
      <c r="X238" s="406">
        <v>413.40571433718469</v>
      </c>
      <c r="Y238" s="405">
        <f t="shared" si="37"/>
        <v>381.36702503256987</v>
      </c>
      <c r="Z238" s="406">
        <v>407.53456997894637</v>
      </c>
      <c r="AA238" s="406">
        <v>425.79839153903708</v>
      </c>
      <c r="AB238" s="442">
        <f t="shared" si="38"/>
        <v>388.81966394155091</v>
      </c>
      <c r="AC238" s="438">
        <f t="shared" si="39"/>
        <v>400.28154080603002</v>
      </c>
      <c r="AD238" s="410"/>
      <c r="AE238" s="411"/>
      <c r="AF238" s="411"/>
      <c r="AG238" s="411"/>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row>
    <row r="239" spans="1:61" x14ac:dyDescent="0.2">
      <c r="A239" s="159" t="s">
        <v>1521</v>
      </c>
      <c r="B239" s="18" t="str">
        <f>VLOOKUP(LEFT(A239,7),'Tariff Schedule Lookup Table'!$A$8:$G$186,2,FALSE)</f>
        <v>High Pressure Sodium 1000</v>
      </c>
      <c r="C239" s="160">
        <f t="shared" si="40"/>
        <v>1050</v>
      </c>
      <c r="D239" s="18">
        <f t="shared" si="41"/>
        <v>1</v>
      </c>
      <c r="E239" s="18" t="str">
        <f>VLOOKUP(C239,'Tariff Schedule Lookup Table'!I$7:L$286,2,FALSE)</f>
        <v xml:space="preserve">METAL HALIDE 1000W FLOODLIGHT </v>
      </c>
      <c r="F239" s="18" t="str">
        <f>IF(E239 = "BULKHEADS ETC", "SHARED OR NO POLE", VLOOKUP(C239,'Tariff Schedule Lookup Table'!I$7:L$286,3,FALSE))</f>
        <v>R/BOUT COLUMN</v>
      </c>
      <c r="G239" s="18">
        <f>IF(E239 = "NO CAPITAL", 1, VLOOKUP(C239,'Tariff Schedule Lookup Table'!I$7:L$286,4,FALSE))</f>
        <v>4</v>
      </c>
      <c r="H239" s="18" t="str">
        <f t="shared" si="32"/>
        <v>1-Unmetered, CE Funded, CE Maintained</v>
      </c>
      <c r="I239" s="123">
        <f>VLOOKUP(F239,'Maintenance Model'!$A$57:$B$61,2,FALSE)</f>
        <v>9.9616182311111103</v>
      </c>
      <c r="J239" s="123">
        <f>IF(D239=1,VLOOKUP(C239,'Capital Code Schedules'!A$15:F$300,2,FALSE),IF(D239=2,VLOOKUP(C239,'Capital Code Schedules'!A$15:F$300,3,FALSE),0))</f>
        <v>220.47663524022317</v>
      </c>
      <c r="K239" s="123">
        <v>279.66816880872375</v>
      </c>
      <c r="L239" s="123">
        <f>VLOOKUP(LEFT(A239,10),'Streetlight Tariff Schedule'!B$11:G$260,6, FALSE)+I239</f>
        <v>151.05710328546363</v>
      </c>
      <c r="M239" s="161">
        <f t="shared" si="33"/>
        <v>430.7252720941874</v>
      </c>
      <c r="N239" s="405">
        <f t="shared" si="34"/>
        <v>383.28487666062784</v>
      </c>
      <c r="O239" s="405">
        <v>427.64023485018413</v>
      </c>
      <c r="P239" s="406">
        <v>414.95269874362344</v>
      </c>
      <c r="Q239" s="406">
        <v>428.32772674569469</v>
      </c>
      <c r="R239" s="406">
        <v>441.32927937089278</v>
      </c>
      <c r="S239" s="405">
        <f t="shared" si="35"/>
        <v>396.57732978547193</v>
      </c>
      <c r="T239" s="406">
        <v>441.12639855030847</v>
      </c>
      <c r="U239" s="406">
        <v>456.11190583065405</v>
      </c>
      <c r="V239" s="405">
        <f t="shared" si="36"/>
        <v>410.58243190667366</v>
      </c>
      <c r="W239" s="406">
        <v>453.67769145348024</v>
      </c>
      <c r="X239" s="406">
        <v>473.22811436159429</v>
      </c>
      <c r="Y239" s="405">
        <f t="shared" si="37"/>
        <v>426.52872446812222</v>
      </c>
      <c r="Z239" s="406">
        <v>465.50702497173887</v>
      </c>
      <c r="AA239" s="406">
        <v>487.3257299641424</v>
      </c>
      <c r="AB239" s="442">
        <f t="shared" si="38"/>
        <v>434.77620928716902</v>
      </c>
      <c r="AC239" s="438">
        <f t="shared" si="39"/>
        <v>447.57542162120558</v>
      </c>
      <c r="AD239" s="410"/>
      <c r="AE239" s="411"/>
      <c r="AF239" s="411"/>
      <c r="AG239" s="411"/>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row>
    <row r="240" spans="1:61" x14ac:dyDescent="0.2">
      <c r="A240" s="159" t="s">
        <v>1522</v>
      </c>
      <c r="B240" s="18" t="str">
        <f>VLOOKUP(LEFT(A240,7),'Tariff Schedule Lookup Table'!$A$8:$G$186,2,FALSE)</f>
        <v>High Pressure Sodium 1000</v>
      </c>
      <c r="C240" s="160">
        <f t="shared" si="40"/>
        <v>1050</v>
      </c>
      <c r="D240" s="18">
        <f t="shared" si="41"/>
        <v>2</v>
      </c>
      <c r="E240" s="18" t="str">
        <f>VLOOKUP(C240,'Tariff Schedule Lookup Table'!I$7:L$286,2,FALSE)</f>
        <v xml:space="preserve">METAL HALIDE 1000W FLOODLIGHT </v>
      </c>
      <c r="F240" s="18" t="str">
        <f>IF(E240 = "BULKHEADS ETC", "SHARED OR NO POLE", VLOOKUP(C240,'Tariff Schedule Lookup Table'!I$7:L$286,3,FALSE))</f>
        <v>R/BOUT COLUMN</v>
      </c>
      <c r="G240" s="18">
        <f>IF(E240 = "NO CAPITAL", 1, VLOOKUP(C240,'Tariff Schedule Lookup Table'!I$7:L$286,4,FALSE))</f>
        <v>4</v>
      </c>
      <c r="H240" s="18" t="str">
        <f t="shared" si="32"/>
        <v>2-Unmetered, Funded by Others, CE Maintained</v>
      </c>
      <c r="I240" s="123">
        <f>VLOOKUP(F240,'Maintenance Model'!$A$57:$B$61,2,FALSE)</f>
        <v>9.9616182311111103</v>
      </c>
      <c r="J240" s="123">
        <f>IF(D240=1,VLOOKUP(C240,'Capital Code Schedules'!A$15:F$300,2,FALSE),IF(D240=2,VLOOKUP(C240,'Capital Code Schedules'!A$15:F$300,3,FALSE),0))</f>
        <v>0</v>
      </c>
      <c r="K240" s="123">
        <v>0</v>
      </c>
      <c r="L240" s="123">
        <f>VLOOKUP(LEFT(A240,10),'Streetlight Tariff Schedule'!B$11:G$260,6, FALSE)+I240</f>
        <v>151.05710328546363</v>
      </c>
      <c r="M240" s="161">
        <f t="shared" si="33"/>
        <v>151.05710328546363</v>
      </c>
      <c r="N240" s="405">
        <f t="shared" si="34"/>
        <v>157.35144469820912</v>
      </c>
      <c r="O240" s="405">
        <v>128.36274275688379</v>
      </c>
      <c r="P240" s="406">
        <v>128.36274275688379</v>
      </c>
      <c r="Q240" s="406">
        <v>134.64466934828323</v>
      </c>
      <c r="R240" s="406">
        <v>134.64466934828323</v>
      </c>
      <c r="S240" s="405">
        <f t="shared" si="35"/>
        <v>165.05204538198339</v>
      </c>
      <c r="T240" s="406">
        <v>140.17468548231102</v>
      </c>
      <c r="U240" s="406">
        <v>140.68678442240017</v>
      </c>
      <c r="V240" s="405">
        <f t="shared" si="36"/>
        <v>172.45867689768571</v>
      </c>
      <c r="W240" s="406">
        <v>145.2774234870499</v>
      </c>
      <c r="X240" s="406">
        <v>147.1100813376006</v>
      </c>
      <c r="Y240" s="405">
        <f t="shared" si="37"/>
        <v>180.3325741643296</v>
      </c>
      <c r="Z240" s="406">
        <v>149.47385037313944</v>
      </c>
      <c r="AA240" s="406">
        <v>151.91333299896482</v>
      </c>
      <c r="AB240" s="442">
        <f t="shared" si="38"/>
        <v>184.2470067380296</v>
      </c>
      <c r="AC240" s="438">
        <f t="shared" si="39"/>
        <v>189.75581927788619</v>
      </c>
      <c r="AD240" s="410"/>
      <c r="AE240" s="411"/>
      <c r="AF240" s="411"/>
      <c r="AG240" s="411"/>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row>
    <row r="241" spans="1:61" x14ac:dyDescent="0.2">
      <c r="A241" s="159" t="s">
        <v>1523</v>
      </c>
      <c r="B241" s="18" t="str">
        <f>VLOOKUP(LEFT(A241,7),'Tariff Schedule Lookup Table'!$A$8:$G$186,2,FALSE)</f>
        <v>Incandescent 30</v>
      </c>
      <c r="C241" s="160">
        <f t="shared" si="40"/>
        <v>10</v>
      </c>
      <c r="D241" s="18">
        <f t="shared" si="41"/>
        <v>2</v>
      </c>
      <c r="E241" s="18" t="str">
        <f>VLOOKUP(C241,'Tariff Schedule Lookup Table'!I$7:L$286,2,FALSE)</f>
        <v>MERCURY VAPOUR 80W</v>
      </c>
      <c r="F241" s="18" t="str">
        <f>IF(E241 = "BULKHEADS ETC", "SHARED OR NO POLE", VLOOKUP(C241,'Tariff Schedule Lookup Table'!I$7:L$286,3,FALSE))</f>
        <v>SHARED OR NO POLE</v>
      </c>
      <c r="G241" s="18">
        <f>IF(E241 = "NO CAPITAL", 1, VLOOKUP(C241,'Tariff Schedule Lookup Table'!I$7:L$286,4,FALSE))</f>
        <v>1</v>
      </c>
      <c r="H241" s="18" t="str">
        <f t="shared" si="32"/>
        <v>2-Unmetered, Funded by Others, CE Maintained</v>
      </c>
      <c r="I241" s="123">
        <f>VLOOKUP(F241,'Maintenance Model'!$A$57:$B$61,2,FALSE)</f>
        <v>0</v>
      </c>
      <c r="J241" s="123">
        <f>IF(D241=1,VLOOKUP(C241,'Capital Code Schedules'!A$15:F$300,2,FALSE),IF(D241=2,VLOOKUP(C241,'Capital Code Schedules'!A$15:F$300,3,FALSE),0))</f>
        <v>0</v>
      </c>
      <c r="K241" s="123">
        <v>0</v>
      </c>
      <c r="L241" s="123">
        <f>VLOOKUP(LEFT(A241,10),'Streetlight Tariff Schedule'!B$11:G$260,6, FALSE)+I241</f>
        <v>128.40216156024582</v>
      </c>
      <c r="M241" s="161">
        <f t="shared" si="33"/>
        <v>128.40216156024582</v>
      </c>
      <c r="N241" s="405">
        <f t="shared" si="34"/>
        <v>133.75250275848373</v>
      </c>
      <c r="O241" s="405">
        <v>73.500557881449993</v>
      </c>
      <c r="P241" s="406">
        <v>73.500557881449993</v>
      </c>
      <c r="Q241" s="406">
        <v>77.097591562108178</v>
      </c>
      <c r="R241" s="406">
        <v>77.097591562108178</v>
      </c>
      <c r="S241" s="405">
        <f t="shared" si="35"/>
        <v>140.29819807239664</v>
      </c>
      <c r="T241" s="406">
        <v>80.264081013913412</v>
      </c>
      <c r="U241" s="406">
        <v>80.557309071982729</v>
      </c>
      <c r="V241" s="405">
        <f t="shared" si="36"/>
        <v>146.59401254130773</v>
      </c>
      <c r="W241" s="406">
        <v>83.185910837864199</v>
      </c>
      <c r="X241" s="406">
        <v>84.235291456634684</v>
      </c>
      <c r="Y241" s="405">
        <f t="shared" si="37"/>
        <v>153.28701410793897</v>
      </c>
      <c r="Z241" s="406">
        <v>85.588786552513554</v>
      </c>
      <c r="AA241" s="406">
        <v>86.985635280495828</v>
      </c>
      <c r="AB241" s="442">
        <f t="shared" si="38"/>
        <v>156.61437570042943</v>
      </c>
      <c r="AC241" s="438">
        <f t="shared" si="39"/>
        <v>161.29699851235412</v>
      </c>
      <c r="AD241" s="410"/>
      <c r="AE241" s="411"/>
      <c r="AF241" s="411"/>
      <c r="AG241" s="411"/>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row>
    <row r="242" spans="1:61" x14ac:dyDescent="0.2">
      <c r="A242" s="159" t="s">
        <v>1524</v>
      </c>
      <c r="B242" s="18" t="str">
        <f>VLOOKUP(LEFT(A242,7),'Tariff Schedule Lookup Table'!$A$8:$G$186,2,FALSE)</f>
        <v>Incandescent 30</v>
      </c>
      <c r="C242" s="160">
        <f t="shared" si="40"/>
        <v>810</v>
      </c>
      <c r="D242" s="18">
        <f t="shared" si="41"/>
        <v>1</v>
      </c>
      <c r="E242" s="18" t="str">
        <f>VLOOKUP(C242,'Tariff Schedule Lookup Table'!I$7:L$286,2,FALSE)</f>
        <v>MERCURY VAPOUR 80W</v>
      </c>
      <c r="F242" s="18" t="str">
        <f>IF(E242 = "BULKHEADS ETC", "SHARED OR NO POLE", VLOOKUP(C242,'Tariff Schedule Lookup Table'!I$7:L$286,3,FALSE))</f>
        <v>WOOD POLE</v>
      </c>
      <c r="G242" s="18">
        <f>IF(E242 = "NO CAPITAL", 1, VLOOKUP(C242,'Tariff Schedule Lookup Table'!I$7:L$286,4,FALSE))</f>
        <v>1</v>
      </c>
      <c r="H242" s="18" t="str">
        <f t="shared" si="32"/>
        <v>1-Unmetered, CE Funded, CE Maintained</v>
      </c>
      <c r="I242" s="123">
        <f>VLOOKUP(F242,'Maintenance Model'!$A$57:$B$61,2,FALSE)</f>
        <v>10.731618231111112</v>
      </c>
      <c r="J242" s="123">
        <f>IF(D242=1,VLOOKUP(C242,'Capital Code Schedules'!A$15:F$300,2,FALSE),IF(D242=2,VLOOKUP(C242,'Capital Code Schedules'!A$15:F$300,3,FALSE),0))</f>
        <v>51.156145528662286</v>
      </c>
      <c r="K242" s="123">
        <v>64.890075665956445</v>
      </c>
      <c r="L242" s="123">
        <f>VLOOKUP(LEFT(A242,10),'Streetlight Tariff Schedule'!B$11:G$260,6, FALSE)+I242</f>
        <v>139.13377979135691</v>
      </c>
      <c r="M242" s="161">
        <f t="shared" si="33"/>
        <v>204.02385545731335</v>
      </c>
      <c r="N242" s="405">
        <f t="shared" si="34"/>
        <v>197.35355286897777</v>
      </c>
      <c r="O242" s="405">
        <v>153.33669168180995</v>
      </c>
      <c r="P242" s="406">
        <v>150.39286299556301</v>
      </c>
      <c r="Q242" s="406">
        <v>156.14445347979594</v>
      </c>
      <c r="R242" s="406">
        <v>159.16114192602751</v>
      </c>
      <c r="S242" s="405">
        <f t="shared" si="35"/>
        <v>205.74377638455991</v>
      </c>
      <c r="T242" s="406">
        <v>161.44533493278797</v>
      </c>
      <c r="U242" s="406">
        <v>165.13823441969694</v>
      </c>
      <c r="V242" s="405">
        <f t="shared" si="36"/>
        <v>214.09679529756744</v>
      </c>
      <c r="W242" s="406">
        <v>166.50869232683834</v>
      </c>
      <c r="X242" s="406">
        <v>171.81747015065821</v>
      </c>
      <c r="Y242" s="405">
        <f t="shared" si="37"/>
        <v>223.22218521937268</v>
      </c>
      <c r="Z242" s="406">
        <v>171.02246701353366</v>
      </c>
      <c r="AA242" s="406">
        <v>177.11336020597616</v>
      </c>
      <c r="AB242" s="442">
        <f t="shared" si="38"/>
        <v>227.83301913193861</v>
      </c>
      <c r="AC242" s="438">
        <f t="shared" si="39"/>
        <v>234.59856381479426</v>
      </c>
      <c r="AD242" s="410"/>
      <c r="AE242" s="411"/>
      <c r="AF242" s="411"/>
      <c r="AG242" s="411"/>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row>
    <row r="243" spans="1:61" x14ac:dyDescent="0.2">
      <c r="A243" s="159" t="s">
        <v>1525</v>
      </c>
      <c r="B243" s="18" t="str">
        <f>VLOOKUP(LEFT(A243,7),'Tariff Schedule Lookup Table'!$A$8:$G$186,2,FALSE)</f>
        <v>Incandescent 40</v>
      </c>
      <c r="C243" s="160">
        <f t="shared" si="40"/>
        <v>10</v>
      </c>
      <c r="D243" s="18">
        <f t="shared" si="41"/>
        <v>1</v>
      </c>
      <c r="E243" s="18" t="str">
        <f>VLOOKUP(C243,'Tariff Schedule Lookup Table'!I$7:L$286,2,FALSE)</f>
        <v>MERCURY VAPOUR 80W</v>
      </c>
      <c r="F243" s="18" t="str">
        <f>IF(E243 = "BULKHEADS ETC", "SHARED OR NO POLE", VLOOKUP(C243,'Tariff Schedule Lookup Table'!I$7:L$286,3,FALSE))</f>
        <v>SHARED OR NO POLE</v>
      </c>
      <c r="G243" s="18">
        <f>IF(E243 = "NO CAPITAL", 1, VLOOKUP(C243,'Tariff Schedule Lookup Table'!I$7:L$286,4,FALSE))</f>
        <v>1</v>
      </c>
      <c r="H243" s="18" t="str">
        <f t="shared" si="32"/>
        <v>1-Unmetered, CE Funded, CE Maintained</v>
      </c>
      <c r="I243" s="123">
        <f>VLOOKUP(F243,'Maintenance Model'!$A$57:$B$61,2,FALSE)</f>
        <v>0</v>
      </c>
      <c r="J243" s="123">
        <f>IF(D243=1,VLOOKUP(C243,'Capital Code Schedules'!A$15:F$300,2,FALSE),IF(D243=2,VLOOKUP(C243,'Capital Code Schedules'!A$15:F$300,3,FALSE),0))</f>
        <v>17.255027166785979</v>
      </c>
      <c r="K243" s="123">
        <v>21.887497717034414</v>
      </c>
      <c r="L243" s="123">
        <f>VLOOKUP(LEFT(A243,10),'Streetlight Tariff Schedule'!B$11:G$260,6, FALSE)+I243</f>
        <v>128.40216156024582</v>
      </c>
      <c r="M243" s="161">
        <f t="shared" si="33"/>
        <v>150.28965927728024</v>
      </c>
      <c r="N243" s="405">
        <f t="shared" si="34"/>
        <v>151.43459184764765</v>
      </c>
      <c r="O243" s="405">
        <v>96.922727994173826</v>
      </c>
      <c r="P243" s="406">
        <v>95.929771166981013</v>
      </c>
      <c r="Q243" s="406">
        <v>100.08192787645611</v>
      </c>
      <c r="R243" s="406">
        <v>101.09946038512194</v>
      </c>
      <c r="S243" s="405">
        <f t="shared" si="35"/>
        <v>158.41791886651737</v>
      </c>
      <c r="T243" s="406">
        <v>103.81727965204145</v>
      </c>
      <c r="U243" s="406">
        <v>105.24323115645238</v>
      </c>
      <c r="V243" s="405">
        <f t="shared" si="36"/>
        <v>165.23014537806091</v>
      </c>
      <c r="W243" s="406">
        <v>107.3220511422859</v>
      </c>
      <c r="X243" s="406">
        <v>109.75806629976785</v>
      </c>
      <c r="Y243" s="405">
        <f t="shared" si="37"/>
        <v>172.55491184785808</v>
      </c>
      <c r="Z243" s="406">
        <v>110.32229632946968</v>
      </c>
      <c r="AA243" s="406">
        <v>113.2358092066583</v>
      </c>
      <c r="AB243" s="442">
        <f t="shared" si="38"/>
        <v>176.2213884405711</v>
      </c>
      <c r="AC243" s="438">
        <f t="shared" si="39"/>
        <v>181.47457532323392</v>
      </c>
      <c r="AD243" s="410"/>
      <c r="AE243" s="411"/>
      <c r="AF243" s="411"/>
      <c r="AG243" s="411"/>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row>
    <row r="244" spans="1:61" x14ac:dyDescent="0.2">
      <c r="A244" s="159" t="s">
        <v>1526</v>
      </c>
      <c r="B244" s="18" t="str">
        <f>VLOOKUP(LEFT(A244,7),'Tariff Schedule Lookup Table'!$A$8:$G$186,2,FALSE)</f>
        <v>Incandescent 40</v>
      </c>
      <c r="C244" s="160">
        <f t="shared" si="40"/>
        <v>10</v>
      </c>
      <c r="D244" s="18">
        <f t="shared" si="41"/>
        <v>2</v>
      </c>
      <c r="E244" s="18" t="str">
        <f>VLOOKUP(C244,'Tariff Schedule Lookup Table'!I$7:L$286,2,FALSE)</f>
        <v>MERCURY VAPOUR 80W</v>
      </c>
      <c r="F244" s="18" t="str">
        <f>IF(E244 = "BULKHEADS ETC", "SHARED OR NO POLE", VLOOKUP(C244,'Tariff Schedule Lookup Table'!I$7:L$286,3,FALSE))</f>
        <v>SHARED OR NO POLE</v>
      </c>
      <c r="G244" s="18">
        <f>IF(E244 = "NO CAPITAL", 1, VLOOKUP(C244,'Tariff Schedule Lookup Table'!I$7:L$286,4,FALSE))</f>
        <v>1</v>
      </c>
      <c r="H244" s="18" t="str">
        <f t="shared" si="32"/>
        <v>2-Unmetered, Funded by Others, CE Maintained</v>
      </c>
      <c r="I244" s="123">
        <f>VLOOKUP(F244,'Maintenance Model'!$A$57:$B$61,2,FALSE)</f>
        <v>0</v>
      </c>
      <c r="J244" s="123">
        <f>IF(D244=1,VLOOKUP(C244,'Capital Code Schedules'!A$15:F$300,2,FALSE),IF(D244=2,VLOOKUP(C244,'Capital Code Schedules'!A$15:F$300,3,FALSE),0))</f>
        <v>0</v>
      </c>
      <c r="K244" s="123">
        <v>0</v>
      </c>
      <c r="L244" s="123">
        <f>VLOOKUP(LEFT(A244,10),'Streetlight Tariff Schedule'!B$11:G$260,6, FALSE)+I244</f>
        <v>128.40216156024582</v>
      </c>
      <c r="M244" s="161">
        <f t="shared" si="33"/>
        <v>128.40216156024582</v>
      </c>
      <c r="N244" s="405">
        <f t="shared" si="34"/>
        <v>133.75250275848373</v>
      </c>
      <c r="O244" s="405">
        <v>73.500557881449993</v>
      </c>
      <c r="P244" s="406">
        <v>73.500557881449993</v>
      </c>
      <c r="Q244" s="406">
        <v>77.097591562108178</v>
      </c>
      <c r="R244" s="406">
        <v>77.097591562108178</v>
      </c>
      <c r="S244" s="405">
        <f t="shared" si="35"/>
        <v>140.29819807239664</v>
      </c>
      <c r="T244" s="406">
        <v>80.264081013913412</v>
      </c>
      <c r="U244" s="406">
        <v>80.557309071982729</v>
      </c>
      <c r="V244" s="405">
        <f t="shared" si="36"/>
        <v>146.59401254130773</v>
      </c>
      <c r="W244" s="406">
        <v>83.185910837864199</v>
      </c>
      <c r="X244" s="406">
        <v>84.235291456634684</v>
      </c>
      <c r="Y244" s="405">
        <f t="shared" si="37"/>
        <v>153.28701410793897</v>
      </c>
      <c r="Z244" s="406">
        <v>85.588786552513554</v>
      </c>
      <c r="AA244" s="406">
        <v>86.985635280495828</v>
      </c>
      <c r="AB244" s="442">
        <f t="shared" si="38"/>
        <v>156.61437570042943</v>
      </c>
      <c r="AC244" s="438">
        <f t="shared" si="39"/>
        <v>161.29699851235412</v>
      </c>
      <c r="AD244" s="410"/>
      <c r="AE244" s="411"/>
      <c r="AF244" s="411"/>
      <c r="AG244" s="411"/>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row>
    <row r="245" spans="1:61" x14ac:dyDescent="0.2">
      <c r="A245" s="159" t="s">
        <v>1527</v>
      </c>
      <c r="B245" s="18" t="str">
        <f>VLOOKUP(LEFT(A245,7),'Tariff Schedule Lookup Table'!$A$8:$G$186,2,FALSE)</f>
        <v>Incandescent 40</v>
      </c>
      <c r="C245" s="160">
        <f t="shared" si="40"/>
        <v>810</v>
      </c>
      <c r="D245" s="18">
        <f t="shared" si="41"/>
        <v>1</v>
      </c>
      <c r="E245" s="18" t="str">
        <f>VLOOKUP(C245,'Tariff Schedule Lookup Table'!I$7:L$286,2,FALSE)</f>
        <v>MERCURY VAPOUR 80W</v>
      </c>
      <c r="F245" s="18" t="str">
        <f>IF(E245 = "BULKHEADS ETC", "SHARED OR NO POLE", VLOOKUP(C245,'Tariff Schedule Lookup Table'!I$7:L$286,3,FALSE))</f>
        <v>WOOD POLE</v>
      </c>
      <c r="G245" s="18">
        <f>IF(E245 = "NO CAPITAL", 1, VLOOKUP(C245,'Tariff Schedule Lookup Table'!I$7:L$286,4,FALSE))</f>
        <v>1</v>
      </c>
      <c r="H245" s="18" t="str">
        <f t="shared" si="32"/>
        <v>1-Unmetered, CE Funded, CE Maintained</v>
      </c>
      <c r="I245" s="123">
        <f>VLOOKUP(F245,'Maintenance Model'!$A$57:$B$61,2,FALSE)</f>
        <v>10.731618231111112</v>
      </c>
      <c r="J245" s="123">
        <f>IF(D245=1,VLOOKUP(C245,'Capital Code Schedules'!A$15:F$300,2,FALSE),IF(D245=2,VLOOKUP(C245,'Capital Code Schedules'!A$15:F$300,3,FALSE),0))</f>
        <v>51.156145528662286</v>
      </c>
      <c r="K245" s="123">
        <v>64.890075665956445</v>
      </c>
      <c r="L245" s="123">
        <f>VLOOKUP(LEFT(A245,10),'Streetlight Tariff Schedule'!B$11:G$260,6, FALSE)+I245</f>
        <v>139.13377979135691</v>
      </c>
      <c r="M245" s="161">
        <f t="shared" si="33"/>
        <v>204.02385545731335</v>
      </c>
      <c r="N245" s="405">
        <f t="shared" si="34"/>
        <v>197.35355286897777</v>
      </c>
      <c r="O245" s="405">
        <v>153.33669168180995</v>
      </c>
      <c r="P245" s="406">
        <v>150.39286299556301</v>
      </c>
      <c r="Q245" s="406">
        <v>156.14445347979594</v>
      </c>
      <c r="R245" s="406">
        <v>159.16114192602751</v>
      </c>
      <c r="S245" s="405">
        <f t="shared" si="35"/>
        <v>205.74377638455991</v>
      </c>
      <c r="T245" s="406">
        <v>161.44533493278797</v>
      </c>
      <c r="U245" s="406">
        <v>165.13823441969694</v>
      </c>
      <c r="V245" s="405">
        <f t="shared" si="36"/>
        <v>214.09679529756744</v>
      </c>
      <c r="W245" s="406">
        <v>166.50869232683834</v>
      </c>
      <c r="X245" s="406">
        <v>171.81747015065821</v>
      </c>
      <c r="Y245" s="405">
        <f t="shared" si="37"/>
        <v>223.22218521937268</v>
      </c>
      <c r="Z245" s="406">
        <v>171.02246701353366</v>
      </c>
      <c r="AA245" s="406">
        <v>177.11336020597616</v>
      </c>
      <c r="AB245" s="442">
        <f t="shared" si="38"/>
        <v>227.83301913193861</v>
      </c>
      <c r="AC245" s="438">
        <f t="shared" si="39"/>
        <v>234.59856381479426</v>
      </c>
      <c r="AD245" s="410"/>
      <c r="AE245" s="411"/>
      <c r="AF245" s="411"/>
      <c r="AG245" s="411"/>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row>
    <row r="246" spans="1:61" x14ac:dyDescent="0.2">
      <c r="A246" s="159" t="s">
        <v>1528</v>
      </c>
      <c r="B246" s="18" t="str">
        <f>VLOOKUP(LEFT(A246,7),'Tariff Schedule Lookup Table'!$A$8:$G$186,2,FALSE)</f>
        <v>Incandescent 40</v>
      </c>
      <c r="C246" s="160">
        <f t="shared" si="40"/>
        <v>830</v>
      </c>
      <c r="D246" s="18">
        <f t="shared" si="41"/>
        <v>2</v>
      </c>
      <c r="E246" s="18" t="str">
        <f>VLOOKUP(C246,'Tariff Schedule Lookup Table'!I$7:L$286,2,FALSE)</f>
        <v>MERCURY VAPOUR 80W</v>
      </c>
      <c r="F246" s="18" t="str">
        <f>IF(E246 = "BULKHEADS ETC", "SHARED OR NO POLE", VLOOKUP(C246,'Tariff Schedule Lookup Table'!I$7:L$286,3,FALSE))</f>
        <v>SHARED OR NO POLE</v>
      </c>
      <c r="G246" s="18">
        <f>IF(E246 = "NO CAPITAL", 1, VLOOKUP(C246,'Tariff Schedule Lookup Table'!I$7:L$286,4,FALSE))</f>
        <v>4</v>
      </c>
      <c r="H246" s="18" t="str">
        <f t="shared" si="32"/>
        <v>2-Unmetered, Funded by Others, CE Maintained</v>
      </c>
      <c r="I246" s="123">
        <f>VLOOKUP(F246,'Maintenance Model'!$A$57:$B$61,2,FALSE)</f>
        <v>0</v>
      </c>
      <c r="J246" s="123">
        <f>IF(D246=1,VLOOKUP(C246,'Capital Code Schedules'!A$15:F$300,2,FALSE),IF(D246=2,VLOOKUP(C246,'Capital Code Schedules'!A$15:F$300,3,FALSE),0))</f>
        <v>0</v>
      </c>
      <c r="K246" s="123">
        <v>0</v>
      </c>
      <c r="L246" s="123">
        <f>VLOOKUP(LEFT(A246,10),'Streetlight Tariff Schedule'!B$11:G$260,6, FALSE)+I246</f>
        <v>128.40216156024582</v>
      </c>
      <c r="M246" s="161">
        <f t="shared" si="33"/>
        <v>128.40216156024582</v>
      </c>
      <c r="N246" s="405">
        <f t="shared" si="34"/>
        <v>133.75250275848373</v>
      </c>
      <c r="O246" s="405">
        <v>73.500557881449993</v>
      </c>
      <c r="P246" s="406">
        <v>73.500557881449993</v>
      </c>
      <c r="Q246" s="406">
        <v>77.097591562108178</v>
      </c>
      <c r="R246" s="406">
        <v>77.097591562108178</v>
      </c>
      <c r="S246" s="405">
        <f t="shared" si="35"/>
        <v>140.29819807239664</v>
      </c>
      <c r="T246" s="406">
        <v>80.264081013913412</v>
      </c>
      <c r="U246" s="406">
        <v>80.557309071982729</v>
      </c>
      <c r="V246" s="405">
        <f t="shared" si="36"/>
        <v>146.59401254130773</v>
      </c>
      <c r="W246" s="406">
        <v>83.185910837864199</v>
      </c>
      <c r="X246" s="406">
        <v>84.235291456634684</v>
      </c>
      <c r="Y246" s="405">
        <f t="shared" si="37"/>
        <v>153.28701410793897</v>
      </c>
      <c r="Z246" s="406">
        <v>85.588786552513554</v>
      </c>
      <c r="AA246" s="406">
        <v>86.985635280495828</v>
      </c>
      <c r="AB246" s="442">
        <f t="shared" si="38"/>
        <v>156.61437570042943</v>
      </c>
      <c r="AC246" s="438">
        <f t="shared" si="39"/>
        <v>161.29699851235412</v>
      </c>
      <c r="AD246" s="410"/>
      <c r="AE246" s="411"/>
      <c r="AF246" s="411"/>
      <c r="AG246" s="411"/>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row>
    <row r="247" spans="1:61" x14ac:dyDescent="0.2">
      <c r="A247" s="159" t="s">
        <v>1529</v>
      </c>
      <c r="B247" s="18" t="str">
        <f>VLOOKUP(LEFT(A247,7),'Tariff Schedule Lookup Table'!$A$8:$G$186,2,FALSE)</f>
        <v>Incandescent 60</v>
      </c>
      <c r="C247" s="160">
        <f t="shared" si="40"/>
        <v>10</v>
      </c>
      <c r="D247" s="18">
        <f t="shared" si="41"/>
        <v>1</v>
      </c>
      <c r="E247" s="18" t="str">
        <f>VLOOKUP(C247,'Tariff Schedule Lookup Table'!I$7:L$286,2,FALSE)</f>
        <v>MERCURY VAPOUR 80W</v>
      </c>
      <c r="F247" s="18" t="str">
        <f>IF(E247 = "BULKHEADS ETC", "SHARED OR NO POLE", VLOOKUP(C247,'Tariff Schedule Lookup Table'!I$7:L$286,3,FALSE))</f>
        <v>SHARED OR NO POLE</v>
      </c>
      <c r="G247" s="18">
        <f>IF(E247 = "NO CAPITAL", 1, VLOOKUP(C247,'Tariff Schedule Lookup Table'!I$7:L$286,4,FALSE))</f>
        <v>1</v>
      </c>
      <c r="H247" s="18" t="str">
        <f t="shared" si="32"/>
        <v>1-Unmetered, CE Funded, CE Maintained</v>
      </c>
      <c r="I247" s="123">
        <f>VLOOKUP(F247,'Maintenance Model'!$A$57:$B$61,2,FALSE)</f>
        <v>0</v>
      </c>
      <c r="J247" s="123">
        <f>IF(D247=1,VLOOKUP(C247,'Capital Code Schedules'!A$15:F$300,2,FALSE),IF(D247=2,VLOOKUP(C247,'Capital Code Schedules'!A$15:F$300,3,FALSE),0))</f>
        <v>17.255027166785979</v>
      </c>
      <c r="K247" s="123">
        <v>21.887497717034414</v>
      </c>
      <c r="L247" s="123">
        <f>VLOOKUP(LEFT(A247,10),'Streetlight Tariff Schedule'!B$11:G$260,6, FALSE)+I247</f>
        <v>128.40216156024582</v>
      </c>
      <c r="M247" s="161">
        <f t="shared" si="33"/>
        <v>150.28965927728024</v>
      </c>
      <c r="N247" s="405">
        <f t="shared" si="34"/>
        <v>151.43459184764765</v>
      </c>
      <c r="O247" s="405">
        <v>96.922727994173826</v>
      </c>
      <c r="P247" s="406">
        <v>95.929771166981013</v>
      </c>
      <c r="Q247" s="406">
        <v>100.08192787645611</v>
      </c>
      <c r="R247" s="406">
        <v>101.09946038512194</v>
      </c>
      <c r="S247" s="405">
        <f t="shared" si="35"/>
        <v>158.41791886651737</v>
      </c>
      <c r="T247" s="406">
        <v>103.81727965204145</v>
      </c>
      <c r="U247" s="406">
        <v>105.24323115645238</v>
      </c>
      <c r="V247" s="405">
        <f t="shared" si="36"/>
        <v>165.23014537806091</v>
      </c>
      <c r="W247" s="406">
        <v>107.3220511422859</v>
      </c>
      <c r="X247" s="406">
        <v>109.75806629976785</v>
      </c>
      <c r="Y247" s="405">
        <f t="shared" si="37"/>
        <v>172.55491184785808</v>
      </c>
      <c r="Z247" s="406">
        <v>110.32229632946968</v>
      </c>
      <c r="AA247" s="406">
        <v>113.2358092066583</v>
      </c>
      <c r="AB247" s="442">
        <f t="shared" si="38"/>
        <v>176.2213884405711</v>
      </c>
      <c r="AC247" s="438">
        <f t="shared" si="39"/>
        <v>181.47457532323392</v>
      </c>
      <c r="AD247" s="410"/>
      <c r="AE247" s="411"/>
      <c r="AF247" s="411"/>
      <c r="AG247" s="411"/>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row>
    <row r="248" spans="1:61" x14ac:dyDescent="0.2">
      <c r="A248" s="159" t="s">
        <v>1530</v>
      </c>
      <c r="B248" s="18" t="str">
        <f>VLOOKUP(LEFT(A248,7),'Tariff Schedule Lookup Table'!$A$8:$G$186,2,FALSE)</f>
        <v>Incandescent 60</v>
      </c>
      <c r="C248" s="160">
        <f t="shared" si="40"/>
        <v>10</v>
      </c>
      <c r="D248" s="18">
        <f t="shared" si="41"/>
        <v>2</v>
      </c>
      <c r="E248" s="18" t="str">
        <f>VLOOKUP(C248,'Tariff Schedule Lookup Table'!I$7:L$286,2,FALSE)</f>
        <v>MERCURY VAPOUR 80W</v>
      </c>
      <c r="F248" s="18" t="str">
        <f>IF(E248 = "BULKHEADS ETC", "SHARED OR NO POLE", VLOOKUP(C248,'Tariff Schedule Lookup Table'!I$7:L$286,3,FALSE))</f>
        <v>SHARED OR NO POLE</v>
      </c>
      <c r="G248" s="18">
        <f>IF(E248 = "NO CAPITAL", 1, VLOOKUP(C248,'Tariff Schedule Lookup Table'!I$7:L$286,4,FALSE))</f>
        <v>1</v>
      </c>
      <c r="H248" s="18" t="str">
        <f t="shared" si="32"/>
        <v>2-Unmetered, Funded by Others, CE Maintained</v>
      </c>
      <c r="I248" s="123">
        <f>VLOOKUP(F248,'Maintenance Model'!$A$57:$B$61,2,FALSE)</f>
        <v>0</v>
      </c>
      <c r="J248" s="123">
        <f>IF(D248=1,VLOOKUP(C248,'Capital Code Schedules'!A$15:F$300,2,FALSE),IF(D248=2,VLOOKUP(C248,'Capital Code Schedules'!A$15:F$300,3,FALSE),0))</f>
        <v>0</v>
      </c>
      <c r="K248" s="123">
        <v>0</v>
      </c>
      <c r="L248" s="123">
        <f>VLOOKUP(LEFT(A248,10),'Streetlight Tariff Schedule'!B$11:G$260,6, FALSE)+I248</f>
        <v>128.40216156024582</v>
      </c>
      <c r="M248" s="161">
        <f t="shared" si="33"/>
        <v>128.40216156024582</v>
      </c>
      <c r="N248" s="405">
        <f t="shared" si="34"/>
        <v>133.75250275848373</v>
      </c>
      <c r="O248" s="405">
        <v>73.500557881449993</v>
      </c>
      <c r="P248" s="406">
        <v>73.500557881449993</v>
      </c>
      <c r="Q248" s="406">
        <v>77.097591562108178</v>
      </c>
      <c r="R248" s="406">
        <v>77.097591562108178</v>
      </c>
      <c r="S248" s="405">
        <f t="shared" si="35"/>
        <v>140.29819807239664</v>
      </c>
      <c r="T248" s="406">
        <v>80.264081013913412</v>
      </c>
      <c r="U248" s="406">
        <v>80.557309071982729</v>
      </c>
      <c r="V248" s="405">
        <f t="shared" si="36"/>
        <v>146.59401254130773</v>
      </c>
      <c r="W248" s="406">
        <v>83.185910837864199</v>
      </c>
      <c r="X248" s="406">
        <v>84.235291456634684</v>
      </c>
      <c r="Y248" s="405">
        <f t="shared" si="37"/>
        <v>153.28701410793897</v>
      </c>
      <c r="Z248" s="406">
        <v>85.588786552513554</v>
      </c>
      <c r="AA248" s="406">
        <v>86.985635280495828</v>
      </c>
      <c r="AB248" s="442">
        <f t="shared" si="38"/>
        <v>156.61437570042943</v>
      </c>
      <c r="AC248" s="438">
        <f t="shared" si="39"/>
        <v>161.29699851235412</v>
      </c>
      <c r="AD248" s="410"/>
      <c r="AE248" s="411"/>
      <c r="AF248" s="411"/>
      <c r="AG248" s="411"/>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row>
    <row r="249" spans="1:61" x14ac:dyDescent="0.2">
      <c r="A249" s="159" t="s">
        <v>1531</v>
      </c>
      <c r="B249" s="18" t="str">
        <f>VLOOKUP(LEFT(A249,7),'Tariff Schedule Lookup Table'!$A$8:$G$186,2,FALSE)</f>
        <v>Incandescent 75</v>
      </c>
      <c r="C249" s="160">
        <f t="shared" si="40"/>
        <v>10</v>
      </c>
      <c r="D249" s="18">
        <f t="shared" si="41"/>
        <v>1</v>
      </c>
      <c r="E249" s="18" t="str">
        <f>VLOOKUP(C249,'Tariff Schedule Lookup Table'!I$7:L$286,2,FALSE)</f>
        <v>MERCURY VAPOUR 80W</v>
      </c>
      <c r="F249" s="18" t="str">
        <f>IF(E249 = "BULKHEADS ETC", "SHARED OR NO POLE", VLOOKUP(C249,'Tariff Schedule Lookup Table'!I$7:L$286,3,FALSE))</f>
        <v>SHARED OR NO POLE</v>
      </c>
      <c r="G249" s="18">
        <f>IF(E249 = "NO CAPITAL", 1, VLOOKUP(C249,'Tariff Schedule Lookup Table'!I$7:L$286,4,FALSE))</f>
        <v>1</v>
      </c>
      <c r="H249" s="18" t="str">
        <f t="shared" si="32"/>
        <v>1-Unmetered, CE Funded, CE Maintained</v>
      </c>
      <c r="I249" s="123">
        <f>VLOOKUP(F249,'Maintenance Model'!$A$57:$B$61,2,FALSE)</f>
        <v>0</v>
      </c>
      <c r="J249" s="123">
        <f>IF(D249=1,VLOOKUP(C249,'Capital Code Schedules'!A$15:F$300,2,FALSE),IF(D249=2,VLOOKUP(C249,'Capital Code Schedules'!A$15:F$300,3,FALSE),0))</f>
        <v>17.255027166785979</v>
      </c>
      <c r="K249" s="123">
        <v>21.887497717034414</v>
      </c>
      <c r="L249" s="123">
        <f>VLOOKUP(LEFT(A249,10),'Streetlight Tariff Schedule'!B$11:G$260,6, FALSE)+I249</f>
        <v>128.40216156024582</v>
      </c>
      <c r="M249" s="161">
        <f t="shared" si="33"/>
        <v>150.28965927728024</v>
      </c>
      <c r="N249" s="405">
        <f t="shared" si="34"/>
        <v>151.43459184764765</v>
      </c>
      <c r="O249" s="405">
        <v>96.922727994173826</v>
      </c>
      <c r="P249" s="406">
        <v>95.929771166981013</v>
      </c>
      <c r="Q249" s="406">
        <v>100.08192787645611</v>
      </c>
      <c r="R249" s="406">
        <v>101.09946038512194</v>
      </c>
      <c r="S249" s="405">
        <f t="shared" si="35"/>
        <v>158.41791886651737</v>
      </c>
      <c r="T249" s="406">
        <v>103.81727965204145</v>
      </c>
      <c r="U249" s="406">
        <v>105.24323115645238</v>
      </c>
      <c r="V249" s="405">
        <f t="shared" si="36"/>
        <v>165.23014537806091</v>
      </c>
      <c r="W249" s="406">
        <v>107.3220511422859</v>
      </c>
      <c r="X249" s="406">
        <v>109.75806629976785</v>
      </c>
      <c r="Y249" s="405">
        <f t="shared" si="37"/>
        <v>172.55491184785808</v>
      </c>
      <c r="Z249" s="406">
        <v>110.32229632946968</v>
      </c>
      <c r="AA249" s="406">
        <v>113.2358092066583</v>
      </c>
      <c r="AB249" s="442">
        <f t="shared" si="38"/>
        <v>176.2213884405711</v>
      </c>
      <c r="AC249" s="438">
        <f t="shared" si="39"/>
        <v>181.47457532323392</v>
      </c>
      <c r="AD249" s="410"/>
      <c r="AE249" s="411"/>
      <c r="AF249" s="411"/>
      <c r="AG249" s="411"/>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row>
    <row r="250" spans="1:61" x14ac:dyDescent="0.2">
      <c r="A250" s="159" t="s">
        <v>1532</v>
      </c>
      <c r="B250" s="18" t="str">
        <f>VLOOKUP(LEFT(A250,7),'Tariff Schedule Lookup Table'!$A$8:$G$186,2,FALSE)</f>
        <v>Incandescent 75</v>
      </c>
      <c r="C250" s="160">
        <f t="shared" si="40"/>
        <v>10</v>
      </c>
      <c r="D250" s="18">
        <f t="shared" si="41"/>
        <v>2</v>
      </c>
      <c r="E250" s="18" t="str">
        <f>VLOOKUP(C250,'Tariff Schedule Lookup Table'!I$7:L$286,2,FALSE)</f>
        <v>MERCURY VAPOUR 80W</v>
      </c>
      <c r="F250" s="18" t="str">
        <f>IF(E250 = "BULKHEADS ETC", "SHARED OR NO POLE", VLOOKUP(C250,'Tariff Schedule Lookup Table'!I$7:L$286,3,FALSE))</f>
        <v>SHARED OR NO POLE</v>
      </c>
      <c r="G250" s="18">
        <f>IF(E250 = "NO CAPITAL", 1, VLOOKUP(C250,'Tariff Schedule Lookup Table'!I$7:L$286,4,FALSE))</f>
        <v>1</v>
      </c>
      <c r="H250" s="18" t="str">
        <f t="shared" si="32"/>
        <v>2-Unmetered, Funded by Others, CE Maintained</v>
      </c>
      <c r="I250" s="123">
        <f>VLOOKUP(F250,'Maintenance Model'!$A$57:$B$61,2,FALSE)</f>
        <v>0</v>
      </c>
      <c r="J250" s="123">
        <f>IF(D250=1,VLOOKUP(C250,'Capital Code Schedules'!A$15:F$300,2,FALSE),IF(D250=2,VLOOKUP(C250,'Capital Code Schedules'!A$15:F$300,3,FALSE),0))</f>
        <v>0</v>
      </c>
      <c r="K250" s="123">
        <v>0</v>
      </c>
      <c r="L250" s="123">
        <f>VLOOKUP(LEFT(A250,10),'Streetlight Tariff Schedule'!B$11:G$260,6, FALSE)+I250</f>
        <v>128.40216156024582</v>
      </c>
      <c r="M250" s="161">
        <f t="shared" si="33"/>
        <v>128.40216156024582</v>
      </c>
      <c r="N250" s="405">
        <f t="shared" si="34"/>
        <v>133.75250275848373</v>
      </c>
      <c r="O250" s="405">
        <v>73.500557881449993</v>
      </c>
      <c r="P250" s="406">
        <v>73.500557881449993</v>
      </c>
      <c r="Q250" s="406">
        <v>77.097591562108178</v>
      </c>
      <c r="R250" s="406">
        <v>77.097591562108178</v>
      </c>
      <c r="S250" s="405">
        <f t="shared" si="35"/>
        <v>140.29819807239664</v>
      </c>
      <c r="T250" s="406">
        <v>80.264081013913412</v>
      </c>
      <c r="U250" s="406">
        <v>80.557309071982729</v>
      </c>
      <c r="V250" s="405">
        <f t="shared" si="36"/>
        <v>146.59401254130773</v>
      </c>
      <c r="W250" s="406">
        <v>83.185910837864199</v>
      </c>
      <c r="X250" s="406">
        <v>84.235291456634684</v>
      </c>
      <c r="Y250" s="405">
        <f t="shared" si="37"/>
        <v>153.28701410793897</v>
      </c>
      <c r="Z250" s="406">
        <v>85.588786552513554</v>
      </c>
      <c r="AA250" s="406">
        <v>86.985635280495828</v>
      </c>
      <c r="AB250" s="442">
        <f t="shared" si="38"/>
        <v>156.61437570042943</v>
      </c>
      <c r="AC250" s="438">
        <f t="shared" si="39"/>
        <v>161.29699851235412</v>
      </c>
      <c r="AD250" s="410"/>
      <c r="AE250" s="411"/>
      <c r="AF250" s="411"/>
      <c r="AG250" s="411"/>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row>
    <row r="251" spans="1:61" x14ac:dyDescent="0.2">
      <c r="A251" s="159" t="s">
        <v>1533</v>
      </c>
      <c r="B251" s="18" t="str">
        <f>VLOOKUP(LEFT(A251,7),'Tariff Schedule Lookup Table'!$A$8:$G$186,2,FALSE)</f>
        <v>Incandescent 75</v>
      </c>
      <c r="C251" s="160">
        <f t="shared" si="40"/>
        <v>810</v>
      </c>
      <c r="D251" s="18">
        <f t="shared" si="41"/>
        <v>1</v>
      </c>
      <c r="E251" s="18" t="str">
        <f>VLOOKUP(C251,'Tariff Schedule Lookup Table'!I$7:L$286,2,FALSE)</f>
        <v>MERCURY VAPOUR 80W</v>
      </c>
      <c r="F251" s="18" t="str">
        <f>IF(E251 = "BULKHEADS ETC", "SHARED OR NO POLE", VLOOKUP(C251,'Tariff Schedule Lookup Table'!I$7:L$286,3,FALSE))</f>
        <v>WOOD POLE</v>
      </c>
      <c r="G251" s="18">
        <f>IF(E251 = "NO CAPITAL", 1, VLOOKUP(C251,'Tariff Schedule Lookup Table'!I$7:L$286,4,FALSE))</f>
        <v>1</v>
      </c>
      <c r="H251" s="18" t="str">
        <f t="shared" si="32"/>
        <v>1-Unmetered, CE Funded, CE Maintained</v>
      </c>
      <c r="I251" s="123">
        <f>VLOOKUP(F251,'Maintenance Model'!$A$57:$B$61,2,FALSE)</f>
        <v>10.731618231111112</v>
      </c>
      <c r="J251" s="123">
        <f>IF(D251=1,VLOOKUP(C251,'Capital Code Schedules'!A$15:F$300,2,FALSE),IF(D251=2,VLOOKUP(C251,'Capital Code Schedules'!A$15:F$300,3,FALSE),0))</f>
        <v>51.156145528662286</v>
      </c>
      <c r="K251" s="123">
        <v>64.890075665956445</v>
      </c>
      <c r="L251" s="123">
        <f>VLOOKUP(LEFT(A251,10),'Streetlight Tariff Schedule'!B$11:G$260,6, FALSE)+I251</f>
        <v>139.13377979135691</v>
      </c>
      <c r="M251" s="161">
        <f t="shared" si="33"/>
        <v>204.02385545731335</v>
      </c>
      <c r="N251" s="405">
        <f t="shared" si="34"/>
        <v>197.35355286897777</v>
      </c>
      <c r="O251" s="405">
        <v>153.33669168180995</v>
      </c>
      <c r="P251" s="406">
        <v>150.39286299556301</v>
      </c>
      <c r="Q251" s="406">
        <v>156.14445347979594</v>
      </c>
      <c r="R251" s="406">
        <v>159.16114192602751</v>
      </c>
      <c r="S251" s="405">
        <f t="shared" si="35"/>
        <v>205.74377638455991</v>
      </c>
      <c r="T251" s="406">
        <v>161.44533493278797</v>
      </c>
      <c r="U251" s="406">
        <v>165.13823441969694</v>
      </c>
      <c r="V251" s="405">
        <f t="shared" si="36"/>
        <v>214.09679529756744</v>
      </c>
      <c r="W251" s="406">
        <v>166.50869232683834</v>
      </c>
      <c r="X251" s="406">
        <v>171.81747015065821</v>
      </c>
      <c r="Y251" s="405">
        <f t="shared" si="37"/>
        <v>223.22218521937268</v>
      </c>
      <c r="Z251" s="406">
        <v>171.02246701353366</v>
      </c>
      <c r="AA251" s="406">
        <v>177.11336020597616</v>
      </c>
      <c r="AB251" s="442">
        <f t="shared" si="38"/>
        <v>227.83301913193861</v>
      </c>
      <c r="AC251" s="438">
        <f t="shared" si="39"/>
        <v>234.59856381479426</v>
      </c>
      <c r="AD251" s="410"/>
      <c r="AE251" s="411"/>
      <c r="AF251" s="411"/>
      <c r="AG251" s="411"/>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row>
    <row r="252" spans="1:61" x14ac:dyDescent="0.2">
      <c r="A252" s="159" t="s">
        <v>1534</v>
      </c>
      <c r="B252" s="18" t="str">
        <f>VLOOKUP(LEFT(A252,7),'Tariff Schedule Lookup Table'!$A$8:$G$186,2,FALSE)</f>
        <v>Incandescent 75</v>
      </c>
      <c r="C252" s="160">
        <f t="shared" si="40"/>
        <v>990</v>
      </c>
      <c r="D252" s="18">
        <f t="shared" si="41"/>
        <v>1</v>
      </c>
      <c r="E252" s="18" t="str">
        <f>VLOOKUP(C252,'Tariff Schedule Lookup Table'!I$7:L$286,2,FALSE)</f>
        <v>MERCURY VAPOUR 80W</v>
      </c>
      <c r="F252" s="18" t="str">
        <f>IF(E252 = "BULKHEADS ETC", "SHARED OR NO POLE", VLOOKUP(C252,'Tariff Schedule Lookup Table'!I$7:L$286,3,FALSE))</f>
        <v>STEEL POLE</v>
      </c>
      <c r="G252" s="18">
        <f>IF(E252 = "NO CAPITAL", 1, VLOOKUP(C252,'Tariff Schedule Lookup Table'!I$7:L$286,4,FALSE))</f>
        <v>1</v>
      </c>
      <c r="H252" s="18" t="str">
        <f t="shared" si="32"/>
        <v>1-Unmetered, CE Funded, CE Maintained</v>
      </c>
      <c r="I252" s="123">
        <f>VLOOKUP(F252,'Maintenance Model'!$A$57:$B$61,2,FALSE)</f>
        <v>9.9616182311111103</v>
      </c>
      <c r="J252" s="123">
        <f>IF(D252=1,VLOOKUP(C252,'Capital Code Schedules'!A$15:F$300,2,FALSE),IF(D252=2,VLOOKUP(C252,'Capital Code Schedules'!A$15:F$300,3,FALSE),0))</f>
        <v>86.253661186307269</v>
      </c>
      <c r="K252" s="123">
        <v>109.41024862221688</v>
      </c>
      <c r="L252" s="123">
        <f>VLOOKUP(LEFT(A252,10),'Streetlight Tariff Schedule'!B$11:G$260,6, FALSE)+I252</f>
        <v>138.36377979135693</v>
      </c>
      <c r="M252" s="161">
        <f t="shared" si="33"/>
        <v>247.77402841357383</v>
      </c>
      <c r="N252" s="405">
        <f t="shared" si="34"/>
        <v>232.51764719982449</v>
      </c>
      <c r="O252" s="405">
        <v>200.17637375026041</v>
      </c>
      <c r="P252" s="406">
        <v>195.21282539316593</v>
      </c>
      <c r="Q252" s="406">
        <v>202.05430842701338</v>
      </c>
      <c r="R252" s="406">
        <v>207.14070460594593</v>
      </c>
      <c r="S252" s="405">
        <f t="shared" si="35"/>
        <v>241.75878053036897</v>
      </c>
      <c r="T252" s="406">
        <v>208.47772715741328</v>
      </c>
      <c r="U252" s="406">
        <v>214.47143812971879</v>
      </c>
      <c r="V252" s="405">
        <f t="shared" si="36"/>
        <v>251.12445055525779</v>
      </c>
      <c r="W252" s="406">
        <v>214.69492973795661</v>
      </c>
      <c r="X252" s="406">
        <v>222.81273422223882</v>
      </c>
      <c r="Y252" s="405">
        <f t="shared" si="37"/>
        <v>261.49474274608775</v>
      </c>
      <c r="Z252" s="406">
        <v>220.39755958726599</v>
      </c>
      <c r="AA252" s="406">
        <v>229.55817383115624</v>
      </c>
      <c r="AB252" s="442">
        <f t="shared" si="38"/>
        <v>266.77539863490068</v>
      </c>
      <c r="AC252" s="438">
        <f t="shared" si="39"/>
        <v>274.67341609691022</v>
      </c>
      <c r="AD252" s="410"/>
      <c r="AE252" s="411"/>
      <c r="AF252" s="411"/>
      <c r="AG252" s="411"/>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row>
    <row r="253" spans="1:61" x14ac:dyDescent="0.2">
      <c r="A253" s="159" t="s">
        <v>1535</v>
      </c>
      <c r="B253" s="18" t="str">
        <f>VLOOKUP(LEFT(A253,7),'Tariff Schedule Lookup Table'!$A$8:$G$186,2,FALSE)</f>
        <v>Incandescent 100</v>
      </c>
      <c r="C253" s="160">
        <f t="shared" si="40"/>
        <v>10</v>
      </c>
      <c r="D253" s="18">
        <f t="shared" si="41"/>
        <v>1</v>
      </c>
      <c r="E253" s="18" t="str">
        <f>VLOOKUP(C253,'Tariff Schedule Lookup Table'!I$7:L$286,2,FALSE)</f>
        <v>MERCURY VAPOUR 80W</v>
      </c>
      <c r="F253" s="18" t="str">
        <f>IF(E253 = "BULKHEADS ETC", "SHARED OR NO POLE", VLOOKUP(C253,'Tariff Schedule Lookup Table'!I$7:L$286,3,FALSE))</f>
        <v>SHARED OR NO POLE</v>
      </c>
      <c r="G253" s="18">
        <f>IF(E253 = "NO CAPITAL", 1, VLOOKUP(C253,'Tariff Schedule Lookup Table'!I$7:L$286,4,FALSE))</f>
        <v>1</v>
      </c>
      <c r="H253" s="18" t="str">
        <f t="shared" si="32"/>
        <v>1-Unmetered, CE Funded, CE Maintained</v>
      </c>
      <c r="I253" s="123">
        <f>VLOOKUP(F253,'Maintenance Model'!$A$57:$B$61,2,FALSE)</f>
        <v>0</v>
      </c>
      <c r="J253" s="123">
        <f>IF(D253=1,VLOOKUP(C253,'Capital Code Schedules'!A$15:F$300,2,FALSE),IF(D253=2,VLOOKUP(C253,'Capital Code Schedules'!A$15:F$300,3,FALSE),0))</f>
        <v>17.255027166785979</v>
      </c>
      <c r="K253" s="123">
        <v>21.887497717034414</v>
      </c>
      <c r="L253" s="123">
        <f>VLOOKUP(LEFT(A253,10),'Streetlight Tariff Schedule'!B$11:G$260,6, FALSE)+I253</f>
        <v>128.40216156024582</v>
      </c>
      <c r="M253" s="161">
        <f t="shared" si="33"/>
        <v>150.28965927728024</v>
      </c>
      <c r="N253" s="405">
        <f t="shared" si="34"/>
        <v>151.43459184764765</v>
      </c>
      <c r="O253" s="405">
        <v>96.922727994173826</v>
      </c>
      <c r="P253" s="406">
        <v>95.929771166981013</v>
      </c>
      <c r="Q253" s="406">
        <v>100.08192787645611</v>
      </c>
      <c r="R253" s="406">
        <v>101.09946038512194</v>
      </c>
      <c r="S253" s="405">
        <f t="shared" si="35"/>
        <v>158.41791886651737</v>
      </c>
      <c r="T253" s="406">
        <v>103.81727965204145</v>
      </c>
      <c r="U253" s="406">
        <v>105.24323115645238</v>
      </c>
      <c r="V253" s="405">
        <f t="shared" si="36"/>
        <v>165.23014537806091</v>
      </c>
      <c r="W253" s="406">
        <v>107.3220511422859</v>
      </c>
      <c r="X253" s="406">
        <v>109.75806629976785</v>
      </c>
      <c r="Y253" s="405">
        <f t="shared" si="37"/>
        <v>172.55491184785808</v>
      </c>
      <c r="Z253" s="406">
        <v>110.32229632946968</v>
      </c>
      <c r="AA253" s="406">
        <v>113.2358092066583</v>
      </c>
      <c r="AB253" s="442">
        <f t="shared" si="38"/>
        <v>176.2213884405711</v>
      </c>
      <c r="AC253" s="438">
        <f t="shared" si="39"/>
        <v>181.47457532323392</v>
      </c>
      <c r="AD253" s="410"/>
      <c r="AE253" s="411"/>
      <c r="AF253" s="411"/>
      <c r="AG253" s="411"/>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row>
    <row r="254" spans="1:61" x14ac:dyDescent="0.2">
      <c r="A254" s="159" t="s">
        <v>1536</v>
      </c>
      <c r="B254" s="18" t="str">
        <f>VLOOKUP(LEFT(A254,7),'Tariff Schedule Lookup Table'!$A$8:$G$186,2,FALSE)</f>
        <v>Incandescent 100</v>
      </c>
      <c r="C254" s="160">
        <f t="shared" si="40"/>
        <v>10</v>
      </c>
      <c r="D254" s="18">
        <f t="shared" si="41"/>
        <v>2</v>
      </c>
      <c r="E254" s="18" t="str">
        <f>VLOOKUP(C254,'Tariff Schedule Lookup Table'!I$7:L$286,2,FALSE)</f>
        <v>MERCURY VAPOUR 80W</v>
      </c>
      <c r="F254" s="18" t="str">
        <f>IF(E254 = "BULKHEADS ETC", "SHARED OR NO POLE", VLOOKUP(C254,'Tariff Schedule Lookup Table'!I$7:L$286,3,FALSE))</f>
        <v>SHARED OR NO POLE</v>
      </c>
      <c r="G254" s="18">
        <f>IF(E254 = "NO CAPITAL", 1, VLOOKUP(C254,'Tariff Schedule Lookup Table'!I$7:L$286,4,FALSE))</f>
        <v>1</v>
      </c>
      <c r="H254" s="18" t="str">
        <f t="shared" si="32"/>
        <v>2-Unmetered, Funded by Others, CE Maintained</v>
      </c>
      <c r="I254" s="123">
        <f>VLOOKUP(F254,'Maintenance Model'!$A$57:$B$61,2,FALSE)</f>
        <v>0</v>
      </c>
      <c r="J254" s="123">
        <f>IF(D254=1,VLOOKUP(C254,'Capital Code Schedules'!A$15:F$300,2,FALSE),IF(D254=2,VLOOKUP(C254,'Capital Code Schedules'!A$15:F$300,3,FALSE),0))</f>
        <v>0</v>
      </c>
      <c r="K254" s="123">
        <v>0</v>
      </c>
      <c r="L254" s="123">
        <f>VLOOKUP(LEFT(A254,10),'Streetlight Tariff Schedule'!B$11:G$260,6, FALSE)+I254</f>
        <v>128.40216156024582</v>
      </c>
      <c r="M254" s="161">
        <f t="shared" si="33"/>
        <v>128.40216156024582</v>
      </c>
      <c r="N254" s="405">
        <f t="shared" si="34"/>
        <v>133.75250275848373</v>
      </c>
      <c r="O254" s="405">
        <v>73.500557881449993</v>
      </c>
      <c r="P254" s="406">
        <v>73.500557881449993</v>
      </c>
      <c r="Q254" s="406">
        <v>77.097591562108178</v>
      </c>
      <c r="R254" s="406">
        <v>77.097591562108178</v>
      </c>
      <c r="S254" s="405">
        <f t="shared" si="35"/>
        <v>140.29819807239664</v>
      </c>
      <c r="T254" s="406">
        <v>80.264081013913412</v>
      </c>
      <c r="U254" s="406">
        <v>80.557309071982729</v>
      </c>
      <c r="V254" s="405">
        <f t="shared" si="36"/>
        <v>146.59401254130773</v>
      </c>
      <c r="W254" s="406">
        <v>83.185910837864199</v>
      </c>
      <c r="X254" s="406">
        <v>84.235291456634684</v>
      </c>
      <c r="Y254" s="405">
        <f t="shared" si="37"/>
        <v>153.28701410793897</v>
      </c>
      <c r="Z254" s="406">
        <v>85.588786552513554</v>
      </c>
      <c r="AA254" s="406">
        <v>86.985635280495828</v>
      </c>
      <c r="AB254" s="442">
        <f t="shared" si="38"/>
        <v>156.61437570042943</v>
      </c>
      <c r="AC254" s="438">
        <f t="shared" si="39"/>
        <v>161.29699851235412</v>
      </c>
      <c r="AD254" s="410"/>
      <c r="AE254" s="411"/>
      <c r="AF254" s="411"/>
      <c r="AG254" s="411"/>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row>
    <row r="255" spans="1:61" x14ac:dyDescent="0.2">
      <c r="A255" s="159" t="s">
        <v>1537</v>
      </c>
      <c r="B255" s="18" t="str">
        <f>VLOOKUP(LEFT(A255,7),'Tariff Schedule Lookup Table'!$A$8:$G$186,2,FALSE)</f>
        <v>Incandescent 100</v>
      </c>
      <c r="C255" s="160">
        <f t="shared" si="40"/>
        <v>110</v>
      </c>
      <c r="D255" s="18">
        <f t="shared" si="41"/>
        <v>2</v>
      </c>
      <c r="E255" s="18" t="str">
        <f>VLOOKUP(C255,'Tariff Schedule Lookup Table'!I$7:L$286,2,FALSE)</f>
        <v>BULKHEADS ETC</v>
      </c>
      <c r="F255" s="18" t="str">
        <f>IF(E255 = "BULKHEADS ETC", "SHARED OR NO POLE", VLOOKUP(C255,'Tariff Schedule Lookup Table'!I$7:L$286,3,FALSE))</f>
        <v>SHARED OR NO POLE</v>
      </c>
      <c r="G255" s="18">
        <f>IF(E255 = "NO CAPITAL", 1, VLOOKUP(C255,'Tariff Schedule Lookup Table'!I$7:L$286,4,FALSE))</f>
        <v>1</v>
      </c>
      <c r="H255" s="18" t="str">
        <f t="shared" si="32"/>
        <v>2-Unmetered, Funded by Others, CE Maintained</v>
      </c>
      <c r="I255" s="123">
        <f>VLOOKUP(F255,'Maintenance Model'!$A$57:$B$61,2,FALSE)</f>
        <v>0</v>
      </c>
      <c r="J255" s="123">
        <f>IF(D255=1,VLOOKUP(C255,'Capital Code Schedules'!A$15:F$300,2,FALSE),IF(D255=2,VLOOKUP(C255,'Capital Code Schedules'!A$15:F$300,3,FALSE),0))</f>
        <v>0</v>
      </c>
      <c r="K255" s="123">
        <v>0</v>
      </c>
      <c r="L255" s="123">
        <f>VLOOKUP(LEFT(A255,10),'Streetlight Tariff Schedule'!B$11:G$260,6, FALSE)+I255</f>
        <v>128.40216156024582</v>
      </c>
      <c r="M255" s="161">
        <f t="shared" si="33"/>
        <v>128.40216156024582</v>
      </c>
      <c r="N255" s="405">
        <f t="shared" si="34"/>
        <v>133.75250275848373</v>
      </c>
      <c r="O255" s="405">
        <v>73.500557881449993</v>
      </c>
      <c r="P255" s="406">
        <v>73.500557881449993</v>
      </c>
      <c r="Q255" s="406">
        <v>77.097591562108178</v>
      </c>
      <c r="R255" s="406">
        <v>77.097591562108178</v>
      </c>
      <c r="S255" s="405">
        <f t="shared" si="35"/>
        <v>140.29819807239664</v>
      </c>
      <c r="T255" s="406">
        <v>80.264081013913412</v>
      </c>
      <c r="U255" s="406">
        <v>80.557309071982729</v>
      </c>
      <c r="V255" s="405">
        <f t="shared" si="36"/>
        <v>146.59401254130773</v>
      </c>
      <c r="W255" s="406">
        <v>83.185910837864199</v>
      </c>
      <c r="X255" s="406">
        <v>84.235291456634684</v>
      </c>
      <c r="Y255" s="405">
        <f t="shared" si="37"/>
        <v>153.28701410793897</v>
      </c>
      <c r="Z255" s="406">
        <v>85.588786552513554</v>
      </c>
      <c r="AA255" s="406">
        <v>86.985635280495828</v>
      </c>
      <c r="AB255" s="442">
        <f t="shared" si="38"/>
        <v>156.61437570042943</v>
      </c>
      <c r="AC255" s="438">
        <f t="shared" si="39"/>
        <v>161.29699851235412</v>
      </c>
      <c r="AD255" s="410"/>
      <c r="AE255" s="411"/>
      <c r="AF255" s="411"/>
      <c r="AG255" s="411"/>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row>
    <row r="256" spans="1:61" x14ac:dyDescent="0.2">
      <c r="A256" s="159" t="s">
        <v>1538</v>
      </c>
      <c r="B256" s="18" t="str">
        <f>VLOOKUP(LEFT(A256,7),'Tariff Schedule Lookup Table'!$A$8:$G$186,2,FALSE)</f>
        <v>Incandescent 100</v>
      </c>
      <c r="C256" s="160">
        <f t="shared" si="40"/>
        <v>810</v>
      </c>
      <c r="D256" s="18">
        <f t="shared" si="41"/>
        <v>1</v>
      </c>
      <c r="E256" s="18" t="str">
        <f>VLOOKUP(C256,'Tariff Schedule Lookup Table'!I$7:L$286,2,FALSE)</f>
        <v>MERCURY VAPOUR 80W</v>
      </c>
      <c r="F256" s="18" t="str">
        <f>IF(E256 = "BULKHEADS ETC", "SHARED OR NO POLE", VLOOKUP(C256,'Tariff Schedule Lookup Table'!I$7:L$286,3,FALSE))</f>
        <v>WOOD POLE</v>
      </c>
      <c r="G256" s="18">
        <f>IF(E256 = "NO CAPITAL", 1, VLOOKUP(C256,'Tariff Schedule Lookup Table'!I$7:L$286,4,FALSE))</f>
        <v>1</v>
      </c>
      <c r="H256" s="18" t="str">
        <f t="shared" si="32"/>
        <v>1-Unmetered, CE Funded, CE Maintained</v>
      </c>
      <c r="I256" s="123">
        <f>VLOOKUP(F256,'Maintenance Model'!$A$57:$B$61,2,FALSE)</f>
        <v>10.731618231111112</v>
      </c>
      <c r="J256" s="123">
        <f>IF(D256=1,VLOOKUP(C256,'Capital Code Schedules'!A$15:F$300,2,FALSE),IF(D256=2,VLOOKUP(C256,'Capital Code Schedules'!A$15:F$300,3,FALSE),0))</f>
        <v>51.156145528662286</v>
      </c>
      <c r="K256" s="123">
        <v>64.890075665956445</v>
      </c>
      <c r="L256" s="123">
        <f>VLOOKUP(LEFT(A256,10),'Streetlight Tariff Schedule'!B$11:G$260,6, FALSE)+I256</f>
        <v>139.13377979135691</v>
      </c>
      <c r="M256" s="161">
        <f t="shared" si="33"/>
        <v>204.02385545731335</v>
      </c>
      <c r="N256" s="405">
        <f t="shared" si="34"/>
        <v>197.35355286897777</v>
      </c>
      <c r="O256" s="405">
        <v>153.33669168180995</v>
      </c>
      <c r="P256" s="406">
        <v>150.39286299556301</v>
      </c>
      <c r="Q256" s="406">
        <v>156.14445347979594</v>
      </c>
      <c r="R256" s="406">
        <v>159.16114192602751</v>
      </c>
      <c r="S256" s="405">
        <f t="shared" si="35"/>
        <v>205.74377638455991</v>
      </c>
      <c r="T256" s="406">
        <v>161.44533493278797</v>
      </c>
      <c r="U256" s="406">
        <v>165.13823441969694</v>
      </c>
      <c r="V256" s="405">
        <f t="shared" si="36"/>
        <v>214.09679529756744</v>
      </c>
      <c r="W256" s="406">
        <v>166.50869232683834</v>
      </c>
      <c r="X256" s="406">
        <v>171.81747015065821</v>
      </c>
      <c r="Y256" s="405">
        <f t="shared" si="37"/>
        <v>223.22218521937268</v>
      </c>
      <c r="Z256" s="406">
        <v>171.02246701353366</v>
      </c>
      <c r="AA256" s="406">
        <v>177.11336020597616</v>
      </c>
      <c r="AB256" s="442">
        <f t="shared" si="38"/>
        <v>227.83301913193861</v>
      </c>
      <c r="AC256" s="438">
        <f t="shared" si="39"/>
        <v>234.59856381479426</v>
      </c>
      <c r="AD256" s="410"/>
      <c r="AE256" s="411"/>
      <c r="AF256" s="411"/>
      <c r="AG256" s="411"/>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row>
    <row r="257" spans="1:61" x14ac:dyDescent="0.2">
      <c r="A257" s="159" t="s">
        <v>1539</v>
      </c>
      <c r="B257" s="18" t="str">
        <f>VLOOKUP(LEFT(A257,7),'Tariff Schedule Lookup Table'!$A$8:$G$186,2,FALSE)</f>
        <v>Incandescent 100</v>
      </c>
      <c r="C257" s="160">
        <f t="shared" si="40"/>
        <v>990</v>
      </c>
      <c r="D257" s="18">
        <f t="shared" si="41"/>
        <v>1</v>
      </c>
      <c r="E257" s="18" t="str">
        <f>VLOOKUP(C257,'Tariff Schedule Lookup Table'!I$7:L$286,2,FALSE)</f>
        <v>MERCURY VAPOUR 80W</v>
      </c>
      <c r="F257" s="18" t="str">
        <f>IF(E257 = "BULKHEADS ETC", "SHARED OR NO POLE", VLOOKUP(C257,'Tariff Schedule Lookup Table'!I$7:L$286,3,FALSE))</f>
        <v>STEEL POLE</v>
      </c>
      <c r="G257" s="18">
        <f>IF(E257 = "NO CAPITAL", 1, VLOOKUP(C257,'Tariff Schedule Lookup Table'!I$7:L$286,4,FALSE))</f>
        <v>1</v>
      </c>
      <c r="H257" s="18" t="str">
        <f t="shared" si="32"/>
        <v>1-Unmetered, CE Funded, CE Maintained</v>
      </c>
      <c r="I257" s="123">
        <f>VLOOKUP(F257,'Maintenance Model'!$A$57:$B$61,2,FALSE)</f>
        <v>9.9616182311111103</v>
      </c>
      <c r="J257" s="123">
        <f>IF(D257=1,VLOOKUP(C257,'Capital Code Schedules'!A$15:F$300,2,FALSE),IF(D257=2,VLOOKUP(C257,'Capital Code Schedules'!A$15:F$300,3,FALSE),0))</f>
        <v>86.253661186307269</v>
      </c>
      <c r="K257" s="123">
        <v>109.41024862221688</v>
      </c>
      <c r="L257" s="123">
        <f>VLOOKUP(LEFT(A257,10),'Streetlight Tariff Schedule'!B$11:G$260,6, FALSE)+I257</f>
        <v>138.36377979135693</v>
      </c>
      <c r="M257" s="161">
        <f t="shared" si="33"/>
        <v>247.77402841357383</v>
      </c>
      <c r="N257" s="405">
        <f t="shared" si="34"/>
        <v>232.51764719982449</v>
      </c>
      <c r="O257" s="405">
        <v>200.17637375026041</v>
      </c>
      <c r="P257" s="406">
        <v>195.21282539316593</v>
      </c>
      <c r="Q257" s="406">
        <v>202.05430842701338</v>
      </c>
      <c r="R257" s="406">
        <v>207.14070460594593</v>
      </c>
      <c r="S257" s="405">
        <f t="shared" si="35"/>
        <v>241.75878053036897</v>
      </c>
      <c r="T257" s="406">
        <v>208.47772715741328</v>
      </c>
      <c r="U257" s="406">
        <v>214.47143812971879</v>
      </c>
      <c r="V257" s="405">
        <f t="shared" si="36"/>
        <v>251.12445055525779</v>
      </c>
      <c r="W257" s="406">
        <v>214.69492973795661</v>
      </c>
      <c r="X257" s="406">
        <v>222.81273422223882</v>
      </c>
      <c r="Y257" s="405">
        <f t="shared" si="37"/>
        <v>261.49474274608775</v>
      </c>
      <c r="Z257" s="406">
        <v>220.39755958726599</v>
      </c>
      <c r="AA257" s="406">
        <v>229.55817383115624</v>
      </c>
      <c r="AB257" s="442">
        <f t="shared" si="38"/>
        <v>266.77539863490068</v>
      </c>
      <c r="AC257" s="438">
        <f t="shared" si="39"/>
        <v>274.67341609691022</v>
      </c>
      <c r="AD257" s="410"/>
      <c r="AE257" s="411"/>
      <c r="AF257" s="411"/>
      <c r="AG257" s="411"/>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row>
    <row r="258" spans="1:61" x14ac:dyDescent="0.2">
      <c r="A258" s="159" t="s">
        <v>1540</v>
      </c>
      <c r="B258" s="18" t="str">
        <f>VLOOKUP(LEFT(A258,7),'Tariff Schedule Lookup Table'!$A$8:$G$186,2,FALSE)</f>
        <v>Incandescent 130</v>
      </c>
      <c r="C258" s="160">
        <f t="shared" si="40"/>
        <v>740</v>
      </c>
      <c r="D258" s="18">
        <f t="shared" si="41"/>
        <v>2</v>
      </c>
      <c r="E258" s="18" t="str">
        <f>VLOOKUP(C258,'Tariff Schedule Lookup Table'!I$7:L$286,2,FALSE)</f>
        <v>MERCURY VAPOUR 80W</v>
      </c>
      <c r="F258" s="18" t="str">
        <f>IF(E258 = "BULKHEADS ETC", "SHARED OR NO POLE", VLOOKUP(C258,'Tariff Schedule Lookup Table'!I$7:L$286,3,FALSE))</f>
        <v>SHARED OR NO POLE</v>
      </c>
      <c r="G258" s="18">
        <f>IF(E258 = "NO CAPITAL", 1, VLOOKUP(C258,'Tariff Schedule Lookup Table'!I$7:L$286,4,FALSE))</f>
        <v>2</v>
      </c>
      <c r="H258" s="18" t="str">
        <f t="shared" si="32"/>
        <v>2-Unmetered, Funded by Others, CE Maintained</v>
      </c>
      <c r="I258" s="123">
        <f>VLOOKUP(F258,'Maintenance Model'!$A$57:$B$61,2,FALSE)</f>
        <v>0</v>
      </c>
      <c r="J258" s="123">
        <f>IF(D258=1,VLOOKUP(C258,'Capital Code Schedules'!A$15:F$300,2,FALSE),IF(D258=2,VLOOKUP(C258,'Capital Code Schedules'!A$15:F$300,3,FALSE),0))</f>
        <v>0</v>
      </c>
      <c r="K258" s="123">
        <v>0</v>
      </c>
      <c r="L258" s="123">
        <f>VLOOKUP(LEFT(A258,10),'Streetlight Tariff Schedule'!B$11:G$260,6, FALSE)+I258</f>
        <v>128.40216156024582</v>
      </c>
      <c r="M258" s="161">
        <f t="shared" si="33"/>
        <v>128.40216156024582</v>
      </c>
      <c r="N258" s="405">
        <f t="shared" si="34"/>
        <v>133.75250275848373</v>
      </c>
      <c r="O258" s="405">
        <v>73.500557881449993</v>
      </c>
      <c r="P258" s="406">
        <v>73.500557881449993</v>
      </c>
      <c r="Q258" s="406">
        <v>77.097591562108178</v>
      </c>
      <c r="R258" s="406">
        <v>77.097591562108178</v>
      </c>
      <c r="S258" s="405">
        <f t="shared" si="35"/>
        <v>140.29819807239664</v>
      </c>
      <c r="T258" s="406">
        <v>80.264081013913412</v>
      </c>
      <c r="U258" s="406">
        <v>80.557309071982729</v>
      </c>
      <c r="V258" s="405">
        <f t="shared" si="36"/>
        <v>146.59401254130773</v>
      </c>
      <c r="W258" s="406">
        <v>83.185910837864199</v>
      </c>
      <c r="X258" s="406">
        <v>84.235291456634684</v>
      </c>
      <c r="Y258" s="405">
        <f t="shared" si="37"/>
        <v>153.28701410793897</v>
      </c>
      <c r="Z258" s="406">
        <v>85.588786552513554</v>
      </c>
      <c r="AA258" s="406">
        <v>86.985635280495828</v>
      </c>
      <c r="AB258" s="442">
        <f t="shared" si="38"/>
        <v>156.61437570042943</v>
      </c>
      <c r="AC258" s="438">
        <f t="shared" si="39"/>
        <v>161.29699851235412</v>
      </c>
      <c r="AD258" s="410"/>
      <c r="AE258" s="411"/>
      <c r="AF258" s="411"/>
      <c r="AG258" s="411"/>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row>
    <row r="259" spans="1:61" x14ac:dyDescent="0.2">
      <c r="A259" s="159" t="s">
        <v>1541</v>
      </c>
      <c r="B259" s="18" t="str">
        <f>VLOOKUP(LEFT(A259,7),'Tariff Schedule Lookup Table'!$A$8:$G$186,2,FALSE)</f>
        <v>Incandescent 150</v>
      </c>
      <c r="C259" s="160">
        <f t="shared" si="40"/>
        <v>10</v>
      </c>
      <c r="D259" s="18">
        <f t="shared" si="41"/>
        <v>1</v>
      </c>
      <c r="E259" s="18" t="str">
        <f>VLOOKUP(C259,'Tariff Schedule Lookup Table'!I$7:L$286,2,FALSE)</f>
        <v>MERCURY VAPOUR 80W</v>
      </c>
      <c r="F259" s="18" t="str">
        <f>IF(E259 = "BULKHEADS ETC", "SHARED OR NO POLE", VLOOKUP(C259,'Tariff Schedule Lookup Table'!I$7:L$286,3,FALSE))</f>
        <v>SHARED OR NO POLE</v>
      </c>
      <c r="G259" s="18">
        <f>IF(E259 = "NO CAPITAL", 1, VLOOKUP(C259,'Tariff Schedule Lookup Table'!I$7:L$286,4,FALSE))</f>
        <v>1</v>
      </c>
      <c r="H259" s="18" t="str">
        <f t="shared" si="32"/>
        <v>1-Unmetered, CE Funded, CE Maintained</v>
      </c>
      <c r="I259" s="123">
        <f>VLOOKUP(F259,'Maintenance Model'!$A$57:$B$61,2,FALSE)</f>
        <v>0</v>
      </c>
      <c r="J259" s="123">
        <f>IF(D259=1,VLOOKUP(C259,'Capital Code Schedules'!A$15:F$300,2,FALSE),IF(D259=2,VLOOKUP(C259,'Capital Code Schedules'!A$15:F$300,3,FALSE),0))</f>
        <v>17.255027166785979</v>
      </c>
      <c r="K259" s="123">
        <v>21.887497717034414</v>
      </c>
      <c r="L259" s="123">
        <f>VLOOKUP(LEFT(A259,10),'Streetlight Tariff Schedule'!B$11:G$260,6, FALSE)+I259</f>
        <v>128.40216156024582</v>
      </c>
      <c r="M259" s="161">
        <f t="shared" si="33"/>
        <v>150.28965927728024</v>
      </c>
      <c r="N259" s="405">
        <f t="shared" si="34"/>
        <v>151.43459184764765</v>
      </c>
      <c r="O259" s="405">
        <v>96.922727994173826</v>
      </c>
      <c r="P259" s="406">
        <v>95.929771166981013</v>
      </c>
      <c r="Q259" s="406">
        <v>100.08192787645611</v>
      </c>
      <c r="R259" s="406">
        <v>101.09946038512194</v>
      </c>
      <c r="S259" s="405">
        <f t="shared" si="35"/>
        <v>158.41791886651737</v>
      </c>
      <c r="T259" s="406">
        <v>103.81727965204145</v>
      </c>
      <c r="U259" s="406">
        <v>105.24323115645238</v>
      </c>
      <c r="V259" s="405">
        <f t="shared" si="36"/>
        <v>165.23014537806091</v>
      </c>
      <c r="W259" s="406">
        <v>107.3220511422859</v>
      </c>
      <c r="X259" s="406">
        <v>109.75806629976785</v>
      </c>
      <c r="Y259" s="405">
        <f t="shared" si="37"/>
        <v>172.55491184785808</v>
      </c>
      <c r="Z259" s="406">
        <v>110.32229632946968</v>
      </c>
      <c r="AA259" s="406">
        <v>113.2358092066583</v>
      </c>
      <c r="AB259" s="442">
        <f t="shared" si="38"/>
        <v>176.2213884405711</v>
      </c>
      <c r="AC259" s="438">
        <f t="shared" si="39"/>
        <v>181.47457532323392</v>
      </c>
      <c r="AD259" s="410"/>
      <c r="AE259" s="411"/>
      <c r="AF259" s="411"/>
      <c r="AG259" s="411"/>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row>
    <row r="260" spans="1:61" x14ac:dyDescent="0.2">
      <c r="A260" s="159" t="s">
        <v>1542</v>
      </c>
      <c r="B260" s="18" t="str">
        <f>VLOOKUP(LEFT(A260,7),'Tariff Schedule Lookup Table'!$A$8:$G$186,2,FALSE)</f>
        <v>Incandescent 150</v>
      </c>
      <c r="C260" s="160">
        <f t="shared" si="40"/>
        <v>10</v>
      </c>
      <c r="D260" s="18">
        <f t="shared" si="41"/>
        <v>2</v>
      </c>
      <c r="E260" s="18" t="str">
        <f>VLOOKUP(C260,'Tariff Schedule Lookup Table'!I$7:L$286,2,FALSE)</f>
        <v>MERCURY VAPOUR 80W</v>
      </c>
      <c r="F260" s="18" t="str">
        <f>IF(E260 = "BULKHEADS ETC", "SHARED OR NO POLE", VLOOKUP(C260,'Tariff Schedule Lookup Table'!I$7:L$286,3,FALSE))</f>
        <v>SHARED OR NO POLE</v>
      </c>
      <c r="G260" s="18">
        <f>IF(E260 = "NO CAPITAL", 1, VLOOKUP(C260,'Tariff Schedule Lookup Table'!I$7:L$286,4,FALSE))</f>
        <v>1</v>
      </c>
      <c r="H260" s="18" t="str">
        <f t="shared" si="32"/>
        <v>2-Unmetered, Funded by Others, CE Maintained</v>
      </c>
      <c r="I260" s="123">
        <f>VLOOKUP(F260,'Maintenance Model'!$A$57:$B$61,2,FALSE)</f>
        <v>0</v>
      </c>
      <c r="J260" s="123">
        <f>IF(D260=1,VLOOKUP(C260,'Capital Code Schedules'!A$15:F$300,2,FALSE),IF(D260=2,VLOOKUP(C260,'Capital Code Schedules'!A$15:F$300,3,FALSE),0))</f>
        <v>0</v>
      </c>
      <c r="K260" s="123">
        <v>0</v>
      </c>
      <c r="L260" s="123">
        <f>VLOOKUP(LEFT(A260,10),'Streetlight Tariff Schedule'!B$11:G$260,6, FALSE)+I260</f>
        <v>128.40216156024582</v>
      </c>
      <c r="M260" s="161">
        <f t="shared" si="33"/>
        <v>128.40216156024582</v>
      </c>
      <c r="N260" s="405">
        <f t="shared" si="34"/>
        <v>133.75250275848373</v>
      </c>
      <c r="O260" s="405">
        <v>73.500557881449993</v>
      </c>
      <c r="P260" s="406">
        <v>73.500557881449993</v>
      </c>
      <c r="Q260" s="406">
        <v>77.097591562108178</v>
      </c>
      <c r="R260" s="406">
        <v>77.097591562108178</v>
      </c>
      <c r="S260" s="405">
        <f t="shared" si="35"/>
        <v>140.29819807239664</v>
      </c>
      <c r="T260" s="406">
        <v>80.264081013913412</v>
      </c>
      <c r="U260" s="406">
        <v>80.557309071982729</v>
      </c>
      <c r="V260" s="405">
        <f t="shared" si="36"/>
        <v>146.59401254130773</v>
      </c>
      <c r="W260" s="406">
        <v>83.185910837864199</v>
      </c>
      <c r="X260" s="406">
        <v>84.235291456634684</v>
      </c>
      <c r="Y260" s="405">
        <f t="shared" si="37"/>
        <v>153.28701410793897</v>
      </c>
      <c r="Z260" s="406">
        <v>85.588786552513554</v>
      </c>
      <c r="AA260" s="406">
        <v>86.985635280495828</v>
      </c>
      <c r="AB260" s="442">
        <f t="shared" si="38"/>
        <v>156.61437570042943</v>
      </c>
      <c r="AC260" s="438">
        <f t="shared" si="39"/>
        <v>161.29699851235412</v>
      </c>
      <c r="AD260" s="410"/>
      <c r="AE260" s="411"/>
      <c r="AF260" s="411"/>
      <c r="AG260" s="411"/>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row>
    <row r="261" spans="1:61" x14ac:dyDescent="0.2">
      <c r="A261" s="159" t="s">
        <v>1543</v>
      </c>
      <c r="B261" s="18" t="str">
        <f>VLOOKUP(LEFT(A261,7),'Tariff Schedule Lookup Table'!$A$8:$G$186,2,FALSE)</f>
        <v>Incandescent 150</v>
      </c>
      <c r="C261" s="160">
        <f t="shared" si="40"/>
        <v>110</v>
      </c>
      <c r="D261" s="18">
        <f t="shared" si="41"/>
        <v>2</v>
      </c>
      <c r="E261" s="18" t="str">
        <f>VLOOKUP(C261,'Tariff Schedule Lookup Table'!I$7:L$286,2,FALSE)</f>
        <v>BULKHEADS ETC</v>
      </c>
      <c r="F261" s="18" t="str">
        <f>IF(E261 = "BULKHEADS ETC", "SHARED OR NO POLE", VLOOKUP(C261,'Tariff Schedule Lookup Table'!I$7:L$286,3,FALSE))</f>
        <v>SHARED OR NO POLE</v>
      </c>
      <c r="G261" s="18">
        <f>IF(E261 = "NO CAPITAL", 1, VLOOKUP(C261,'Tariff Schedule Lookup Table'!I$7:L$286,4,FALSE))</f>
        <v>1</v>
      </c>
      <c r="H261" s="18" t="str">
        <f t="shared" si="32"/>
        <v>2-Unmetered, Funded by Others, CE Maintained</v>
      </c>
      <c r="I261" s="123">
        <f>VLOOKUP(F261,'Maintenance Model'!$A$57:$B$61,2,FALSE)</f>
        <v>0</v>
      </c>
      <c r="J261" s="123">
        <f>IF(D261=1,VLOOKUP(C261,'Capital Code Schedules'!A$15:F$300,2,FALSE),IF(D261=2,VLOOKUP(C261,'Capital Code Schedules'!A$15:F$300,3,FALSE),0))</f>
        <v>0</v>
      </c>
      <c r="K261" s="123">
        <v>0</v>
      </c>
      <c r="L261" s="123">
        <f>VLOOKUP(LEFT(A261,10),'Streetlight Tariff Schedule'!B$11:G$260,6, FALSE)+I261</f>
        <v>128.40216156024582</v>
      </c>
      <c r="M261" s="161">
        <f t="shared" si="33"/>
        <v>128.40216156024582</v>
      </c>
      <c r="N261" s="405">
        <f t="shared" si="34"/>
        <v>133.75250275848373</v>
      </c>
      <c r="O261" s="405">
        <v>73.500557881449993</v>
      </c>
      <c r="P261" s="406">
        <v>73.500557881449993</v>
      </c>
      <c r="Q261" s="406">
        <v>77.097591562108178</v>
      </c>
      <c r="R261" s="406">
        <v>77.097591562108178</v>
      </c>
      <c r="S261" s="405">
        <f t="shared" si="35"/>
        <v>140.29819807239664</v>
      </c>
      <c r="T261" s="406">
        <v>80.264081013913412</v>
      </c>
      <c r="U261" s="406">
        <v>80.557309071982729</v>
      </c>
      <c r="V261" s="405">
        <f t="shared" si="36"/>
        <v>146.59401254130773</v>
      </c>
      <c r="W261" s="406">
        <v>83.185910837864199</v>
      </c>
      <c r="X261" s="406">
        <v>84.235291456634684</v>
      </c>
      <c r="Y261" s="405">
        <f t="shared" si="37"/>
        <v>153.28701410793897</v>
      </c>
      <c r="Z261" s="406">
        <v>85.588786552513554</v>
      </c>
      <c r="AA261" s="406">
        <v>86.985635280495828</v>
      </c>
      <c r="AB261" s="442">
        <f t="shared" si="38"/>
        <v>156.61437570042943</v>
      </c>
      <c r="AC261" s="438">
        <f t="shared" si="39"/>
        <v>161.29699851235412</v>
      </c>
      <c r="AD261" s="410"/>
      <c r="AE261" s="411"/>
      <c r="AF261" s="411"/>
      <c r="AG261" s="411"/>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row>
    <row r="262" spans="1:61" x14ac:dyDescent="0.2">
      <c r="A262" s="159" t="s">
        <v>1544</v>
      </c>
      <c r="B262" s="18" t="str">
        <f>VLOOKUP(LEFT(A262,7),'Tariff Schedule Lookup Table'!$A$8:$G$186,2,FALSE)</f>
        <v>Incandescent 150</v>
      </c>
      <c r="C262" s="160">
        <f t="shared" si="40"/>
        <v>810</v>
      </c>
      <c r="D262" s="18">
        <f t="shared" si="41"/>
        <v>1</v>
      </c>
      <c r="E262" s="18" t="str">
        <f>VLOOKUP(C262,'Tariff Schedule Lookup Table'!I$7:L$286,2,FALSE)</f>
        <v>MERCURY VAPOUR 80W</v>
      </c>
      <c r="F262" s="18" t="str">
        <f>IF(E262 = "BULKHEADS ETC", "SHARED OR NO POLE", VLOOKUP(C262,'Tariff Schedule Lookup Table'!I$7:L$286,3,FALSE))</f>
        <v>WOOD POLE</v>
      </c>
      <c r="G262" s="18">
        <f>IF(E262 = "NO CAPITAL", 1, VLOOKUP(C262,'Tariff Schedule Lookup Table'!I$7:L$286,4,FALSE))</f>
        <v>1</v>
      </c>
      <c r="H262" s="18" t="str">
        <f t="shared" si="32"/>
        <v>1-Unmetered, CE Funded, CE Maintained</v>
      </c>
      <c r="I262" s="123">
        <f>VLOOKUP(F262,'Maintenance Model'!$A$57:$B$61,2,FALSE)</f>
        <v>10.731618231111112</v>
      </c>
      <c r="J262" s="123">
        <f>IF(D262=1,VLOOKUP(C262,'Capital Code Schedules'!A$15:F$300,2,FALSE),IF(D262=2,VLOOKUP(C262,'Capital Code Schedules'!A$15:F$300,3,FALSE),0))</f>
        <v>51.156145528662286</v>
      </c>
      <c r="K262" s="123">
        <v>64.890075665956445</v>
      </c>
      <c r="L262" s="123">
        <f>VLOOKUP(LEFT(A262,10),'Streetlight Tariff Schedule'!B$11:G$260,6, FALSE)+I262</f>
        <v>139.13377979135691</v>
      </c>
      <c r="M262" s="161">
        <f t="shared" si="33"/>
        <v>204.02385545731335</v>
      </c>
      <c r="N262" s="405">
        <f t="shared" si="34"/>
        <v>197.35355286897777</v>
      </c>
      <c r="O262" s="405">
        <v>153.33669168180995</v>
      </c>
      <c r="P262" s="406">
        <v>150.39286299556301</v>
      </c>
      <c r="Q262" s="406">
        <v>156.14445347979594</v>
      </c>
      <c r="R262" s="406">
        <v>159.16114192602751</v>
      </c>
      <c r="S262" s="405">
        <f t="shared" si="35"/>
        <v>205.74377638455991</v>
      </c>
      <c r="T262" s="406">
        <v>161.44533493278797</v>
      </c>
      <c r="U262" s="406">
        <v>165.13823441969694</v>
      </c>
      <c r="V262" s="405">
        <f t="shared" si="36"/>
        <v>214.09679529756744</v>
      </c>
      <c r="W262" s="406">
        <v>166.50869232683834</v>
      </c>
      <c r="X262" s="406">
        <v>171.81747015065821</v>
      </c>
      <c r="Y262" s="405">
        <f t="shared" si="37"/>
        <v>223.22218521937268</v>
      </c>
      <c r="Z262" s="406">
        <v>171.02246701353366</v>
      </c>
      <c r="AA262" s="406">
        <v>177.11336020597616</v>
      </c>
      <c r="AB262" s="442">
        <f t="shared" si="38"/>
        <v>227.83301913193861</v>
      </c>
      <c r="AC262" s="438">
        <f t="shared" si="39"/>
        <v>234.59856381479426</v>
      </c>
      <c r="AD262" s="410"/>
      <c r="AE262" s="411"/>
      <c r="AF262" s="411"/>
      <c r="AG262" s="411"/>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row>
    <row r="263" spans="1:61" x14ac:dyDescent="0.2">
      <c r="A263" s="159" t="s">
        <v>1545</v>
      </c>
      <c r="B263" s="18" t="str">
        <f>VLOOKUP(LEFT(A263,7),'Tariff Schedule Lookup Table'!$A$8:$G$186,2,FALSE)</f>
        <v>Incandescent 200</v>
      </c>
      <c r="C263" s="160">
        <f t="shared" si="40"/>
        <v>10</v>
      </c>
      <c r="D263" s="18">
        <f t="shared" si="41"/>
        <v>1</v>
      </c>
      <c r="E263" s="18" t="str">
        <f>VLOOKUP(C263,'Tariff Schedule Lookup Table'!I$7:L$286,2,FALSE)</f>
        <v>MERCURY VAPOUR 80W</v>
      </c>
      <c r="F263" s="18" t="str">
        <f>IF(E263 = "BULKHEADS ETC", "SHARED OR NO POLE", VLOOKUP(C263,'Tariff Schedule Lookup Table'!I$7:L$286,3,FALSE))</f>
        <v>SHARED OR NO POLE</v>
      </c>
      <c r="G263" s="18">
        <f>IF(E263 = "NO CAPITAL", 1, VLOOKUP(C263,'Tariff Schedule Lookup Table'!I$7:L$286,4,FALSE))</f>
        <v>1</v>
      </c>
      <c r="H263" s="18" t="str">
        <f t="shared" si="32"/>
        <v>1-Unmetered, CE Funded, CE Maintained</v>
      </c>
      <c r="I263" s="123">
        <f>VLOOKUP(F263,'Maintenance Model'!$A$57:$B$61,2,FALSE)</f>
        <v>0</v>
      </c>
      <c r="J263" s="123">
        <f>IF(D263=1,VLOOKUP(C263,'Capital Code Schedules'!A$15:F$300,2,FALSE),IF(D263=2,VLOOKUP(C263,'Capital Code Schedules'!A$15:F$300,3,FALSE),0))</f>
        <v>17.255027166785979</v>
      </c>
      <c r="K263" s="123">
        <v>21.887497717034414</v>
      </c>
      <c r="L263" s="123">
        <f>VLOOKUP(LEFT(A263,10),'Streetlight Tariff Schedule'!B$11:G$260,6, FALSE)+I263</f>
        <v>128.40216156024582</v>
      </c>
      <c r="M263" s="161">
        <f t="shared" si="33"/>
        <v>150.28965927728024</v>
      </c>
      <c r="N263" s="405">
        <f t="shared" si="34"/>
        <v>151.43459184764765</v>
      </c>
      <c r="O263" s="405">
        <v>96.922727994173826</v>
      </c>
      <c r="P263" s="406">
        <v>95.929771166981013</v>
      </c>
      <c r="Q263" s="406">
        <v>100.08192787645611</v>
      </c>
      <c r="R263" s="406">
        <v>101.09946038512194</v>
      </c>
      <c r="S263" s="405">
        <f t="shared" si="35"/>
        <v>158.41791886651737</v>
      </c>
      <c r="T263" s="406">
        <v>103.81727965204145</v>
      </c>
      <c r="U263" s="406">
        <v>105.24323115645238</v>
      </c>
      <c r="V263" s="405">
        <f t="shared" si="36"/>
        <v>165.23014537806091</v>
      </c>
      <c r="W263" s="406">
        <v>107.3220511422859</v>
      </c>
      <c r="X263" s="406">
        <v>109.75806629976785</v>
      </c>
      <c r="Y263" s="405">
        <f t="shared" si="37"/>
        <v>172.55491184785808</v>
      </c>
      <c r="Z263" s="406">
        <v>110.32229632946968</v>
      </c>
      <c r="AA263" s="406">
        <v>113.2358092066583</v>
      </c>
      <c r="AB263" s="442">
        <f t="shared" si="38"/>
        <v>176.2213884405711</v>
      </c>
      <c r="AC263" s="438">
        <f t="shared" si="39"/>
        <v>181.47457532323392</v>
      </c>
      <c r="AD263" s="410"/>
      <c r="AE263" s="411"/>
      <c r="AF263" s="411"/>
      <c r="AG263" s="411"/>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row>
    <row r="264" spans="1:61" x14ac:dyDescent="0.2">
      <c r="A264" s="159" t="s">
        <v>1546</v>
      </c>
      <c r="B264" s="18" t="str">
        <f>VLOOKUP(LEFT(A264,7),'Tariff Schedule Lookup Table'!$A$8:$G$186,2,FALSE)</f>
        <v>Incandescent 200</v>
      </c>
      <c r="C264" s="160">
        <f t="shared" si="40"/>
        <v>10</v>
      </c>
      <c r="D264" s="18">
        <f t="shared" si="41"/>
        <v>2</v>
      </c>
      <c r="E264" s="18" t="str">
        <f>VLOOKUP(C264,'Tariff Schedule Lookup Table'!I$7:L$286,2,FALSE)</f>
        <v>MERCURY VAPOUR 80W</v>
      </c>
      <c r="F264" s="18" t="str">
        <f>IF(E264 = "BULKHEADS ETC", "SHARED OR NO POLE", VLOOKUP(C264,'Tariff Schedule Lookup Table'!I$7:L$286,3,FALSE))</f>
        <v>SHARED OR NO POLE</v>
      </c>
      <c r="G264" s="18">
        <f>IF(E264 = "NO CAPITAL", 1, VLOOKUP(C264,'Tariff Schedule Lookup Table'!I$7:L$286,4,FALSE))</f>
        <v>1</v>
      </c>
      <c r="H264" s="18" t="str">
        <f t="shared" si="32"/>
        <v>2-Unmetered, Funded by Others, CE Maintained</v>
      </c>
      <c r="I264" s="123">
        <f>VLOOKUP(F264,'Maintenance Model'!$A$57:$B$61,2,FALSE)</f>
        <v>0</v>
      </c>
      <c r="J264" s="123">
        <f>IF(D264=1,VLOOKUP(C264,'Capital Code Schedules'!A$15:F$300,2,FALSE),IF(D264=2,VLOOKUP(C264,'Capital Code Schedules'!A$15:F$300,3,FALSE),0))</f>
        <v>0</v>
      </c>
      <c r="K264" s="123">
        <v>0</v>
      </c>
      <c r="L264" s="123">
        <f>VLOOKUP(LEFT(A264,10),'Streetlight Tariff Schedule'!B$11:G$260,6, FALSE)+I264</f>
        <v>128.40216156024582</v>
      </c>
      <c r="M264" s="161">
        <f t="shared" si="33"/>
        <v>128.40216156024582</v>
      </c>
      <c r="N264" s="405">
        <f t="shared" si="34"/>
        <v>133.75250275848373</v>
      </c>
      <c r="O264" s="405">
        <v>73.500557881449993</v>
      </c>
      <c r="P264" s="406">
        <v>73.500557881449993</v>
      </c>
      <c r="Q264" s="406">
        <v>77.097591562108178</v>
      </c>
      <c r="R264" s="406">
        <v>77.097591562108178</v>
      </c>
      <c r="S264" s="405">
        <f t="shared" si="35"/>
        <v>140.29819807239664</v>
      </c>
      <c r="T264" s="406">
        <v>80.264081013913412</v>
      </c>
      <c r="U264" s="406">
        <v>80.557309071982729</v>
      </c>
      <c r="V264" s="405">
        <f t="shared" si="36"/>
        <v>146.59401254130773</v>
      </c>
      <c r="W264" s="406">
        <v>83.185910837864199</v>
      </c>
      <c r="X264" s="406">
        <v>84.235291456634684</v>
      </c>
      <c r="Y264" s="405">
        <f t="shared" si="37"/>
        <v>153.28701410793897</v>
      </c>
      <c r="Z264" s="406">
        <v>85.588786552513554</v>
      </c>
      <c r="AA264" s="406">
        <v>86.985635280495828</v>
      </c>
      <c r="AB264" s="442">
        <f t="shared" si="38"/>
        <v>156.61437570042943</v>
      </c>
      <c r="AC264" s="438">
        <f t="shared" si="39"/>
        <v>161.29699851235412</v>
      </c>
      <c r="AD264" s="410"/>
      <c r="AE264" s="411"/>
      <c r="AF264" s="411"/>
      <c r="AG264" s="411"/>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row>
    <row r="265" spans="1:61" x14ac:dyDescent="0.2">
      <c r="A265" s="159" t="s">
        <v>1547</v>
      </c>
      <c r="B265" s="18" t="str">
        <f>VLOOKUP(LEFT(A265,7),'Tariff Schedule Lookup Table'!$A$8:$G$186,2,FALSE)</f>
        <v>Incandescent 200</v>
      </c>
      <c r="C265" s="160">
        <f t="shared" si="40"/>
        <v>810</v>
      </c>
      <c r="D265" s="18">
        <f t="shared" si="41"/>
        <v>1</v>
      </c>
      <c r="E265" s="18" t="str">
        <f>VLOOKUP(C265,'Tariff Schedule Lookup Table'!I$7:L$286,2,FALSE)</f>
        <v>MERCURY VAPOUR 80W</v>
      </c>
      <c r="F265" s="18" t="str">
        <f>IF(E265 = "BULKHEADS ETC", "SHARED OR NO POLE", VLOOKUP(C265,'Tariff Schedule Lookup Table'!I$7:L$286,3,FALSE))</f>
        <v>WOOD POLE</v>
      </c>
      <c r="G265" s="18">
        <f>IF(E265 = "NO CAPITAL", 1, VLOOKUP(C265,'Tariff Schedule Lookup Table'!I$7:L$286,4,FALSE))</f>
        <v>1</v>
      </c>
      <c r="H265" s="18" t="str">
        <f t="shared" si="32"/>
        <v>1-Unmetered, CE Funded, CE Maintained</v>
      </c>
      <c r="I265" s="123">
        <f>VLOOKUP(F265,'Maintenance Model'!$A$57:$B$61,2,FALSE)</f>
        <v>10.731618231111112</v>
      </c>
      <c r="J265" s="123">
        <f>IF(D265=1,VLOOKUP(C265,'Capital Code Schedules'!A$15:F$300,2,FALSE),IF(D265=2,VLOOKUP(C265,'Capital Code Schedules'!A$15:F$300,3,FALSE),0))</f>
        <v>51.156145528662286</v>
      </c>
      <c r="K265" s="123">
        <v>64.890075665956445</v>
      </c>
      <c r="L265" s="123">
        <f>VLOOKUP(LEFT(A265,10),'Streetlight Tariff Schedule'!B$11:G$260,6, FALSE)+I265</f>
        <v>139.13377979135691</v>
      </c>
      <c r="M265" s="161">
        <f t="shared" si="33"/>
        <v>204.02385545731335</v>
      </c>
      <c r="N265" s="405">
        <f t="shared" si="34"/>
        <v>197.35355286897777</v>
      </c>
      <c r="O265" s="405">
        <v>153.33669168180995</v>
      </c>
      <c r="P265" s="406">
        <v>150.39286299556301</v>
      </c>
      <c r="Q265" s="406">
        <v>156.14445347979594</v>
      </c>
      <c r="R265" s="406">
        <v>159.16114192602751</v>
      </c>
      <c r="S265" s="405">
        <f t="shared" si="35"/>
        <v>205.74377638455991</v>
      </c>
      <c r="T265" s="406">
        <v>161.44533493278797</v>
      </c>
      <c r="U265" s="406">
        <v>165.13823441969694</v>
      </c>
      <c r="V265" s="405">
        <f t="shared" si="36"/>
        <v>214.09679529756744</v>
      </c>
      <c r="W265" s="406">
        <v>166.50869232683834</v>
      </c>
      <c r="X265" s="406">
        <v>171.81747015065821</v>
      </c>
      <c r="Y265" s="405">
        <f t="shared" si="37"/>
        <v>223.22218521937268</v>
      </c>
      <c r="Z265" s="406">
        <v>171.02246701353366</v>
      </c>
      <c r="AA265" s="406">
        <v>177.11336020597616</v>
      </c>
      <c r="AB265" s="442">
        <f t="shared" si="38"/>
        <v>227.83301913193861</v>
      </c>
      <c r="AC265" s="438">
        <f t="shared" si="39"/>
        <v>234.59856381479426</v>
      </c>
      <c r="AD265" s="410"/>
      <c r="AE265" s="411"/>
      <c r="AF265" s="411"/>
      <c r="AG265" s="411"/>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row>
    <row r="266" spans="1:61" x14ac:dyDescent="0.2">
      <c r="A266" s="159" t="s">
        <v>1548</v>
      </c>
      <c r="B266" s="18" t="str">
        <f>VLOOKUP(LEFT(A266,7),'Tariff Schedule Lookup Table'!$A$8:$G$186,2,FALSE)</f>
        <v>Incandescent 300</v>
      </c>
      <c r="C266" s="160">
        <f t="shared" si="40"/>
        <v>10</v>
      </c>
      <c r="D266" s="18">
        <f t="shared" si="41"/>
        <v>1</v>
      </c>
      <c r="E266" s="18" t="str">
        <f>VLOOKUP(C266,'Tariff Schedule Lookup Table'!I$7:L$286,2,FALSE)</f>
        <v>MERCURY VAPOUR 80W</v>
      </c>
      <c r="F266" s="18" t="str">
        <f>IF(E266 = "BULKHEADS ETC", "SHARED OR NO POLE", VLOOKUP(C266,'Tariff Schedule Lookup Table'!I$7:L$286,3,FALSE))</f>
        <v>SHARED OR NO POLE</v>
      </c>
      <c r="G266" s="18">
        <f>IF(E266 = "NO CAPITAL", 1, VLOOKUP(C266,'Tariff Schedule Lookup Table'!I$7:L$286,4,FALSE))</f>
        <v>1</v>
      </c>
      <c r="H266" s="18" t="str">
        <f t="shared" si="32"/>
        <v>1-Unmetered, CE Funded, CE Maintained</v>
      </c>
      <c r="I266" s="123">
        <f>VLOOKUP(F266,'Maintenance Model'!$A$57:$B$61,2,FALSE)</f>
        <v>0</v>
      </c>
      <c r="J266" s="123">
        <f>IF(D266=1,VLOOKUP(C266,'Capital Code Schedules'!A$15:F$300,2,FALSE),IF(D266=2,VLOOKUP(C266,'Capital Code Schedules'!A$15:F$300,3,FALSE),0))</f>
        <v>17.255027166785979</v>
      </c>
      <c r="K266" s="123">
        <v>21.887497717034414</v>
      </c>
      <c r="L266" s="123">
        <f>VLOOKUP(LEFT(A266,10),'Streetlight Tariff Schedule'!B$11:G$260,6, FALSE)+I266</f>
        <v>128.40216156024582</v>
      </c>
      <c r="M266" s="161">
        <f t="shared" si="33"/>
        <v>150.28965927728024</v>
      </c>
      <c r="N266" s="405">
        <f t="shared" si="34"/>
        <v>151.43459184764765</v>
      </c>
      <c r="O266" s="405">
        <v>96.922727994173826</v>
      </c>
      <c r="P266" s="406">
        <v>95.929771166981013</v>
      </c>
      <c r="Q266" s="406">
        <v>100.08192787645611</v>
      </c>
      <c r="R266" s="406">
        <v>101.09946038512194</v>
      </c>
      <c r="S266" s="405">
        <f t="shared" si="35"/>
        <v>158.41791886651737</v>
      </c>
      <c r="T266" s="406">
        <v>103.81727965204145</v>
      </c>
      <c r="U266" s="406">
        <v>105.24323115645238</v>
      </c>
      <c r="V266" s="405">
        <f t="shared" si="36"/>
        <v>165.23014537806091</v>
      </c>
      <c r="W266" s="406">
        <v>107.3220511422859</v>
      </c>
      <c r="X266" s="406">
        <v>109.75806629976785</v>
      </c>
      <c r="Y266" s="405">
        <f t="shared" si="37"/>
        <v>172.55491184785808</v>
      </c>
      <c r="Z266" s="406">
        <v>110.32229632946968</v>
      </c>
      <c r="AA266" s="406">
        <v>113.2358092066583</v>
      </c>
      <c r="AB266" s="442">
        <f t="shared" si="38"/>
        <v>176.2213884405711</v>
      </c>
      <c r="AC266" s="438">
        <f t="shared" si="39"/>
        <v>181.47457532323392</v>
      </c>
      <c r="AD266" s="410"/>
      <c r="AE266" s="411"/>
      <c r="AF266" s="411"/>
      <c r="AG266" s="411"/>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row>
    <row r="267" spans="1:61" x14ac:dyDescent="0.2">
      <c r="A267" s="159" t="s">
        <v>1549</v>
      </c>
      <c r="B267" s="18" t="str">
        <f>VLOOKUP(LEFT(A267,7),'Tariff Schedule Lookup Table'!$A$8:$G$186,2,FALSE)</f>
        <v>Incandescent 300</v>
      </c>
      <c r="C267" s="160">
        <f t="shared" si="40"/>
        <v>10</v>
      </c>
      <c r="D267" s="18">
        <f t="shared" si="41"/>
        <v>2</v>
      </c>
      <c r="E267" s="18" t="str">
        <f>VLOOKUP(C267,'Tariff Schedule Lookup Table'!I$7:L$286,2,FALSE)</f>
        <v>MERCURY VAPOUR 80W</v>
      </c>
      <c r="F267" s="18" t="str">
        <f>IF(E267 = "BULKHEADS ETC", "SHARED OR NO POLE", VLOOKUP(C267,'Tariff Schedule Lookup Table'!I$7:L$286,3,FALSE))</f>
        <v>SHARED OR NO POLE</v>
      </c>
      <c r="G267" s="18">
        <f>IF(E267 = "NO CAPITAL", 1, VLOOKUP(C267,'Tariff Schedule Lookup Table'!I$7:L$286,4,FALSE))</f>
        <v>1</v>
      </c>
      <c r="H267" s="18" t="str">
        <f t="shared" si="32"/>
        <v>2-Unmetered, Funded by Others, CE Maintained</v>
      </c>
      <c r="I267" s="123">
        <f>VLOOKUP(F267,'Maintenance Model'!$A$57:$B$61,2,FALSE)</f>
        <v>0</v>
      </c>
      <c r="J267" s="123">
        <f>IF(D267=1,VLOOKUP(C267,'Capital Code Schedules'!A$15:F$300,2,FALSE),IF(D267=2,VLOOKUP(C267,'Capital Code Schedules'!A$15:F$300,3,FALSE),0))</f>
        <v>0</v>
      </c>
      <c r="K267" s="123">
        <v>0</v>
      </c>
      <c r="L267" s="123">
        <f>VLOOKUP(LEFT(A267,10),'Streetlight Tariff Schedule'!B$11:G$260,6, FALSE)+I267</f>
        <v>128.40216156024582</v>
      </c>
      <c r="M267" s="161">
        <f t="shared" si="33"/>
        <v>128.40216156024582</v>
      </c>
      <c r="N267" s="405">
        <f t="shared" si="34"/>
        <v>133.75250275848373</v>
      </c>
      <c r="O267" s="405">
        <v>73.500557881449993</v>
      </c>
      <c r="P267" s="406">
        <v>73.500557881449993</v>
      </c>
      <c r="Q267" s="406">
        <v>77.097591562108178</v>
      </c>
      <c r="R267" s="406">
        <v>77.097591562108178</v>
      </c>
      <c r="S267" s="405">
        <f t="shared" si="35"/>
        <v>140.29819807239664</v>
      </c>
      <c r="T267" s="406">
        <v>80.264081013913412</v>
      </c>
      <c r="U267" s="406">
        <v>80.557309071982729</v>
      </c>
      <c r="V267" s="405">
        <f t="shared" si="36"/>
        <v>146.59401254130773</v>
      </c>
      <c r="W267" s="406">
        <v>83.185910837864199</v>
      </c>
      <c r="X267" s="406">
        <v>84.235291456634684</v>
      </c>
      <c r="Y267" s="405">
        <f t="shared" si="37"/>
        <v>153.28701410793897</v>
      </c>
      <c r="Z267" s="406">
        <v>85.588786552513554</v>
      </c>
      <c r="AA267" s="406">
        <v>86.985635280495828</v>
      </c>
      <c r="AB267" s="442">
        <f t="shared" si="38"/>
        <v>156.61437570042943</v>
      </c>
      <c r="AC267" s="438">
        <f t="shared" si="39"/>
        <v>161.29699851235412</v>
      </c>
      <c r="AD267" s="410"/>
      <c r="AE267" s="411"/>
      <c r="AF267" s="411"/>
      <c r="AG267" s="411"/>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row>
    <row r="268" spans="1:61" x14ac:dyDescent="0.2">
      <c r="A268" s="159" t="s">
        <v>1550</v>
      </c>
      <c r="B268" s="18" t="str">
        <f>VLOOKUP(LEFT(A268,7),'Tariff Schedule Lookup Table'!$A$8:$G$186,2,FALSE)</f>
        <v>Incandescent 300</v>
      </c>
      <c r="C268" s="160">
        <f t="shared" si="40"/>
        <v>610</v>
      </c>
      <c r="D268" s="18">
        <f t="shared" si="41"/>
        <v>1</v>
      </c>
      <c r="E268" s="18" t="str">
        <f>VLOOKUP(C268,'Tariff Schedule Lookup Table'!I$7:L$286,2,FALSE)</f>
        <v>METAL HALIDE/HPS 250W FLOOD (210/220)</v>
      </c>
      <c r="F268" s="18" t="str">
        <f>IF(E268 = "BULKHEADS ETC", "SHARED OR NO POLE", VLOOKUP(C268,'Tariff Schedule Lookup Table'!I$7:L$286,3,FALSE))</f>
        <v>SHARED OR NO POLE</v>
      </c>
      <c r="G268" s="18">
        <f>IF(E268 = "NO CAPITAL", 1, VLOOKUP(C268,'Tariff Schedule Lookup Table'!I$7:L$286,4,FALSE))</f>
        <v>1</v>
      </c>
      <c r="H268" s="18" t="str">
        <f t="shared" si="32"/>
        <v>1-Unmetered, CE Funded, CE Maintained</v>
      </c>
      <c r="I268" s="123">
        <f>VLOOKUP(F268,'Maintenance Model'!$A$57:$B$61,2,FALSE)</f>
        <v>0</v>
      </c>
      <c r="J268" s="123">
        <f>IF(D268=1,VLOOKUP(C268,'Capital Code Schedules'!A$15:F$300,2,FALSE),IF(D268=2,VLOOKUP(C268,'Capital Code Schedules'!A$15:F$300,3,FALSE),0))</f>
        <v>37.215587737644988</v>
      </c>
      <c r="K268" s="123">
        <v>47.206885493274058</v>
      </c>
      <c r="L268" s="123">
        <f>VLOOKUP(LEFT(A268,10),'Streetlight Tariff Schedule'!B$11:G$260,6, FALSE)+I268</f>
        <v>128.40216156024582</v>
      </c>
      <c r="M268" s="161">
        <f t="shared" si="33"/>
        <v>175.60904705351987</v>
      </c>
      <c r="N268" s="405">
        <f t="shared" si="34"/>
        <v>171.88917629263543</v>
      </c>
      <c r="O268" s="405">
        <v>124.01741991885024</v>
      </c>
      <c r="P268" s="406">
        <v>121.87581379068259</v>
      </c>
      <c r="Q268" s="406">
        <v>126.67013505509429</v>
      </c>
      <c r="R268" s="406">
        <v>128.86474593493409</v>
      </c>
      <c r="S268" s="405">
        <f t="shared" si="35"/>
        <v>179.37875427651861</v>
      </c>
      <c r="T268" s="406">
        <v>131.06354495835092</v>
      </c>
      <c r="U268" s="406">
        <v>133.79982734443416</v>
      </c>
      <c r="V268" s="405">
        <f t="shared" si="36"/>
        <v>186.78836459724718</v>
      </c>
      <c r="W268" s="406">
        <v>135.24266151492654</v>
      </c>
      <c r="X268" s="406">
        <v>139.28273109852222</v>
      </c>
      <c r="Y268" s="405">
        <f t="shared" si="37"/>
        <v>194.84395469857475</v>
      </c>
      <c r="Z268" s="406">
        <v>138.93394180883317</v>
      </c>
      <c r="AA268" s="406">
        <v>143.60192695217717</v>
      </c>
      <c r="AB268" s="442">
        <f t="shared" si="38"/>
        <v>198.90271844546041</v>
      </c>
      <c r="AC268" s="438">
        <f t="shared" si="39"/>
        <v>204.8159320312655</v>
      </c>
      <c r="AD268" s="410"/>
      <c r="AE268" s="411"/>
      <c r="AF268" s="411"/>
      <c r="AG268" s="411"/>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row>
    <row r="269" spans="1:61" x14ac:dyDescent="0.2">
      <c r="A269" s="159" t="s">
        <v>1551</v>
      </c>
      <c r="B269" s="18" t="str">
        <f>VLOOKUP(LEFT(A269,7),'Tariff Schedule Lookup Table'!$A$8:$G$186,2,FALSE)</f>
        <v>Incandescent 300</v>
      </c>
      <c r="C269" s="160">
        <f t="shared" si="40"/>
        <v>810</v>
      </c>
      <c r="D269" s="18">
        <f t="shared" si="41"/>
        <v>1</v>
      </c>
      <c r="E269" s="18" t="str">
        <f>VLOOKUP(C269,'Tariff Schedule Lookup Table'!I$7:L$286,2,FALSE)</f>
        <v>MERCURY VAPOUR 80W</v>
      </c>
      <c r="F269" s="18" t="str">
        <f>IF(E269 = "BULKHEADS ETC", "SHARED OR NO POLE", VLOOKUP(C269,'Tariff Schedule Lookup Table'!I$7:L$286,3,FALSE))</f>
        <v>WOOD POLE</v>
      </c>
      <c r="G269" s="18">
        <f>IF(E269 = "NO CAPITAL", 1, VLOOKUP(C269,'Tariff Schedule Lookup Table'!I$7:L$286,4,FALSE))</f>
        <v>1</v>
      </c>
      <c r="H269" s="18" t="str">
        <f t="shared" si="32"/>
        <v>1-Unmetered, CE Funded, CE Maintained</v>
      </c>
      <c r="I269" s="123">
        <f>VLOOKUP(F269,'Maintenance Model'!$A$57:$B$61,2,FALSE)</f>
        <v>10.731618231111112</v>
      </c>
      <c r="J269" s="123">
        <f>IF(D269=1,VLOOKUP(C269,'Capital Code Schedules'!A$15:F$300,2,FALSE),IF(D269=2,VLOOKUP(C269,'Capital Code Schedules'!A$15:F$300,3,FALSE),0))</f>
        <v>51.156145528662286</v>
      </c>
      <c r="K269" s="123">
        <v>64.890075665956445</v>
      </c>
      <c r="L269" s="123">
        <f>VLOOKUP(LEFT(A269,10),'Streetlight Tariff Schedule'!B$11:G$260,6, FALSE)+I269</f>
        <v>139.13377979135691</v>
      </c>
      <c r="M269" s="161">
        <f t="shared" si="33"/>
        <v>204.02385545731335</v>
      </c>
      <c r="N269" s="405">
        <f t="shared" si="34"/>
        <v>197.35355286897777</v>
      </c>
      <c r="O269" s="405">
        <v>153.33669168180995</v>
      </c>
      <c r="P269" s="406">
        <v>150.39286299556301</v>
      </c>
      <c r="Q269" s="406">
        <v>156.14445347979594</v>
      </c>
      <c r="R269" s="406">
        <v>159.16114192602751</v>
      </c>
      <c r="S269" s="405">
        <f t="shared" si="35"/>
        <v>205.74377638455991</v>
      </c>
      <c r="T269" s="406">
        <v>161.44533493278797</v>
      </c>
      <c r="U269" s="406">
        <v>165.13823441969694</v>
      </c>
      <c r="V269" s="405">
        <f t="shared" si="36"/>
        <v>214.09679529756744</v>
      </c>
      <c r="W269" s="406">
        <v>166.50869232683834</v>
      </c>
      <c r="X269" s="406">
        <v>171.81747015065821</v>
      </c>
      <c r="Y269" s="405">
        <f t="shared" si="37"/>
        <v>223.22218521937268</v>
      </c>
      <c r="Z269" s="406">
        <v>171.02246701353366</v>
      </c>
      <c r="AA269" s="406">
        <v>177.11336020597616</v>
      </c>
      <c r="AB269" s="442">
        <f t="shared" si="38"/>
        <v>227.83301913193861</v>
      </c>
      <c r="AC269" s="438">
        <f t="shared" si="39"/>
        <v>234.59856381479426</v>
      </c>
      <c r="AD269" s="410"/>
      <c r="AE269" s="411"/>
      <c r="AF269" s="411"/>
      <c r="AG269" s="411"/>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row>
    <row r="270" spans="1:61" x14ac:dyDescent="0.2">
      <c r="A270" s="159" t="s">
        <v>1552</v>
      </c>
      <c r="B270" s="18" t="str">
        <f>VLOOKUP(LEFT(A270,7),'Tariff Schedule Lookup Table'!$A$8:$G$186,2,FALSE)</f>
        <v>Incandescent 300</v>
      </c>
      <c r="C270" s="160">
        <f t="shared" si="40"/>
        <v>990</v>
      </c>
      <c r="D270" s="18">
        <f t="shared" si="41"/>
        <v>1</v>
      </c>
      <c r="E270" s="18" t="str">
        <f>VLOOKUP(C270,'Tariff Schedule Lookup Table'!I$7:L$286,2,FALSE)</f>
        <v>MERCURY VAPOUR 80W</v>
      </c>
      <c r="F270" s="18" t="str">
        <f>IF(E270 = "BULKHEADS ETC", "SHARED OR NO POLE", VLOOKUP(C270,'Tariff Schedule Lookup Table'!I$7:L$286,3,FALSE))</f>
        <v>STEEL POLE</v>
      </c>
      <c r="G270" s="18">
        <f>IF(E270 = "NO CAPITAL", 1, VLOOKUP(C270,'Tariff Schedule Lookup Table'!I$7:L$286,4,FALSE))</f>
        <v>1</v>
      </c>
      <c r="H270" s="18" t="str">
        <f t="shared" si="32"/>
        <v>1-Unmetered, CE Funded, CE Maintained</v>
      </c>
      <c r="I270" s="123">
        <f>VLOOKUP(F270,'Maintenance Model'!$A$57:$B$61,2,FALSE)</f>
        <v>9.9616182311111103</v>
      </c>
      <c r="J270" s="123">
        <f>IF(D270=1,VLOOKUP(C270,'Capital Code Schedules'!A$15:F$300,2,FALSE),IF(D270=2,VLOOKUP(C270,'Capital Code Schedules'!A$15:F$300,3,FALSE),0))</f>
        <v>86.253661186307269</v>
      </c>
      <c r="K270" s="123">
        <v>109.41024862221688</v>
      </c>
      <c r="L270" s="123">
        <f>VLOOKUP(LEFT(A270,10),'Streetlight Tariff Schedule'!B$11:G$260,6, FALSE)+I270</f>
        <v>138.36377979135693</v>
      </c>
      <c r="M270" s="161">
        <f t="shared" si="33"/>
        <v>247.77402841357383</v>
      </c>
      <c r="N270" s="405">
        <f t="shared" si="34"/>
        <v>232.51764719982449</v>
      </c>
      <c r="O270" s="405">
        <v>200.17637375026041</v>
      </c>
      <c r="P270" s="406">
        <v>195.21282539316593</v>
      </c>
      <c r="Q270" s="406">
        <v>202.05430842701338</v>
      </c>
      <c r="R270" s="406">
        <v>207.14070460594593</v>
      </c>
      <c r="S270" s="405">
        <f t="shared" si="35"/>
        <v>241.75878053036897</v>
      </c>
      <c r="T270" s="406">
        <v>208.47772715741328</v>
      </c>
      <c r="U270" s="406">
        <v>214.47143812971879</v>
      </c>
      <c r="V270" s="405">
        <f t="shared" si="36"/>
        <v>251.12445055525779</v>
      </c>
      <c r="W270" s="406">
        <v>214.69492973795661</v>
      </c>
      <c r="X270" s="406">
        <v>222.81273422223882</v>
      </c>
      <c r="Y270" s="405">
        <f t="shared" si="37"/>
        <v>261.49474274608775</v>
      </c>
      <c r="Z270" s="406">
        <v>220.39755958726599</v>
      </c>
      <c r="AA270" s="406">
        <v>229.55817383115624</v>
      </c>
      <c r="AB270" s="442">
        <f t="shared" si="38"/>
        <v>266.77539863490068</v>
      </c>
      <c r="AC270" s="438">
        <f t="shared" si="39"/>
        <v>274.67341609691022</v>
      </c>
      <c r="AD270" s="410"/>
      <c r="AE270" s="411"/>
      <c r="AF270" s="411"/>
      <c r="AG270" s="411"/>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row>
    <row r="271" spans="1:61" x14ac:dyDescent="0.2">
      <c r="A271" s="159" t="s">
        <v>1553</v>
      </c>
      <c r="B271" s="18" t="str">
        <f>VLOOKUP(LEFT(A271,7),'Tariff Schedule Lookup Table'!$A$8:$G$186,2,FALSE)</f>
        <v>Incandescent 500</v>
      </c>
      <c r="C271" s="160">
        <f t="shared" si="40"/>
        <v>10</v>
      </c>
      <c r="D271" s="18">
        <f t="shared" si="41"/>
        <v>1</v>
      </c>
      <c r="E271" s="18" t="str">
        <f>VLOOKUP(C271,'Tariff Schedule Lookup Table'!I$7:L$286,2,FALSE)</f>
        <v>MERCURY VAPOUR 80W</v>
      </c>
      <c r="F271" s="18" t="str">
        <f>IF(E271 = "BULKHEADS ETC", "SHARED OR NO POLE", VLOOKUP(C271,'Tariff Schedule Lookup Table'!I$7:L$286,3,FALSE))</f>
        <v>SHARED OR NO POLE</v>
      </c>
      <c r="G271" s="18">
        <f>IF(E271 = "NO CAPITAL", 1, VLOOKUP(C271,'Tariff Schedule Lookup Table'!I$7:L$286,4,FALSE))</f>
        <v>1</v>
      </c>
      <c r="H271" s="18" t="str">
        <f t="shared" si="32"/>
        <v>1-Unmetered, CE Funded, CE Maintained</v>
      </c>
      <c r="I271" s="123">
        <f>VLOOKUP(F271,'Maintenance Model'!$A$57:$B$61,2,FALSE)</f>
        <v>0</v>
      </c>
      <c r="J271" s="123">
        <f>IF(D271=1,VLOOKUP(C271,'Capital Code Schedules'!A$15:F$300,2,FALSE),IF(D271=2,VLOOKUP(C271,'Capital Code Schedules'!A$15:F$300,3,FALSE),0))</f>
        <v>17.255027166785979</v>
      </c>
      <c r="K271" s="123">
        <v>21.887497717034414</v>
      </c>
      <c r="L271" s="123">
        <f>VLOOKUP(LEFT(A271,10),'Streetlight Tariff Schedule'!B$11:G$260,6, FALSE)+I271</f>
        <v>128.40216156024582</v>
      </c>
      <c r="M271" s="161">
        <f t="shared" si="33"/>
        <v>150.28965927728024</v>
      </c>
      <c r="N271" s="405">
        <f t="shared" si="34"/>
        <v>151.43459184764765</v>
      </c>
      <c r="O271" s="405">
        <v>96.922727994173826</v>
      </c>
      <c r="P271" s="406">
        <v>95.929771166981013</v>
      </c>
      <c r="Q271" s="406">
        <v>100.08192787645611</v>
      </c>
      <c r="R271" s="406">
        <v>101.09946038512194</v>
      </c>
      <c r="S271" s="405">
        <f t="shared" si="35"/>
        <v>158.41791886651737</v>
      </c>
      <c r="T271" s="406">
        <v>103.81727965204145</v>
      </c>
      <c r="U271" s="406">
        <v>105.24323115645238</v>
      </c>
      <c r="V271" s="405">
        <f t="shared" si="36"/>
        <v>165.23014537806091</v>
      </c>
      <c r="W271" s="406">
        <v>107.3220511422859</v>
      </c>
      <c r="X271" s="406">
        <v>109.75806629976785</v>
      </c>
      <c r="Y271" s="405">
        <f t="shared" si="37"/>
        <v>172.55491184785808</v>
      </c>
      <c r="Z271" s="406">
        <v>110.32229632946968</v>
      </c>
      <c r="AA271" s="406">
        <v>113.2358092066583</v>
      </c>
      <c r="AB271" s="442">
        <f t="shared" si="38"/>
        <v>176.2213884405711</v>
      </c>
      <c r="AC271" s="438">
        <f t="shared" si="39"/>
        <v>181.47457532323392</v>
      </c>
      <c r="AD271" s="410"/>
      <c r="AE271" s="411"/>
      <c r="AF271" s="411"/>
      <c r="AG271" s="411"/>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row>
    <row r="272" spans="1:61" x14ac:dyDescent="0.2">
      <c r="A272" s="159" t="s">
        <v>1554</v>
      </c>
      <c r="B272" s="18" t="str">
        <f>VLOOKUP(LEFT(A272,7),'Tariff Schedule Lookup Table'!$A$8:$G$186,2,FALSE)</f>
        <v>Incandescent 500</v>
      </c>
      <c r="C272" s="160">
        <f t="shared" ref="C272:C321" si="42">1*MID(A272,12,4)</f>
        <v>10</v>
      </c>
      <c r="D272" s="18">
        <f t="shared" ref="D272:D321" si="43">1*(MID(A272,17,3))</f>
        <v>2</v>
      </c>
      <c r="E272" s="18" t="str">
        <f>VLOOKUP(C272,'Tariff Schedule Lookup Table'!I$7:L$286,2,FALSE)</f>
        <v>MERCURY VAPOUR 80W</v>
      </c>
      <c r="F272" s="18" t="str">
        <f>IF(E272 = "BULKHEADS ETC", "SHARED OR NO POLE", VLOOKUP(C272,'Tariff Schedule Lookup Table'!I$7:L$286,3,FALSE))</f>
        <v>SHARED OR NO POLE</v>
      </c>
      <c r="G272" s="18">
        <f>IF(E272 = "NO CAPITAL", 1, VLOOKUP(C272,'Tariff Schedule Lookup Table'!I$7:L$286,4,FALSE))</f>
        <v>1</v>
      </c>
      <c r="H272" s="18" t="str">
        <f t="shared" si="32"/>
        <v>2-Unmetered, Funded by Others, CE Maintained</v>
      </c>
      <c r="I272" s="123">
        <f>VLOOKUP(F272,'Maintenance Model'!$A$57:$B$61,2,FALSE)</f>
        <v>0</v>
      </c>
      <c r="J272" s="123">
        <f>IF(D272=1,VLOOKUP(C272,'Capital Code Schedules'!A$15:F$300,2,FALSE),IF(D272=2,VLOOKUP(C272,'Capital Code Schedules'!A$15:F$300,3,FALSE),0))</f>
        <v>0</v>
      </c>
      <c r="K272" s="123">
        <v>0</v>
      </c>
      <c r="L272" s="123">
        <f>VLOOKUP(LEFT(A272,10),'Streetlight Tariff Schedule'!B$11:G$260,6, FALSE)+I272</f>
        <v>128.40216156024582</v>
      </c>
      <c r="M272" s="161">
        <f t="shared" si="33"/>
        <v>128.40216156024582</v>
      </c>
      <c r="N272" s="405">
        <f t="shared" si="34"/>
        <v>133.75250275848373</v>
      </c>
      <c r="O272" s="405">
        <v>73.500557881449993</v>
      </c>
      <c r="P272" s="406">
        <v>73.500557881449993</v>
      </c>
      <c r="Q272" s="406">
        <v>77.097591562108178</v>
      </c>
      <c r="R272" s="406">
        <v>77.097591562108178</v>
      </c>
      <c r="S272" s="405">
        <f t="shared" si="35"/>
        <v>140.29819807239664</v>
      </c>
      <c r="T272" s="406">
        <v>80.264081013913412</v>
      </c>
      <c r="U272" s="406">
        <v>80.557309071982729</v>
      </c>
      <c r="V272" s="405">
        <f t="shared" si="36"/>
        <v>146.59401254130773</v>
      </c>
      <c r="W272" s="406">
        <v>83.185910837864199</v>
      </c>
      <c r="X272" s="406">
        <v>84.235291456634684</v>
      </c>
      <c r="Y272" s="405">
        <f t="shared" si="37"/>
        <v>153.28701410793897</v>
      </c>
      <c r="Z272" s="406">
        <v>85.588786552513554</v>
      </c>
      <c r="AA272" s="406">
        <v>86.985635280495828</v>
      </c>
      <c r="AB272" s="442">
        <f t="shared" si="38"/>
        <v>156.61437570042943</v>
      </c>
      <c r="AC272" s="438">
        <f t="shared" si="39"/>
        <v>161.29699851235412</v>
      </c>
      <c r="AD272" s="410"/>
      <c r="AE272" s="411"/>
      <c r="AF272" s="411"/>
      <c r="AG272" s="411"/>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row>
    <row r="273" spans="1:61" x14ac:dyDescent="0.2">
      <c r="A273" s="159" t="s">
        <v>1555</v>
      </c>
      <c r="B273" s="18" t="str">
        <f>VLOOKUP(LEFT(A273,7),'Tariff Schedule Lookup Table'!$A$8:$G$186,2,FALSE)</f>
        <v>Incandescent 500</v>
      </c>
      <c r="C273" s="160">
        <f t="shared" si="42"/>
        <v>110</v>
      </c>
      <c r="D273" s="18">
        <f t="shared" si="43"/>
        <v>1</v>
      </c>
      <c r="E273" s="18" t="str">
        <f>VLOOKUP(C273,'Tariff Schedule Lookup Table'!I$7:L$286,2,FALSE)</f>
        <v>BULKHEADS ETC</v>
      </c>
      <c r="F273" s="18" t="str">
        <f>IF(E273 = "BULKHEADS ETC", "SHARED OR NO POLE", VLOOKUP(C273,'Tariff Schedule Lookup Table'!I$7:L$286,3,FALSE))</f>
        <v>SHARED OR NO POLE</v>
      </c>
      <c r="G273" s="18">
        <f>IF(E273 = "NO CAPITAL", 1, VLOOKUP(C273,'Tariff Schedule Lookup Table'!I$7:L$286,4,FALSE))</f>
        <v>1</v>
      </c>
      <c r="H273" s="18" t="str">
        <f t="shared" si="32"/>
        <v>1-Unmetered, CE Funded, CE Maintained</v>
      </c>
      <c r="I273" s="123">
        <f>VLOOKUP(F273,'Maintenance Model'!$A$57:$B$61,2,FALSE)</f>
        <v>0</v>
      </c>
      <c r="J273" s="123">
        <f>IF(D273=1,VLOOKUP(C273,'Capital Code Schedules'!A$15:F$300,2,FALSE),IF(D273=2,VLOOKUP(C273,'Capital Code Schedules'!A$15:F$300,3,FALSE),0))</f>
        <v>8.1913367400317085</v>
      </c>
      <c r="K273" s="123">
        <v>10.390471279118792</v>
      </c>
      <c r="L273" s="123">
        <f>VLOOKUP(LEFT(A273,10),'Streetlight Tariff Schedule'!B$11:G$260,6, FALSE)+I273</f>
        <v>128.40216156024582</v>
      </c>
      <c r="M273" s="161">
        <f t="shared" si="33"/>
        <v>138.79263283936461</v>
      </c>
      <c r="N273" s="405">
        <f t="shared" si="34"/>
        <v>142.14657508283122</v>
      </c>
      <c r="O273" s="405">
        <v>84.619571530117824</v>
      </c>
      <c r="P273" s="406">
        <v>84.148193324726975</v>
      </c>
      <c r="Q273" s="406">
        <v>88.008755982606274</v>
      </c>
      <c r="R273" s="406">
        <v>88.491800798580542</v>
      </c>
      <c r="S273" s="405">
        <f t="shared" si="35"/>
        <v>148.90002368677173</v>
      </c>
      <c r="T273" s="406">
        <v>91.445296753818837</v>
      </c>
      <c r="U273" s="406">
        <v>92.276253271694543</v>
      </c>
      <c r="V273" s="405">
        <f t="shared" si="36"/>
        <v>155.44099018569253</v>
      </c>
      <c r="W273" s="406">
        <v>94.643861667332288</v>
      </c>
      <c r="X273" s="406">
        <v>96.351507864716737</v>
      </c>
      <c r="Y273" s="405">
        <f t="shared" si="37"/>
        <v>162.43390429446842</v>
      </c>
      <c r="Z273" s="406">
        <v>97.33032166501097</v>
      </c>
      <c r="AA273" s="406">
        <v>99.447163856208221</v>
      </c>
      <c r="AB273" s="442">
        <f t="shared" si="38"/>
        <v>165.92225115424179</v>
      </c>
      <c r="AC273" s="438">
        <f t="shared" si="39"/>
        <v>170.87573314187242</v>
      </c>
      <c r="AD273" s="410"/>
      <c r="AE273" s="411"/>
      <c r="AF273" s="411"/>
      <c r="AG273" s="411"/>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row>
    <row r="274" spans="1:61" x14ac:dyDescent="0.2">
      <c r="A274" s="159" t="s">
        <v>1556</v>
      </c>
      <c r="B274" s="18" t="str">
        <f>VLOOKUP(LEFT(A274,7),'Tariff Schedule Lookup Table'!$A$8:$G$186,2,FALSE)</f>
        <v>Incandescent 500</v>
      </c>
      <c r="C274" s="160">
        <f t="shared" si="42"/>
        <v>810</v>
      </c>
      <c r="D274" s="18">
        <f t="shared" si="43"/>
        <v>1</v>
      </c>
      <c r="E274" s="18" t="str">
        <f>VLOOKUP(C274,'Tariff Schedule Lookup Table'!I$7:L$286,2,FALSE)</f>
        <v>MERCURY VAPOUR 80W</v>
      </c>
      <c r="F274" s="18" t="str">
        <f>IF(E274 = "BULKHEADS ETC", "SHARED OR NO POLE", VLOOKUP(C274,'Tariff Schedule Lookup Table'!I$7:L$286,3,FALSE))</f>
        <v>WOOD POLE</v>
      </c>
      <c r="G274" s="18">
        <f>IF(E274 = "NO CAPITAL", 1, VLOOKUP(C274,'Tariff Schedule Lookup Table'!I$7:L$286,4,FALSE))</f>
        <v>1</v>
      </c>
      <c r="H274" s="18" t="str">
        <f t="shared" ref="H274:H337" si="44">VLOOKUP(D274,A$11:B$15, 2, FALSE)</f>
        <v>1-Unmetered, CE Funded, CE Maintained</v>
      </c>
      <c r="I274" s="123">
        <f>VLOOKUP(F274,'Maintenance Model'!$A$57:$B$61,2,FALSE)</f>
        <v>10.731618231111112</v>
      </c>
      <c r="J274" s="123">
        <f>IF(D274=1,VLOOKUP(C274,'Capital Code Schedules'!A$15:F$300,2,FALSE),IF(D274=2,VLOOKUP(C274,'Capital Code Schedules'!A$15:F$300,3,FALSE),0))</f>
        <v>51.156145528662286</v>
      </c>
      <c r="K274" s="123">
        <v>64.890075665956445</v>
      </c>
      <c r="L274" s="123">
        <f>VLOOKUP(LEFT(A274,10),'Streetlight Tariff Schedule'!B$11:G$260,6, FALSE)+I274</f>
        <v>139.13377979135691</v>
      </c>
      <c r="M274" s="161">
        <f t="shared" si="33"/>
        <v>204.02385545731335</v>
      </c>
      <c r="N274" s="405">
        <f t="shared" si="34"/>
        <v>197.35355286897777</v>
      </c>
      <c r="O274" s="405">
        <v>153.33669168180995</v>
      </c>
      <c r="P274" s="406">
        <v>150.39286299556301</v>
      </c>
      <c r="Q274" s="406">
        <v>156.14445347979594</v>
      </c>
      <c r="R274" s="406">
        <v>159.16114192602751</v>
      </c>
      <c r="S274" s="405">
        <f t="shared" si="35"/>
        <v>205.74377638455991</v>
      </c>
      <c r="T274" s="406">
        <v>161.44533493278797</v>
      </c>
      <c r="U274" s="406">
        <v>165.13823441969694</v>
      </c>
      <c r="V274" s="405">
        <f t="shared" si="36"/>
        <v>214.09679529756744</v>
      </c>
      <c r="W274" s="406">
        <v>166.50869232683834</v>
      </c>
      <c r="X274" s="406">
        <v>171.81747015065821</v>
      </c>
      <c r="Y274" s="405">
        <f t="shared" si="37"/>
        <v>223.22218521937268</v>
      </c>
      <c r="Z274" s="406">
        <v>171.02246701353366</v>
      </c>
      <c r="AA274" s="406">
        <v>177.11336020597616</v>
      </c>
      <c r="AB274" s="442">
        <f t="shared" si="38"/>
        <v>227.83301913193861</v>
      </c>
      <c r="AC274" s="438">
        <f t="shared" si="39"/>
        <v>234.59856381479426</v>
      </c>
      <c r="AD274" s="410"/>
      <c r="AE274" s="411"/>
      <c r="AF274" s="411"/>
      <c r="AG274" s="411"/>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row>
    <row r="275" spans="1:61" x14ac:dyDescent="0.2">
      <c r="A275" s="159" t="s">
        <v>1557</v>
      </c>
      <c r="B275" s="18" t="str">
        <f>VLOOKUP(LEFT(A275,7),'Tariff Schedule Lookup Table'!$A$8:$G$186,2,FALSE)</f>
        <v>Incandescent 800</v>
      </c>
      <c r="C275" s="160">
        <f t="shared" si="42"/>
        <v>10</v>
      </c>
      <c r="D275" s="18">
        <f t="shared" si="43"/>
        <v>1</v>
      </c>
      <c r="E275" s="18" t="str">
        <f>VLOOKUP(C275,'Tariff Schedule Lookup Table'!I$7:L$286,2,FALSE)</f>
        <v>MERCURY VAPOUR 80W</v>
      </c>
      <c r="F275" s="18" t="str">
        <f>IF(E275 = "BULKHEADS ETC", "SHARED OR NO POLE", VLOOKUP(C275,'Tariff Schedule Lookup Table'!I$7:L$286,3,FALSE))</f>
        <v>SHARED OR NO POLE</v>
      </c>
      <c r="G275" s="18">
        <f>IF(E275 = "NO CAPITAL", 1, VLOOKUP(C275,'Tariff Schedule Lookup Table'!I$7:L$286,4,FALSE))</f>
        <v>1</v>
      </c>
      <c r="H275" s="18" t="str">
        <f t="shared" si="44"/>
        <v>1-Unmetered, CE Funded, CE Maintained</v>
      </c>
      <c r="I275" s="123">
        <f>VLOOKUP(F275,'Maintenance Model'!$A$57:$B$61,2,FALSE)</f>
        <v>0</v>
      </c>
      <c r="J275" s="123">
        <f>IF(D275=1,VLOOKUP(C275,'Capital Code Schedules'!A$15:F$300,2,FALSE),IF(D275=2,VLOOKUP(C275,'Capital Code Schedules'!A$15:F$300,3,FALSE),0))</f>
        <v>17.255027166785979</v>
      </c>
      <c r="K275" s="123">
        <v>21.887497717034414</v>
      </c>
      <c r="L275" s="123">
        <f>VLOOKUP(LEFT(A275,10),'Streetlight Tariff Schedule'!B$11:G$260,6, FALSE)+I275</f>
        <v>128.40216156024582</v>
      </c>
      <c r="M275" s="161">
        <f t="shared" ref="M275:M338" si="45">IF(VLOOKUP(D275,A$11:D$15,3,FALSE)="Y",IF(VLOOKUP(D275,A$11:D$15,4,FALSE)="Y",K275+L275,K275),IF(VLOOKUP(D275,A$11:D$15,4,FALSE)="Y",L275,0))</f>
        <v>150.28965927728024</v>
      </c>
      <c r="N275" s="405">
        <f t="shared" ref="N275:N338" si="46">($J275+$L275+$L275*$M$10*$M$14)*(1+$M$12)</f>
        <v>151.43459184764765</v>
      </c>
      <c r="O275" s="405">
        <v>96.922727994173826</v>
      </c>
      <c r="P275" s="406">
        <v>95.929771166981013</v>
      </c>
      <c r="Q275" s="406">
        <v>100.08192787645611</v>
      </c>
      <c r="R275" s="406">
        <v>101.09946038512194</v>
      </c>
      <c r="S275" s="405">
        <f t="shared" ref="S275:S338" si="47">($J275+$L275+$L275*$N$10*$N$14)*(1+$N$12)</f>
        <v>158.41791886651737</v>
      </c>
      <c r="T275" s="406">
        <v>103.81727965204145</v>
      </c>
      <c r="U275" s="406">
        <v>105.24323115645238</v>
      </c>
      <c r="V275" s="405">
        <f t="shared" ref="V275:V338" si="48">($J275+$L275+$L275*$O$10*$O$14)*(1+$O$12)</f>
        <v>165.23014537806091</v>
      </c>
      <c r="W275" s="406">
        <v>107.3220511422859</v>
      </c>
      <c r="X275" s="406">
        <v>109.75806629976785</v>
      </c>
      <c r="Y275" s="405">
        <f t="shared" ref="Y275:Y338" si="49">($J275+$L275+$L275*$P$10*$P$14)*(1+$P$12)</f>
        <v>172.55491184785808</v>
      </c>
      <c r="Z275" s="406">
        <v>110.32229632946968</v>
      </c>
      <c r="AA275" s="406">
        <v>113.2358092066583</v>
      </c>
      <c r="AB275" s="442">
        <f t="shared" ref="AB275:AB338" si="50">($J275+$L275+$L275*$Q$10*$Q$14)*(1+$Q$12)</f>
        <v>176.2213884405711</v>
      </c>
      <c r="AC275" s="438">
        <f t="shared" ref="AC275:AC338" si="51">($J275+$L275+$L275*$R$10*$R$14)*(1+$R$12)</f>
        <v>181.47457532323392</v>
      </c>
      <c r="AD275" s="410"/>
      <c r="AE275" s="411"/>
      <c r="AF275" s="411"/>
      <c r="AG275" s="411"/>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row>
    <row r="276" spans="1:61" x14ac:dyDescent="0.2">
      <c r="A276" s="159" t="s">
        <v>1558</v>
      </c>
      <c r="B276" s="18" t="str">
        <f>VLOOKUP(LEFT(A276,7),'Tariff Schedule Lookup Table'!$A$8:$G$186,2,FALSE)</f>
        <v>Incandescent 1000</v>
      </c>
      <c r="C276" s="160">
        <f t="shared" si="42"/>
        <v>680</v>
      </c>
      <c r="D276" s="18">
        <f t="shared" si="43"/>
        <v>2</v>
      </c>
      <c r="E276" s="18" t="str">
        <f>VLOOKUP(C276,'Tariff Schedule Lookup Table'!I$7:L$286,2,FALSE)</f>
        <v>METAL HALIDE/HPS 400W FLOOD (310/360)</v>
      </c>
      <c r="F276" s="18" t="str">
        <f>IF(E276 = "BULKHEADS ETC", "SHARED OR NO POLE", VLOOKUP(C276,'Tariff Schedule Lookup Table'!I$7:L$286,3,FALSE))</f>
        <v>SHARED OR NO POLE</v>
      </c>
      <c r="G276" s="18">
        <f>IF(E276 = "NO CAPITAL", 1, VLOOKUP(C276,'Tariff Schedule Lookup Table'!I$7:L$286,4,FALSE))</f>
        <v>2</v>
      </c>
      <c r="H276" s="18" t="str">
        <f t="shared" si="44"/>
        <v>2-Unmetered, Funded by Others, CE Maintained</v>
      </c>
      <c r="I276" s="123">
        <f>VLOOKUP(F276,'Maintenance Model'!$A$57:$B$61,2,FALSE)</f>
        <v>0</v>
      </c>
      <c r="J276" s="123">
        <f>IF(D276=1,VLOOKUP(C276,'Capital Code Schedules'!A$15:F$300,2,FALSE),IF(D276=2,VLOOKUP(C276,'Capital Code Schedules'!A$15:F$300,3,FALSE),0))</f>
        <v>0</v>
      </c>
      <c r="K276" s="123">
        <v>0</v>
      </c>
      <c r="L276" s="123">
        <f>VLOOKUP(LEFT(A276,10),'Streetlight Tariff Schedule'!B$11:G$260,6, FALSE)+I276</f>
        <v>128.40216156024582</v>
      </c>
      <c r="M276" s="161">
        <f t="shared" si="45"/>
        <v>128.40216156024582</v>
      </c>
      <c r="N276" s="405">
        <f t="shared" si="46"/>
        <v>133.75250275848373</v>
      </c>
      <c r="O276" s="405">
        <v>73.500557881449993</v>
      </c>
      <c r="P276" s="406">
        <v>73.500557881449993</v>
      </c>
      <c r="Q276" s="406">
        <v>77.097591562108178</v>
      </c>
      <c r="R276" s="406">
        <v>77.097591562108178</v>
      </c>
      <c r="S276" s="405">
        <f t="shared" si="47"/>
        <v>140.29819807239664</v>
      </c>
      <c r="T276" s="406">
        <v>80.264081013913412</v>
      </c>
      <c r="U276" s="406">
        <v>80.557309071982729</v>
      </c>
      <c r="V276" s="405">
        <f t="shared" si="48"/>
        <v>146.59401254130773</v>
      </c>
      <c r="W276" s="406">
        <v>83.185910837864199</v>
      </c>
      <c r="X276" s="406">
        <v>84.235291456634684</v>
      </c>
      <c r="Y276" s="405">
        <f t="shared" si="49"/>
        <v>153.28701410793897</v>
      </c>
      <c r="Z276" s="406">
        <v>85.588786552513554</v>
      </c>
      <c r="AA276" s="406">
        <v>86.985635280495828</v>
      </c>
      <c r="AB276" s="442">
        <f t="shared" si="50"/>
        <v>156.61437570042943</v>
      </c>
      <c r="AC276" s="438">
        <f t="shared" si="51"/>
        <v>161.29699851235412</v>
      </c>
      <c r="AD276" s="410"/>
      <c r="AE276" s="411"/>
      <c r="AF276" s="411"/>
      <c r="AG276" s="411"/>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row>
    <row r="277" spans="1:61" x14ac:dyDescent="0.2">
      <c r="A277" s="159" t="s">
        <v>1559</v>
      </c>
      <c r="B277" s="18" t="str">
        <f>VLOOKUP(LEFT(A277,7),'Tariff Schedule Lookup Table'!$A$8:$G$186,2,FALSE)</f>
        <v>Incandescent 1000</v>
      </c>
      <c r="C277" s="160">
        <f t="shared" si="42"/>
        <v>900</v>
      </c>
      <c r="D277" s="18">
        <f t="shared" si="43"/>
        <v>2</v>
      </c>
      <c r="E277" s="18" t="str">
        <f>VLOOKUP(C277,'Tariff Schedule Lookup Table'!I$7:L$286,2,FALSE)</f>
        <v>METAL HALIDE/HPS 400W FLOOD (310/360)</v>
      </c>
      <c r="F277" s="18" t="str">
        <f>IF(E277 = "BULKHEADS ETC", "SHARED OR NO POLE", VLOOKUP(C277,'Tariff Schedule Lookup Table'!I$7:L$286,3,FALSE))</f>
        <v>WOOD POLE</v>
      </c>
      <c r="G277" s="18">
        <f>IF(E277 = "NO CAPITAL", 1, VLOOKUP(C277,'Tariff Schedule Lookup Table'!I$7:L$286,4,FALSE))</f>
        <v>2</v>
      </c>
      <c r="H277" s="18" t="str">
        <f t="shared" si="44"/>
        <v>2-Unmetered, Funded by Others, CE Maintained</v>
      </c>
      <c r="I277" s="123">
        <f>VLOOKUP(F277,'Maintenance Model'!$A$57:$B$61,2,FALSE)</f>
        <v>10.731618231111112</v>
      </c>
      <c r="J277" s="123">
        <f>IF(D277=1,VLOOKUP(C277,'Capital Code Schedules'!A$15:F$300,2,FALSE),IF(D277=2,VLOOKUP(C277,'Capital Code Schedules'!A$15:F$300,3,FALSE),0))</f>
        <v>0</v>
      </c>
      <c r="K277" s="123">
        <v>0</v>
      </c>
      <c r="L277" s="123">
        <f>VLOOKUP(LEFT(A277,10),'Streetlight Tariff Schedule'!B$11:G$260,6, FALSE)+I277</f>
        <v>139.13377979135691</v>
      </c>
      <c r="M277" s="161">
        <f t="shared" si="45"/>
        <v>139.13377979135691</v>
      </c>
      <c r="N277" s="405">
        <f t="shared" si="46"/>
        <v>144.93129273848112</v>
      </c>
      <c r="O277" s="405">
        <v>83.896757956874154</v>
      </c>
      <c r="P277" s="406">
        <v>83.896757956874154</v>
      </c>
      <c r="Q277" s="406">
        <v>88.002569841399563</v>
      </c>
      <c r="R277" s="406">
        <v>88.002569841399563</v>
      </c>
      <c r="S277" s="405">
        <f t="shared" si="47"/>
        <v>152.02406531583344</v>
      </c>
      <c r="T277" s="406">
        <v>91.616939674341268</v>
      </c>
      <c r="U277" s="406">
        <v>91.951643030657067</v>
      </c>
      <c r="V277" s="405">
        <f t="shared" si="48"/>
        <v>158.84607246338228</v>
      </c>
      <c r="W277" s="406">
        <v>94.95204428574506</v>
      </c>
      <c r="X277" s="406">
        <v>96.149853313529889</v>
      </c>
      <c r="Y277" s="405">
        <f t="shared" si="49"/>
        <v>166.09846288110865</v>
      </c>
      <c r="Z277" s="406">
        <v>97.694791933423332</v>
      </c>
      <c r="AA277" s="406">
        <v>99.289216288989678</v>
      </c>
      <c r="AB277" s="442">
        <f t="shared" si="50"/>
        <v>169.70391928052112</v>
      </c>
      <c r="AC277" s="438">
        <f t="shared" si="51"/>
        <v>174.7779071577005</v>
      </c>
      <c r="AD277" s="410"/>
      <c r="AE277" s="411"/>
      <c r="AF277" s="411"/>
      <c r="AG277" s="411"/>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row>
    <row r="278" spans="1:61" x14ac:dyDescent="0.2">
      <c r="A278" s="159" t="s">
        <v>1560</v>
      </c>
      <c r="B278" s="18" t="str">
        <f>VLOOKUP(LEFT(A278,7),'Tariff Schedule Lookup Table'!$A$8:$G$186,2,FALSE)</f>
        <v>Incandescent 1000</v>
      </c>
      <c r="C278" s="160">
        <f t="shared" si="42"/>
        <v>1130</v>
      </c>
      <c r="D278" s="18">
        <f t="shared" si="43"/>
        <v>2</v>
      </c>
      <c r="E278" s="18" t="str">
        <f>VLOOKUP(C278,'Tariff Schedule Lookup Table'!I$7:L$286,2,FALSE)</f>
        <v>METAL HALIDE/HPS 400W FLOOD (310/360)</v>
      </c>
      <c r="F278" s="18" t="str">
        <f>IF(E278 = "BULKHEADS ETC", "SHARED OR NO POLE", VLOOKUP(C278,'Tariff Schedule Lookup Table'!I$7:L$286,3,FALSE))</f>
        <v>STEEL POLE</v>
      </c>
      <c r="G278" s="18">
        <f>IF(E278 = "NO CAPITAL", 1, VLOOKUP(C278,'Tariff Schedule Lookup Table'!I$7:L$286,4,FALSE))</f>
        <v>2</v>
      </c>
      <c r="H278" s="18" t="str">
        <f t="shared" si="44"/>
        <v>2-Unmetered, Funded by Others, CE Maintained</v>
      </c>
      <c r="I278" s="123">
        <f>VLOOKUP(F278,'Maintenance Model'!$A$57:$B$61,2,FALSE)</f>
        <v>9.9616182311111103</v>
      </c>
      <c r="J278" s="123">
        <f>IF(D278=1,VLOOKUP(C278,'Capital Code Schedules'!A$15:F$300,2,FALSE),IF(D278=2,VLOOKUP(C278,'Capital Code Schedules'!A$15:F$300,3,FALSE),0))</f>
        <v>0</v>
      </c>
      <c r="K278" s="123">
        <v>0</v>
      </c>
      <c r="L278" s="123">
        <f>VLOOKUP(LEFT(A278,10),'Streetlight Tariff Schedule'!B$11:G$260,6, FALSE)+I278</f>
        <v>138.36377979135693</v>
      </c>
      <c r="M278" s="161">
        <f t="shared" si="45"/>
        <v>138.36377979135693</v>
      </c>
      <c r="N278" s="405">
        <f t="shared" si="46"/>
        <v>144.12920789915611</v>
      </c>
      <c r="O278" s="405">
        <v>83.094673117549164</v>
      </c>
      <c r="P278" s="406">
        <v>83.094673117549164</v>
      </c>
      <c r="Q278" s="406">
        <v>87.161231882575109</v>
      </c>
      <c r="R278" s="406">
        <v>87.161231882575109</v>
      </c>
      <c r="S278" s="405">
        <f t="shared" si="47"/>
        <v>151.18272735700901</v>
      </c>
      <c r="T278" s="406">
        <v>90.741046968500186</v>
      </c>
      <c r="U278" s="406">
        <v>91.072550433731877</v>
      </c>
      <c r="V278" s="405">
        <f t="shared" si="48"/>
        <v>157.96697986645708</v>
      </c>
      <c r="W278" s="406">
        <v>94.044266714367865</v>
      </c>
      <c r="X278" s="406">
        <v>95.230624233357958</v>
      </c>
      <c r="Y278" s="405">
        <f t="shared" si="49"/>
        <v>165.17923380093674</v>
      </c>
      <c r="Z278" s="406">
        <v>96.760792653843453</v>
      </c>
      <c r="AA278" s="406">
        <v>98.339973707592236</v>
      </c>
      <c r="AB278" s="442">
        <f t="shared" si="50"/>
        <v>168.76473673231499</v>
      </c>
      <c r="AC278" s="438">
        <f t="shared" si="51"/>
        <v>173.81064393295927</v>
      </c>
      <c r="AD278" s="410"/>
      <c r="AE278" s="411"/>
      <c r="AF278" s="411"/>
      <c r="AG278" s="411"/>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row>
    <row r="279" spans="1:61" x14ac:dyDescent="0.2">
      <c r="A279" s="159" t="s">
        <v>1561</v>
      </c>
      <c r="B279" s="18" t="str">
        <f>VLOOKUP(LEFT(A279,7),'Tariff Schedule Lookup Table'!$A$8:$G$186,2,FALSE)</f>
        <v>Incandescent 1500</v>
      </c>
      <c r="C279" s="160">
        <f t="shared" si="42"/>
        <v>640</v>
      </c>
      <c r="D279" s="18">
        <f t="shared" si="43"/>
        <v>1</v>
      </c>
      <c r="E279" s="18" t="str">
        <f>VLOOKUP(C279,'Tariff Schedule Lookup Table'!I$7:L$286,2,FALSE)</f>
        <v>METAL HALIDE/HPS 400W FLOOD (310/360)</v>
      </c>
      <c r="F279" s="18" t="str">
        <f>IF(E279 = "BULKHEADS ETC", "SHARED OR NO POLE", VLOOKUP(C279,'Tariff Schedule Lookup Table'!I$7:L$286,3,FALSE))</f>
        <v>SHARED OR NO POLE</v>
      </c>
      <c r="G279" s="18">
        <f>IF(E279 = "NO CAPITAL", 1, VLOOKUP(C279,'Tariff Schedule Lookup Table'!I$7:L$286,4,FALSE))</f>
        <v>1</v>
      </c>
      <c r="H279" s="18" t="str">
        <f t="shared" si="44"/>
        <v>1-Unmetered, CE Funded, CE Maintained</v>
      </c>
      <c r="I279" s="123">
        <f>VLOOKUP(F279,'Maintenance Model'!$A$57:$B$61,2,FALSE)</f>
        <v>0</v>
      </c>
      <c r="J279" s="123">
        <f>IF(D279=1,VLOOKUP(C279,'Capital Code Schedules'!A$15:F$300,2,FALSE),IF(D279=2,VLOOKUP(C279,'Capital Code Schedules'!A$15:F$300,3,FALSE),0))</f>
        <v>34.4552059087722</v>
      </c>
      <c r="K279" s="123">
        <v>43.705421810047049</v>
      </c>
      <c r="L279" s="123">
        <f>VLOOKUP(LEFT(A279,10),'Streetlight Tariff Schedule'!B$11:G$260,6, FALSE)+I279</f>
        <v>128.40216156024582</v>
      </c>
      <c r="M279" s="161">
        <f t="shared" si="45"/>
        <v>172.10758337029287</v>
      </c>
      <c r="N279" s="405">
        <f t="shared" si="46"/>
        <v>169.06047501349803</v>
      </c>
      <c r="O279" s="405">
        <v>120.27044623129892</v>
      </c>
      <c r="P279" s="406">
        <v>118.28768888129571</v>
      </c>
      <c r="Q279" s="406">
        <v>122.99320405420009</v>
      </c>
      <c r="R279" s="406">
        <v>125.02503464861587</v>
      </c>
      <c r="S279" s="405">
        <f t="shared" si="47"/>
        <v>176.48004264072256</v>
      </c>
      <c r="T279" s="406">
        <v>127.2956099151846</v>
      </c>
      <c r="U279" s="406">
        <v>129.85068428645587</v>
      </c>
      <c r="V279" s="405">
        <f t="shared" si="48"/>
        <v>183.80703967983095</v>
      </c>
      <c r="W279" s="406">
        <v>131.38147007944184</v>
      </c>
      <c r="X279" s="406">
        <v>135.19971209087848</v>
      </c>
      <c r="Y279" s="405">
        <f t="shared" si="49"/>
        <v>191.76156286645812</v>
      </c>
      <c r="Z279" s="406">
        <v>134.97718588532024</v>
      </c>
      <c r="AA279" s="406">
        <v>139.40254190281559</v>
      </c>
      <c r="AB279" s="442">
        <f t="shared" si="50"/>
        <v>195.7660765170985</v>
      </c>
      <c r="AC279" s="438">
        <f t="shared" si="51"/>
        <v>201.5880138227883</v>
      </c>
      <c r="AD279" s="410"/>
      <c r="AE279" s="411"/>
      <c r="AF279" s="411"/>
      <c r="AG279" s="411"/>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row>
    <row r="280" spans="1:61" x14ac:dyDescent="0.2">
      <c r="A280" s="159" t="s">
        <v>1562</v>
      </c>
      <c r="B280" s="18" t="str">
        <f>VLOOKUP(LEFT(A280,7),'Tariff Schedule Lookup Table'!$A$8:$G$186,2,FALSE)</f>
        <v>Incandescent 1500</v>
      </c>
      <c r="C280" s="160">
        <f t="shared" si="42"/>
        <v>640</v>
      </c>
      <c r="D280" s="18">
        <f t="shared" si="43"/>
        <v>2</v>
      </c>
      <c r="E280" s="18" t="str">
        <f>VLOOKUP(C280,'Tariff Schedule Lookup Table'!I$7:L$286,2,FALSE)</f>
        <v>METAL HALIDE/HPS 400W FLOOD (310/360)</v>
      </c>
      <c r="F280" s="18" t="str">
        <f>IF(E280 = "BULKHEADS ETC", "SHARED OR NO POLE", VLOOKUP(C280,'Tariff Schedule Lookup Table'!I$7:L$286,3,FALSE))</f>
        <v>SHARED OR NO POLE</v>
      </c>
      <c r="G280" s="18">
        <f>IF(E280 = "NO CAPITAL", 1, VLOOKUP(C280,'Tariff Schedule Lookup Table'!I$7:L$286,4,FALSE))</f>
        <v>1</v>
      </c>
      <c r="H280" s="18" t="str">
        <f t="shared" si="44"/>
        <v>2-Unmetered, Funded by Others, CE Maintained</v>
      </c>
      <c r="I280" s="123">
        <f>VLOOKUP(F280,'Maintenance Model'!$A$57:$B$61,2,FALSE)</f>
        <v>0</v>
      </c>
      <c r="J280" s="123">
        <f>IF(D280=1,VLOOKUP(C280,'Capital Code Schedules'!A$15:F$300,2,FALSE),IF(D280=2,VLOOKUP(C280,'Capital Code Schedules'!A$15:F$300,3,FALSE),0))</f>
        <v>0</v>
      </c>
      <c r="K280" s="123">
        <v>0</v>
      </c>
      <c r="L280" s="123">
        <f>VLOOKUP(LEFT(A280,10),'Streetlight Tariff Schedule'!B$11:G$260,6, FALSE)+I280</f>
        <v>128.40216156024582</v>
      </c>
      <c r="M280" s="161">
        <f t="shared" si="45"/>
        <v>128.40216156024582</v>
      </c>
      <c r="N280" s="405">
        <f t="shared" si="46"/>
        <v>133.75250275848373</v>
      </c>
      <c r="O280" s="405">
        <v>73.500557881449993</v>
      </c>
      <c r="P280" s="406">
        <v>73.500557881449993</v>
      </c>
      <c r="Q280" s="406">
        <v>77.097591562108178</v>
      </c>
      <c r="R280" s="406">
        <v>77.097591562108178</v>
      </c>
      <c r="S280" s="405">
        <f t="shared" si="47"/>
        <v>140.29819807239664</v>
      </c>
      <c r="T280" s="406">
        <v>80.264081013913412</v>
      </c>
      <c r="U280" s="406">
        <v>80.557309071982729</v>
      </c>
      <c r="V280" s="405">
        <f t="shared" si="48"/>
        <v>146.59401254130773</v>
      </c>
      <c r="W280" s="406">
        <v>83.185910837864199</v>
      </c>
      <c r="X280" s="406">
        <v>84.235291456634684</v>
      </c>
      <c r="Y280" s="405">
        <f t="shared" si="49"/>
        <v>153.28701410793897</v>
      </c>
      <c r="Z280" s="406">
        <v>85.588786552513554</v>
      </c>
      <c r="AA280" s="406">
        <v>86.985635280495828</v>
      </c>
      <c r="AB280" s="442">
        <f t="shared" si="50"/>
        <v>156.61437570042943</v>
      </c>
      <c r="AC280" s="438">
        <f t="shared" si="51"/>
        <v>161.29699851235412</v>
      </c>
      <c r="AD280" s="410"/>
      <c r="AE280" s="411"/>
      <c r="AF280" s="411"/>
      <c r="AG280" s="411"/>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row>
    <row r="281" spans="1:61" x14ac:dyDescent="0.2">
      <c r="A281" s="159" t="s">
        <v>1563</v>
      </c>
      <c r="B281" s="18" t="str">
        <f>VLOOKUP(LEFT(A281,7),'Tariff Schedule Lookup Table'!$A$8:$G$186,2,FALSE)</f>
        <v>Incandescent 1500</v>
      </c>
      <c r="C281" s="160">
        <f t="shared" si="42"/>
        <v>1170</v>
      </c>
      <c r="D281" s="18">
        <f t="shared" si="43"/>
        <v>2</v>
      </c>
      <c r="E281" s="18" t="str">
        <f>VLOOKUP(C281,'Tariff Schedule Lookup Table'!I$7:L$286,2,FALSE)</f>
        <v>METAL HALIDE/HPS 400W FLOOD (310/360)</v>
      </c>
      <c r="F281" s="18" t="str">
        <f>IF(E281 = "BULKHEADS ETC", "SHARED OR NO POLE", VLOOKUP(C281,'Tariff Schedule Lookup Table'!I$7:L$286,3,FALSE))</f>
        <v>STEEL POLE</v>
      </c>
      <c r="G281" s="18">
        <f>IF(E281 = "NO CAPITAL", 1, VLOOKUP(C281,'Tariff Schedule Lookup Table'!I$7:L$286,4,FALSE))</f>
        <v>1</v>
      </c>
      <c r="H281" s="18" t="str">
        <f t="shared" si="44"/>
        <v>2-Unmetered, Funded by Others, CE Maintained</v>
      </c>
      <c r="I281" s="123">
        <f>VLOOKUP(F281,'Maintenance Model'!$A$57:$B$61,2,FALSE)</f>
        <v>9.9616182311111103</v>
      </c>
      <c r="J281" s="123">
        <f>IF(D281=1,VLOOKUP(C281,'Capital Code Schedules'!A$15:F$300,2,FALSE),IF(D281=2,VLOOKUP(C281,'Capital Code Schedules'!A$15:F$300,3,FALSE),0))</f>
        <v>0</v>
      </c>
      <c r="K281" s="123">
        <v>0</v>
      </c>
      <c r="L281" s="123">
        <f>VLOOKUP(LEFT(A281,10),'Streetlight Tariff Schedule'!B$11:G$260,6, FALSE)+I281</f>
        <v>138.36377979135693</v>
      </c>
      <c r="M281" s="161">
        <f t="shared" si="45"/>
        <v>138.36377979135693</v>
      </c>
      <c r="N281" s="405">
        <f t="shared" si="46"/>
        <v>144.12920789915611</v>
      </c>
      <c r="O281" s="405">
        <v>83.094673117549164</v>
      </c>
      <c r="P281" s="406">
        <v>83.094673117549164</v>
      </c>
      <c r="Q281" s="406">
        <v>87.161231882575109</v>
      </c>
      <c r="R281" s="406">
        <v>87.161231882575109</v>
      </c>
      <c r="S281" s="405">
        <f t="shared" si="47"/>
        <v>151.18272735700901</v>
      </c>
      <c r="T281" s="406">
        <v>90.741046968500186</v>
      </c>
      <c r="U281" s="406">
        <v>91.072550433731877</v>
      </c>
      <c r="V281" s="405">
        <f t="shared" si="48"/>
        <v>157.96697986645708</v>
      </c>
      <c r="W281" s="406">
        <v>94.044266714367865</v>
      </c>
      <c r="X281" s="406">
        <v>95.230624233357958</v>
      </c>
      <c r="Y281" s="405">
        <f t="shared" si="49"/>
        <v>165.17923380093674</v>
      </c>
      <c r="Z281" s="406">
        <v>96.760792653843453</v>
      </c>
      <c r="AA281" s="406">
        <v>98.339973707592236</v>
      </c>
      <c r="AB281" s="442">
        <f t="shared" si="50"/>
        <v>168.76473673231499</v>
      </c>
      <c r="AC281" s="438">
        <f t="shared" si="51"/>
        <v>173.81064393295927</v>
      </c>
      <c r="AD281" s="410"/>
      <c r="AE281" s="411"/>
      <c r="AF281" s="411"/>
      <c r="AG281" s="411"/>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row>
    <row r="282" spans="1:61" x14ac:dyDescent="0.2">
      <c r="A282" s="159" t="s">
        <v>1564</v>
      </c>
      <c r="B282" s="18" t="str">
        <f>VLOOKUP(LEFT(A282,7),'Tariff Schedule Lookup Table'!$A$8:$G$186,2,FALSE)</f>
        <v>Low Pressure Sodium 18</v>
      </c>
      <c r="C282" s="160">
        <f t="shared" si="42"/>
        <v>40</v>
      </c>
      <c r="D282" s="18">
        <f t="shared" si="43"/>
        <v>1</v>
      </c>
      <c r="E282" s="18" t="str">
        <f>VLOOKUP(C282,'Tariff Schedule Lookup Table'!I$7:L$286,2,FALSE)</f>
        <v>HIGH PRESSURE SODIUM 70W (100)</v>
      </c>
      <c r="F282" s="18" t="str">
        <f>IF(E282 = "BULKHEADS ETC", "SHARED OR NO POLE", VLOOKUP(C282,'Tariff Schedule Lookup Table'!I$7:L$286,3,FALSE))</f>
        <v>SHARED OR NO POLE</v>
      </c>
      <c r="G282" s="18">
        <f>IF(E282 = "NO CAPITAL", 1, VLOOKUP(C282,'Tariff Schedule Lookup Table'!I$7:L$286,4,FALSE))</f>
        <v>1</v>
      </c>
      <c r="H282" s="18" t="str">
        <f t="shared" si="44"/>
        <v>1-Unmetered, CE Funded, CE Maintained</v>
      </c>
      <c r="I282" s="123">
        <f>VLOOKUP(F282,'Maintenance Model'!$A$57:$B$61,2,FALSE)</f>
        <v>0</v>
      </c>
      <c r="J282" s="123">
        <f>IF(D282=1,VLOOKUP(C282,'Capital Code Schedules'!A$15:F$300,2,FALSE),IF(D282=2,VLOOKUP(C282,'Capital Code Schedules'!A$15:F$300,3,FALSE),0))</f>
        <v>18.483521869130684</v>
      </c>
      <c r="K282" s="123">
        <v>23.445807346631316</v>
      </c>
      <c r="L282" s="123">
        <f>VLOOKUP(LEFT(A282,10),'Streetlight Tariff Schedule'!B$11:G$260,6, FALSE)+I282</f>
        <v>88.213472891112488</v>
      </c>
      <c r="M282" s="161">
        <f t="shared" si="45"/>
        <v>111.6592802377438</v>
      </c>
      <c r="N282" s="405">
        <f t="shared" si="46"/>
        <v>110.83019582781792</v>
      </c>
      <c r="O282" s="405">
        <v>87.174505450618042</v>
      </c>
      <c r="P282" s="406">
        <v>86.110853736070212</v>
      </c>
      <c r="Q282" s="406">
        <v>89.743857140489609</v>
      </c>
      <c r="R282" s="406">
        <v>90.8338342349725</v>
      </c>
      <c r="S282" s="405">
        <f t="shared" si="47"/>
        <v>115.79593854392046</v>
      </c>
      <c r="T282" s="406">
        <v>93.027904103855803</v>
      </c>
      <c r="U282" s="406">
        <v>94.488958427168896</v>
      </c>
      <c r="V282" s="405">
        <f t="shared" si="48"/>
        <v>120.67440001678366</v>
      </c>
      <c r="W282" s="406">
        <v>96.120372676234354</v>
      </c>
      <c r="X282" s="406">
        <v>98.492125780061002</v>
      </c>
      <c r="Y282" s="405">
        <f t="shared" si="49"/>
        <v>125.94929826180272</v>
      </c>
      <c r="Z282" s="406">
        <v>98.789943905901879</v>
      </c>
      <c r="AA282" s="406">
        <v>101.59448508672287</v>
      </c>
      <c r="AB282" s="442">
        <f t="shared" si="50"/>
        <v>128.59848520411703</v>
      </c>
      <c r="AC282" s="438">
        <f t="shared" si="51"/>
        <v>132.42667653841991</v>
      </c>
      <c r="AD282" s="410"/>
      <c r="AE282" s="411"/>
      <c r="AF282" s="411"/>
      <c r="AG282" s="411"/>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row>
    <row r="283" spans="1:61" x14ac:dyDescent="0.2">
      <c r="A283" s="159" t="s">
        <v>1565</v>
      </c>
      <c r="B283" s="18" t="str">
        <f>VLOOKUP(LEFT(A283,7),'Tariff Schedule Lookup Table'!$A$8:$G$186,2,FALSE)</f>
        <v>Low Pressure Sodium 18</v>
      </c>
      <c r="C283" s="160">
        <f t="shared" si="42"/>
        <v>350</v>
      </c>
      <c r="D283" s="18">
        <f t="shared" si="43"/>
        <v>1</v>
      </c>
      <c r="E283" s="18" t="str">
        <f>VLOOKUP(C283,'Tariff Schedule Lookup Table'!I$7:L$286,2,FALSE)</f>
        <v>HIGH PRESSURE SODIUM 70W (100)</v>
      </c>
      <c r="F283" s="18" t="str">
        <f>IF(E283 = "BULKHEADS ETC", "SHARED OR NO POLE", VLOOKUP(C283,'Tariff Schedule Lookup Table'!I$7:L$286,3,FALSE))</f>
        <v>WOOD POLE</v>
      </c>
      <c r="G283" s="18">
        <f>IF(E283 = "NO CAPITAL", 1, VLOOKUP(C283,'Tariff Schedule Lookup Table'!I$7:L$286,4,FALSE))</f>
        <v>1</v>
      </c>
      <c r="H283" s="18" t="str">
        <f t="shared" si="44"/>
        <v>1-Unmetered, CE Funded, CE Maintained</v>
      </c>
      <c r="I283" s="123">
        <f>VLOOKUP(F283,'Maintenance Model'!$A$57:$B$61,2,FALSE)</f>
        <v>10.731618231111112</v>
      </c>
      <c r="J283" s="123">
        <f>IF(D283=1,VLOOKUP(C283,'Capital Code Schedules'!A$15:F$300,2,FALSE),IF(D283=2,VLOOKUP(C283,'Capital Code Schedules'!A$15:F$300,3,FALSE),0))</f>
        <v>52.384640231006998</v>
      </c>
      <c r="K283" s="123">
        <v>66.448385295553337</v>
      </c>
      <c r="L283" s="123">
        <f>VLOOKUP(LEFT(A283,10),'Streetlight Tariff Schedule'!B$11:G$260,6, FALSE)+I283</f>
        <v>98.945091122223602</v>
      </c>
      <c r="M283" s="161">
        <f t="shared" si="45"/>
        <v>165.39347641777692</v>
      </c>
      <c r="N283" s="405">
        <f t="shared" si="46"/>
        <v>156.74915684914808</v>
      </c>
      <c r="O283" s="405">
        <v>143.58846913825417</v>
      </c>
      <c r="P283" s="406">
        <v>140.57394556465221</v>
      </c>
      <c r="Q283" s="406">
        <v>145.80638274382946</v>
      </c>
      <c r="R283" s="406">
        <v>148.89551577587807</v>
      </c>
      <c r="S283" s="405">
        <f t="shared" si="47"/>
        <v>163.12179606196301</v>
      </c>
      <c r="T283" s="406">
        <v>150.65595938460234</v>
      </c>
      <c r="U283" s="406">
        <v>154.38396169041346</v>
      </c>
      <c r="V283" s="405">
        <f t="shared" si="48"/>
        <v>169.54104993629025</v>
      </c>
      <c r="W283" s="406">
        <v>155.30701386078678</v>
      </c>
      <c r="X283" s="406">
        <v>160.55152963095131</v>
      </c>
      <c r="Y283" s="405">
        <f t="shared" si="49"/>
        <v>176.61657163331736</v>
      </c>
      <c r="Z283" s="406">
        <v>159.49011458996583</v>
      </c>
      <c r="AA283" s="406">
        <v>165.4720360860407</v>
      </c>
      <c r="AB283" s="442">
        <f t="shared" si="50"/>
        <v>180.21011589548456</v>
      </c>
      <c r="AC283" s="438">
        <f t="shared" si="51"/>
        <v>185.55066502998028</v>
      </c>
      <c r="AD283" s="410"/>
      <c r="AE283" s="411"/>
      <c r="AF283" s="411"/>
      <c r="AG283" s="411"/>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row>
    <row r="284" spans="1:61" x14ac:dyDescent="0.2">
      <c r="A284" s="159" t="s">
        <v>1566</v>
      </c>
      <c r="B284" s="18" t="str">
        <f>VLOOKUP(LEFT(A284,7),'Tariff Schedule Lookup Table'!$A$8:$G$186,2,FALSE)</f>
        <v>Low Pressure Sodium 18</v>
      </c>
      <c r="C284" s="160">
        <f t="shared" si="42"/>
        <v>350</v>
      </c>
      <c r="D284" s="18">
        <f t="shared" si="43"/>
        <v>2</v>
      </c>
      <c r="E284" s="18" t="str">
        <f>VLOOKUP(C284,'Tariff Schedule Lookup Table'!I$7:L$286,2,FALSE)</f>
        <v>HIGH PRESSURE SODIUM 70W (100)</v>
      </c>
      <c r="F284" s="18" t="str">
        <f>IF(E284 = "BULKHEADS ETC", "SHARED OR NO POLE", VLOOKUP(C284,'Tariff Schedule Lookup Table'!I$7:L$286,3,FALSE))</f>
        <v>WOOD POLE</v>
      </c>
      <c r="G284" s="18">
        <f>IF(E284 = "NO CAPITAL", 1, VLOOKUP(C284,'Tariff Schedule Lookup Table'!I$7:L$286,4,FALSE))</f>
        <v>1</v>
      </c>
      <c r="H284" s="18" t="str">
        <f t="shared" si="44"/>
        <v>2-Unmetered, Funded by Others, CE Maintained</v>
      </c>
      <c r="I284" s="123">
        <f>VLOOKUP(F284,'Maintenance Model'!$A$57:$B$61,2,FALSE)</f>
        <v>10.731618231111112</v>
      </c>
      <c r="J284" s="123">
        <f>IF(D284=1,VLOOKUP(C284,'Capital Code Schedules'!A$15:F$300,2,FALSE),IF(D284=2,VLOOKUP(C284,'Capital Code Schedules'!A$15:F$300,3,FALSE),0))</f>
        <v>0</v>
      </c>
      <c r="K284" s="123">
        <v>0</v>
      </c>
      <c r="L284" s="123">
        <f>VLOOKUP(LEFT(A284,10),'Streetlight Tariff Schedule'!B$11:G$260,6, FALSE)+I284</f>
        <v>98.945091122223602</v>
      </c>
      <c r="M284" s="161">
        <f t="shared" si="45"/>
        <v>98.945091122223602</v>
      </c>
      <c r="N284" s="405">
        <f t="shared" si="46"/>
        <v>103.06799677242364</v>
      </c>
      <c r="O284" s="405">
        <v>72.480962733033948</v>
      </c>
      <c r="P284" s="406">
        <v>72.480962733033948</v>
      </c>
      <c r="Q284" s="406">
        <v>76.028098587128639</v>
      </c>
      <c r="R284" s="406">
        <v>76.028098587128639</v>
      </c>
      <c r="S284" s="405">
        <f t="shared" si="47"/>
        <v>108.11202727333966</v>
      </c>
      <c r="T284" s="406">
        <v>79.150662695023172</v>
      </c>
      <c r="U284" s="406">
        <v>79.439823111784648</v>
      </c>
      <c r="V284" s="405">
        <f t="shared" si="48"/>
        <v>112.96350273719111</v>
      </c>
      <c r="W284" s="406">
        <v>82.031961078140498</v>
      </c>
      <c r="X284" s="406">
        <v>83.066784754507026</v>
      </c>
      <c r="Y284" s="405">
        <f t="shared" si="49"/>
        <v>118.12104558416875</v>
      </c>
      <c r="Z284" s="406">
        <v>84.401504250949088</v>
      </c>
      <c r="AA284" s="406">
        <v>85.778975980617716</v>
      </c>
      <c r="AB284" s="442">
        <f t="shared" si="50"/>
        <v>120.68506858787094</v>
      </c>
      <c r="AC284" s="438">
        <f t="shared" si="51"/>
        <v>124.29343884571512</v>
      </c>
      <c r="AD284" s="410"/>
      <c r="AE284" s="411"/>
      <c r="AF284" s="411"/>
      <c r="AG284" s="411"/>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row>
    <row r="285" spans="1:61" x14ac:dyDescent="0.2">
      <c r="A285" s="159" t="s">
        <v>1567</v>
      </c>
      <c r="B285" s="18" t="str">
        <f>VLOOKUP(LEFT(A285,7),'Tariff Schedule Lookup Table'!$A$8:$G$186,2,FALSE)</f>
        <v>Low Pressure Sodium 35</v>
      </c>
      <c r="C285" s="160">
        <f t="shared" si="42"/>
        <v>40</v>
      </c>
      <c r="D285" s="18">
        <f t="shared" si="43"/>
        <v>1</v>
      </c>
      <c r="E285" s="18" t="str">
        <f>VLOOKUP(C285,'Tariff Schedule Lookup Table'!I$7:L$286,2,FALSE)</f>
        <v>HIGH PRESSURE SODIUM 70W (100)</v>
      </c>
      <c r="F285" s="18" t="str">
        <f>IF(E285 = "BULKHEADS ETC", "SHARED OR NO POLE", VLOOKUP(C285,'Tariff Schedule Lookup Table'!I$7:L$286,3,FALSE))</f>
        <v>SHARED OR NO POLE</v>
      </c>
      <c r="G285" s="18">
        <f>IF(E285 = "NO CAPITAL", 1, VLOOKUP(C285,'Tariff Schedule Lookup Table'!I$7:L$286,4,FALSE))</f>
        <v>1</v>
      </c>
      <c r="H285" s="18" t="str">
        <f t="shared" si="44"/>
        <v>1-Unmetered, CE Funded, CE Maintained</v>
      </c>
      <c r="I285" s="123">
        <f>VLOOKUP(F285,'Maintenance Model'!$A$57:$B$61,2,FALSE)</f>
        <v>0</v>
      </c>
      <c r="J285" s="123">
        <f>IF(D285=1,VLOOKUP(C285,'Capital Code Schedules'!A$15:F$300,2,FALSE),IF(D285=2,VLOOKUP(C285,'Capital Code Schedules'!A$15:F$300,3,FALSE),0))</f>
        <v>18.483521869130684</v>
      </c>
      <c r="K285" s="123">
        <v>23.445807346631316</v>
      </c>
      <c r="L285" s="123">
        <f>VLOOKUP(LEFT(A285,10),'Streetlight Tariff Schedule'!B$11:G$260,6, FALSE)+I285</f>
        <v>88.213472891112488</v>
      </c>
      <c r="M285" s="161">
        <f t="shared" si="45"/>
        <v>111.6592802377438</v>
      </c>
      <c r="N285" s="405">
        <f t="shared" si="46"/>
        <v>110.83019582781792</v>
      </c>
      <c r="O285" s="405">
        <v>87.174505450618042</v>
      </c>
      <c r="P285" s="406">
        <v>86.110853736070212</v>
      </c>
      <c r="Q285" s="406">
        <v>89.743857140489609</v>
      </c>
      <c r="R285" s="406">
        <v>90.8338342349725</v>
      </c>
      <c r="S285" s="405">
        <f t="shared" si="47"/>
        <v>115.79593854392046</v>
      </c>
      <c r="T285" s="406">
        <v>93.027904103855803</v>
      </c>
      <c r="U285" s="406">
        <v>94.488958427168896</v>
      </c>
      <c r="V285" s="405">
        <f t="shared" si="48"/>
        <v>120.67440001678366</v>
      </c>
      <c r="W285" s="406">
        <v>96.120372676234354</v>
      </c>
      <c r="X285" s="406">
        <v>98.492125780061002</v>
      </c>
      <c r="Y285" s="405">
        <f t="shared" si="49"/>
        <v>125.94929826180272</v>
      </c>
      <c r="Z285" s="406">
        <v>98.789943905901879</v>
      </c>
      <c r="AA285" s="406">
        <v>101.59448508672287</v>
      </c>
      <c r="AB285" s="442">
        <f t="shared" si="50"/>
        <v>128.59848520411703</v>
      </c>
      <c r="AC285" s="438">
        <f t="shared" si="51"/>
        <v>132.42667653841991</v>
      </c>
      <c r="AD285" s="410"/>
      <c r="AE285" s="411"/>
      <c r="AF285" s="411"/>
      <c r="AG285" s="411"/>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row>
    <row r="286" spans="1:61" x14ac:dyDescent="0.2">
      <c r="A286" s="159" t="s">
        <v>1568</v>
      </c>
      <c r="B286" s="18" t="str">
        <f>VLOOKUP(LEFT(A286,7),'Tariff Schedule Lookup Table'!$A$8:$G$186,2,FALSE)</f>
        <v>Low Pressure Sodium 35</v>
      </c>
      <c r="C286" s="160">
        <f t="shared" si="42"/>
        <v>40</v>
      </c>
      <c r="D286" s="18">
        <f t="shared" si="43"/>
        <v>2</v>
      </c>
      <c r="E286" s="18" t="str">
        <f>VLOOKUP(C286,'Tariff Schedule Lookup Table'!I$7:L$286,2,FALSE)</f>
        <v>HIGH PRESSURE SODIUM 70W (100)</v>
      </c>
      <c r="F286" s="18" t="str">
        <f>IF(E286 = "BULKHEADS ETC", "SHARED OR NO POLE", VLOOKUP(C286,'Tariff Schedule Lookup Table'!I$7:L$286,3,FALSE))</f>
        <v>SHARED OR NO POLE</v>
      </c>
      <c r="G286" s="18">
        <f>IF(E286 = "NO CAPITAL", 1, VLOOKUP(C286,'Tariff Schedule Lookup Table'!I$7:L$286,4,FALSE))</f>
        <v>1</v>
      </c>
      <c r="H286" s="18" t="str">
        <f t="shared" si="44"/>
        <v>2-Unmetered, Funded by Others, CE Maintained</v>
      </c>
      <c r="I286" s="123">
        <f>VLOOKUP(F286,'Maintenance Model'!$A$57:$B$61,2,FALSE)</f>
        <v>0</v>
      </c>
      <c r="J286" s="123">
        <f>IF(D286=1,VLOOKUP(C286,'Capital Code Schedules'!A$15:F$300,2,FALSE),IF(D286=2,VLOOKUP(C286,'Capital Code Schedules'!A$15:F$300,3,FALSE),0))</f>
        <v>0</v>
      </c>
      <c r="K286" s="123">
        <v>0</v>
      </c>
      <c r="L286" s="123">
        <f>VLOOKUP(LEFT(A286,10),'Streetlight Tariff Schedule'!B$11:G$260,6, FALSE)+I286</f>
        <v>88.213472891112488</v>
      </c>
      <c r="M286" s="161">
        <f t="shared" si="45"/>
        <v>88.213472891112488</v>
      </c>
      <c r="N286" s="405">
        <f t="shared" si="46"/>
        <v>91.889206792426251</v>
      </c>
      <c r="O286" s="405">
        <v>62.08476265760978</v>
      </c>
      <c r="P286" s="406">
        <v>62.08476265760978</v>
      </c>
      <c r="Q286" s="406">
        <v>65.123120307837269</v>
      </c>
      <c r="R286" s="406">
        <v>65.123120307837269</v>
      </c>
      <c r="S286" s="405">
        <f t="shared" si="47"/>
        <v>96.38616002990284</v>
      </c>
      <c r="T286" s="406">
        <v>67.797804034595316</v>
      </c>
      <c r="U286" s="406">
        <v>68.045489153110324</v>
      </c>
      <c r="V286" s="405">
        <f t="shared" si="48"/>
        <v>100.71144281511657</v>
      </c>
      <c r="W286" s="406">
        <v>70.265827630259651</v>
      </c>
      <c r="X286" s="406">
        <v>71.152222897611821</v>
      </c>
      <c r="Y286" s="405">
        <f t="shared" si="49"/>
        <v>105.3095968109991</v>
      </c>
      <c r="Z286" s="406">
        <v>72.295498870039324</v>
      </c>
      <c r="AA286" s="406">
        <v>73.475394972123894</v>
      </c>
      <c r="AB286" s="442">
        <f t="shared" si="50"/>
        <v>107.59552500777924</v>
      </c>
      <c r="AC286" s="438">
        <f t="shared" si="51"/>
        <v>110.81253020036871</v>
      </c>
      <c r="AD286" s="410"/>
      <c r="AE286" s="411"/>
      <c r="AF286" s="411"/>
      <c r="AG286" s="411"/>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row>
    <row r="287" spans="1:61" x14ac:dyDescent="0.2">
      <c r="A287" s="159" t="s">
        <v>1569</v>
      </c>
      <c r="B287" s="18" t="str">
        <f>VLOOKUP(LEFT(A287,7),'Tariff Schedule Lookup Table'!$A$8:$G$186,2,FALSE)</f>
        <v>Low Pressure Sodium 55</v>
      </c>
      <c r="C287" s="160">
        <f t="shared" si="42"/>
        <v>40</v>
      </c>
      <c r="D287" s="18">
        <f t="shared" si="43"/>
        <v>1</v>
      </c>
      <c r="E287" s="18" t="str">
        <f>VLOOKUP(C287,'Tariff Schedule Lookup Table'!I$7:L$286,2,FALSE)</f>
        <v>HIGH PRESSURE SODIUM 70W (100)</v>
      </c>
      <c r="F287" s="18" t="str">
        <f>IF(E287 = "BULKHEADS ETC", "SHARED OR NO POLE", VLOOKUP(C287,'Tariff Schedule Lookup Table'!I$7:L$286,3,FALSE))</f>
        <v>SHARED OR NO POLE</v>
      </c>
      <c r="G287" s="18">
        <f>IF(E287 = "NO CAPITAL", 1, VLOOKUP(C287,'Tariff Schedule Lookup Table'!I$7:L$286,4,FALSE))</f>
        <v>1</v>
      </c>
      <c r="H287" s="18" t="str">
        <f t="shared" si="44"/>
        <v>1-Unmetered, CE Funded, CE Maintained</v>
      </c>
      <c r="I287" s="123">
        <f>VLOOKUP(F287,'Maintenance Model'!$A$57:$B$61,2,FALSE)</f>
        <v>0</v>
      </c>
      <c r="J287" s="123">
        <f>IF(D287=1,VLOOKUP(C287,'Capital Code Schedules'!A$15:F$300,2,FALSE),IF(D287=2,VLOOKUP(C287,'Capital Code Schedules'!A$15:F$300,3,FALSE),0))</f>
        <v>18.483521869130684</v>
      </c>
      <c r="K287" s="123">
        <v>23.445807346631316</v>
      </c>
      <c r="L287" s="123">
        <f>VLOOKUP(LEFT(A287,10),'Streetlight Tariff Schedule'!B$11:G$260,6, FALSE)+I287</f>
        <v>88.213472891112488</v>
      </c>
      <c r="M287" s="161">
        <f t="shared" si="45"/>
        <v>111.6592802377438</v>
      </c>
      <c r="N287" s="405">
        <f t="shared" si="46"/>
        <v>110.83019582781792</v>
      </c>
      <c r="O287" s="405">
        <v>87.174505450618042</v>
      </c>
      <c r="P287" s="406">
        <v>86.110853736070212</v>
      </c>
      <c r="Q287" s="406">
        <v>89.743857140489609</v>
      </c>
      <c r="R287" s="406">
        <v>90.8338342349725</v>
      </c>
      <c r="S287" s="405">
        <f t="shared" si="47"/>
        <v>115.79593854392046</v>
      </c>
      <c r="T287" s="406">
        <v>93.027904103855803</v>
      </c>
      <c r="U287" s="406">
        <v>94.488958427168896</v>
      </c>
      <c r="V287" s="405">
        <f t="shared" si="48"/>
        <v>120.67440001678366</v>
      </c>
      <c r="W287" s="406">
        <v>96.120372676234354</v>
      </c>
      <c r="X287" s="406">
        <v>98.492125780061002</v>
      </c>
      <c r="Y287" s="405">
        <f t="shared" si="49"/>
        <v>125.94929826180272</v>
      </c>
      <c r="Z287" s="406">
        <v>98.789943905901879</v>
      </c>
      <c r="AA287" s="406">
        <v>101.59448508672287</v>
      </c>
      <c r="AB287" s="442">
        <f t="shared" si="50"/>
        <v>128.59848520411703</v>
      </c>
      <c r="AC287" s="438">
        <f t="shared" si="51"/>
        <v>132.42667653841991</v>
      </c>
      <c r="AD287" s="410"/>
      <c r="AE287" s="411"/>
      <c r="AF287" s="411"/>
      <c r="AG287" s="411"/>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row>
    <row r="288" spans="1:61" x14ac:dyDescent="0.2">
      <c r="A288" s="159" t="s">
        <v>1579</v>
      </c>
      <c r="B288" s="18" t="str">
        <f>VLOOKUP(LEFT(A288,7),'Tariff Schedule Lookup Table'!$A$8:$G$186,2,FALSE)</f>
        <v>Low Pressure Sodium 55</v>
      </c>
      <c r="C288" s="160">
        <f t="shared" si="42"/>
        <v>40</v>
      </c>
      <c r="D288" s="18">
        <f t="shared" si="43"/>
        <v>2</v>
      </c>
      <c r="E288" s="18" t="str">
        <f>VLOOKUP(C288,'Tariff Schedule Lookup Table'!I$7:L$286,2,FALSE)</f>
        <v>HIGH PRESSURE SODIUM 70W (100)</v>
      </c>
      <c r="F288" s="18" t="str">
        <f>IF(E288 = "BULKHEADS ETC", "SHARED OR NO POLE", VLOOKUP(C288,'Tariff Schedule Lookup Table'!I$7:L$286,3,FALSE))</f>
        <v>SHARED OR NO POLE</v>
      </c>
      <c r="G288" s="18">
        <f>IF(E288 = "NO CAPITAL", 1, VLOOKUP(C288,'Tariff Schedule Lookup Table'!I$7:L$286,4,FALSE))</f>
        <v>1</v>
      </c>
      <c r="H288" s="18" t="str">
        <f t="shared" si="44"/>
        <v>2-Unmetered, Funded by Others, CE Maintained</v>
      </c>
      <c r="I288" s="123">
        <f>VLOOKUP(F288,'Maintenance Model'!$A$57:$B$61,2,FALSE)</f>
        <v>0</v>
      </c>
      <c r="J288" s="123">
        <f>IF(D288=1,VLOOKUP(C288,'Capital Code Schedules'!A$15:F$300,2,FALSE),IF(D288=2,VLOOKUP(C288,'Capital Code Schedules'!A$15:F$300,3,FALSE),0))</f>
        <v>0</v>
      </c>
      <c r="K288" s="123">
        <v>0</v>
      </c>
      <c r="L288" s="123">
        <f>VLOOKUP(LEFT(A288,10),'Streetlight Tariff Schedule'!B$11:G$260,6, FALSE)+I288</f>
        <v>88.213472891112488</v>
      </c>
      <c r="M288" s="161">
        <f t="shared" si="45"/>
        <v>88.213472891112488</v>
      </c>
      <c r="N288" s="405">
        <f t="shared" si="46"/>
        <v>91.889206792426251</v>
      </c>
      <c r="O288" s="405">
        <v>62.08476265760978</v>
      </c>
      <c r="P288" s="406">
        <v>62.08476265760978</v>
      </c>
      <c r="Q288" s="406">
        <v>65.123120307837269</v>
      </c>
      <c r="R288" s="406">
        <v>65.123120307837269</v>
      </c>
      <c r="S288" s="405">
        <f t="shared" si="47"/>
        <v>96.38616002990284</v>
      </c>
      <c r="T288" s="406">
        <v>67.797804034595316</v>
      </c>
      <c r="U288" s="406">
        <v>68.045489153110324</v>
      </c>
      <c r="V288" s="405">
        <f t="shared" si="48"/>
        <v>100.71144281511657</v>
      </c>
      <c r="W288" s="406">
        <v>70.265827630259651</v>
      </c>
      <c r="X288" s="406">
        <v>71.152222897611821</v>
      </c>
      <c r="Y288" s="405">
        <f t="shared" si="49"/>
        <v>105.3095968109991</v>
      </c>
      <c r="Z288" s="406">
        <v>72.295498870039324</v>
      </c>
      <c r="AA288" s="406">
        <v>73.475394972123894</v>
      </c>
      <c r="AB288" s="442">
        <f t="shared" si="50"/>
        <v>107.59552500777924</v>
      </c>
      <c r="AC288" s="438">
        <f t="shared" si="51"/>
        <v>110.81253020036871</v>
      </c>
      <c r="AD288" s="410"/>
      <c r="AE288" s="411"/>
      <c r="AF288" s="411"/>
      <c r="AG288" s="411"/>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row>
    <row r="289" spans="1:61" x14ac:dyDescent="0.2">
      <c r="A289" s="159" t="s">
        <v>1580</v>
      </c>
      <c r="B289" s="18" t="str">
        <f>VLOOKUP(LEFT(A289,7),'Tariff Schedule Lookup Table'!$A$8:$G$186,2,FALSE)</f>
        <v>Low Pressure Sodium 55</v>
      </c>
      <c r="C289" s="160">
        <f t="shared" si="42"/>
        <v>360</v>
      </c>
      <c r="D289" s="18">
        <f t="shared" si="43"/>
        <v>1</v>
      </c>
      <c r="E289" s="18" t="str">
        <f>VLOOKUP(C289,'Tariff Schedule Lookup Table'!I$7:L$286,2,FALSE)</f>
        <v>HIGH PRESSURE SODIUM 70W (100)</v>
      </c>
      <c r="F289" s="18" t="str">
        <f>IF(E289 = "BULKHEADS ETC", "SHARED OR NO POLE", VLOOKUP(C289,'Tariff Schedule Lookup Table'!I$7:L$286,3,FALSE))</f>
        <v>STEEL POLE</v>
      </c>
      <c r="G289" s="18">
        <f>IF(E289 = "NO CAPITAL", 1, VLOOKUP(C289,'Tariff Schedule Lookup Table'!I$7:L$286,4,FALSE))</f>
        <v>1</v>
      </c>
      <c r="H289" s="18" t="str">
        <f t="shared" si="44"/>
        <v>1-Unmetered, CE Funded, CE Maintained</v>
      </c>
      <c r="I289" s="123">
        <f>VLOOKUP(F289,'Maintenance Model'!$A$57:$B$61,2,FALSE)</f>
        <v>9.9616182311111103</v>
      </c>
      <c r="J289" s="123">
        <f>IF(D289=1,VLOOKUP(C289,'Capital Code Schedules'!A$15:F$300,2,FALSE),IF(D289=2,VLOOKUP(C289,'Capital Code Schedules'!A$15:F$300,3,FALSE),0))</f>
        <v>87.482155888651974</v>
      </c>
      <c r="K289" s="123">
        <v>110.96855825181379</v>
      </c>
      <c r="L289" s="123">
        <f>VLOOKUP(LEFT(A289,10),'Streetlight Tariff Schedule'!B$11:G$260,6, FALSE)+I289</f>
        <v>98.175091122223591</v>
      </c>
      <c r="M289" s="161">
        <f t="shared" si="45"/>
        <v>209.14364937403738</v>
      </c>
      <c r="N289" s="405">
        <f t="shared" si="46"/>
        <v>191.91325117999472</v>
      </c>
      <c r="O289" s="405">
        <v>190.4281512067046</v>
      </c>
      <c r="P289" s="406">
        <v>185.39390796225516</v>
      </c>
      <c r="Q289" s="406">
        <v>191.7162376910469</v>
      </c>
      <c r="R289" s="406">
        <v>196.87507845579646</v>
      </c>
      <c r="S289" s="405">
        <f t="shared" si="47"/>
        <v>199.13680020777198</v>
      </c>
      <c r="T289" s="406">
        <v>197.68835160922768</v>
      </c>
      <c r="U289" s="406">
        <v>203.71716540043525</v>
      </c>
      <c r="V289" s="405">
        <f t="shared" si="48"/>
        <v>206.56870519398049</v>
      </c>
      <c r="W289" s="406">
        <v>203.49325127190502</v>
      </c>
      <c r="X289" s="406">
        <v>211.54679370253189</v>
      </c>
      <c r="Y289" s="405">
        <f t="shared" si="49"/>
        <v>214.88912916003233</v>
      </c>
      <c r="Z289" s="406">
        <v>208.86520716369819</v>
      </c>
      <c r="AA289" s="406">
        <v>217.91684971122075</v>
      </c>
      <c r="AB289" s="442">
        <f t="shared" si="50"/>
        <v>219.15249539844655</v>
      </c>
      <c r="AC289" s="438">
        <f t="shared" si="51"/>
        <v>225.62551731209612</v>
      </c>
      <c r="AD289" s="410"/>
      <c r="AE289" s="411"/>
      <c r="AF289" s="411"/>
      <c r="AG289" s="411"/>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row>
    <row r="290" spans="1:61" x14ac:dyDescent="0.2">
      <c r="A290" s="159" t="s">
        <v>1581</v>
      </c>
      <c r="B290" s="18" t="str">
        <f>VLOOKUP(LEFT(A290,7),'Tariff Schedule Lookup Table'!$A$8:$G$186,2,FALSE)</f>
        <v>Low Pressure Sodium 90/100</v>
      </c>
      <c r="C290" s="160">
        <f t="shared" si="42"/>
        <v>50</v>
      </c>
      <c r="D290" s="18">
        <f t="shared" si="43"/>
        <v>1</v>
      </c>
      <c r="E290" s="18" t="str">
        <f>VLOOKUP(C290,'Tariff Schedule Lookup Table'!I$7:L$286,2,FALSE)</f>
        <v>HIGH PRESSURE SODIUM 150W</v>
      </c>
      <c r="F290" s="18" t="str">
        <f>IF(E290 = "BULKHEADS ETC", "SHARED OR NO POLE", VLOOKUP(C290,'Tariff Schedule Lookup Table'!I$7:L$286,3,FALSE))</f>
        <v>SHARED OR NO POLE</v>
      </c>
      <c r="G290" s="18">
        <f>IF(E290 = "NO CAPITAL", 1, VLOOKUP(C290,'Tariff Schedule Lookup Table'!I$7:L$286,4,FALSE))</f>
        <v>1</v>
      </c>
      <c r="H290" s="18" t="str">
        <f t="shared" si="44"/>
        <v>1-Unmetered, CE Funded, CE Maintained</v>
      </c>
      <c r="I290" s="123">
        <f>VLOOKUP(F290,'Maintenance Model'!$A$57:$B$61,2,FALSE)</f>
        <v>0</v>
      </c>
      <c r="J290" s="123">
        <f>IF(D290=1,VLOOKUP(C290,'Capital Code Schedules'!A$15:F$300,2,FALSE),IF(D290=2,VLOOKUP(C290,'Capital Code Schedules'!A$15:F$300,3,FALSE),0))</f>
        <v>32.009790998230237</v>
      </c>
      <c r="K290" s="123">
        <v>40.603484458437606</v>
      </c>
      <c r="L290" s="123">
        <f>VLOOKUP(LEFT(A290,10),'Streetlight Tariff Schedule'!B$11:G$260,6, FALSE)+I290</f>
        <v>89.735254516112477</v>
      </c>
      <c r="M290" s="161">
        <f t="shared" si="45"/>
        <v>130.3387389745501</v>
      </c>
      <c r="N290" s="405">
        <f t="shared" si="46"/>
        <v>126.27643228692223</v>
      </c>
      <c r="O290" s="405">
        <v>107.14259045758614</v>
      </c>
      <c r="P290" s="406">
        <v>105.30055681710078</v>
      </c>
      <c r="Q290" s="406">
        <v>109.447385908071</v>
      </c>
      <c r="R290" s="406">
        <v>111.33500988115837</v>
      </c>
      <c r="S290" s="405">
        <f t="shared" si="47"/>
        <v>131.66281335047375</v>
      </c>
      <c r="T290" s="406">
        <v>113.24661332201583</v>
      </c>
      <c r="U290" s="406">
        <v>115.60202561956908</v>
      </c>
      <c r="V290" s="405">
        <f t="shared" si="48"/>
        <v>137.02070781260281</v>
      </c>
      <c r="W290" s="406">
        <v>116.85994875776954</v>
      </c>
      <c r="X290" s="406">
        <v>120.34163772095931</v>
      </c>
      <c r="Y290" s="405">
        <f t="shared" si="49"/>
        <v>142.87017184609508</v>
      </c>
      <c r="Z290" s="406">
        <v>120.05034791759977</v>
      </c>
      <c r="AA290" s="406">
        <v>124.07435430302894</v>
      </c>
      <c r="AB290" s="442">
        <f t="shared" si="50"/>
        <v>145.82462691772432</v>
      </c>
      <c r="AC290" s="438">
        <f t="shared" si="51"/>
        <v>150.15558214849997</v>
      </c>
      <c r="AD290" s="410"/>
      <c r="AE290" s="411"/>
      <c r="AF290" s="411"/>
      <c r="AG290" s="411"/>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row>
    <row r="291" spans="1:61" x14ac:dyDescent="0.2">
      <c r="A291" s="159" t="s">
        <v>1582</v>
      </c>
      <c r="B291" s="18" t="str">
        <f>VLOOKUP(LEFT(A291,7),'Tariff Schedule Lookup Table'!$A$8:$G$186,2,FALSE)</f>
        <v>Low Pressure Sodium 90/100</v>
      </c>
      <c r="C291" s="160">
        <f t="shared" si="42"/>
        <v>50</v>
      </c>
      <c r="D291" s="18">
        <f t="shared" si="43"/>
        <v>2</v>
      </c>
      <c r="E291" s="18" t="str">
        <f>VLOOKUP(C291,'Tariff Schedule Lookup Table'!I$7:L$286,2,FALSE)</f>
        <v>HIGH PRESSURE SODIUM 150W</v>
      </c>
      <c r="F291" s="18" t="str">
        <f>IF(E291 = "BULKHEADS ETC", "SHARED OR NO POLE", VLOOKUP(C291,'Tariff Schedule Lookup Table'!I$7:L$286,3,FALSE))</f>
        <v>SHARED OR NO POLE</v>
      </c>
      <c r="G291" s="18">
        <f>IF(E291 = "NO CAPITAL", 1, VLOOKUP(C291,'Tariff Schedule Lookup Table'!I$7:L$286,4,FALSE))</f>
        <v>1</v>
      </c>
      <c r="H291" s="18" t="str">
        <f t="shared" si="44"/>
        <v>2-Unmetered, Funded by Others, CE Maintained</v>
      </c>
      <c r="I291" s="123">
        <f>VLOOKUP(F291,'Maintenance Model'!$A$57:$B$61,2,FALSE)</f>
        <v>0</v>
      </c>
      <c r="J291" s="123">
        <f>IF(D291=1,VLOOKUP(C291,'Capital Code Schedules'!A$15:F$300,2,FALSE),IF(D291=2,VLOOKUP(C291,'Capital Code Schedules'!A$15:F$300,3,FALSE),0))</f>
        <v>0</v>
      </c>
      <c r="K291" s="123">
        <v>0</v>
      </c>
      <c r="L291" s="123">
        <f>VLOOKUP(LEFT(A291,10),'Streetlight Tariff Schedule'!B$11:G$260,6, FALSE)+I291</f>
        <v>89.735254516112477</v>
      </c>
      <c r="M291" s="161">
        <f t="shared" si="45"/>
        <v>89.735254516112477</v>
      </c>
      <c r="N291" s="405">
        <f t="shared" si="46"/>
        <v>93.47439896148579</v>
      </c>
      <c r="O291" s="405">
        <v>63.692136118316853</v>
      </c>
      <c r="P291" s="406">
        <v>63.692136118316853</v>
      </c>
      <c r="Q291" s="406">
        <v>66.80915679699217</v>
      </c>
      <c r="R291" s="406">
        <v>66.80915679699217</v>
      </c>
      <c r="S291" s="405">
        <f t="shared" si="47"/>
        <v>98.048929700232776</v>
      </c>
      <c r="T291" s="406">
        <v>69.553088040437785</v>
      </c>
      <c r="U291" s="406">
        <v>69.807185722504144</v>
      </c>
      <c r="V291" s="405">
        <f t="shared" si="48"/>
        <v>102.44882847832994</v>
      </c>
      <c r="W291" s="406">
        <v>72.085008725472463</v>
      </c>
      <c r="X291" s="406">
        <v>72.994352751383886</v>
      </c>
      <c r="Y291" s="405">
        <f t="shared" si="49"/>
        <v>107.12630580239039</v>
      </c>
      <c r="Z291" s="406">
        <v>74.167228119503335</v>
      </c>
      <c r="AA291" s="406">
        <v>75.377671711820597</v>
      </c>
      <c r="AB291" s="442">
        <f t="shared" si="50"/>
        <v>109.45166883165041</v>
      </c>
      <c r="AC291" s="438">
        <f t="shared" si="51"/>
        <v>112.72417098212131</v>
      </c>
      <c r="AD291" s="410"/>
      <c r="AE291" s="411"/>
      <c r="AF291" s="411"/>
      <c r="AG291" s="411"/>
    </row>
    <row r="292" spans="1:61" x14ac:dyDescent="0.2">
      <c r="A292" s="159" t="s">
        <v>1583</v>
      </c>
      <c r="B292" s="18" t="str">
        <f>VLOOKUP(LEFT(A292,7),'Tariff Schedule Lookup Table'!$A$8:$G$186,2,FALSE)</f>
        <v>Low Pressure Sodium 90/100</v>
      </c>
      <c r="C292" s="160">
        <f t="shared" si="42"/>
        <v>60</v>
      </c>
      <c r="D292" s="18">
        <f t="shared" si="43"/>
        <v>1</v>
      </c>
      <c r="E292" s="18" t="str">
        <f>VLOOKUP(C292,'Tariff Schedule Lookup Table'!I$7:L$286,2,FALSE)</f>
        <v>HIGH PRESSURE SODIUM 250W (210/220)</v>
      </c>
      <c r="F292" s="18" t="str">
        <f>IF(E292 = "BULKHEADS ETC", "SHARED OR NO POLE", VLOOKUP(C292,'Tariff Schedule Lookup Table'!I$7:L$286,3,FALSE))</f>
        <v>SHARED OR NO POLE</v>
      </c>
      <c r="G292" s="18">
        <f>IF(E292 = "NO CAPITAL", 1, VLOOKUP(C292,'Tariff Schedule Lookup Table'!I$7:L$286,4,FALSE))</f>
        <v>1</v>
      </c>
      <c r="H292" s="18" t="str">
        <f t="shared" si="44"/>
        <v>1-Unmetered, CE Funded, CE Maintained</v>
      </c>
      <c r="I292" s="123">
        <f>VLOOKUP(F292,'Maintenance Model'!$A$57:$B$61,2,FALSE)</f>
        <v>0</v>
      </c>
      <c r="J292" s="123">
        <f>IF(D292=1,VLOOKUP(C292,'Capital Code Schedules'!A$15:F$300,2,FALSE),IF(D292=2,VLOOKUP(C292,'Capital Code Schedules'!A$15:F$300,3,FALSE),0))</f>
        <v>32.138130136529035</v>
      </c>
      <c r="K292" s="123">
        <v>40.766278904912198</v>
      </c>
      <c r="L292" s="123">
        <f>VLOOKUP(LEFT(A292,10),'Streetlight Tariff Schedule'!B$11:G$260,6, FALSE)+I292</f>
        <v>89.735254516112477</v>
      </c>
      <c r="M292" s="161">
        <f t="shared" si="45"/>
        <v>130.50153342102467</v>
      </c>
      <c r="N292" s="405">
        <f t="shared" si="46"/>
        <v>126.40794781889392</v>
      </c>
      <c r="O292" s="405">
        <v>107.31679946347752</v>
      </c>
      <c r="P292" s="406">
        <v>105.46738042612563</v>
      </c>
      <c r="Q292" s="406">
        <v>109.61833840141922</v>
      </c>
      <c r="R292" s="406">
        <v>111.51353055994558</v>
      </c>
      <c r="S292" s="405">
        <f t="shared" si="47"/>
        <v>131.79758389186176</v>
      </c>
      <c r="T292" s="406">
        <v>113.42179688957441</v>
      </c>
      <c r="U292" s="406">
        <v>115.78563413770172</v>
      </c>
      <c r="V292" s="405">
        <f t="shared" si="48"/>
        <v>137.15931931442034</v>
      </c>
      <c r="W292" s="406">
        <v>117.03946811862521</v>
      </c>
      <c r="X292" s="406">
        <v>120.53147056785664</v>
      </c>
      <c r="Y292" s="405">
        <f t="shared" si="49"/>
        <v>143.01348227782424</v>
      </c>
      <c r="Z292" s="406">
        <v>120.23431038263661</v>
      </c>
      <c r="AA292" s="406">
        <v>124.26959738606286</v>
      </c>
      <c r="AB292" s="442">
        <f t="shared" si="50"/>
        <v>145.9704596130519</v>
      </c>
      <c r="AC292" s="438">
        <f t="shared" si="51"/>
        <v>150.30565857526162</v>
      </c>
      <c r="AD292" s="410"/>
      <c r="AE292" s="411"/>
      <c r="AF292" s="411"/>
      <c r="AG292" s="411"/>
    </row>
    <row r="293" spans="1:61" x14ac:dyDescent="0.2">
      <c r="A293" s="159" t="s">
        <v>1584</v>
      </c>
      <c r="B293" s="18" t="str">
        <f>VLOOKUP(LEFT(A293,7),'Tariff Schedule Lookup Table'!$A$8:$G$186,2,FALSE)</f>
        <v>Low Pressure Sodium 90/100</v>
      </c>
      <c r="C293" s="160">
        <f t="shared" si="42"/>
        <v>220</v>
      </c>
      <c r="D293" s="18">
        <f t="shared" si="43"/>
        <v>1</v>
      </c>
      <c r="E293" s="18" t="str">
        <f>VLOOKUP(C293,'Tariff Schedule Lookup Table'!I$7:L$286,2,FALSE)</f>
        <v>HIGH PRESSURE SODIUM 150W</v>
      </c>
      <c r="F293" s="18" t="str">
        <f>IF(E293 = "BULKHEADS ETC", "SHARED OR NO POLE", VLOOKUP(C293,'Tariff Schedule Lookup Table'!I$7:L$286,3,FALSE))</f>
        <v>WOOD POLE</v>
      </c>
      <c r="G293" s="18">
        <f>IF(E293 = "NO CAPITAL", 1, VLOOKUP(C293,'Tariff Schedule Lookup Table'!I$7:L$286,4,FALSE))</f>
        <v>1</v>
      </c>
      <c r="H293" s="18" t="str">
        <f t="shared" si="44"/>
        <v>1-Unmetered, CE Funded, CE Maintained</v>
      </c>
      <c r="I293" s="123">
        <f>VLOOKUP(F293,'Maintenance Model'!$A$57:$B$61,2,FALSE)</f>
        <v>10.731618231111112</v>
      </c>
      <c r="J293" s="123">
        <f>IF(D293=1,VLOOKUP(C293,'Capital Code Schedules'!A$15:F$300,2,FALSE),IF(D293=2,VLOOKUP(C293,'Capital Code Schedules'!A$15:F$300,3,FALSE),0))</f>
        <v>65.91090936010653</v>
      </c>
      <c r="K293" s="123">
        <v>83.606062407359644</v>
      </c>
      <c r="L293" s="123">
        <f>VLOOKUP(LEFT(A293,10),'Streetlight Tariff Schedule'!B$11:G$260,6, FALSE)+I293</f>
        <v>100.46687274722359</v>
      </c>
      <c r="M293" s="161">
        <f t="shared" si="45"/>
        <v>184.07293515458323</v>
      </c>
      <c r="N293" s="405">
        <f t="shared" si="46"/>
        <v>172.19539330825236</v>
      </c>
      <c r="O293" s="405">
        <v>163.55655414522229</v>
      </c>
      <c r="P293" s="406">
        <v>159.76364864568282</v>
      </c>
      <c r="Q293" s="406">
        <v>165.50991151141091</v>
      </c>
      <c r="R293" s="406">
        <v>169.39669142206398</v>
      </c>
      <c r="S293" s="405">
        <f t="shared" si="47"/>
        <v>178.98867086851632</v>
      </c>
      <c r="T293" s="406">
        <v>170.8746686027624</v>
      </c>
      <c r="U293" s="406">
        <v>175.49702888281365</v>
      </c>
      <c r="V293" s="405">
        <f t="shared" si="48"/>
        <v>185.88735773210934</v>
      </c>
      <c r="W293" s="406">
        <v>176.04658994232202</v>
      </c>
      <c r="X293" s="406">
        <v>182.40104157184967</v>
      </c>
      <c r="Y293" s="405">
        <f t="shared" si="49"/>
        <v>193.53744521760967</v>
      </c>
      <c r="Z293" s="406">
        <v>180.7505186016638</v>
      </c>
      <c r="AA293" s="406">
        <v>187.9519053023468</v>
      </c>
      <c r="AB293" s="442">
        <f t="shared" si="50"/>
        <v>197.43625760909183</v>
      </c>
      <c r="AC293" s="438">
        <f t="shared" si="51"/>
        <v>203.27957064006031</v>
      </c>
      <c r="AD293" s="410"/>
      <c r="AE293" s="411"/>
      <c r="AF293" s="411"/>
      <c r="AG293" s="411"/>
    </row>
    <row r="294" spans="1:61" x14ac:dyDescent="0.2">
      <c r="A294" s="159" t="s">
        <v>1585</v>
      </c>
      <c r="B294" s="18" t="str">
        <f>VLOOKUP(LEFT(A294,7),'Tariff Schedule Lookup Table'!$A$8:$G$186,2,FALSE)</f>
        <v>Low Pressure Sodium 90/100</v>
      </c>
      <c r="C294" s="160">
        <f t="shared" si="42"/>
        <v>310</v>
      </c>
      <c r="D294" s="18">
        <f t="shared" si="43"/>
        <v>1</v>
      </c>
      <c r="E294" s="18" t="str">
        <f>VLOOKUP(C294,'Tariff Schedule Lookup Table'!I$7:L$286,2,FALSE)</f>
        <v>HIGH PRESSURE SODIUM 150W</v>
      </c>
      <c r="F294" s="18" t="str">
        <f>IF(E294 = "BULKHEADS ETC", "SHARED OR NO POLE", VLOOKUP(C294,'Tariff Schedule Lookup Table'!I$7:L$286,3,FALSE))</f>
        <v>STEEL POLE</v>
      </c>
      <c r="G294" s="18">
        <f>IF(E294 = "NO CAPITAL", 1, VLOOKUP(C294,'Tariff Schedule Lookup Table'!I$7:L$286,4,FALSE))</f>
        <v>1</v>
      </c>
      <c r="H294" s="18" t="str">
        <f t="shared" si="44"/>
        <v>1-Unmetered, CE Funded, CE Maintained</v>
      </c>
      <c r="I294" s="123">
        <f>VLOOKUP(F294,'Maintenance Model'!$A$57:$B$61,2,FALSE)</f>
        <v>9.9616182311111103</v>
      </c>
      <c r="J294" s="123">
        <f>IF(D294=1,VLOOKUP(C294,'Capital Code Schedules'!A$15:F$300,2,FALSE),IF(D294=2,VLOOKUP(C294,'Capital Code Schedules'!A$15:F$300,3,FALSE),0))</f>
        <v>92.1941745337366</v>
      </c>
      <c r="K294" s="123">
        <v>116.94561620368043</v>
      </c>
      <c r="L294" s="123">
        <f>VLOOKUP(LEFT(A294,10),'Streetlight Tariff Schedule'!B$11:G$260,6, FALSE)+I294</f>
        <v>99.69687274722358</v>
      </c>
      <c r="M294" s="161">
        <f t="shared" si="45"/>
        <v>216.64248895090401</v>
      </c>
      <c r="N294" s="405">
        <f t="shared" si="46"/>
        <v>198.32708445560476</v>
      </c>
      <c r="O294" s="405">
        <v>198.43167236470074</v>
      </c>
      <c r="P294" s="406">
        <v>193.12627155913754</v>
      </c>
      <c r="Q294" s="406">
        <v>199.67885782224744</v>
      </c>
      <c r="R294" s="406">
        <v>205.11556729774833</v>
      </c>
      <c r="S294" s="405">
        <f t="shared" si="47"/>
        <v>205.74771985203952</v>
      </c>
      <c r="T294" s="406">
        <v>205.87556470225641</v>
      </c>
      <c r="U294" s="406">
        <v>212.22011621468079</v>
      </c>
      <c r="V294" s="405">
        <f t="shared" si="48"/>
        <v>213.39526310538869</v>
      </c>
      <c r="W294" s="406">
        <v>211.90355169921199</v>
      </c>
      <c r="X294" s="406">
        <v>220.35870632005611</v>
      </c>
      <c r="Y294" s="405">
        <f t="shared" si="49"/>
        <v>221.96753333883225</v>
      </c>
      <c r="Z294" s="406">
        <v>217.49118594872564</v>
      </c>
      <c r="AA294" s="406">
        <v>226.98754802343655</v>
      </c>
      <c r="AB294" s="442">
        <f t="shared" si="50"/>
        <v>226.36294024502473</v>
      </c>
      <c r="AC294" s="438">
        <f t="shared" si="51"/>
        <v>233.04726927631654</v>
      </c>
      <c r="AD294" s="410"/>
      <c r="AE294" s="411"/>
      <c r="AF294" s="411"/>
      <c r="AG294" s="411"/>
    </row>
    <row r="295" spans="1:61" x14ac:dyDescent="0.2">
      <c r="A295" s="159" t="s">
        <v>1586</v>
      </c>
      <c r="B295" s="18" t="str">
        <f>VLOOKUP(LEFT(A295,7),'Tariff Schedule Lookup Table'!$A$8:$G$186,2,FALSE)</f>
        <v>Low Pressure Sodium 135</v>
      </c>
      <c r="C295" s="160">
        <f t="shared" si="42"/>
        <v>60</v>
      </c>
      <c r="D295" s="18">
        <f t="shared" si="43"/>
        <v>1</v>
      </c>
      <c r="E295" s="18" t="str">
        <f>VLOOKUP(C295,'Tariff Schedule Lookup Table'!I$7:L$286,2,FALSE)</f>
        <v>HIGH PRESSURE SODIUM 250W (210/220)</v>
      </c>
      <c r="F295" s="18" t="str">
        <f>IF(E295 = "BULKHEADS ETC", "SHARED OR NO POLE", VLOOKUP(C295,'Tariff Schedule Lookup Table'!I$7:L$286,3,FALSE))</f>
        <v>SHARED OR NO POLE</v>
      </c>
      <c r="G295" s="18">
        <f>IF(E295 = "NO CAPITAL", 1, VLOOKUP(C295,'Tariff Schedule Lookup Table'!I$7:L$286,4,FALSE))</f>
        <v>1</v>
      </c>
      <c r="H295" s="18" t="str">
        <f t="shared" si="44"/>
        <v>1-Unmetered, CE Funded, CE Maintained</v>
      </c>
      <c r="I295" s="123">
        <f>VLOOKUP(F295,'Maintenance Model'!$A$57:$B$61,2,FALSE)</f>
        <v>0</v>
      </c>
      <c r="J295" s="123">
        <f>IF(D295=1,VLOOKUP(C295,'Capital Code Schedules'!A$15:F$300,2,FALSE),IF(D295=2,VLOOKUP(C295,'Capital Code Schedules'!A$15:F$300,3,FALSE),0))</f>
        <v>32.138130136529035</v>
      </c>
      <c r="K295" s="123">
        <v>40.766278904912198</v>
      </c>
      <c r="L295" s="123">
        <f>VLOOKUP(LEFT(A295,10),'Streetlight Tariff Schedule'!B$11:G$260,6, FALSE)+I295</f>
        <v>89.081724561112466</v>
      </c>
      <c r="M295" s="161">
        <f t="shared" si="45"/>
        <v>129.84800346602466</v>
      </c>
      <c r="N295" s="405">
        <f t="shared" si="46"/>
        <v>125.72718617090656</v>
      </c>
      <c r="O295" s="405">
        <v>106.62651204760463</v>
      </c>
      <c r="P295" s="406">
        <v>104.77709301025274</v>
      </c>
      <c r="Q295" s="406">
        <v>108.89426910475797</v>
      </c>
      <c r="R295" s="406">
        <v>110.78946126328432</v>
      </c>
      <c r="S295" s="405">
        <f t="shared" si="47"/>
        <v>131.08350654332884</v>
      </c>
      <c r="T295" s="406">
        <v>112.66798920882358</v>
      </c>
      <c r="U295" s="406">
        <v>115.02907257801039</v>
      </c>
      <c r="V295" s="405">
        <f t="shared" si="48"/>
        <v>136.41319808674584</v>
      </c>
      <c r="W295" s="406">
        <v>116.25821979773602</v>
      </c>
      <c r="X295" s="406">
        <v>119.74036688999497</v>
      </c>
      <c r="Y295" s="405">
        <f t="shared" si="49"/>
        <v>142.23329560327949</v>
      </c>
      <c r="Z295" s="406">
        <v>119.43049522803162</v>
      </c>
      <c r="AA295" s="406">
        <v>123.45266359499308</v>
      </c>
      <c r="AB295" s="442">
        <f t="shared" si="50"/>
        <v>145.17333762803116</v>
      </c>
      <c r="AC295" s="438">
        <f t="shared" si="51"/>
        <v>149.48470339118586</v>
      </c>
      <c r="AD295" s="410"/>
      <c r="AE295" s="411"/>
      <c r="AF295" s="411"/>
      <c r="AG295" s="411"/>
    </row>
    <row r="296" spans="1:61" x14ac:dyDescent="0.2">
      <c r="A296" s="159" t="s">
        <v>1587</v>
      </c>
      <c r="B296" s="18" t="str">
        <f>VLOOKUP(LEFT(A296,7),'Tariff Schedule Lookup Table'!$A$8:$G$186,2,FALSE)</f>
        <v>Low Pressure Sodium 135</v>
      </c>
      <c r="C296" s="160">
        <f t="shared" si="42"/>
        <v>60</v>
      </c>
      <c r="D296" s="18">
        <f t="shared" si="43"/>
        <v>2</v>
      </c>
      <c r="E296" s="18" t="str">
        <f>VLOOKUP(C296,'Tariff Schedule Lookup Table'!I$7:L$286,2,FALSE)</f>
        <v>HIGH PRESSURE SODIUM 250W (210/220)</v>
      </c>
      <c r="F296" s="18" t="str">
        <f>IF(E296 = "BULKHEADS ETC", "SHARED OR NO POLE", VLOOKUP(C296,'Tariff Schedule Lookup Table'!I$7:L$286,3,FALSE))</f>
        <v>SHARED OR NO POLE</v>
      </c>
      <c r="G296" s="18">
        <f>IF(E296 = "NO CAPITAL", 1, VLOOKUP(C296,'Tariff Schedule Lookup Table'!I$7:L$286,4,FALSE))</f>
        <v>1</v>
      </c>
      <c r="H296" s="18" t="str">
        <f t="shared" si="44"/>
        <v>2-Unmetered, Funded by Others, CE Maintained</v>
      </c>
      <c r="I296" s="123">
        <f>VLOOKUP(F296,'Maintenance Model'!$A$57:$B$61,2,FALSE)</f>
        <v>0</v>
      </c>
      <c r="J296" s="123">
        <f>IF(D296=1,VLOOKUP(C296,'Capital Code Schedules'!A$15:F$300,2,FALSE),IF(D296=2,VLOOKUP(C296,'Capital Code Schedules'!A$15:F$300,3,FALSE),0))</f>
        <v>0</v>
      </c>
      <c r="K296" s="123">
        <v>0</v>
      </c>
      <c r="L296" s="123">
        <f>VLOOKUP(LEFT(A296,10),'Streetlight Tariff Schedule'!B$11:G$260,6, FALSE)+I296</f>
        <v>89.081724561112466</v>
      </c>
      <c r="M296" s="161">
        <f t="shared" si="45"/>
        <v>89.081724561112466</v>
      </c>
      <c r="N296" s="405">
        <f t="shared" si="46"/>
        <v>92.793637313498436</v>
      </c>
      <c r="O296" s="405">
        <v>63.001848702443965</v>
      </c>
      <c r="P296" s="406">
        <v>63.001848702443965</v>
      </c>
      <c r="Q296" s="406">
        <v>66.085087500330914</v>
      </c>
      <c r="R296" s="406">
        <v>66.085087500330914</v>
      </c>
      <c r="S296" s="405">
        <f t="shared" si="47"/>
        <v>97.334852351699851</v>
      </c>
      <c r="T296" s="406">
        <v>68.799280359686975</v>
      </c>
      <c r="U296" s="406">
        <v>69.050624162812809</v>
      </c>
      <c r="V296" s="405">
        <f t="shared" si="48"/>
        <v>101.70270725065544</v>
      </c>
      <c r="W296" s="406">
        <v>71.303760404583258</v>
      </c>
      <c r="X296" s="406">
        <v>72.203249073522201</v>
      </c>
      <c r="Y296" s="405">
        <f t="shared" si="49"/>
        <v>106.34611912784563</v>
      </c>
      <c r="Z296" s="406">
        <v>73.363412964898345</v>
      </c>
      <c r="AA296" s="406">
        <v>74.560737920750839</v>
      </c>
      <c r="AB296" s="442">
        <f t="shared" si="50"/>
        <v>108.65454684662967</v>
      </c>
      <c r="AC296" s="438">
        <f t="shared" si="51"/>
        <v>111.90321579804557</v>
      </c>
      <c r="AD296" s="410"/>
      <c r="AE296" s="411"/>
      <c r="AF296" s="411"/>
      <c r="AG296" s="411"/>
    </row>
    <row r="297" spans="1:61" x14ac:dyDescent="0.2">
      <c r="A297" s="159" t="s">
        <v>1588</v>
      </c>
      <c r="B297" s="18" t="str">
        <f>VLOOKUP(LEFT(A297,7),'Tariff Schedule Lookup Table'!$A$8:$G$186,2,FALSE)</f>
        <v>Low Pressure Sodium 135</v>
      </c>
      <c r="C297" s="160">
        <f t="shared" si="42"/>
        <v>230</v>
      </c>
      <c r="D297" s="18">
        <f t="shared" si="43"/>
        <v>1</v>
      </c>
      <c r="E297" s="18" t="str">
        <f>VLOOKUP(C297,'Tariff Schedule Lookup Table'!I$7:L$286,2,FALSE)</f>
        <v>HIGH PRESSURE SODIUM 250W (210/220)</v>
      </c>
      <c r="F297" s="18" t="str">
        <f>IF(E297 = "BULKHEADS ETC", "SHARED OR NO POLE", VLOOKUP(C297,'Tariff Schedule Lookup Table'!I$7:L$286,3,FALSE))</f>
        <v>WOOD POLE</v>
      </c>
      <c r="G297" s="18">
        <f>IF(E297 = "NO CAPITAL", 1, VLOOKUP(C297,'Tariff Schedule Lookup Table'!I$7:L$286,4,FALSE))</f>
        <v>1</v>
      </c>
      <c r="H297" s="18" t="str">
        <f t="shared" si="44"/>
        <v>1-Unmetered, CE Funded, CE Maintained</v>
      </c>
      <c r="I297" s="123">
        <f>VLOOKUP(F297,'Maintenance Model'!$A$57:$B$61,2,FALSE)</f>
        <v>10.731618231111112</v>
      </c>
      <c r="J297" s="123">
        <f>IF(D297=1,VLOOKUP(C297,'Capital Code Schedules'!A$15:F$300,2,FALSE),IF(D297=2,VLOOKUP(C297,'Capital Code Schedules'!A$15:F$300,3,FALSE),0))</f>
        <v>66.039248498405314</v>
      </c>
      <c r="K297" s="123">
        <v>83.768856853834222</v>
      </c>
      <c r="L297" s="123">
        <f>VLOOKUP(LEFT(A297,10),'Streetlight Tariff Schedule'!B$11:G$260,6, FALSE)+I297</f>
        <v>99.81334279222358</v>
      </c>
      <c r="M297" s="161">
        <f t="shared" si="45"/>
        <v>183.5821996460578</v>
      </c>
      <c r="N297" s="405">
        <f t="shared" si="46"/>
        <v>171.64614719223667</v>
      </c>
      <c r="O297" s="405">
        <v>163.04047573524073</v>
      </c>
      <c r="P297" s="406">
        <v>159.24018483883475</v>
      </c>
      <c r="Q297" s="406">
        <v>164.95679470809785</v>
      </c>
      <c r="R297" s="406">
        <v>168.85114280418989</v>
      </c>
      <c r="S297" s="405">
        <f t="shared" si="47"/>
        <v>178.40936406137135</v>
      </c>
      <c r="T297" s="406">
        <v>170.29604448957014</v>
      </c>
      <c r="U297" s="406">
        <v>174.92407584125493</v>
      </c>
      <c r="V297" s="405">
        <f t="shared" si="48"/>
        <v>185.27984800625234</v>
      </c>
      <c r="W297" s="406">
        <v>175.44486098228845</v>
      </c>
      <c r="X297" s="406">
        <v>181.79977074088529</v>
      </c>
      <c r="Y297" s="405">
        <f t="shared" si="49"/>
        <v>192.90056897479406</v>
      </c>
      <c r="Z297" s="406">
        <v>180.13066591209559</v>
      </c>
      <c r="AA297" s="406">
        <v>187.33021459431092</v>
      </c>
      <c r="AB297" s="442">
        <f t="shared" si="50"/>
        <v>196.78496831939864</v>
      </c>
      <c r="AC297" s="438">
        <f t="shared" si="51"/>
        <v>202.60869188274611</v>
      </c>
      <c r="AD297" s="410"/>
      <c r="AE297" s="411"/>
      <c r="AF297" s="411"/>
      <c r="AG297" s="411"/>
    </row>
    <row r="298" spans="1:61" x14ac:dyDescent="0.2">
      <c r="A298" s="159" t="s">
        <v>1589</v>
      </c>
      <c r="B298" s="18" t="str">
        <f>VLOOKUP(LEFT(A298,7),'Tariff Schedule Lookup Table'!$A$8:$G$186,2,FALSE)</f>
        <v>Low Pressure Sodium 135</v>
      </c>
      <c r="C298" s="160">
        <f t="shared" si="42"/>
        <v>230</v>
      </c>
      <c r="D298" s="18">
        <f t="shared" si="43"/>
        <v>2</v>
      </c>
      <c r="E298" s="18" t="str">
        <f>VLOOKUP(C298,'Tariff Schedule Lookup Table'!I$7:L$286,2,FALSE)</f>
        <v>HIGH PRESSURE SODIUM 250W (210/220)</v>
      </c>
      <c r="F298" s="18" t="str">
        <f>IF(E298 = "BULKHEADS ETC", "SHARED OR NO POLE", VLOOKUP(C298,'Tariff Schedule Lookup Table'!I$7:L$286,3,FALSE))</f>
        <v>WOOD POLE</v>
      </c>
      <c r="G298" s="18">
        <f>IF(E298 = "NO CAPITAL", 1, VLOOKUP(C298,'Tariff Schedule Lookup Table'!I$7:L$286,4,FALSE))</f>
        <v>1</v>
      </c>
      <c r="H298" s="18" t="str">
        <f t="shared" si="44"/>
        <v>2-Unmetered, Funded by Others, CE Maintained</v>
      </c>
      <c r="I298" s="123">
        <f>VLOOKUP(F298,'Maintenance Model'!$A$57:$B$61,2,FALSE)</f>
        <v>10.731618231111112</v>
      </c>
      <c r="J298" s="123">
        <f>IF(D298=1,VLOOKUP(C298,'Capital Code Schedules'!A$15:F$300,2,FALSE),IF(D298=2,VLOOKUP(C298,'Capital Code Schedules'!A$15:F$300,3,FALSE),0))</f>
        <v>0</v>
      </c>
      <c r="K298" s="123">
        <v>0</v>
      </c>
      <c r="L298" s="123">
        <f>VLOOKUP(LEFT(A298,10),'Streetlight Tariff Schedule'!B$11:G$260,6, FALSE)+I298</f>
        <v>99.81334279222358</v>
      </c>
      <c r="M298" s="161">
        <f t="shared" si="45"/>
        <v>99.81334279222358</v>
      </c>
      <c r="N298" s="405">
        <f t="shared" si="46"/>
        <v>103.97242729349585</v>
      </c>
      <c r="O298" s="405">
        <v>73.398048777868127</v>
      </c>
      <c r="P298" s="406">
        <v>73.398048777868127</v>
      </c>
      <c r="Q298" s="406">
        <v>76.990065779622284</v>
      </c>
      <c r="R298" s="406">
        <v>76.990065779622284</v>
      </c>
      <c r="S298" s="405">
        <f t="shared" si="47"/>
        <v>109.0607195951367</v>
      </c>
      <c r="T298" s="406">
        <v>80.152139020114817</v>
      </c>
      <c r="U298" s="406">
        <v>80.444958121487147</v>
      </c>
      <c r="V298" s="405">
        <f t="shared" si="48"/>
        <v>113.95476717272999</v>
      </c>
      <c r="W298" s="406">
        <v>83.069893852464119</v>
      </c>
      <c r="X298" s="406">
        <v>84.117810930417406</v>
      </c>
      <c r="Y298" s="405">
        <f t="shared" si="49"/>
        <v>119.1575679010153</v>
      </c>
      <c r="Z298" s="406">
        <v>85.469418345808108</v>
      </c>
      <c r="AA298" s="406">
        <v>86.864318929244675</v>
      </c>
      <c r="AB298" s="442">
        <f t="shared" si="50"/>
        <v>121.74409042672139</v>
      </c>
      <c r="AC298" s="438">
        <f t="shared" si="51"/>
        <v>125.38412444339195</v>
      </c>
      <c r="AD298" s="410"/>
      <c r="AE298" s="411"/>
      <c r="AF298" s="411"/>
      <c r="AG298" s="411"/>
    </row>
    <row r="299" spans="1:61" x14ac:dyDescent="0.2">
      <c r="A299" s="159" t="s">
        <v>1590</v>
      </c>
      <c r="B299" s="18" t="str">
        <f>VLOOKUP(LEFT(A299,7),'Tariff Schedule Lookup Table'!$A$8:$G$186,2,FALSE)</f>
        <v>Low Pressure Sodium 150</v>
      </c>
      <c r="C299" s="160">
        <f t="shared" si="42"/>
        <v>60</v>
      </c>
      <c r="D299" s="18">
        <f t="shared" si="43"/>
        <v>2</v>
      </c>
      <c r="E299" s="18" t="str">
        <f>VLOOKUP(C299,'Tariff Schedule Lookup Table'!I$7:L$286,2,FALSE)</f>
        <v>HIGH PRESSURE SODIUM 250W (210/220)</v>
      </c>
      <c r="F299" s="18" t="str">
        <f>IF(E299 = "BULKHEADS ETC", "SHARED OR NO POLE", VLOOKUP(C299,'Tariff Schedule Lookup Table'!I$7:L$286,3,FALSE))</f>
        <v>SHARED OR NO POLE</v>
      </c>
      <c r="G299" s="18">
        <f>IF(E299 = "NO CAPITAL", 1, VLOOKUP(C299,'Tariff Schedule Lookup Table'!I$7:L$286,4,FALSE))</f>
        <v>1</v>
      </c>
      <c r="H299" s="18" t="str">
        <f t="shared" si="44"/>
        <v>2-Unmetered, Funded by Others, CE Maintained</v>
      </c>
      <c r="I299" s="123">
        <f>VLOOKUP(F299,'Maintenance Model'!$A$57:$B$61,2,FALSE)</f>
        <v>0</v>
      </c>
      <c r="J299" s="123">
        <f>IF(D299=1,VLOOKUP(C299,'Capital Code Schedules'!A$15:F$300,2,FALSE),IF(D299=2,VLOOKUP(C299,'Capital Code Schedules'!A$15:F$300,3,FALSE),0))</f>
        <v>0</v>
      </c>
      <c r="K299" s="123">
        <v>0</v>
      </c>
      <c r="L299" s="123">
        <f>VLOOKUP(LEFT(A299,10),'Streetlight Tariff Schedule'!B$11:G$260,6, FALSE)+I299</f>
        <v>102.48905789444579</v>
      </c>
      <c r="M299" s="161">
        <f t="shared" si="45"/>
        <v>102.48905789444579</v>
      </c>
      <c r="N299" s="405">
        <f t="shared" si="46"/>
        <v>106.7596357582301</v>
      </c>
      <c r="O299" s="405">
        <v>70.439362667093974</v>
      </c>
      <c r="P299" s="406">
        <v>70.439362667093974</v>
      </c>
      <c r="Q299" s="406">
        <v>73.886584936703173</v>
      </c>
      <c r="R299" s="406">
        <v>73.886584936703173</v>
      </c>
      <c r="S299" s="405">
        <f t="shared" si="47"/>
        <v>111.98433087110996</v>
      </c>
      <c r="T299" s="406">
        <v>76.921194541122617</v>
      </c>
      <c r="U299" s="406">
        <v>77.202210061573865</v>
      </c>
      <c r="V299" s="405">
        <f t="shared" si="48"/>
        <v>117.00957410499562</v>
      </c>
      <c r="W299" s="406">
        <v>79.721334248262764</v>
      </c>
      <c r="X299" s="406">
        <v>80.727009635116531</v>
      </c>
      <c r="Y299" s="405">
        <f t="shared" si="49"/>
        <v>122.35184729350604</v>
      </c>
      <c r="Z299" s="406">
        <v>82.02413355736644</v>
      </c>
      <c r="AA299" s="406">
        <v>83.362805493708947</v>
      </c>
      <c r="AB299" s="442">
        <f t="shared" si="50"/>
        <v>125.00770721630418</v>
      </c>
      <c r="AC299" s="438">
        <f t="shared" si="51"/>
        <v>128.74532031126776</v>
      </c>
      <c r="AD299" s="410"/>
      <c r="AE299" s="411"/>
      <c r="AF299" s="411"/>
      <c r="AG299" s="411"/>
    </row>
    <row r="300" spans="1:61" x14ac:dyDescent="0.2">
      <c r="A300" s="159" t="s">
        <v>1591</v>
      </c>
      <c r="B300" s="18" t="str">
        <f>VLOOKUP(LEFT(A300,7),'Tariff Schedule Lookup Table'!$A$8:$G$186,2,FALSE)</f>
        <v>Low Pressure Sodium 150</v>
      </c>
      <c r="C300" s="160">
        <f t="shared" si="42"/>
        <v>230</v>
      </c>
      <c r="D300" s="18">
        <f t="shared" si="43"/>
        <v>2</v>
      </c>
      <c r="E300" s="18" t="str">
        <f>VLOOKUP(C300,'Tariff Schedule Lookup Table'!I$7:L$286,2,FALSE)</f>
        <v>HIGH PRESSURE SODIUM 250W (210/220)</v>
      </c>
      <c r="F300" s="18" t="str">
        <f>IF(E300 = "BULKHEADS ETC", "SHARED OR NO POLE", VLOOKUP(C300,'Tariff Schedule Lookup Table'!I$7:L$286,3,FALSE))</f>
        <v>WOOD POLE</v>
      </c>
      <c r="G300" s="18">
        <f>IF(E300 = "NO CAPITAL", 1, VLOOKUP(C300,'Tariff Schedule Lookup Table'!I$7:L$286,4,FALSE))</f>
        <v>1</v>
      </c>
      <c r="H300" s="18" t="str">
        <f t="shared" si="44"/>
        <v>2-Unmetered, Funded by Others, CE Maintained</v>
      </c>
      <c r="I300" s="123">
        <f>VLOOKUP(F300,'Maintenance Model'!$A$57:$B$61,2,FALSE)</f>
        <v>10.731618231111112</v>
      </c>
      <c r="J300" s="123">
        <f>IF(D300=1,VLOOKUP(C300,'Capital Code Schedules'!A$15:F$300,2,FALSE),IF(D300=2,VLOOKUP(C300,'Capital Code Schedules'!A$15:F$300,3,FALSE),0))</f>
        <v>0</v>
      </c>
      <c r="K300" s="123">
        <v>0</v>
      </c>
      <c r="L300" s="123">
        <f>VLOOKUP(LEFT(A300,10),'Streetlight Tariff Schedule'!B$11:G$260,6, FALSE)+I300</f>
        <v>113.22067612555691</v>
      </c>
      <c r="M300" s="161">
        <f t="shared" si="45"/>
        <v>113.22067612555691</v>
      </c>
      <c r="N300" s="405">
        <f t="shared" si="46"/>
        <v>117.93842573822751</v>
      </c>
      <c r="O300" s="405">
        <v>80.835562742518135</v>
      </c>
      <c r="P300" s="406">
        <v>80.835562742518135</v>
      </c>
      <c r="Q300" s="406">
        <v>84.791563215994543</v>
      </c>
      <c r="R300" s="406">
        <v>84.791563215994543</v>
      </c>
      <c r="S300" s="405">
        <f t="shared" si="47"/>
        <v>123.71019811454678</v>
      </c>
      <c r="T300" s="406">
        <v>88.274053201550473</v>
      </c>
      <c r="U300" s="406">
        <v>88.596544020248203</v>
      </c>
      <c r="V300" s="405">
        <f t="shared" si="48"/>
        <v>129.26163402707016</v>
      </c>
      <c r="W300" s="406">
        <v>91.487467696143639</v>
      </c>
      <c r="X300" s="406">
        <v>92.641571492011735</v>
      </c>
      <c r="Y300" s="405">
        <f t="shared" si="49"/>
        <v>135.16329606667571</v>
      </c>
      <c r="Z300" s="406">
        <v>94.130138938276232</v>
      </c>
      <c r="AA300" s="406">
        <v>95.666386502202769</v>
      </c>
      <c r="AB300" s="442">
        <f t="shared" si="50"/>
        <v>138.09725079639588</v>
      </c>
      <c r="AC300" s="438">
        <f t="shared" si="51"/>
        <v>142.22622895661416</v>
      </c>
      <c r="AD300" s="410"/>
      <c r="AE300" s="411"/>
      <c r="AF300" s="411"/>
      <c r="AG300" s="411"/>
    </row>
    <row r="301" spans="1:61" x14ac:dyDescent="0.2">
      <c r="A301" s="159" t="s">
        <v>1592</v>
      </c>
      <c r="B301" s="18" t="str">
        <f>VLOOKUP(LEFT(A301,7),'Tariff Schedule Lookup Table'!$A$8:$G$186,2,FALSE)</f>
        <v>Low Pressure Sodium 150</v>
      </c>
      <c r="C301" s="160">
        <f t="shared" si="42"/>
        <v>320</v>
      </c>
      <c r="D301" s="18">
        <f t="shared" si="43"/>
        <v>2</v>
      </c>
      <c r="E301" s="18" t="str">
        <f>VLOOKUP(C301,'Tariff Schedule Lookup Table'!I$7:L$286,2,FALSE)</f>
        <v>HIGH PRESSURE SODIUM 250W (210/220)</v>
      </c>
      <c r="F301" s="18" t="str">
        <f>IF(E301 = "BULKHEADS ETC", "SHARED OR NO POLE", VLOOKUP(C301,'Tariff Schedule Lookup Table'!I$7:L$286,3,FALSE))</f>
        <v>STEEL POLE</v>
      </c>
      <c r="G301" s="18">
        <f>IF(E301 = "NO CAPITAL", 1, VLOOKUP(C301,'Tariff Schedule Lookup Table'!I$7:L$286,4,FALSE))</f>
        <v>1</v>
      </c>
      <c r="H301" s="18" t="str">
        <f t="shared" si="44"/>
        <v>2-Unmetered, Funded by Others, CE Maintained</v>
      </c>
      <c r="I301" s="123">
        <f>VLOOKUP(F301,'Maintenance Model'!$A$57:$B$61,2,FALSE)</f>
        <v>9.9616182311111103</v>
      </c>
      <c r="J301" s="123">
        <f>IF(D301=1,VLOOKUP(C301,'Capital Code Schedules'!A$15:F$300,2,FALSE),IF(D301=2,VLOOKUP(C301,'Capital Code Schedules'!A$15:F$300,3,FALSE),0))</f>
        <v>0</v>
      </c>
      <c r="K301" s="123">
        <v>0</v>
      </c>
      <c r="L301" s="123">
        <f>VLOOKUP(LEFT(A301,10),'Streetlight Tariff Schedule'!B$11:G$260,6, FALSE)+I301</f>
        <v>112.4506761255569</v>
      </c>
      <c r="M301" s="161">
        <f t="shared" si="45"/>
        <v>112.4506761255569</v>
      </c>
      <c r="N301" s="405">
        <f t="shared" si="46"/>
        <v>117.1363408989025</v>
      </c>
      <c r="O301" s="405">
        <v>80.033477903193145</v>
      </c>
      <c r="P301" s="406">
        <v>80.033477903193145</v>
      </c>
      <c r="Q301" s="406">
        <v>83.950225257170089</v>
      </c>
      <c r="R301" s="406">
        <v>83.950225257170089</v>
      </c>
      <c r="S301" s="405">
        <f t="shared" si="47"/>
        <v>122.8688601557223</v>
      </c>
      <c r="T301" s="406">
        <v>87.398160495709391</v>
      </c>
      <c r="U301" s="406">
        <v>87.717451423322998</v>
      </c>
      <c r="V301" s="405">
        <f t="shared" si="48"/>
        <v>128.38254143014495</v>
      </c>
      <c r="W301" s="406">
        <v>90.579690124766429</v>
      </c>
      <c r="X301" s="406">
        <v>91.722342411839804</v>
      </c>
      <c r="Y301" s="405">
        <f t="shared" si="49"/>
        <v>134.24406698650375</v>
      </c>
      <c r="Z301" s="406">
        <v>93.196139658696353</v>
      </c>
      <c r="AA301" s="406">
        <v>94.717143920805341</v>
      </c>
      <c r="AB301" s="442">
        <f t="shared" si="50"/>
        <v>137.15806824818972</v>
      </c>
      <c r="AC301" s="438">
        <f t="shared" si="51"/>
        <v>141.25896573187288</v>
      </c>
      <c r="AD301" s="410"/>
      <c r="AE301" s="411"/>
      <c r="AF301" s="411"/>
      <c r="AG301" s="411"/>
    </row>
    <row r="302" spans="1:61" x14ac:dyDescent="0.2">
      <c r="A302" s="159" t="s">
        <v>1593</v>
      </c>
      <c r="B302" s="18" t="str">
        <f>VLOOKUP(LEFT(A302,7),'Tariff Schedule Lookup Table'!$A$8:$G$186,2,FALSE)</f>
        <v>Low Pressure Sodium 180</v>
      </c>
      <c r="C302" s="160">
        <f t="shared" si="42"/>
        <v>70</v>
      </c>
      <c r="D302" s="18">
        <f t="shared" si="43"/>
        <v>1</v>
      </c>
      <c r="E302" s="18" t="str">
        <f>VLOOKUP(C302,'Tariff Schedule Lookup Table'!I$7:L$286,2,FALSE)</f>
        <v>HIGH PRESSURE SODIUM 400W (310/360)</v>
      </c>
      <c r="F302" s="18" t="str">
        <f>IF(E302 = "BULKHEADS ETC", "SHARED OR NO POLE", VLOOKUP(C302,'Tariff Schedule Lookup Table'!I$7:L$286,3,FALSE))</f>
        <v>SHARED OR NO POLE</v>
      </c>
      <c r="G302" s="18">
        <f>IF(E302 = "NO CAPITAL", 1, VLOOKUP(C302,'Tariff Schedule Lookup Table'!I$7:L$286,4,FALSE))</f>
        <v>1</v>
      </c>
      <c r="H302" s="18" t="str">
        <f t="shared" si="44"/>
        <v>1-Unmetered, CE Funded, CE Maintained</v>
      </c>
      <c r="I302" s="123">
        <f>VLOOKUP(F302,'Maintenance Model'!$A$57:$B$61,2,FALSE)</f>
        <v>0</v>
      </c>
      <c r="J302" s="123">
        <f>IF(D302=1,VLOOKUP(C302,'Capital Code Schedules'!A$15:F$300,2,FALSE),IF(D302=2,VLOOKUP(C302,'Capital Code Schedules'!A$15:F$300,3,FALSE),0))</f>
        <v>35.784047435083579</v>
      </c>
      <c r="K302" s="123">
        <v>45.391018453408257</v>
      </c>
      <c r="L302" s="123">
        <f>VLOOKUP(LEFT(A302,10),'Streetlight Tariff Schedule'!B$11:G$260,6, FALSE)+I302</f>
        <v>102.48905789444579</v>
      </c>
      <c r="M302" s="161">
        <f t="shared" si="45"/>
        <v>147.88007634785404</v>
      </c>
      <c r="N302" s="405">
        <f t="shared" si="46"/>
        <v>143.42933836733198</v>
      </c>
      <c r="O302" s="405">
        <v>119.01303561729564</v>
      </c>
      <c r="P302" s="406">
        <v>116.95380882722409</v>
      </c>
      <c r="Q302" s="406">
        <v>121.55226363929651</v>
      </c>
      <c r="R302" s="406">
        <v>123.66245629242233</v>
      </c>
      <c r="S302" s="405">
        <f t="shared" si="47"/>
        <v>149.56160861978711</v>
      </c>
      <c r="T302" s="406">
        <v>125.76659879160515</v>
      </c>
      <c r="U302" s="406">
        <v>128.39669375093104</v>
      </c>
      <c r="V302" s="405">
        <f t="shared" si="48"/>
        <v>155.65780426951008</v>
      </c>
      <c r="W302" s="406">
        <v>129.77566225394474</v>
      </c>
      <c r="X302" s="406">
        <v>133.65698632154289</v>
      </c>
      <c r="Y302" s="405">
        <f t="shared" si="49"/>
        <v>162.31025246059752</v>
      </c>
      <c r="Z302" s="406">
        <v>133.31730618118905</v>
      </c>
      <c r="AA302" s="406">
        <v>137.80128651569848</v>
      </c>
      <c r="AB302" s="442">
        <f t="shared" si="50"/>
        <v>165.66938031433651</v>
      </c>
      <c r="AC302" s="438">
        <f t="shared" si="51"/>
        <v>170.59024809645283</v>
      </c>
      <c r="AD302" s="410"/>
      <c r="AE302" s="411"/>
      <c r="AF302" s="411"/>
      <c r="AG302" s="411"/>
    </row>
    <row r="303" spans="1:61" x14ac:dyDescent="0.2">
      <c r="A303" s="159" t="s">
        <v>1594</v>
      </c>
      <c r="B303" s="18" t="str">
        <f>VLOOKUP(LEFT(A303,7),'Tariff Schedule Lookup Table'!$A$8:$G$186,2,FALSE)</f>
        <v>Low Pressure Sodium 180</v>
      </c>
      <c r="C303" s="160">
        <f t="shared" si="42"/>
        <v>230</v>
      </c>
      <c r="D303" s="18">
        <f t="shared" si="43"/>
        <v>1</v>
      </c>
      <c r="E303" s="18" t="str">
        <f>VLOOKUP(C303,'Tariff Schedule Lookup Table'!I$7:L$286,2,FALSE)</f>
        <v>HIGH PRESSURE SODIUM 250W (210/220)</v>
      </c>
      <c r="F303" s="18" t="str">
        <f>IF(E303 = "BULKHEADS ETC", "SHARED OR NO POLE", VLOOKUP(C303,'Tariff Schedule Lookup Table'!I$7:L$286,3,FALSE))</f>
        <v>WOOD POLE</v>
      </c>
      <c r="G303" s="18">
        <f>IF(E303 = "NO CAPITAL", 1, VLOOKUP(C303,'Tariff Schedule Lookup Table'!I$7:L$286,4,FALSE))</f>
        <v>1</v>
      </c>
      <c r="H303" s="18" t="str">
        <f t="shared" si="44"/>
        <v>1-Unmetered, CE Funded, CE Maintained</v>
      </c>
      <c r="I303" s="123">
        <f>VLOOKUP(F303,'Maintenance Model'!$A$57:$B$61,2,FALSE)</f>
        <v>10.731618231111112</v>
      </c>
      <c r="J303" s="123">
        <f>IF(D303=1,VLOOKUP(C303,'Capital Code Schedules'!A$15:F$300,2,FALSE),IF(D303=2,VLOOKUP(C303,'Capital Code Schedules'!A$15:F$300,3,FALSE),0))</f>
        <v>66.039248498405314</v>
      </c>
      <c r="K303" s="123">
        <v>83.768856853834222</v>
      </c>
      <c r="L303" s="123">
        <f>VLOOKUP(LEFT(A303,10),'Streetlight Tariff Schedule'!B$11:G$260,6, FALSE)+I303</f>
        <v>113.22067612555691</v>
      </c>
      <c r="M303" s="161">
        <f t="shared" si="45"/>
        <v>196.98953297939113</v>
      </c>
      <c r="N303" s="405">
        <f t="shared" si="46"/>
        <v>185.61214563696836</v>
      </c>
      <c r="O303" s="405">
        <v>170.47798969989077</v>
      </c>
      <c r="P303" s="406">
        <v>166.67769880348479</v>
      </c>
      <c r="Q303" s="406">
        <v>172.75829214447009</v>
      </c>
      <c r="R303" s="406">
        <v>176.65264024056214</v>
      </c>
      <c r="S303" s="405">
        <f t="shared" si="47"/>
        <v>193.05884258078143</v>
      </c>
      <c r="T303" s="406">
        <v>178.41795867100581</v>
      </c>
      <c r="U303" s="406">
        <v>183.07566174001599</v>
      </c>
      <c r="V303" s="405">
        <f t="shared" si="48"/>
        <v>200.58671486059251</v>
      </c>
      <c r="W303" s="406">
        <v>183.86243482596797</v>
      </c>
      <c r="X303" s="406">
        <v>190.32353130247961</v>
      </c>
      <c r="Y303" s="405">
        <f t="shared" si="49"/>
        <v>208.90629714045448</v>
      </c>
      <c r="Z303" s="406">
        <v>188.79138650456372</v>
      </c>
      <c r="AA303" s="406">
        <v>196.13228216726901</v>
      </c>
      <c r="AB303" s="442">
        <f t="shared" si="50"/>
        <v>213.1381286890732</v>
      </c>
      <c r="AC303" s="438">
        <f t="shared" si="51"/>
        <v>219.45079639596835</v>
      </c>
      <c r="AD303" s="410"/>
      <c r="AE303" s="411"/>
      <c r="AF303" s="411"/>
      <c r="AG303" s="411"/>
    </row>
    <row r="304" spans="1:61" x14ac:dyDescent="0.2">
      <c r="A304" s="159" t="s">
        <v>1595</v>
      </c>
      <c r="B304" s="18" t="str">
        <f>VLOOKUP(LEFT(A304,7),'Tariff Schedule Lookup Table'!$A$8:$G$186,2,FALSE)</f>
        <v>Low Pressure Sodium 180</v>
      </c>
      <c r="C304" s="160">
        <f t="shared" si="42"/>
        <v>240</v>
      </c>
      <c r="D304" s="18">
        <f t="shared" si="43"/>
        <v>1</v>
      </c>
      <c r="E304" s="18" t="str">
        <f>VLOOKUP(C304,'Tariff Schedule Lookup Table'!I$7:L$286,2,FALSE)</f>
        <v>HIGH PRESSURE SODIUM 400W (310/360)</v>
      </c>
      <c r="F304" s="18" t="str">
        <f>IF(E304 = "BULKHEADS ETC", "SHARED OR NO POLE", VLOOKUP(C304,'Tariff Schedule Lookup Table'!I$7:L$286,3,FALSE))</f>
        <v>WOOD POLE</v>
      </c>
      <c r="G304" s="18">
        <f>IF(E304 = "NO CAPITAL", 1, VLOOKUP(C304,'Tariff Schedule Lookup Table'!I$7:L$286,4,FALSE))</f>
        <v>1</v>
      </c>
      <c r="H304" s="18" t="str">
        <f t="shared" si="44"/>
        <v>1-Unmetered, CE Funded, CE Maintained</v>
      </c>
      <c r="I304" s="123">
        <f>VLOOKUP(F304,'Maintenance Model'!$A$57:$B$61,2,FALSE)</f>
        <v>10.731618231111112</v>
      </c>
      <c r="J304" s="123">
        <f>IF(D304=1,VLOOKUP(C304,'Capital Code Schedules'!A$15:F$300,2,FALSE),IF(D304=2,VLOOKUP(C304,'Capital Code Schedules'!A$15:F$300,3,FALSE),0))</f>
        <v>69.685165796959865</v>
      </c>
      <c r="K304" s="123">
        <v>88.393596402330274</v>
      </c>
      <c r="L304" s="123">
        <f>VLOOKUP(LEFT(A304,10),'Streetlight Tariff Schedule'!B$11:G$260,6, FALSE)+I304</f>
        <v>113.22067612555691</v>
      </c>
      <c r="M304" s="161">
        <f t="shared" si="45"/>
        <v>201.61427252788718</v>
      </c>
      <c r="N304" s="405">
        <f t="shared" si="46"/>
        <v>189.34829938866216</v>
      </c>
      <c r="O304" s="405">
        <v>175.42699930493177</v>
      </c>
      <c r="P304" s="406">
        <v>171.4169006558061</v>
      </c>
      <c r="Q304" s="406">
        <v>177.61478924263636</v>
      </c>
      <c r="R304" s="406">
        <v>181.72413783332789</v>
      </c>
      <c r="S304" s="405">
        <f t="shared" si="47"/>
        <v>196.88746613782965</v>
      </c>
      <c r="T304" s="406">
        <v>183.3946540723517</v>
      </c>
      <c r="U304" s="406">
        <v>188.29169701417558</v>
      </c>
      <c r="V304" s="405">
        <f t="shared" si="48"/>
        <v>204.52445418901661</v>
      </c>
      <c r="W304" s="406">
        <v>188.96230343849717</v>
      </c>
      <c r="X304" s="406">
        <v>195.71639017243319</v>
      </c>
      <c r="Y304" s="405">
        <f t="shared" si="49"/>
        <v>212.97752583211215</v>
      </c>
      <c r="Z304" s="406">
        <v>194.01747686525303</v>
      </c>
      <c r="AA304" s="406">
        <v>201.67883751501628</v>
      </c>
      <c r="AB304" s="442">
        <f t="shared" si="50"/>
        <v>217.28101100570399</v>
      </c>
      <c r="AC304" s="438">
        <f t="shared" si="51"/>
        <v>223.71423658801314</v>
      </c>
      <c r="AD304" s="410"/>
      <c r="AE304" s="411"/>
      <c r="AF304" s="411"/>
      <c r="AG304" s="411"/>
    </row>
    <row r="305" spans="1:33" x14ac:dyDescent="0.2">
      <c r="A305" s="159" t="s">
        <v>1596</v>
      </c>
      <c r="B305" s="18" t="str">
        <f>VLOOKUP(LEFT(A305,7),'Tariff Schedule Lookup Table'!$A$8:$G$186,2,FALSE)</f>
        <v>Low Pressure Sodium 310</v>
      </c>
      <c r="C305" s="160">
        <f t="shared" si="42"/>
        <v>70</v>
      </c>
      <c r="D305" s="18">
        <f t="shared" si="43"/>
        <v>2</v>
      </c>
      <c r="E305" s="18" t="str">
        <f>VLOOKUP(C305,'Tariff Schedule Lookup Table'!I$7:L$286,2,FALSE)</f>
        <v>HIGH PRESSURE SODIUM 400W (310/360)</v>
      </c>
      <c r="F305" s="18" t="str">
        <f>IF(E305 = "BULKHEADS ETC", "SHARED OR NO POLE", VLOOKUP(C305,'Tariff Schedule Lookup Table'!I$7:L$286,3,FALSE))</f>
        <v>SHARED OR NO POLE</v>
      </c>
      <c r="G305" s="18">
        <f>IF(E305 = "NO CAPITAL", 1, VLOOKUP(C305,'Tariff Schedule Lookup Table'!I$7:L$286,4,FALSE))</f>
        <v>1</v>
      </c>
      <c r="H305" s="18" t="str">
        <f t="shared" si="44"/>
        <v>2-Unmetered, Funded by Others, CE Maintained</v>
      </c>
      <c r="I305" s="123">
        <f>VLOOKUP(F305,'Maintenance Model'!$A$57:$B$61,2,FALSE)</f>
        <v>0</v>
      </c>
      <c r="J305" s="123">
        <f>IF(D305=1,VLOOKUP(C305,'Capital Code Schedules'!A$15:F$300,2,FALSE),IF(D305=2,VLOOKUP(C305,'Capital Code Schedules'!A$15:F$300,3,FALSE),0))</f>
        <v>0</v>
      </c>
      <c r="K305" s="123">
        <v>0</v>
      </c>
      <c r="L305" s="123">
        <f>VLOOKUP(LEFT(A305,10),'Streetlight Tariff Schedule'!B$11:G$260,6, FALSE)+I305</f>
        <v>102.48905789444579</v>
      </c>
      <c r="M305" s="161">
        <f t="shared" si="45"/>
        <v>102.48905789444579</v>
      </c>
      <c r="N305" s="405">
        <f t="shared" si="46"/>
        <v>106.7596357582301</v>
      </c>
      <c r="O305" s="405">
        <v>70.439362667093974</v>
      </c>
      <c r="P305" s="406">
        <v>70.439362667093974</v>
      </c>
      <c r="Q305" s="406">
        <v>73.886584936703173</v>
      </c>
      <c r="R305" s="406">
        <v>73.886584936703173</v>
      </c>
      <c r="S305" s="405">
        <f t="shared" si="47"/>
        <v>111.98433087110996</v>
      </c>
      <c r="T305" s="406">
        <v>76.921194541122617</v>
      </c>
      <c r="U305" s="406">
        <v>77.202210061573865</v>
      </c>
      <c r="V305" s="405">
        <f t="shared" si="48"/>
        <v>117.00957410499562</v>
      </c>
      <c r="W305" s="406">
        <v>79.721334248262764</v>
      </c>
      <c r="X305" s="406">
        <v>80.727009635116531</v>
      </c>
      <c r="Y305" s="405">
        <f t="shared" si="49"/>
        <v>122.35184729350604</v>
      </c>
      <c r="Z305" s="406">
        <v>82.02413355736644</v>
      </c>
      <c r="AA305" s="406">
        <v>83.362805493708947</v>
      </c>
      <c r="AB305" s="442">
        <f t="shared" si="50"/>
        <v>125.00770721630418</v>
      </c>
      <c r="AC305" s="438">
        <f t="shared" si="51"/>
        <v>128.74532031126776</v>
      </c>
      <c r="AD305" s="410"/>
      <c r="AE305" s="411"/>
      <c r="AF305" s="411"/>
      <c r="AG305" s="411"/>
    </row>
    <row r="306" spans="1:33" x14ac:dyDescent="0.2">
      <c r="A306" s="159" t="s">
        <v>1597</v>
      </c>
      <c r="B306" s="18" t="str">
        <f>VLOOKUP(LEFT(A306,7),'Tariff Schedule Lookup Table'!$A$8:$G$186,2,FALSE)</f>
        <v>Metal Hallide (Reactor Control Gear) 70</v>
      </c>
      <c r="C306" s="160">
        <f t="shared" si="42"/>
        <v>40</v>
      </c>
      <c r="D306" s="18">
        <f t="shared" si="43"/>
        <v>2</v>
      </c>
      <c r="E306" s="18" t="str">
        <f>VLOOKUP(C306,'Tariff Schedule Lookup Table'!I$7:L$286,2,FALSE)</f>
        <v>HIGH PRESSURE SODIUM 70W (100)</v>
      </c>
      <c r="F306" s="18" t="str">
        <f>IF(E306 = "BULKHEADS ETC", "SHARED OR NO POLE", VLOOKUP(C306,'Tariff Schedule Lookup Table'!I$7:L$286,3,FALSE))</f>
        <v>SHARED OR NO POLE</v>
      </c>
      <c r="G306" s="18">
        <f>IF(E306 = "NO CAPITAL", 1, VLOOKUP(C306,'Tariff Schedule Lookup Table'!I$7:L$286,4,FALSE))</f>
        <v>1</v>
      </c>
      <c r="H306" s="18" t="str">
        <f t="shared" si="44"/>
        <v>2-Unmetered, Funded by Others, CE Maintained</v>
      </c>
      <c r="I306" s="123">
        <f>VLOOKUP(F306,'Maintenance Model'!$A$57:$B$61,2,FALSE)</f>
        <v>0</v>
      </c>
      <c r="J306" s="123">
        <f>IF(D306=1,VLOOKUP(C306,'Capital Code Schedules'!A$15:F$300,2,FALSE),IF(D306=2,VLOOKUP(C306,'Capital Code Schedules'!A$15:F$300,3,FALSE),0))</f>
        <v>0</v>
      </c>
      <c r="K306" s="123">
        <v>0</v>
      </c>
      <c r="L306" s="123">
        <f>VLOOKUP(LEFT(A306,10),'Streetlight Tariff Schedule'!B$11:G$260,6, FALSE)+I306</f>
        <v>101.34943396196847</v>
      </c>
      <c r="M306" s="161">
        <f t="shared" si="45"/>
        <v>101.34943396196847</v>
      </c>
      <c r="N306" s="405">
        <f t="shared" si="46"/>
        <v>105.57252526631842</v>
      </c>
      <c r="O306" s="405">
        <v>72.235554893951488</v>
      </c>
      <c r="P306" s="406">
        <v>72.235554893951488</v>
      </c>
      <c r="Q306" s="406">
        <v>75.770680767603579</v>
      </c>
      <c r="R306" s="406">
        <v>75.770680767603579</v>
      </c>
      <c r="S306" s="405">
        <f t="shared" si="47"/>
        <v>110.73912454230739</v>
      </c>
      <c r="T306" s="406">
        <v>78.882672420591064</v>
      </c>
      <c r="U306" s="406">
        <v>79.170853790850543</v>
      </c>
      <c r="V306" s="405">
        <f t="shared" si="48"/>
        <v>115.70848973834677</v>
      </c>
      <c r="W306" s="406">
        <v>81.754215232268805</v>
      </c>
      <c r="X306" s="406">
        <v>82.785535176997755</v>
      </c>
      <c r="Y306" s="405">
        <f t="shared" si="49"/>
        <v>120.99135968416442</v>
      </c>
      <c r="Z306" s="406">
        <v>84.1157355471058</v>
      </c>
      <c r="AA306" s="406">
        <v>85.488543398870092</v>
      </c>
      <c r="AB306" s="442">
        <f t="shared" si="50"/>
        <v>123.61768785409539</v>
      </c>
      <c r="AC306" s="438">
        <f t="shared" si="51"/>
        <v>127.31374067500758</v>
      </c>
      <c r="AD306" s="410"/>
      <c r="AE306" s="411"/>
      <c r="AF306" s="411"/>
      <c r="AG306" s="411"/>
    </row>
    <row r="307" spans="1:33" x14ac:dyDescent="0.2">
      <c r="A307" s="159" t="s">
        <v>1598</v>
      </c>
      <c r="B307" s="18" t="str">
        <f>VLOOKUP(LEFT(A307,7),'Tariff Schedule Lookup Table'!$A$8:$G$186,2,FALSE)</f>
        <v>Metal Hallide (Reactor Control Gear) 70</v>
      </c>
      <c r="C307" s="160">
        <f t="shared" si="42"/>
        <v>360</v>
      </c>
      <c r="D307" s="18">
        <f t="shared" si="43"/>
        <v>2</v>
      </c>
      <c r="E307" s="18" t="str">
        <f>VLOOKUP(C307,'Tariff Schedule Lookup Table'!I$7:L$286,2,FALSE)</f>
        <v>HIGH PRESSURE SODIUM 70W (100)</v>
      </c>
      <c r="F307" s="18" t="str">
        <f>IF(E307 = "BULKHEADS ETC", "SHARED OR NO POLE", VLOOKUP(C307,'Tariff Schedule Lookup Table'!I$7:L$286,3,FALSE))</f>
        <v>STEEL POLE</v>
      </c>
      <c r="G307" s="18">
        <f>IF(E307 = "NO CAPITAL", 1, VLOOKUP(C307,'Tariff Schedule Lookup Table'!I$7:L$286,4,FALSE))</f>
        <v>1</v>
      </c>
      <c r="H307" s="18" t="str">
        <f t="shared" si="44"/>
        <v>2-Unmetered, Funded by Others, CE Maintained</v>
      </c>
      <c r="I307" s="123">
        <f>VLOOKUP(F307,'Maintenance Model'!$A$57:$B$61,2,FALSE)</f>
        <v>9.9616182311111103</v>
      </c>
      <c r="J307" s="123">
        <f>IF(D307=1,VLOOKUP(C307,'Capital Code Schedules'!A$15:F$300,2,FALSE),IF(D307=2,VLOOKUP(C307,'Capital Code Schedules'!A$15:F$300,3,FALSE),0))</f>
        <v>0</v>
      </c>
      <c r="K307" s="123">
        <v>0</v>
      </c>
      <c r="L307" s="123">
        <f>VLOOKUP(LEFT(A307,10),'Streetlight Tariff Schedule'!B$11:G$260,6, FALSE)+I307</f>
        <v>111.31105219307958</v>
      </c>
      <c r="M307" s="161">
        <f t="shared" si="45"/>
        <v>111.31105219307958</v>
      </c>
      <c r="N307" s="405">
        <f t="shared" si="46"/>
        <v>115.94923040699082</v>
      </c>
      <c r="O307" s="405">
        <v>81.829670130050658</v>
      </c>
      <c r="P307" s="406">
        <v>81.829670130050658</v>
      </c>
      <c r="Q307" s="406">
        <v>85.834321088070496</v>
      </c>
      <c r="R307" s="406">
        <v>85.834321088070496</v>
      </c>
      <c r="S307" s="405">
        <f t="shared" si="47"/>
        <v>121.62365382691975</v>
      </c>
      <c r="T307" s="406">
        <v>89.359638375177809</v>
      </c>
      <c r="U307" s="406">
        <v>89.686095152599691</v>
      </c>
      <c r="V307" s="405">
        <f t="shared" si="48"/>
        <v>127.0814570634961</v>
      </c>
      <c r="W307" s="406">
        <v>92.612571108772471</v>
      </c>
      <c r="X307" s="406">
        <v>93.780867953721028</v>
      </c>
      <c r="Y307" s="405">
        <f t="shared" si="49"/>
        <v>132.88357937716214</v>
      </c>
      <c r="Z307" s="406">
        <v>95.287741648435684</v>
      </c>
      <c r="AA307" s="406">
        <v>96.842881825966501</v>
      </c>
      <c r="AB307" s="442">
        <f t="shared" si="50"/>
        <v>135.76804888598093</v>
      </c>
      <c r="AC307" s="438">
        <f t="shared" si="51"/>
        <v>139.8273860956127</v>
      </c>
      <c r="AD307" s="410"/>
      <c r="AE307" s="411"/>
      <c r="AF307" s="411"/>
      <c r="AG307" s="411"/>
    </row>
    <row r="308" spans="1:33" x14ac:dyDescent="0.2">
      <c r="A308" s="159" t="s">
        <v>1599</v>
      </c>
      <c r="B308" s="18" t="str">
        <f>VLOOKUP(LEFT(A308,7),'Tariff Schedule Lookup Table'!$A$8:$G$186,2,FALSE)</f>
        <v>Metal Hallide (Reactor Control Gear) 150</v>
      </c>
      <c r="C308" s="160">
        <f t="shared" si="42"/>
        <v>50</v>
      </c>
      <c r="D308" s="18">
        <f t="shared" si="43"/>
        <v>2</v>
      </c>
      <c r="E308" s="18" t="str">
        <f>VLOOKUP(C308,'Tariff Schedule Lookup Table'!I$7:L$286,2,FALSE)</f>
        <v>HIGH PRESSURE SODIUM 150W</v>
      </c>
      <c r="F308" s="18" t="str">
        <f>IF(E308 = "BULKHEADS ETC", "SHARED OR NO POLE", VLOOKUP(C308,'Tariff Schedule Lookup Table'!I$7:L$286,3,FALSE))</f>
        <v>SHARED OR NO POLE</v>
      </c>
      <c r="G308" s="18">
        <f>IF(E308 = "NO CAPITAL", 1, VLOOKUP(C308,'Tariff Schedule Lookup Table'!I$7:L$286,4,FALSE))</f>
        <v>1</v>
      </c>
      <c r="H308" s="18" t="str">
        <f t="shared" si="44"/>
        <v>2-Unmetered, Funded by Others, CE Maintained</v>
      </c>
      <c r="I308" s="123">
        <f>VLOOKUP(F308,'Maintenance Model'!$A$57:$B$61,2,FALSE)</f>
        <v>0</v>
      </c>
      <c r="J308" s="123">
        <f>IF(D308=1,VLOOKUP(C308,'Capital Code Schedules'!A$15:F$300,2,FALSE),IF(D308=2,VLOOKUP(C308,'Capital Code Schedules'!A$15:F$300,3,FALSE),0))</f>
        <v>0</v>
      </c>
      <c r="K308" s="123">
        <v>0</v>
      </c>
      <c r="L308" s="123">
        <f>VLOOKUP(LEFT(A308,10),'Streetlight Tariff Schedule'!B$11:G$260,6, FALSE)+I308</f>
        <v>115.29538329530182</v>
      </c>
      <c r="M308" s="161">
        <f t="shared" si="45"/>
        <v>115.29538329530182</v>
      </c>
      <c r="N308" s="405">
        <f t="shared" si="46"/>
        <v>120.09958309782655</v>
      </c>
      <c r="O308" s="405">
        <v>79.435110078477607</v>
      </c>
      <c r="P308" s="406">
        <v>79.435110078477607</v>
      </c>
      <c r="Q308" s="406">
        <v>83.322573991879906</v>
      </c>
      <c r="R308" s="406">
        <v>83.322573991879906</v>
      </c>
      <c r="S308" s="405">
        <f t="shared" si="47"/>
        <v>125.97712005656192</v>
      </c>
      <c r="T308" s="406">
        <v>86.744730849140552</v>
      </c>
      <c r="U308" s="406">
        <v>87.061634607999139</v>
      </c>
      <c r="V308" s="405">
        <f t="shared" si="48"/>
        <v>131.63028300591483</v>
      </c>
      <c r="W308" s="406">
        <v>89.902473870226999</v>
      </c>
      <c r="X308" s="406">
        <v>91.036583152781077</v>
      </c>
      <c r="Y308" s="405">
        <f t="shared" si="49"/>
        <v>137.64008978520914</v>
      </c>
      <c r="Z308" s="406">
        <v>92.499361600058023</v>
      </c>
      <c r="AA308" s="406">
        <v>94.008994120796459</v>
      </c>
      <c r="AB308" s="442">
        <f t="shared" si="50"/>
        <v>140.62780763595774</v>
      </c>
      <c r="AC308" s="438">
        <f t="shared" si="51"/>
        <v>144.83244707012233</v>
      </c>
      <c r="AD308" s="410"/>
      <c r="AE308" s="411"/>
      <c r="AF308" s="411"/>
      <c r="AG308" s="411"/>
    </row>
    <row r="309" spans="1:33" x14ac:dyDescent="0.2">
      <c r="A309" s="159" t="s">
        <v>1600</v>
      </c>
      <c r="B309" s="18" t="str">
        <f>VLOOKUP(LEFT(A309,7),'Tariff Schedule Lookup Table'!$A$8:$G$186,2,FALSE)</f>
        <v>Metal Hallide (Reactor Control Gear) 150</v>
      </c>
      <c r="C309" s="160">
        <f t="shared" si="42"/>
        <v>310</v>
      </c>
      <c r="D309" s="18">
        <f t="shared" si="43"/>
        <v>2</v>
      </c>
      <c r="E309" s="18" t="str">
        <f>VLOOKUP(C309,'Tariff Schedule Lookup Table'!I$7:L$286,2,FALSE)</f>
        <v>HIGH PRESSURE SODIUM 150W</v>
      </c>
      <c r="F309" s="18" t="str">
        <f>IF(E309 = "BULKHEADS ETC", "SHARED OR NO POLE", VLOOKUP(C309,'Tariff Schedule Lookup Table'!I$7:L$286,3,FALSE))</f>
        <v>STEEL POLE</v>
      </c>
      <c r="G309" s="18">
        <f>IF(E309 = "NO CAPITAL", 1, VLOOKUP(C309,'Tariff Schedule Lookup Table'!I$7:L$286,4,FALSE))</f>
        <v>1</v>
      </c>
      <c r="H309" s="18" t="str">
        <f t="shared" si="44"/>
        <v>2-Unmetered, Funded by Others, CE Maintained</v>
      </c>
      <c r="I309" s="123">
        <f>VLOOKUP(F309,'Maintenance Model'!$A$57:$B$61,2,FALSE)</f>
        <v>9.9616182311111103</v>
      </c>
      <c r="J309" s="123">
        <f>IF(D309=1,VLOOKUP(C309,'Capital Code Schedules'!A$15:F$300,2,FALSE),IF(D309=2,VLOOKUP(C309,'Capital Code Schedules'!A$15:F$300,3,FALSE),0))</f>
        <v>0</v>
      </c>
      <c r="K309" s="123">
        <v>0</v>
      </c>
      <c r="L309" s="123">
        <f>VLOOKUP(LEFT(A309,10),'Streetlight Tariff Schedule'!B$11:G$260,6, FALSE)+I309</f>
        <v>125.25700152641292</v>
      </c>
      <c r="M309" s="161">
        <f t="shared" si="45"/>
        <v>125.25700152641292</v>
      </c>
      <c r="N309" s="405">
        <f t="shared" si="46"/>
        <v>130.47628823849894</v>
      </c>
      <c r="O309" s="405">
        <v>89.029225314576777</v>
      </c>
      <c r="P309" s="406">
        <v>89.029225314576777</v>
      </c>
      <c r="Q309" s="406">
        <v>93.386214312346837</v>
      </c>
      <c r="R309" s="406">
        <v>93.386214312346837</v>
      </c>
      <c r="S309" s="405">
        <f t="shared" si="47"/>
        <v>136.86164934117429</v>
      </c>
      <c r="T309" s="406">
        <v>97.221696803727312</v>
      </c>
      <c r="U309" s="406">
        <v>97.576875969748272</v>
      </c>
      <c r="V309" s="405">
        <f t="shared" si="48"/>
        <v>143.00325033106418</v>
      </c>
      <c r="W309" s="406">
        <v>100.76082974673066</v>
      </c>
      <c r="X309" s="406">
        <v>102.03191592950435</v>
      </c>
      <c r="Y309" s="405">
        <f t="shared" si="49"/>
        <v>149.53230947820683</v>
      </c>
      <c r="Z309" s="406">
        <v>103.67136770138791</v>
      </c>
      <c r="AA309" s="406">
        <v>105.36333254789285</v>
      </c>
      <c r="AB309" s="442">
        <f t="shared" si="50"/>
        <v>152.77816866784326</v>
      </c>
      <c r="AC309" s="438">
        <f t="shared" si="51"/>
        <v>157.34609249072744</v>
      </c>
      <c r="AD309" s="410"/>
      <c r="AE309" s="411"/>
      <c r="AF309" s="411"/>
      <c r="AG309" s="411"/>
    </row>
    <row r="310" spans="1:33" x14ac:dyDescent="0.2">
      <c r="A310" s="159" t="s">
        <v>1601</v>
      </c>
      <c r="B310" s="18" t="str">
        <f>VLOOKUP(LEFT(A310,7),'Tariff Schedule Lookup Table'!$A$8:$G$186,2,FALSE)</f>
        <v>Metal Hallide (Reactor Control Gear) 250</v>
      </c>
      <c r="C310" s="160">
        <f t="shared" si="42"/>
        <v>60</v>
      </c>
      <c r="D310" s="18">
        <f t="shared" si="43"/>
        <v>2</v>
      </c>
      <c r="E310" s="18" t="str">
        <f>VLOOKUP(C310,'Tariff Schedule Lookup Table'!I$7:L$286,2,FALSE)</f>
        <v>HIGH PRESSURE SODIUM 250W (210/220)</v>
      </c>
      <c r="F310" s="18" t="str">
        <f>IF(E310 = "BULKHEADS ETC", "SHARED OR NO POLE", VLOOKUP(C310,'Tariff Schedule Lookup Table'!I$7:L$286,3,FALSE))</f>
        <v>SHARED OR NO POLE</v>
      </c>
      <c r="G310" s="18">
        <f>IF(E310 = "NO CAPITAL", 1, VLOOKUP(C310,'Tariff Schedule Lookup Table'!I$7:L$286,4,FALSE))</f>
        <v>1</v>
      </c>
      <c r="H310" s="18" t="str">
        <f t="shared" si="44"/>
        <v>2-Unmetered, Funded by Others, CE Maintained</v>
      </c>
      <c r="I310" s="123">
        <f>VLOOKUP(F310,'Maintenance Model'!$A$57:$B$61,2,FALSE)</f>
        <v>0</v>
      </c>
      <c r="J310" s="123">
        <f>IF(D310=1,VLOOKUP(C310,'Capital Code Schedules'!A$15:F$300,2,FALSE),IF(D310=2,VLOOKUP(C310,'Capital Code Schedules'!A$15:F$300,3,FALSE),0))</f>
        <v>0</v>
      </c>
      <c r="K310" s="123">
        <v>0</v>
      </c>
      <c r="L310" s="123">
        <f>VLOOKUP(LEFT(A310,10),'Streetlight Tariff Schedule'!B$11:G$260,6, FALSE)+I310</f>
        <v>115.29538329530182</v>
      </c>
      <c r="M310" s="161">
        <f t="shared" si="45"/>
        <v>115.29538329530182</v>
      </c>
      <c r="N310" s="405">
        <f t="shared" si="46"/>
        <v>120.09958309782655</v>
      </c>
      <c r="O310" s="405">
        <v>79.435110078477607</v>
      </c>
      <c r="P310" s="406">
        <v>79.435110078477607</v>
      </c>
      <c r="Q310" s="406">
        <v>83.322573991879906</v>
      </c>
      <c r="R310" s="406">
        <v>83.322573991879906</v>
      </c>
      <c r="S310" s="405">
        <f t="shared" si="47"/>
        <v>125.97712005656192</v>
      </c>
      <c r="T310" s="406">
        <v>86.744730849140552</v>
      </c>
      <c r="U310" s="406">
        <v>87.061634607999139</v>
      </c>
      <c r="V310" s="405">
        <f t="shared" si="48"/>
        <v>131.63028300591483</v>
      </c>
      <c r="W310" s="406">
        <v>89.902473870226999</v>
      </c>
      <c r="X310" s="406">
        <v>91.036583152781077</v>
      </c>
      <c r="Y310" s="405">
        <f t="shared" si="49"/>
        <v>137.64008978520914</v>
      </c>
      <c r="Z310" s="406">
        <v>92.499361600058023</v>
      </c>
      <c r="AA310" s="406">
        <v>94.008994120796459</v>
      </c>
      <c r="AB310" s="442">
        <f t="shared" si="50"/>
        <v>140.62780763595774</v>
      </c>
      <c r="AC310" s="438">
        <f t="shared" si="51"/>
        <v>144.83244707012233</v>
      </c>
      <c r="AD310" s="410"/>
      <c r="AE310" s="411"/>
      <c r="AF310" s="411"/>
      <c r="AG310" s="411"/>
    </row>
    <row r="311" spans="1:33" x14ac:dyDescent="0.2">
      <c r="A311" s="159" t="s">
        <v>1602</v>
      </c>
      <c r="B311" s="18" t="str">
        <f>VLOOKUP(LEFT(A311,7),'Tariff Schedule Lookup Table'!$A$8:$G$186,2,FALSE)</f>
        <v>Metal Hallide (Reactor Control Gear) 250</v>
      </c>
      <c r="C311" s="160">
        <f t="shared" si="42"/>
        <v>320</v>
      </c>
      <c r="D311" s="18">
        <f t="shared" si="43"/>
        <v>1</v>
      </c>
      <c r="E311" s="18" t="str">
        <f>VLOOKUP(C311,'Tariff Schedule Lookup Table'!I$7:L$286,2,FALSE)</f>
        <v>HIGH PRESSURE SODIUM 250W (210/220)</v>
      </c>
      <c r="F311" s="18" t="str">
        <f>IF(E311 = "BULKHEADS ETC", "SHARED OR NO POLE", VLOOKUP(C311,'Tariff Schedule Lookup Table'!I$7:L$286,3,FALSE))</f>
        <v>STEEL POLE</v>
      </c>
      <c r="G311" s="18">
        <f>IF(E311 = "NO CAPITAL", 1, VLOOKUP(C311,'Tariff Schedule Lookup Table'!I$7:L$286,4,FALSE))</f>
        <v>1</v>
      </c>
      <c r="H311" s="18" t="str">
        <f t="shared" si="44"/>
        <v>1-Unmetered, CE Funded, CE Maintained</v>
      </c>
      <c r="I311" s="123">
        <f>VLOOKUP(F311,'Maintenance Model'!$A$57:$B$61,2,FALSE)</f>
        <v>9.9616182311111103</v>
      </c>
      <c r="J311" s="123">
        <f>IF(D311=1,VLOOKUP(C311,'Capital Code Schedules'!A$15:F$300,2,FALSE),IF(D311=2,VLOOKUP(C311,'Capital Code Schedules'!A$15:F$300,3,FALSE),0))</f>
        <v>92.322513672035399</v>
      </c>
      <c r="K311" s="123">
        <v>117.10841065015505</v>
      </c>
      <c r="L311" s="123">
        <f>VLOOKUP(LEFT(A311,10),'Streetlight Tariff Schedule'!B$11:G$260,6, FALSE)+I311</f>
        <v>125.25700152641292</v>
      </c>
      <c r="M311" s="161">
        <f t="shared" si="45"/>
        <v>242.36541217656799</v>
      </c>
      <c r="N311" s="405">
        <f t="shared" si="46"/>
        <v>225.08378412391724</v>
      </c>
      <c r="O311" s="405">
        <v>214.34885533075288</v>
      </c>
      <c r="P311" s="406">
        <v>209.03606912832316</v>
      </c>
      <c r="Q311" s="406">
        <v>216.36322751048348</v>
      </c>
      <c r="R311" s="406">
        <v>221.80750517142332</v>
      </c>
      <c r="S311" s="405">
        <f t="shared" si="47"/>
        <v>233.81068074975667</v>
      </c>
      <c r="T311" s="406">
        <v>223.24239107851781</v>
      </c>
      <c r="U311" s="406">
        <v>229.65817361830844</v>
      </c>
      <c r="V311" s="405">
        <f t="shared" si="48"/>
        <v>242.71532913479115</v>
      </c>
      <c r="W311" s="406">
        <v>229.90053620482226</v>
      </c>
      <c r="X311" s="406">
        <v>238.59076956835065</v>
      </c>
      <c r="Y311" s="405">
        <f t="shared" si="49"/>
        <v>252.62462775338017</v>
      </c>
      <c r="Z311" s="406">
        <v>236.00728189431723</v>
      </c>
      <c r="AA311" s="406">
        <v>245.81411351544631</v>
      </c>
      <c r="AB311" s="442">
        <f t="shared" si="50"/>
        <v>257.68491174465964</v>
      </c>
      <c r="AC311" s="438">
        <f t="shared" si="51"/>
        <v>265.3056217910792</v>
      </c>
      <c r="AD311" s="410"/>
      <c r="AE311" s="411"/>
      <c r="AF311" s="411"/>
      <c r="AG311" s="411"/>
    </row>
    <row r="312" spans="1:33" x14ac:dyDescent="0.2">
      <c r="A312" s="159" t="s">
        <v>1603</v>
      </c>
      <c r="B312" s="18" t="str">
        <f>VLOOKUP(LEFT(A312,7),'Tariff Schedule Lookup Table'!$A$8:$G$186,2,FALSE)</f>
        <v>Metal Hallide (Reactor Control Gear) 250</v>
      </c>
      <c r="C312" s="160">
        <f t="shared" si="42"/>
        <v>320</v>
      </c>
      <c r="D312" s="18">
        <f t="shared" si="43"/>
        <v>2</v>
      </c>
      <c r="E312" s="18" t="str">
        <f>VLOOKUP(C312,'Tariff Schedule Lookup Table'!I$7:L$286,2,FALSE)</f>
        <v>HIGH PRESSURE SODIUM 250W (210/220)</v>
      </c>
      <c r="F312" s="18" t="str">
        <f>IF(E312 = "BULKHEADS ETC", "SHARED OR NO POLE", VLOOKUP(C312,'Tariff Schedule Lookup Table'!I$7:L$286,3,FALSE))</f>
        <v>STEEL POLE</v>
      </c>
      <c r="G312" s="18">
        <f>IF(E312 = "NO CAPITAL", 1, VLOOKUP(C312,'Tariff Schedule Lookup Table'!I$7:L$286,4,FALSE))</f>
        <v>1</v>
      </c>
      <c r="H312" s="18" t="str">
        <f t="shared" si="44"/>
        <v>2-Unmetered, Funded by Others, CE Maintained</v>
      </c>
      <c r="I312" s="123">
        <f>VLOOKUP(F312,'Maintenance Model'!$A$57:$B$61,2,FALSE)</f>
        <v>9.9616182311111103</v>
      </c>
      <c r="J312" s="123">
        <f>IF(D312=1,VLOOKUP(C312,'Capital Code Schedules'!A$15:F$300,2,FALSE),IF(D312=2,VLOOKUP(C312,'Capital Code Schedules'!A$15:F$300,3,FALSE),0))</f>
        <v>0</v>
      </c>
      <c r="K312" s="123">
        <v>0</v>
      </c>
      <c r="L312" s="123">
        <f>VLOOKUP(LEFT(A312,10),'Streetlight Tariff Schedule'!B$11:G$260,6, FALSE)+I312</f>
        <v>125.25700152641292</v>
      </c>
      <c r="M312" s="161">
        <f t="shared" si="45"/>
        <v>125.25700152641292</v>
      </c>
      <c r="N312" s="405">
        <f t="shared" si="46"/>
        <v>130.47628823849894</v>
      </c>
      <c r="O312" s="405">
        <v>89.029225314576777</v>
      </c>
      <c r="P312" s="406">
        <v>89.029225314576777</v>
      </c>
      <c r="Q312" s="406">
        <v>93.386214312346837</v>
      </c>
      <c r="R312" s="406">
        <v>93.386214312346837</v>
      </c>
      <c r="S312" s="405">
        <f t="shared" si="47"/>
        <v>136.86164934117429</v>
      </c>
      <c r="T312" s="406">
        <v>97.221696803727312</v>
      </c>
      <c r="U312" s="406">
        <v>97.576875969748272</v>
      </c>
      <c r="V312" s="405">
        <f t="shared" si="48"/>
        <v>143.00325033106418</v>
      </c>
      <c r="W312" s="406">
        <v>100.76082974673066</v>
      </c>
      <c r="X312" s="406">
        <v>102.03191592950435</v>
      </c>
      <c r="Y312" s="405">
        <f t="shared" si="49"/>
        <v>149.53230947820683</v>
      </c>
      <c r="Z312" s="406">
        <v>103.67136770138791</v>
      </c>
      <c r="AA312" s="406">
        <v>105.36333254789285</v>
      </c>
      <c r="AB312" s="442">
        <f t="shared" si="50"/>
        <v>152.77816866784326</v>
      </c>
      <c r="AC312" s="438">
        <f t="shared" si="51"/>
        <v>157.34609249072744</v>
      </c>
      <c r="AD312" s="410"/>
      <c r="AE312" s="411"/>
      <c r="AF312" s="411"/>
      <c r="AG312" s="411"/>
    </row>
    <row r="313" spans="1:33" x14ac:dyDescent="0.2">
      <c r="A313" s="159" t="s">
        <v>1604</v>
      </c>
      <c r="B313" s="18" t="str">
        <f>VLOOKUP(LEFT(A313,7),'Tariff Schedule Lookup Table'!$A$8:$G$186,2,FALSE)</f>
        <v>Metal Hallide (Reactor Control Gear) 250</v>
      </c>
      <c r="C313" s="160">
        <f t="shared" si="42"/>
        <v>390</v>
      </c>
      <c r="D313" s="18">
        <f t="shared" si="43"/>
        <v>2</v>
      </c>
      <c r="E313" s="18" t="str">
        <f>VLOOKUP(C313,'Tariff Schedule Lookup Table'!I$7:L$286,2,FALSE)</f>
        <v>HIGH PRESSURE SODIUM 250W (210/220)</v>
      </c>
      <c r="F313" s="18" t="str">
        <f>IF(E313 = "BULKHEADS ETC", "SHARED OR NO POLE", VLOOKUP(C313,'Tariff Schedule Lookup Table'!I$7:L$286,3,FALSE))</f>
        <v>STEEL POLE</v>
      </c>
      <c r="G313" s="18">
        <f>IF(E313 = "NO CAPITAL", 1, VLOOKUP(C313,'Tariff Schedule Lookup Table'!I$7:L$286,4,FALSE))</f>
        <v>2</v>
      </c>
      <c r="H313" s="18" t="str">
        <f t="shared" si="44"/>
        <v>2-Unmetered, Funded by Others, CE Maintained</v>
      </c>
      <c r="I313" s="123">
        <f>VLOOKUP(F313,'Maintenance Model'!$A$57:$B$61,2,FALSE)</f>
        <v>9.9616182311111103</v>
      </c>
      <c r="J313" s="123">
        <f>IF(D313=1,VLOOKUP(C313,'Capital Code Schedules'!A$15:F$300,2,FALSE),IF(D313=2,VLOOKUP(C313,'Capital Code Schedules'!A$15:F$300,3,FALSE),0))</f>
        <v>0</v>
      </c>
      <c r="K313" s="123">
        <v>0</v>
      </c>
      <c r="L313" s="123">
        <f>VLOOKUP(LEFT(A313,10),'Streetlight Tariff Schedule'!B$11:G$260,6, FALSE)+I313</f>
        <v>125.25700152641292</v>
      </c>
      <c r="M313" s="161">
        <f t="shared" si="45"/>
        <v>125.25700152641292</v>
      </c>
      <c r="N313" s="405">
        <f t="shared" si="46"/>
        <v>130.47628823849894</v>
      </c>
      <c r="O313" s="405">
        <v>89.029225314576777</v>
      </c>
      <c r="P313" s="406">
        <v>89.029225314576777</v>
      </c>
      <c r="Q313" s="406">
        <v>93.386214312346837</v>
      </c>
      <c r="R313" s="406">
        <v>93.386214312346837</v>
      </c>
      <c r="S313" s="405">
        <f t="shared" si="47"/>
        <v>136.86164934117429</v>
      </c>
      <c r="T313" s="406">
        <v>97.221696803727312</v>
      </c>
      <c r="U313" s="406">
        <v>97.576875969748272</v>
      </c>
      <c r="V313" s="405">
        <f t="shared" si="48"/>
        <v>143.00325033106418</v>
      </c>
      <c r="W313" s="406">
        <v>100.76082974673066</v>
      </c>
      <c r="X313" s="406">
        <v>102.03191592950435</v>
      </c>
      <c r="Y313" s="405">
        <f t="shared" si="49"/>
        <v>149.53230947820683</v>
      </c>
      <c r="Z313" s="406">
        <v>103.67136770138791</v>
      </c>
      <c r="AA313" s="406">
        <v>105.36333254789285</v>
      </c>
      <c r="AB313" s="442">
        <f t="shared" si="50"/>
        <v>152.77816866784326</v>
      </c>
      <c r="AC313" s="438">
        <f t="shared" si="51"/>
        <v>157.34609249072744</v>
      </c>
      <c r="AD313" s="410"/>
      <c r="AE313" s="411"/>
      <c r="AF313" s="411"/>
      <c r="AG313" s="411"/>
    </row>
    <row r="314" spans="1:33" x14ac:dyDescent="0.2">
      <c r="A314" s="159" t="s">
        <v>1605</v>
      </c>
      <c r="B314" s="18" t="str">
        <f>VLOOKUP(LEFT(A314,7),'Tariff Schedule Lookup Table'!$A$8:$G$186,2,FALSE)</f>
        <v>Metal Hallide (Reactor Control Gear) 250</v>
      </c>
      <c r="C314" s="160">
        <f t="shared" si="42"/>
        <v>430</v>
      </c>
      <c r="D314" s="18">
        <f t="shared" si="43"/>
        <v>2</v>
      </c>
      <c r="E314" s="18" t="str">
        <f>VLOOKUP(C314,'Tariff Schedule Lookup Table'!I$7:L$286,2,FALSE)</f>
        <v>HIGH PRESSURE SODIUM 250W (210/220)</v>
      </c>
      <c r="F314" s="18" t="str">
        <f>IF(E314 = "BULKHEADS ETC", "SHARED OR NO POLE", VLOOKUP(C314,'Tariff Schedule Lookup Table'!I$7:L$286,3,FALSE))</f>
        <v>STEEL POLE</v>
      </c>
      <c r="G314" s="18">
        <f>IF(E314 = "NO CAPITAL", 1, VLOOKUP(C314,'Tariff Schedule Lookup Table'!I$7:L$286,4,FALSE))</f>
        <v>3</v>
      </c>
      <c r="H314" s="18" t="str">
        <f t="shared" si="44"/>
        <v>2-Unmetered, Funded by Others, CE Maintained</v>
      </c>
      <c r="I314" s="123">
        <f>VLOOKUP(F314,'Maintenance Model'!$A$57:$B$61,2,FALSE)</f>
        <v>9.9616182311111103</v>
      </c>
      <c r="J314" s="123">
        <f>IF(D314=1,VLOOKUP(C314,'Capital Code Schedules'!A$15:F$300,2,FALSE),IF(D314=2,VLOOKUP(C314,'Capital Code Schedules'!A$15:F$300,3,FALSE),0))</f>
        <v>0</v>
      </c>
      <c r="K314" s="123">
        <v>0</v>
      </c>
      <c r="L314" s="123">
        <f>VLOOKUP(LEFT(A314,10),'Streetlight Tariff Schedule'!B$11:G$260,6, FALSE)+I314</f>
        <v>125.25700152641292</v>
      </c>
      <c r="M314" s="161">
        <f t="shared" si="45"/>
        <v>125.25700152641292</v>
      </c>
      <c r="N314" s="405">
        <f t="shared" si="46"/>
        <v>130.47628823849894</v>
      </c>
      <c r="O314" s="405">
        <v>89.029225314576777</v>
      </c>
      <c r="P314" s="406">
        <v>89.029225314576777</v>
      </c>
      <c r="Q314" s="406">
        <v>93.386214312346837</v>
      </c>
      <c r="R314" s="406">
        <v>93.386214312346837</v>
      </c>
      <c r="S314" s="405">
        <f t="shared" si="47"/>
        <v>136.86164934117429</v>
      </c>
      <c r="T314" s="406">
        <v>97.221696803727312</v>
      </c>
      <c r="U314" s="406">
        <v>97.576875969748272</v>
      </c>
      <c r="V314" s="405">
        <f t="shared" si="48"/>
        <v>143.00325033106418</v>
      </c>
      <c r="W314" s="406">
        <v>100.76082974673066</v>
      </c>
      <c r="X314" s="406">
        <v>102.03191592950435</v>
      </c>
      <c r="Y314" s="405">
        <f t="shared" si="49"/>
        <v>149.53230947820683</v>
      </c>
      <c r="Z314" s="406">
        <v>103.67136770138791</v>
      </c>
      <c r="AA314" s="406">
        <v>105.36333254789285</v>
      </c>
      <c r="AB314" s="442">
        <f t="shared" si="50"/>
        <v>152.77816866784326</v>
      </c>
      <c r="AC314" s="438">
        <f t="shared" si="51"/>
        <v>157.34609249072744</v>
      </c>
      <c r="AD314" s="410"/>
      <c r="AE314" s="411"/>
      <c r="AF314" s="411"/>
      <c r="AG314" s="411"/>
    </row>
    <row r="315" spans="1:33" x14ac:dyDescent="0.2">
      <c r="A315" s="159" t="s">
        <v>1606</v>
      </c>
      <c r="B315" s="18" t="str">
        <f>VLOOKUP(LEFT(A315,7),'Tariff Schedule Lookup Table'!$A$8:$G$186,2,FALSE)</f>
        <v>Metal Hallide (Reactor Control Gear) 250</v>
      </c>
      <c r="C315" s="160">
        <f t="shared" si="42"/>
        <v>610</v>
      </c>
      <c r="D315" s="18">
        <f t="shared" si="43"/>
        <v>1</v>
      </c>
      <c r="E315" s="18" t="str">
        <f>VLOOKUP(C315,'Tariff Schedule Lookup Table'!I$7:L$286,2,FALSE)</f>
        <v>METAL HALIDE/HPS 250W FLOOD (210/220)</v>
      </c>
      <c r="F315" s="18" t="str">
        <f>IF(E315 = "BULKHEADS ETC", "SHARED OR NO POLE", VLOOKUP(C315,'Tariff Schedule Lookup Table'!I$7:L$286,3,FALSE))</f>
        <v>SHARED OR NO POLE</v>
      </c>
      <c r="G315" s="18">
        <f>IF(E315 = "NO CAPITAL", 1, VLOOKUP(C315,'Tariff Schedule Lookup Table'!I$7:L$286,4,FALSE))</f>
        <v>1</v>
      </c>
      <c r="H315" s="18" t="str">
        <f t="shared" si="44"/>
        <v>1-Unmetered, CE Funded, CE Maintained</v>
      </c>
      <c r="I315" s="123">
        <f>VLOOKUP(F315,'Maintenance Model'!$A$57:$B$61,2,FALSE)</f>
        <v>0</v>
      </c>
      <c r="J315" s="123">
        <f>IF(D315=1,VLOOKUP(C315,'Capital Code Schedules'!A$15:F$300,2,FALSE),IF(D315=2,VLOOKUP(C315,'Capital Code Schedules'!A$15:F$300,3,FALSE),0))</f>
        <v>37.215587737644988</v>
      </c>
      <c r="K315" s="123">
        <v>47.206885493274058</v>
      </c>
      <c r="L315" s="123">
        <f>VLOOKUP(LEFT(A315,10),'Streetlight Tariff Schedule'!B$11:G$260,6, FALSE)+I315</f>
        <v>115.29538329530182</v>
      </c>
      <c r="M315" s="161">
        <f t="shared" si="45"/>
        <v>162.50226878857586</v>
      </c>
      <c r="N315" s="405">
        <f t="shared" si="46"/>
        <v>158.23625663197828</v>
      </c>
      <c r="O315" s="405">
        <v>129.95197211587785</v>
      </c>
      <c r="P315" s="406">
        <v>127.8103659877102</v>
      </c>
      <c r="Q315" s="406">
        <v>132.89511748486601</v>
      </c>
      <c r="R315" s="406">
        <v>135.08972836470582</v>
      </c>
      <c r="S315" s="405">
        <f t="shared" si="47"/>
        <v>165.05767626068385</v>
      </c>
      <c r="T315" s="406">
        <v>137.54419479357807</v>
      </c>
      <c r="U315" s="406">
        <v>140.30415288045057</v>
      </c>
      <c r="V315" s="405">
        <f t="shared" si="48"/>
        <v>171.82463506185428</v>
      </c>
      <c r="W315" s="406">
        <v>141.95922454728935</v>
      </c>
      <c r="X315" s="406">
        <v>146.08402279466858</v>
      </c>
      <c r="Y315" s="405">
        <f t="shared" si="49"/>
        <v>179.19703037584489</v>
      </c>
      <c r="Z315" s="406">
        <v>145.84451685637765</v>
      </c>
      <c r="AA315" s="406">
        <v>150.6252857924778</v>
      </c>
      <c r="AB315" s="442">
        <f t="shared" si="50"/>
        <v>182.91615038098868</v>
      </c>
      <c r="AC315" s="438">
        <f t="shared" si="51"/>
        <v>188.35138058903368</v>
      </c>
      <c r="AD315" s="410"/>
      <c r="AE315" s="411"/>
      <c r="AF315" s="411"/>
      <c r="AG315" s="411"/>
    </row>
    <row r="316" spans="1:33" x14ac:dyDescent="0.2">
      <c r="A316" s="159" t="s">
        <v>1607</v>
      </c>
      <c r="B316" s="18" t="str">
        <f>VLOOKUP(LEFT(A316,7),'Tariff Schedule Lookup Table'!$A$8:$G$186,2,FALSE)</f>
        <v>Metal Hallide (Reactor Control Gear) 250</v>
      </c>
      <c r="C316" s="160">
        <f t="shared" si="42"/>
        <v>610</v>
      </c>
      <c r="D316" s="18">
        <f t="shared" si="43"/>
        <v>2</v>
      </c>
      <c r="E316" s="18" t="str">
        <f>VLOOKUP(C316,'Tariff Schedule Lookup Table'!I$7:L$286,2,FALSE)</f>
        <v>METAL HALIDE/HPS 250W FLOOD (210/220)</v>
      </c>
      <c r="F316" s="18" t="str">
        <f>IF(E316 = "BULKHEADS ETC", "SHARED OR NO POLE", VLOOKUP(C316,'Tariff Schedule Lookup Table'!I$7:L$286,3,FALSE))</f>
        <v>SHARED OR NO POLE</v>
      </c>
      <c r="G316" s="18">
        <f>IF(E316 = "NO CAPITAL", 1, VLOOKUP(C316,'Tariff Schedule Lookup Table'!I$7:L$286,4,FALSE))</f>
        <v>1</v>
      </c>
      <c r="H316" s="18" t="str">
        <f t="shared" si="44"/>
        <v>2-Unmetered, Funded by Others, CE Maintained</v>
      </c>
      <c r="I316" s="123">
        <f>VLOOKUP(F316,'Maintenance Model'!$A$57:$B$61,2,FALSE)</f>
        <v>0</v>
      </c>
      <c r="J316" s="123">
        <f>IF(D316=1,VLOOKUP(C316,'Capital Code Schedules'!A$15:F$300,2,FALSE),IF(D316=2,VLOOKUP(C316,'Capital Code Schedules'!A$15:F$300,3,FALSE),0))</f>
        <v>0</v>
      </c>
      <c r="K316" s="123">
        <v>0</v>
      </c>
      <c r="L316" s="123">
        <f>VLOOKUP(LEFT(A316,10),'Streetlight Tariff Schedule'!B$11:G$260,6, FALSE)+I316</f>
        <v>115.29538329530182</v>
      </c>
      <c r="M316" s="161">
        <f t="shared" si="45"/>
        <v>115.29538329530182</v>
      </c>
      <c r="N316" s="405">
        <f t="shared" si="46"/>
        <v>120.09958309782655</v>
      </c>
      <c r="O316" s="405">
        <v>79.435110078477607</v>
      </c>
      <c r="P316" s="406">
        <v>79.435110078477607</v>
      </c>
      <c r="Q316" s="406">
        <v>83.322573991879906</v>
      </c>
      <c r="R316" s="406">
        <v>83.322573991879906</v>
      </c>
      <c r="S316" s="405">
        <f t="shared" si="47"/>
        <v>125.97712005656192</v>
      </c>
      <c r="T316" s="406">
        <v>86.744730849140552</v>
      </c>
      <c r="U316" s="406">
        <v>87.061634607999139</v>
      </c>
      <c r="V316" s="405">
        <f t="shared" si="48"/>
        <v>131.63028300591483</v>
      </c>
      <c r="W316" s="406">
        <v>89.902473870226999</v>
      </c>
      <c r="X316" s="406">
        <v>91.036583152781077</v>
      </c>
      <c r="Y316" s="405">
        <f t="shared" si="49"/>
        <v>137.64008978520914</v>
      </c>
      <c r="Z316" s="406">
        <v>92.499361600058023</v>
      </c>
      <c r="AA316" s="406">
        <v>94.008994120796459</v>
      </c>
      <c r="AB316" s="442">
        <f t="shared" si="50"/>
        <v>140.62780763595774</v>
      </c>
      <c r="AC316" s="438">
        <f t="shared" si="51"/>
        <v>144.83244707012233</v>
      </c>
      <c r="AD316" s="410"/>
      <c r="AE316" s="411"/>
      <c r="AF316" s="411"/>
      <c r="AG316" s="411"/>
    </row>
    <row r="317" spans="1:33" x14ac:dyDescent="0.2">
      <c r="A317" s="159" t="s">
        <v>1608</v>
      </c>
      <c r="B317" s="18" t="str">
        <f>VLOOKUP(LEFT(A317,7),'Tariff Schedule Lookup Table'!$A$8:$G$186,2,FALSE)</f>
        <v>Metal Hallide (Reactor Control Gear) 250</v>
      </c>
      <c r="C317" s="160">
        <f t="shared" si="42"/>
        <v>960</v>
      </c>
      <c r="D317" s="18">
        <f t="shared" si="43"/>
        <v>2</v>
      </c>
      <c r="E317" s="18" t="str">
        <f>VLOOKUP(C317,'Tariff Schedule Lookup Table'!I$7:L$286,2,FALSE)</f>
        <v>HIGH PRESSURE SODIUM 250W (210/220)</v>
      </c>
      <c r="F317" s="18" t="str">
        <f>IF(E317 = "BULKHEADS ETC", "SHARED OR NO POLE", VLOOKUP(C317,'Tariff Schedule Lookup Table'!I$7:L$286,3,FALSE))</f>
        <v>SHARED OR NO POLE</v>
      </c>
      <c r="G317" s="18">
        <f>IF(E317 = "NO CAPITAL", 1, VLOOKUP(C317,'Tariff Schedule Lookup Table'!I$7:L$286,4,FALSE))</f>
        <v>2</v>
      </c>
      <c r="H317" s="18" t="str">
        <f t="shared" si="44"/>
        <v>2-Unmetered, Funded by Others, CE Maintained</v>
      </c>
      <c r="I317" s="123">
        <f>VLOOKUP(F317,'Maintenance Model'!$A$57:$B$61,2,FALSE)</f>
        <v>0</v>
      </c>
      <c r="J317" s="123">
        <f>IF(D317=1,VLOOKUP(C317,'Capital Code Schedules'!A$15:F$300,2,FALSE),IF(D317=2,VLOOKUP(C317,'Capital Code Schedules'!A$15:F$300,3,FALSE),0))</f>
        <v>0</v>
      </c>
      <c r="K317" s="123">
        <v>0</v>
      </c>
      <c r="L317" s="123">
        <f>VLOOKUP(LEFT(A317,10),'Streetlight Tariff Schedule'!B$11:G$260,6, FALSE)+I317</f>
        <v>115.29538329530182</v>
      </c>
      <c r="M317" s="161">
        <f t="shared" si="45"/>
        <v>115.29538329530182</v>
      </c>
      <c r="N317" s="405">
        <f t="shared" si="46"/>
        <v>120.09958309782655</v>
      </c>
      <c r="O317" s="405">
        <v>79.435110078477607</v>
      </c>
      <c r="P317" s="406">
        <v>79.435110078477607</v>
      </c>
      <c r="Q317" s="406">
        <v>83.322573991879906</v>
      </c>
      <c r="R317" s="406">
        <v>83.322573991879906</v>
      </c>
      <c r="S317" s="405">
        <f t="shared" si="47"/>
        <v>125.97712005656192</v>
      </c>
      <c r="T317" s="406">
        <v>86.744730849140552</v>
      </c>
      <c r="U317" s="406">
        <v>87.061634607999139</v>
      </c>
      <c r="V317" s="405">
        <f t="shared" si="48"/>
        <v>131.63028300591483</v>
      </c>
      <c r="W317" s="406">
        <v>89.902473870226999</v>
      </c>
      <c r="X317" s="406">
        <v>91.036583152781077</v>
      </c>
      <c r="Y317" s="405">
        <f t="shared" si="49"/>
        <v>137.64008978520914</v>
      </c>
      <c r="Z317" s="406">
        <v>92.499361600058023</v>
      </c>
      <c r="AA317" s="406">
        <v>94.008994120796459</v>
      </c>
      <c r="AB317" s="442">
        <f t="shared" si="50"/>
        <v>140.62780763595774</v>
      </c>
      <c r="AC317" s="438">
        <f t="shared" si="51"/>
        <v>144.83244707012233</v>
      </c>
      <c r="AD317" s="410"/>
      <c r="AE317" s="411"/>
      <c r="AF317" s="411"/>
      <c r="AG317" s="411"/>
    </row>
    <row r="318" spans="1:33" x14ac:dyDescent="0.2">
      <c r="A318" s="159" t="s">
        <v>1609</v>
      </c>
      <c r="B318" s="18" t="str">
        <f>VLOOKUP(LEFT(A318,7),'Tariff Schedule Lookup Table'!$A$8:$G$186,2,FALSE)</f>
        <v>Metal Hallide (Reactor Control Gear) 250</v>
      </c>
      <c r="C318" s="160">
        <f t="shared" si="42"/>
        <v>1120</v>
      </c>
      <c r="D318" s="18">
        <f t="shared" si="43"/>
        <v>2</v>
      </c>
      <c r="E318" s="18" t="str">
        <f>VLOOKUP(C318,'Tariff Schedule Lookup Table'!I$7:L$286,2,FALSE)</f>
        <v>METAL HALIDE/HPS 250W FLOOD (210/220)</v>
      </c>
      <c r="F318" s="18" t="str">
        <f>IF(E318 = "BULKHEADS ETC", "SHARED OR NO POLE", VLOOKUP(C318,'Tariff Schedule Lookup Table'!I$7:L$286,3,FALSE))</f>
        <v>STEEL POLE</v>
      </c>
      <c r="G318" s="18">
        <f>IF(E318 = "NO CAPITAL", 1, VLOOKUP(C318,'Tariff Schedule Lookup Table'!I$7:L$286,4,FALSE))</f>
        <v>1</v>
      </c>
      <c r="H318" s="18" t="str">
        <f t="shared" si="44"/>
        <v>2-Unmetered, Funded by Others, CE Maintained</v>
      </c>
      <c r="I318" s="123">
        <f>VLOOKUP(F318,'Maintenance Model'!$A$57:$B$61,2,FALSE)</f>
        <v>9.9616182311111103</v>
      </c>
      <c r="J318" s="123">
        <f>IF(D318=1,VLOOKUP(C318,'Capital Code Schedules'!A$15:F$300,2,FALSE),IF(D318=2,VLOOKUP(C318,'Capital Code Schedules'!A$15:F$300,3,FALSE),0))</f>
        <v>0</v>
      </c>
      <c r="K318" s="123">
        <v>0</v>
      </c>
      <c r="L318" s="123">
        <f>VLOOKUP(LEFT(A318,10),'Streetlight Tariff Schedule'!B$11:G$260,6, FALSE)+I318</f>
        <v>125.25700152641292</v>
      </c>
      <c r="M318" s="161">
        <f t="shared" si="45"/>
        <v>125.25700152641292</v>
      </c>
      <c r="N318" s="405">
        <f t="shared" si="46"/>
        <v>130.47628823849894</v>
      </c>
      <c r="O318" s="405">
        <v>89.029225314576777</v>
      </c>
      <c r="P318" s="406">
        <v>89.029225314576777</v>
      </c>
      <c r="Q318" s="406">
        <v>93.386214312346837</v>
      </c>
      <c r="R318" s="406">
        <v>93.386214312346837</v>
      </c>
      <c r="S318" s="405">
        <f t="shared" si="47"/>
        <v>136.86164934117429</v>
      </c>
      <c r="T318" s="406">
        <v>97.221696803727312</v>
      </c>
      <c r="U318" s="406">
        <v>97.576875969748272</v>
      </c>
      <c r="V318" s="405">
        <f t="shared" si="48"/>
        <v>143.00325033106418</v>
      </c>
      <c r="W318" s="406">
        <v>100.76082974673066</v>
      </c>
      <c r="X318" s="406">
        <v>102.03191592950435</v>
      </c>
      <c r="Y318" s="405">
        <f t="shared" si="49"/>
        <v>149.53230947820683</v>
      </c>
      <c r="Z318" s="406">
        <v>103.67136770138791</v>
      </c>
      <c r="AA318" s="406">
        <v>105.36333254789285</v>
      </c>
      <c r="AB318" s="442">
        <f t="shared" si="50"/>
        <v>152.77816866784326</v>
      </c>
      <c r="AC318" s="438">
        <f t="shared" si="51"/>
        <v>157.34609249072744</v>
      </c>
      <c r="AD318" s="410"/>
      <c r="AE318" s="411"/>
      <c r="AF318" s="411"/>
      <c r="AG318" s="411"/>
    </row>
    <row r="319" spans="1:33" x14ac:dyDescent="0.2">
      <c r="A319" s="159" t="s">
        <v>1610</v>
      </c>
      <c r="B319" s="18" t="str">
        <f>VLOOKUP(LEFT(A319,7),'Tariff Schedule Lookup Table'!$A$8:$G$186,2,FALSE)</f>
        <v>Metal Hallide (Reactor Control Gear) 250</v>
      </c>
      <c r="C319" s="160">
        <f t="shared" si="42"/>
        <v>1270</v>
      </c>
      <c r="D319" s="18">
        <f t="shared" si="43"/>
        <v>2</v>
      </c>
      <c r="E319" s="18" t="str">
        <f>VLOOKUP(C319,'Tariff Schedule Lookup Table'!I$7:L$286,2,FALSE)</f>
        <v>METAL HALIDE 250W BOSTON 3</v>
      </c>
      <c r="F319" s="18" t="str">
        <f>IF(E319 = "BULKHEADS ETC", "SHARED OR NO POLE", VLOOKUP(C319,'Tariff Schedule Lookup Table'!I$7:L$286,3,FALSE))</f>
        <v>STEEL POLE</v>
      </c>
      <c r="G319" s="18">
        <f>IF(E319 = "NO CAPITAL", 1, VLOOKUP(C319,'Tariff Schedule Lookup Table'!I$7:L$286,4,FALSE))</f>
        <v>1</v>
      </c>
      <c r="H319" s="18" t="str">
        <f t="shared" si="44"/>
        <v>2-Unmetered, Funded by Others, CE Maintained</v>
      </c>
      <c r="I319" s="123">
        <f>VLOOKUP(F319,'Maintenance Model'!$A$57:$B$61,2,FALSE)</f>
        <v>9.9616182311111103</v>
      </c>
      <c r="J319" s="123">
        <f>IF(D319=1,VLOOKUP(C319,'Capital Code Schedules'!A$15:F$300,2,FALSE),IF(D319=2,VLOOKUP(C319,'Capital Code Schedules'!A$15:F$300,3,FALSE),0))</f>
        <v>0</v>
      </c>
      <c r="K319" s="123">
        <v>0</v>
      </c>
      <c r="L319" s="123">
        <f>VLOOKUP(LEFT(A319,10),'Streetlight Tariff Schedule'!B$11:G$260,6, FALSE)+I319</f>
        <v>125.25700152641292</v>
      </c>
      <c r="M319" s="161">
        <f t="shared" si="45"/>
        <v>125.25700152641292</v>
      </c>
      <c r="N319" s="405">
        <f t="shared" si="46"/>
        <v>130.47628823849894</v>
      </c>
      <c r="O319" s="405">
        <v>89.029225314576777</v>
      </c>
      <c r="P319" s="406">
        <v>89.029225314576777</v>
      </c>
      <c r="Q319" s="406">
        <v>93.386214312346837</v>
      </c>
      <c r="R319" s="406">
        <v>93.386214312346837</v>
      </c>
      <c r="S319" s="405">
        <f t="shared" si="47"/>
        <v>136.86164934117429</v>
      </c>
      <c r="T319" s="406">
        <v>97.221696803727312</v>
      </c>
      <c r="U319" s="406">
        <v>97.576875969748272</v>
      </c>
      <c r="V319" s="405">
        <f t="shared" si="48"/>
        <v>143.00325033106418</v>
      </c>
      <c r="W319" s="406">
        <v>100.76082974673066</v>
      </c>
      <c r="X319" s="406">
        <v>102.03191592950435</v>
      </c>
      <c r="Y319" s="405">
        <f t="shared" si="49"/>
        <v>149.53230947820683</v>
      </c>
      <c r="Z319" s="406">
        <v>103.67136770138791</v>
      </c>
      <c r="AA319" s="406">
        <v>105.36333254789285</v>
      </c>
      <c r="AB319" s="442">
        <f t="shared" si="50"/>
        <v>152.77816866784326</v>
      </c>
      <c r="AC319" s="438">
        <f t="shared" si="51"/>
        <v>157.34609249072744</v>
      </c>
      <c r="AD319" s="410"/>
      <c r="AE319" s="411"/>
      <c r="AF319" s="411"/>
      <c r="AG319" s="411"/>
    </row>
    <row r="320" spans="1:33" x14ac:dyDescent="0.2">
      <c r="A320" s="159" t="s">
        <v>1611</v>
      </c>
      <c r="B320" s="18" t="str">
        <f>VLOOKUP(LEFT(A320,7),'Tariff Schedule Lookup Table'!$A$8:$G$186,2,FALSE)</f>
        <v>Metal Hallide (Reactor Control Gear) 250</v>
      </c>
      <c r="C320" s="160">
        <f t="shared" si="42"/>
        <v>1280</v>
      </c>
      <c r="D320" s="18">
        <f t="shared" si="43"/>
        <v>2</v>
      </c>
      <c r="E320" s="18" t="str">
        <f>VLOOKUP(C320,'Tariff Schedule Lookup Table'!I$7:L$286,2,FALSE)</f>
        <v>METAL HALIDE 250W BOSTON 3</v>
      </c>
      <c r="F320" s="18" t="str">
        <f>IF(E320 = "BULKHEADS ETC", "SHARED OR NO POLE", VLOOKUP(C320,'Tariff Schedule Lookup Table'!I$7:L$286,3,FALSE))</f>
        <v>STEEL POLE</v>
      </c>
      <c r="G320" s="18">
        <f>IF(E320 = "NO CAPITAL", 1, VLOOKUP(C320,'Tariff Schedule Lookup Table'!I$7:L$286,4,FALSE))</f>
        <v>2</v>
      </c>
      <c r="H320" s="18" t="str">
        <f t="shared" si="44"/>
        <v>2-Unmetered, Funded by Others, CE Maintained</v>
      </c>
      <c r="I320" s="123">
        <f>VLOOKUP(F320,'Maintenance Model'!$A$57:$B$61,2,FALSE)</f>
        <v>9.9616182311111103</v>
      </c>
      <c r="J320" s="123">
        <f>IF(D320=1,VLOOKUP(C320,'Capital Code Schedules'!A$15:F$300,2,FALSE),IF(D320=2,VLOOKUP(C320,'Capital Code Schedules'!A$15:F$300,3,FALSE),0))</f>
        <v>0</v>
      </c>
      <c r="K320" s="123">
        <v>0</v>
      </c>
      <c r="L320" s="123">
        <f>VLOOKUP(LEFT(A320,10),'Streetlight Tariff Schedule'!B$11:G$260,6, FALSE)+I320</f>
        <v>125.25700152641292</v>
      </c>
      <c r="M320" s="161">
        <f t="shared" si="45"/>
        <v>125.25700152641292</v>
      </c>
      <c r="N320" s="405">
        <f t="shared" si="46"/>
        <v>130.47628823849894</v>
      </c>
      <c r="O320" s="405">
        <v>89.029225314576777</v>
      </c>
      <c r="P320" s="406">
        <v>89.029225314576777</v>
      </c>
      <c r="Q320" s="406">
        <v>93.386214312346837</v>
      </c>
      <c r="R320" s="406">
        <v>93.386214312346837</v>
      </c>
      <c r="S320" s="405">
        <f t="shared" si="47"/>
        <v>136.86164934117429</v>
      </c>
      <c r="T320" s="406">
        <v>97.221696803727312</v>
      </c>
      <c r="U320" s="406">
        <v>97.576875969748272</v>
      </c>
      <c r="V320" s="405">
        <f t="shared" si="48"/>
        <v>143.00325033106418</v>
      </c>
      <c r="W320" s="406">
        <v>100.76082974673066</v>
      </c>
      <c r="X320" s="406">
        <v>102.03191592950435</v>
      </c>
      <c r="Y320" s="405">
        <f t="shared" si="49"/>
        <v>149.53230947820683</v>
      </c>
      <c r="Z320" s="406">
        <v>103.67136770138791</v>
      </c>
      <c r="AA320" s="406">
        <v>105.36333254789285</v>
      </c>
      <c r="AB320" s="442">
        <f t="shared" si="50"/>
        <v>152.77816866784326</v>
      </c>
      <c r="AC320" s="438">
        <f t="shared" si="51"/>
        <v>157.34609249072744</v>
      </c>
      <c r="AD320" s="410"/>
      <c r="AE320" s="411"/>
      <c r="AF320" s="411"/>
      <c r="AG320" s="411"/>
    </row>
    <row r="321" spans="1:33" x14ac:dyDescent="0.2">
      <c r="A321" s="159" t="s">
        <v>1612</v>
      </c>
      <c r="B321" s="18" t="str">
        <f>VLOOKUP(LEFT(A321,7),'Tariff Schedule Lookup Table'!$A$8:$G$186,2,FALSE)</f>
        <v>Metal Hallide (Reactor Control Gear) 250</v>
      </c>
      <c r="C321" s="160">
        <f t="shared" si="42"/>
        <v>1290</v>
      </c>
      <c r="D321" s="18">
        <f t="shared" si="43"/>
        <v>2</v>
      </c>
      <c r="E321" s="18" t="str">
        <f>VLOOKUP(C321,'Tariff Schedule Lookup Table'!I$7:L$286,2,FALSE)</f>
        <v>METAL HALIDE 250W BOSTON 3</v>
      </c>
      <c r="F321" s="18" t="str">
        <f>IF(E321 = "BULKHEADS ETC", "SHARED OR NO POLE", VLOOKUP(C321,'Tariff Schedule Lookup Table'!I$7:L$286,3,FALSE))</f>
        <v>STEEL POLE</v>
      </c>
      <c r="G321" s="18">
        <f>IF(E321 = "NO CAPITAL", 1, VLOOKUP(C321,'Tariff Schedule Lookup Table'!I$7:L$286,4,FALSE))</f>
        <v>4</v>
      </c>
      <c r="H321" s="18" t="str">
        <f t="shared" si="44"/>
        <v>2-Unmetered, Funded by Others, CE Maintained</v>
      </c>
      <c r="I321" s="123">
        <f>VLOOKUP(F321,'Maintenance Model'!$A$57:$B$61,2,FALSE)</f>
        <v>9.9616182311111103</v>
      </c>
      <c r="J321" s="123">
        <f>IF(D321=1,VLOOKUP(C321,'Capital Code Schedules'!A$15:F$300,2,FALSE),IF(D321=2,VLOOKUP(C321,'Capital Code Schedules'!A$15:F$300,3,FALSE),0))</f>
        <v>0</v>
      </c>
      <c r="K321" s="123">
        <v>0</v>
      </c>
      <c r="L321" s="123">
        <f>VLOOKUP(LEFT(A321,10),'Streetlight Tariff Schedule'!B$11:G$260,6, FALSE)+I321</f>
        <v>125.25700152641292</v>
      </c>
      <c r="M321" s="161">
        <f t="shared" si="45"/>
        <v>125.25700152641292</v>
      </c>
      <c r="N321" s="405">
        <f t="shared" si="46"/>
        <v>130.47628823849894</v>
      </c>
      <c r="O321" s="405">
        <v>89.029225314576777</v>
      </c>
      <c r="P321" s="406">
        <v>89.029225314576777</v>
      </c>
      <c r="Q321" s="406">
        <v>93.386214312346837</v>
      </c>
      <c r="R321" s="406">
        <v>93.386214312346837</v>
      </c>
      <c r="S321" s="405">
        <f t="shared" si="47"/>
        <v>136.86164934117429</v>
      </c>
      <c r="T321" s="406">
        <v>97.221696803727312</v>
      </c>
      <c r="U321" s="406">
        <v>97.576875969748272</v>
      </c>
      <c r="V321" s="405">
        <f t="shared" si="48"/>
        <v>143.00325033106418</v>
      </c>
      <c r="W321" s="406">
        <v>100.76082974673066</v>
      </c>
      <c r="X321" s="406">
        <v>102.03191592950435</v>
      </c>
      <c r="Y321" s="405">
        <f t="shared" si="49"/>
        <v>149.53230947820683</v>
      </c>
      <c r="Z321" s="406">
        <v>103.67136770138791</v>
      </c>
      <c r="AA321" s="406">
        <v>105.36333254789285</v>
      </c>
      <c r="AB321" s="442">
        <f t="shared" si="50"/>
        <v>152.77816866784326</v>
      </c>
      <c r="AC321" s="438">
        <f t="shared" si="51"/>
        <v>157.34609249072744</v>
      </c>
      <c r="AD321" s="410"/>
      <c r="AE321" s="411"/>
      <c r="AF321" s="411"/>
      <c r="AG321" s="411"/>
    </row>
    <row r="322" spans="1:33" x14ac:dyDescent="0.2">
      <c r="A322" s="159" t="s">
        <v>1613</v>
      </c>
      <c r="B322" s="18" t="str">
        <f>VLOOKUP(LEFT(A322,7),'Tariff Schedule Lookup Table'!$A$8:$G$186,2,FALSE)</f>
        <v>Metal Hallide (Reactor Control Gear) 400</v>
      </c>
      <c r="C322" s="160">
        <f t="shared" ref="C322:C363" si="52">1*MID(A322,12,4)</f>
        <v>70</v>
      </c>
      <c r="D322" s="18">
        <f t="shared" ref="D322:D363" si="53">1*(MID(A322,17,3))</f>
        <v>1</v>
      </c>
      <c r="E322" s="18" t="str">
        <f>VLOOKUP(C322,'Tariff Schedule Lookup Table'!I$7:L$286,2,FALSE)</f>
        <v>HIGH PRESSURE SODIUM 400W (310/360)</v>
      </c>
      <c r="F322" s="18" t="str">
        <f>IF(E322 = "BULKHEADS ETC", "SHARED OR NO POLE", VLOOKUP(C322,'Tariff Schedule Lookup Table'!I$7:L$286,3,FALSE))</f>
        <v>SHARED OR NO POLE</v>
      </c>
      <c r="G322" s="18">
        <f>IF(E322 = "NO CAPITAL", 1, VLOOKUP(C322,'Tariff Schedule Lookup Table'!I$7:L$286,4,FALSE))</f>
        <v>1</v>
      </c>
      <c r="H322" s="18" t="str">
        <f t="shared" si="44"/>
        <v>1-Unmetered, CE Funded, CE Maintained</v>
      </c>
      <c r="I322" s="123">
        <f>VLOOKUP(F322,'Maintenance Model'!$A$57:$B$61,2,FALSE)</f>
        <v>0</v>
      </c>
      <c r="J322" s="123">
        <f>IF(D322=1,VLOOKUP(C322,'Capital Code Schedules'!A$15:F$300,2,FALSE),IF(D322=2,VLOOKUP(C322,'Capital Code Schedules'!A$15:F$300,3,FALSE),0))</f>
        <v>35.784047435083579</v>
      </c>
      <c r="K322" s="123">
        <v>45.391018453408257</v>
      </c>
      <c r="L322" s="123">
        <f>VLOOKUP(LEFT(A322,10),'Streetlight Tariff Schedule'!B$11:G$260,6, FALSE)+I322</f>
        <v>118.27071721530181</v>
      </c>
      <c r="M322" s="161">
        <f t="shared" si="45"/>
        <v>163.66173566871007</v>
      </c>
      <c r="N322" s="405">
        <f t="shared" si="46"/>
        <v>159.86859769285238</v>
      </c>
      <c r="O322" s="405">
        <v>131.15146309603094</v>
      </c>
      <c r="P322" s="406">
        <v>129.0922363059594</v>
      </c>
      <c r="Q322" s="406">
        <v>134.28473194887368</v>
      </c>
      <c r="R322" s="406">
        <v>136.39492460199952</v>
      </c>
      <c r="S322" s="405">
        <f t="shared" si="47"/>
        <v>166.80538659364683</v>
      </c>
      <c r="T322" s="406">
        <v>139.02200466357351</v>
      </c>
      <c r="U322" s="406">
        <v>141.70052548006564</v>
      </c>
      <c r="V322" s="405">
        <f t="shared" si="48"/>
        <v>173.67538852426367</v>
      </c>
      <c r="W322" s="406">
        <v>143.51360078206568</v>
      </c>
      <c r="X322" s="406">
        <v>147.5682273511099</v>
      </c>
      <c r="Y322" s="405">
        <f t="shared" si="49"/>
        <v>181.15046048799667</v>
      </c>
      <c r="Z322" s="406">
        <v>147.45207343338211</v>
      </c>
      <c r="AA322" s="406">
        <v>152.16673973099299</v>
      </c>
      <c r="AB322" s="442">
        <f t="shared" si="50"/>
        <v>184.91854786743139</v>
      </c>
      <c r="AC322" s="438">
        <f t="shared" si="51"/>
        <v>190.4149476892571</v>
      </c>
      <c r="AD322" s="410"/>
      <c r="AE322" s="411"/>
      <c r="AF322" s="411"/>
      <c r="AG322" s="411"/>
    </row>
    <row r="323" spans="1:33" x14ac:dyDescent="0.2">
      <c r="A323" s="159" t="s">
        <v>1614</v>
      </c>
      <c r="B323" s="18" t="str">
        <f>VLOOKUP(LEFT(A323,7),'Tariff Schedule Lookup Table'!$A$8:$G$186,2,FALSE)</f>
        <v>Metal Hallide (Reactor Control Gear) 400</v>
      </c>
      <c r="C323" s="160">
        <f t="shared" si="52"/>
        <v>70</v>
      </c>
      <c r="D323" s="18">
        <f t="shared" si="53"/>
        <v>2</v>
      </c>
      <c r="E323" s="18" t="str">
        <f>VLOOKUP(C323,'Tariff Schedule Lookup Table'!I$7:L$286,2,FALSE)</f>
        <v>HIGH PRESSURE SODIUM 400W (310/360)</v>
      </c>
      <c r="F323" s="18" t="str">
        <f>IF(E323 = "BULKHEADS ETC", "SHARED OR NO POLE", VLOOKUP(C323,'Tariff Schedule Lookup Table'!I$7:L$286,3,FALSE))</f>
        <v>SHARED OR NO POLE</v>
      </c>
      <c r="G323" s="18">
        <f>IF(E323 = "NO CAPITAL", 1, VLOOKUP(C323,'Tariff Schedule Lookup Table'!I$7:L$286,4,FALSE))</f>
        <v>1</v>
      </c>
      <c r="H323" s="18" t="str">
        <f t="shared" si="44"/>
        <v>2-Unmetered, Funded by Others, CE Maintained</v>
      </c>
      <c r="I323" s="123">
        <f>VLOOKUP(F323,'Maintenance Model'!$A$57:$B$61,2,FALSE)</f>
        <v>0</v>
      </c>
      <c r="J323" s="123">
        <f>IF(D323=1,VLOOKUP(C323,'Capital Code Schedules'!A$15:F$300,2,FALSE),IF(D323=2,VLOOKUP(C323,'Capital Code Schedules'!A$15:F$300,3,FALSE),0))</f>
        <v>0</v>
      </c>
      <c r="K323" s="123">
        <v>0</v>
      </c>
      <c r="L323" s="123">
        <f>VLOOKUP(LEFT(A323,10),'Streetlight Tariff Schedule'!B$11:G$260,6, FALSE)+I323</f>
        <v>118.27071721530181</v>
      </c>
      <c r="M323" s="161">
        <f t="shared" si="45"/>
        <v>118.27071721530181</v>
      </c>
      <c r="N323" s="405">
        <f t="shared" si="46"/>
        <v>123.19889508375049</v>
      </c>
      <c r="O323" s="405">
        <v>82.577790145829269</v>
      </c>
      <c r="P323" s="406">
        <v>82.577790145829269</v>
      </c>
      <c r="Q323" s="406">
        <v>86.619053246280345</v>
      </c>
      <c r="R323" s="406">
        <v>86.619053246280345</v>
      </c>
      <c r="S323" s="405">
        <f t="shared" si="47"/>
        <v>129.22810884496965</v>
      </c>
      <c r="T323" s="406">
        <v>90.176600413090995</v>
      </c>
      <c r="U323" s="406">
        <v>90.506041790708451</v>
      </c>
      <c r="V323" s="405">
        <f t="shared" si="48"/>
        <v>135.02715835974922</v>
      </c>
      <c r="W323" s="406">
        <v>93.459272776383727</v>
      </c>
      <c r="X323" s="406">
        <v>94.63825066468354</v>
      </c>
      <c r="Y323" s="405">
        <f t="shared" si="49"/>
        <v>141.19205532090518</v>
      </c>
      <c r="Z323" s="406">
        <v>96.15890080955954</v>
      </c>
      <c r="AA323" s="406">
        <v>97.72825870900347</v>
      </c>
      <c r="AB323" s="442">
        <f t="shared" si="50"/>
        <v>144.25687476939905</v>
      </c>
      <c r="AC323" s="438">
        <f t="shared" si="51"/>
        <v>148.57001990407204</v>
      </c>
      <c r="AD323" s="410"/>
      <c r="AE323" s="411"/>
      <c r="AF323" s="411"/>
      <c r="AG323" s="411"/>
    </row>
    <row r="324" spans="1:33" x14ac:dyDescent="0.2">
      <c r="A324" s="159" t="s">
        <v>1615</v>
      </c>
      <c r="B324" s="18" t="str">
        <f>VLOOKUP(LEFT(A324,7),'Tariff Schedule Lookup Table'!$A$8:$G$186,2,FALSE)</f>
        <v>Metal Hallide (Reactor Control Gear) 400</v>
      </c>
      <c r="C324" s="160">
        <f t="shared" si="52"/>
        <v>620</v>
      </c>
      <c r="D324" s="18">
        <f t="shared" si="53"/>
        <v>1</v>
      </c>
      <c r="E324" s="18" t="str">
        <f>VLOOKUP(C324,'Tariff Schedule Lookup Table'!I$7:L$286,2,FALSE)</f>
        <v>METAL HALIDE/HPS 400W FLOOD (310/360)</v>
      </c>
      <c r="F324" s="18" t="str">
        <f>IF(E324 = "BULKHEADS ETC", "SHARED OR NO POLE", VLOOKUP(C324,'Tariff Schedule Lookup Table'!I$7:L$286,3,FALSE))</f>
        <v>SHARED OR NO POLE</v>
      </c>
      <c r="G324" s="18">
        <f>IF(E324 = "NO CAPITAL", 1, VLOOKUP(C324,'Tariff Schedule Lookup Table'!I$7:L$286,4,FALSE))</f>
        <v>1</v>
      </c>
      <c r="H324" s="18" t="str">
        <f t="shared" si="44"/>
        <v>1-Unmetered, CE Funded, CE Maintained</v>
      </c>
      <c r="I324" s="123">
        <f>VLOOKUP(F324,'Maintenance Model'!$A$57:$B$61,2,FALSE)</f>
        <v>0</v>
      </c>
      <c r="J324" s="123">
        <f>IF(D324=1,VLOOKUP(C324,'Capital Code Schedules'!A$15:F$300,2,FALSE),IF(D324=2,VLOOKUP(C324,'Capital Code Schedules'!A$15:F$300,3,FALSE),0))</f>
        <v>34.455205908772193</v>
      </c>
      <c r="K324" s="123">
        <v>43.705421810047042</v>
      </c>
      <c r="L324" s="123">
        <f>VLOOKUP(LEFT(A324,10),'Streetlight Tariff Schedule'!B$11:G$260,6, FALSE)+I324</f>
        <v>118.27071721530181</v>
      </c>
      <c r="M324" s="161">
        <f t="shared" si="45"/>
        <v>161.97613902534886</v>
      </c>
      <c r="N324" s="405">
        <f t="shared" si="46"/>
        <v>158.50686733876481</v>
      </c>
      <c r="O324" s="405">
        <v>129.3476784956782</v>
      </c>
      <c r="P324" s="406">
        <v>127.36492114567498</v>
      </c>
      <c r="Q324" s="406">
        <v>132.51466573837223</v>
      </c>
      <c r="R324" s="406">
        <v>134.54649633278805</v>
      </c>
      <c r="S324" s="405">
        <f t="shared" si="47"/>
        <v>165.40995341329557</v>
      </c>
      <c r="T324" s="406">
        <v>137.20812931436217</v>
      </c>
      <c r="U324" s="406">
        <v>139.79941700518162</v>
      </c>
      <c r="V324" s="405">
        <f t="shared" si="48"/>
        <v>172.24018549827241</v>
      </c>
      <c r="W324" s="406">
        <v>141.65483201796135</v>
      </c>
      <c r="X324" s="406">
        <v>145.60267129892733</v>
      </c>
      <c r="Y324" s="405">
        <f t="shared" si="49"/>
        <v>179.6666040794243</v>
      </c>
      <c r="Z324" s="406">
        <v>145.5473001423662</v>
      </c>
      <c r="AA324" s="406">
        <v>150.1451653313232</v>
      </c>
      <c r="AB324" s="442">
        <f t="shared" si="50"/>
        <v>183.40857558606814</v>
      </c>
      <c r="AC324" s="438">
        <f t="shared" si="51"/>
        <v>188.86103521450619</v>
      </c>
      <c r="AD324" s="410"/>
      <c r="AE324" s="411"/>
      <c r="AF324" s="411"/>
      <c r="AG324" s="411"/>
    </row>
    <row r="325" spans="1:33" x14ac:dyDescent="0.2">
      <c r="A325" s="159" t="s">
        <v>1616</v>
      </c>
      <c r="B325" s="18" t="str">
        <f>VLOOKUP(LEFT(A325,7),'Tariff Schedule Lookup Table'!$A$8:$G$186,2,FALSE)</f>
        <v>Metal Hallide (Reactor Control Gear) 400</v>
      </c>
      <c r="C325" s="160">
        <f t="shared" si="52"/>
        <v>640</v>
      </c>
      <c r="D325" s="18">
        <f t="shared" si="53"/>
        <v>1</v>
      </c>
      <c r="E325" s="18" t="str">
        <f>VLOOKUP(C325,'Tariff Schedule Lookup Table'!I$7:L$286,2,FALSE)</f>
        <v>METAL HALIDE/HPS 400W FLOOD (310/360)</v>
      </c>
      <c r="F325" s="18" t="str">
        <f>IF(E325 = "BULKHEADS ETC", "SHARED OR NO POLE", VLOOKUP(C325,'Tariff Schedule Lookup Table'!I$7:L$286,3,FALSE))</f>
        <v>SHARED OR NO POLE</v>
      </c>
      <c r="G325" s="18">
        <f>IF(E325 = "NO CAPITAL", 1, VLOOKUP(C325,'Tariff Schedule Lookup Table'!I$7:L$286,4,FALSE))</f>
        <v>1</v>
      </c>
      <c r="H325" s="18" t="str">
        <f t="shared" si="44"/>
        <v>1-Unmetered, CE Funded, CE Maintained</v>
      </c>
      <c r="I325" s="123">
        <f>VLOOKUP(F325,'Maintenance Model'!$A$57:$B$61,2,FALSE)</f>
        <v>0</v>
      </c>
      <c r="J325" s="123">
        <f>IF(D325=1,VLOOKUP(C325,'Capital Code Schedules'!A$15:F$300,2,FALSE),IF(D325=2,VLOOKUP(C325,'Capital Code Schedules'!A$15:F$300,3,FALSE),0))</f>
        <v>34.4552059087722</v>
      </c>
      <c r="K325" s="123">
        <v>43.705421810047049</v>
      </c>
      <c r="L325" s="123">
        <f>VLOOKUP(LEFT(A325,10),'Streetlight Tariff Schedule'!B$11:G$260,6, FALSE)+I325</f>
        <v>118.27071721530181</v>
      </c>
      <c r="M325" s="161">
        <f t="shared" si="45"/>
        <v>161.97613902534886</v>
      </c>
      <c r="N325" s="405">
        <f t="shared" si="46"/>
        <v>158.50686733876483</v>
      </c>
      <c r="O325" s="405">
        <v>129.3476784956782</v>
      </c>
      <c r="P325" s="406">
        <v>127.364921145675</v>
      </c>
      <c r="Q325" s="406">
        <v>132.51466573837226</v>
      </c>
      <c r="R325" s="406">
        <v>134.54649633278805</v>
      </c>
      <c r="S325" s="405">
        <f t="shared" si="47"/>
        <v>165.4099534132956</v>
      </c>
      <c r="T325" s="406">
        <v>137.20812931436217</v>
      </c>
      <c r="U325" s="406">
        <v>139.79941700518162</v>
      </c>
      <c r="V325" s="405">
        <f t="shared" si="48"/>
        <v>172.24018549827244</v>
      </c>
      <c r="W325" s="406">
        <v>141.65483201796135</v>
      </c>
      <c r="X325" s="406">
        <v>145.60267129892733</v>
      </c>
      <c r="Y325" s="405">
        <f t="shared" si="49"/>
        <v>179.66660407942433</v>
      </c>
      <c r="Z325" s="406">
        <v>145.5473001423662</v>
      </c>
      <c r="AA325" s="406">
        <v>150.1451653313232</v>
      </c>
      <c r="AB325" s="442">
        <f t="shared" si="50"/>
        <v>183.40857558606817</v>
      </c>
      <c r="AC325" s="438">
        <f t="shared" si="51"/>
        <v>188.86103521450622</v>
      </c>
      <c r="AD325" s="410"/>
      <c r="AE325" s="411"/>
      <c r="AF325" s="411"/>
      <c r="AG325" s="411"/>
    </row>
    <row r="326" spans="1:33" x14ac:dyDescent="0.2">
      <c r="A326" s="159" t="s">
        <v>1617</v>
      </c>
      <c r="B326" s="18" t="str">
        <f>VLOOKUP(LEFT(A326,7),'Tariff Schedule Lookup Table'!$A$8:$G$186,2,FALSE)</f>
        <v>Metal Hallide (Reactor Control Gear) 400</v>
      </c>
      <c r="C326" s="160">
        <f t="shared" si="52"/>
        <v>640</v>
      </c>
      <c r="D326" s="18">
        <f t="shared" si="53"/>
        <v>2</v>
      </c>
      <c r="E326" s="18" t="str">
        <f>VLOOKUP(C326,'Tariff Schedule Lookup Table'!I$7:L$286,2,FALSE)</f>
        <v>METAL HALIDE/HPS 400W FLOOD (310/360)</v>
      </c>
      <c r="F326" s="18" t="str">
        <f>IF(E326 = "BULKHEADS ETC", "SHARED OR NO POLE", VLOOKUP(C326,'Tariff Schedule Lookup Table'!I$7:L$286,3,FALSE))</f>
        <v>SHARED OR NO POLE</v>
      </c>
      <c r="G326" s="18">
        <f>IF(E326 = "NO CAPITAL", 1, VLOOKUP(C326,'Tariff Schedule Lookup Table'!I$7:L$286,4,FALSE))</f>
        <v>1</v>
      </c>
      <c r="H326" s="18" t="str">
        <f t="shared" si="44"/>
        <v>2-Unmetered, Funded by Others, CE Maintained</v>
      </c>
      <c r="I326" s="123">
        <f>VLOOKUP(F326,'Maintenance Model'!$A$57:$B$61,2,FALSE)</f>
        <v>0</v>
      </c>
      <c r="J326" s="123">
        <f>IF(D326=1,VLOOKUP(C326,'Capital Code Schedules'!A$15:F$300,2,FALSE),IF(D326=2,VLOOKUP(C326,'Capital Code Schedules'!A$15:F$300,3,FALSE),0))</f>
        <v>0</v>
      </c>
      <c r="K326" s="123">
        <v>0</v>
      </c>
      <c r="L326" s="123">
        <f>VLOOKUP(LEFT(A326,10),'Streetlight Tariff Schedule'!B$11:G$260,6, FALSE)+I326</f>
        <v>118.27071721530181</v>
      </c>
      <c r="M326" s="161">
        <f t="shared" si="45"/>
        <v>118.27071721530181</v>
      </c>
      <c r="N326" s="405">
        <f t="shared" si="46"/>
        <v>123.19889508375049</v>
      </c>
      <c r="O326" s="405">
        <v>82.577790145829269</v>
      </c>
      <c r="P326" s="406">
        <v>82.577790145829269</v>
      </c>
      <c r="Q326" s="406">
        <v>86.619053246280345</v>
      </c>
      <c r="R326" s="406">
        <v>86.619053246280345</v>
      </c>
      <c r="S326" s="405">
        <f t="shared" si="47"/>
        <v>129.22810884496965</v>
      </c>
      <c r="T326" s="406">
        <v>90.176600413090995</v>
      </c>
      <c r="U326" s="406">
        <v>90.506041790708451</v>
      </c>
      <c r="V326" s="405">
        <f t="shared" si="48"/>
        <v>135.02715835974922</v>
      </c>
      <c r="W326" s="406">
        <v>93.459272776383727</v>
      </c>
      <c r="X326" s="406">
        <v>94.63825066468354</v>
      </c>
      <c r="Y326" s="405">
        <f t="shared" si="49"/>
        <v>141.19205532090518</v>
      </c>
      <c r="Z326" s="406">
        <v>96.15890080955954</v>
      </c>
      <c r="AA326" s="406">
        <v>97.72825870900347</v>
      </c>
      <c r="AB326" s="442">
        <f t="shared" si="50"/>
        <v>144.25687476939905</v>
      </c>
      <c r="AC326" s="438">
        <f t="shared" si="51"/>
        <v>148.57001990407204</v>
      </c>
      <c r="AD326" s="410"/>
      <c r="AE326" s="411"/>
      <c r="AF326" s="411"/>
      <c r="AG326" s="411"/>
    </row>
    <row r="327" spans="1:33" x14ac:dyDescent="0.2">
      <c r="A327" s="159" t="s">
        <v>1618</v>
      </c>
      <c r="B327" s="18" t="str">
        <f>VLOOKUP(LEFT(A327,7),'Tariff Schedule Lookup Table'!$A$8:$G$186,2,FALSE)</f>
        <v>Metal Hallide (Reactor Control Gear) 400</v>
      </c>
      <c r="C327" s="160">
        <f t="shared" si="52"/>
        <v>680</v>
      </c>
      <c r="D327" s="18">
        <f t="shared" si="53"/>
        <v>2</v>
      </c>
      <c r="E327" s="18" t="str">
        <f>VLOOKUP(C327,'Tariff Schedule Lookup Table'!I$7:L$286,2,FALSE)</f>
        <v>METAL HALIDE/HPS 400W FLOOD (310/360)</v>
      </c>
      <c r="F327" s="18" t="str">
        <f>IF(E327 = "BULKHEADS ETC", "SHARED OR NO POLE", VLOOKUP(C327,'Tariff Schedule Lookup Table'!I$7:L$286,3,FALSE))</f>
        <v>SHARED OR NO POLE</v>
      </c>
      <c r="G327" s="18">
        <f>IF(E327 = "NO CAPITAL", 1, VLOOKUP(C327,'Tariff Schedule Lookup Table'!I$7:L$286,4,FALSE))</f>
        <v>2</v>
      </c>
      <c r="H327" s="18" t="str">
        <f t="shared" si="44"/>
        <v>2-Unmetered, Funded by Others, CE Maintained</v>
      </c>
      <c r="I327" s="123">
        <f>VLOOKUP(F327,'Maintenance Model'!$A$57:$B$61,2,FALSE)</f>
        <v>0</v>
      </c>
      <c r="J327" s="123">
        <f>IF(D327=1,VLOOKUP(C327,'Capital Code Schedules'!A$15:F$300,2,FALSE),IF(D327=2,VLOOKUP(C327,'Capital Code Schedules'!A$15:F$300,3,FALSE),0))</f>
        <v>0</v>
      </c>
      <c r="K327" s="123">
        <v>0</v>
      </c>
      <c r="L327" s="123">
        <f>VLOOKUP(LEFT(A327,10),'Streetlight Tariff Schedule'!B$11:G$260,6, FALSE)+I327</f>
        <v>118.27071721530181</v>
      </c>
      <c r="M327" s="161">
        <f t="shared" si="45"/>
        <v>118.27071721530181</v>
      </c>
      <c r="N327" s="405">
        <f t="shared" si="46"/>
        <v>123.19889508375049</v>
      </c>
      <c r="O327" s="405">
        <v>82.577790145829269</v>
      </c>
      <c r="P327" s="406">
        <v>82.577790145829269</v>
      </c>
      <c r="Q327" s="406">
        <v>86.619053246280345</v>
      </c>
      <c r="R327" s="406">
        <v>86.619053246280345</v>
      </c>
      <c r="S327" s="405">
        <f t="shared" si="47"/>
        <v>129.22810884496965</v>
      </c>
      <c r="T327" s="406">
        <v>90.176600413090995</v>
      </c>
      <c r="U327" s="406">
        <v>90.506041790708451</v>
      </c>
      <c r="V327" s="405">
        <f t="shared" si="48"/>
        <v>135.02715835974922</v>
      </c>
      <c r="W327" s="406">
        <v>93.459272776383727</v>
      </c>
      <c r="X327" s="406">
        <v>94.63825066468354</v>
      </c>
      <c r="Y327" s="405">
        <f t="shared" si="49"/>
        <v>141.19205532090518</v>
      </c>
      <c r="Z327" s="406">
        <v>96.15890080955954</v>
      </c>
      <c r="AA327" s="406">
        <v>97.72825870900347</v>
      </c>
      <c r="AB327" s="442">
        <f t="shared" si="50"/>
        <v>144.25687476939905</v>
      </c>
      <c r="AC327" s="438">
        <f t="shared" si="51"/>
        <v>148.57001990407204</v>
      </c>
      <c r="AD327" s="410"/>
      <c r="AE327" s="411"/>
      <c r="AF327" s="411"/>
      <c r="AG327" s="411"/>
    </row>
    <row r="328" spans="1:33" x14ac:dyDescent="0.2">
      <c r="A328" s="159" t="s">
        <v>1619</v>
      </c>
      <c r="B328" s="18" t="str">
        <f>VLOOKUP(LEFT(A328,7),'Tariff Schedule Lookup Table'!$A$8:$G$186,2,FALSE)</f>
        <v>Metal Hallide (Reactor Control Gear) 400</v>
      </c>
      <c r="C328" s="160">
        <f t="shared" si="52"/>
        <v>1100</v>
      </c>
      <c r="D328" s="18">
        <f t="shared" si="53"/>
        <v>1</v>
      </c>
      <c r="E328" s="18" t="str">
        <f>VLOOKUP(C328,'Tariff Schedule Lookup Table'!I$7:L$286,2,FALSE)</f>
        <v>METAL HALIDE/HPS 400W FLOOD (310/360)</v>
      </c>
      <c r="F328" s="18" t="str">
        <f>IF(E328 = "BULKHEADS ETC", "SHARED OR NO POLE", VLOOKUP(C328,'Tariff Schedule Lookup Table'!I$7:L$286,3,FALSE))</f>
        <v>WOOD POLE</v>
      </c>
      <c r="G328" s="18">
        <f>IF(E328 = "NO CAPITAL", 1, VLOOKUP(C328,'Tariff Schedule Lookup Table'!I$7:L$286,4,FALSE))</f>
        <v>1</v>
      </c>
      <c r="H328" s="18" t="str">
        <f t="shared" si="44"/>
        <v>1-Unmetered, CE Funded, CE Maintained</v>
      </c>
      <c r="I328" s="123">
        <f>VLOOKUP(F328,'Maintenance Model'!$A$57:$B$61,2,FALSE)</f>
        <v>10.731618231111112</v>
      </c>
      <c r="J328" s="123">
        <f>IF(D328=1,VLOOKUP(C328,'Capital Code Schedules'!A$15:F$300,2,FALSE),IF(D328=2,VLOOKUP(C328,'Capital Code Schedules'!A$15:F$300,3,FALSE),0))</f>
        <v>73.527525225964666</v>
      </c>
      <c r="K328" s="123">
        <v>93.267517052669831</v>
      </c>
      <c r="L328" s="123">
        <f>VLOOKUP(LEFT(A328,10),'Streetlight Tariff Schedule'!B$11:G$260,6, FALSE)+I328</f>
        <v>129.00233544641293</v>
      </c>
      <c r="M328" s="161">
        <f t="shared" si="45"/>
        <v>222.26985249908276</v>
      </c>
      <c r="N328" s="405">
        <f t="shared" si="46"/>
        <v>209.72501653905519</v>
      </c>
      <c r="O328" s="405">
        <v>192.78108917066186</v>
      </c>
      <c r="P328" s="406">
        <v>188.54987832097686</v>
      </c>
      <c r="Q328" s="406">
        <v>195.46542285576328</v>
      </c>
      <c r="R328" s="406">
        <v>199.80135617397801</v>
      </c>
      <c r="S328" s="405">
        <f t="shared" si="47"/>
        <v>218.16615401772765</v>
      </c>
      <c r="T328" s="406">
        <v>201.89489983913268</v>
      </c>
      <c r="U328" s="406">
        <v>207.09260415026867</v>
      </c>
      <c r="V328" s="405">
        <f t="shared" si="48"/>
        <v>226.69194328213055</v>
      </c>
      <c r="W328" s="406">
        <v>208.07489164882733</v>
      </c>
      <c r="X328" s="406">
        <v>215.31105746525461</v>
      </c>
      <c r="Y328" s="405">
        <f t="shared" si="49"/>
        <v>236.10832047189203</v>
      </c>
      <c r="Z328" s="406">
        <v>213.65991637928997</v>
      </c>
      <c r="AA328" s="406">
        <v>221.88969464206798</v>
      </c>
      <c r="AB328" s="442">
        <f t="shared" si="50"/>
        <v>240.89627949555754</v>
      </c>
      <c r="AC328" s="438">
        <f t="shared" si="51"/>
        <v>248.03209065483577</v>
      </c>
      <c r="AD328" s="410"/>
      <c r="AE328" s="411"/>
      <c r="AF328" s="411"/>
      <c r="AG328" s="411"/>
    </row>
    <row r="329" spans="1:33" x14ac:dyDescent="0.2">
      <c r="A329" s="159" t="s">
        <v>1620</v>
      </c>
      <c r="B329" s="18" t="str">
        <f>VLOOKUP(LEFT(A329,7),'Tariff Schedule Lookup Table'!$A$8:$G$186,2,FALSE)</f>
        <v>Metal Hallide (Reactor Control Gear) 400</v>
      </c>
      <c r="C329" s="160">
        <f t="shared" si="52"/>
        <v>1100</v>
      </c>
      <c r="D329" s="18">
        <f t="shared" si="53"/>
        <v>2</v>
      </c>
      <c r="E329" s="18" t="str">
        <f>VLOOKUP(C329,'Tariff Schedule Lookup Table'!I$7:L$286,2,FALSE)</f>
        <v>METAL HALIDE/HPS 400W FLOOD (310/360)</v>
      </c>
      <c r="F329" s="18" t="str">
        <f>IF(E329 = "BULKHEADS ETC", "SHARED OR NO POLE", VLOOKUP(C329,'Tariff Schedule Lookup Table'!I$7:L$286,3,FALSE))</f>
        <v>WOOD POLE</v>
      </c>
      <c r="G329" s="18">
        <f>IF(E329 = "NO CAPITAL", 1, VLOOKUP(C329,'Tariff Schedule Lookup Table'!I$7:L$286,4,FALSE))</f>
        <v>1</v>
      </c>
      <c r="H329" s="18" t="str">
        <f t="shared" si="44"/>
        <v>2-Unmetered, Funded by Others, CE Maintained</v>
      </c>
      <c r="I329" s="123">
        <f>VLOOKUP(F329,'Maintenance Model'!$A$57:$B$61,2,FALSE)</f>
        <v>10.731618231111112</v>
      </c>
      <c r="J329" s="123">
        <f>IF(D329=1,VLOOKUP(C329,'Capital Code Schedules'!A$15:F$300,2,FALSE),IF(D329=2,VLOOKUP(C329,'Capital Code Schedules'!A$15:F$300,3,FALSE),0))</f>
        <v>0</v>
      </c>
      <c r="K329" s="123">
        <v>0</v>
      </c>
      <c r="L329" s="123">
        <f>VLOOKUP(LEFT(A329,10),'Streetlight Tariff Schedule'!B$11:G$260,6, FALSE)+I329</f>
        <v>129.00233544641293</v>
      </c>
      <c r="M329" s="161">
        <f t="shared" si="45"/>
        <v>129.00233544641293</v>
      </c>
      <c r="N329" s="405">
        <f t="shared" si="46"/>
        <v>134.37768506374789</v>
      </c>
      <c r="O329" s="405">
        <v>92.973990221253445</v>
      </c>
      <c r="P329" s="406">
        <v>92.973990221253445</v>
      </c>
      <c r="Q329" s="406">
        <v>97.524031525571729</v>
      </c>
      <c r="R329" s="406">
        <v>97.524031525571729</v>
      </c>
      <c r="S329" s="405">
        <f t="shared" si="47"/>
        <v>140.95397608840648</v>
      </c>
      <c r="T329" s="406">
        <v>101.52945907351884</v>
      </c>
      <c r="U329" s="406">
        <v>101.9003757493828</v>
      </c>
      <c r="V329" s="405">
        <f t="shared" si="48"/>
        <v>147.27921828182377</v>
      </c>
      <c r="W329" s="406">
        <v>105.22540622426457</v>
      </c>
      <c r="X329" s="406">
        <v>106.55281252157874</v>
      </c>
      <c r="Y329" s="405">
        <f t="shared" si="49"/>
        <v>154.00350409407483</v>
      </c>
      <c r="Z329" s="406">
        <v>108.26490619046932</v>
      </c>
      <c r="AA329" s="406">
        <v>110.03183971749731</v>
      </c>
      <c r="AB329" s="442">
        <f t="shared" si="50"/>
        <v>157.34641834949076</v>
      </c>
      <c r="AC329" s="438">
        <f t="shared" si="51"/>
        <v>162.05092854941844</v>
      </c>
      <c r="AD329" s="410"/>
      <c r="AE329" s="411"/>
      <c r="AF329" s="411"/>
      <c r="AG329" s="411"/>
    </row>
    <row r="330" spans="1:33" x14ac:dyDescent="0.2">
      <c r="A330" s="159" t="s">
        <v>1621</v>
      </c>
      <c r="B330" s="18" t="str">
        <f>VLOOKUP(LEFT(A330,7),'Tariff Schedule Lookup Table'!$A$8:$G$186,2,FALSE)</f>
        <v>Metal Hallide (Reactor Control Gear) 1000</v>
      </c>
      <c r="C330" s="160">
        <f t="shared" si="52"/>
        <v>120</v>
      </c>
      <c r="D330" s="18">
        <f t="shared" si="53"/>
        <v>1</v>
      </c>
      <c r="E330" s="18" t="str">
        <f>VLOOKUP(C330,'Tariff Schedule Lookup Table'!I$7:L$286,2,FALSE)</f>
        <v xml:space="preserve">METAL HALIDE 1000W FLOODLIGHT </v>
      </c>
      <c r="F330" s="18" t="str">
        <f>IF(E330 = "BULKHEADS ETC", "SHARED OR NO POLE", VLOOKUP(C330,'Tariff Schedule Lookup Table'!I$7:L$286,3,FALSE))</f>
        <v>SHARED OR NO POLE</v>
      </c>
      <c r="G330" s="18">
        <f>IF(E330 = "NO CAPITAL", 1, VLOOKUP(C330,'Tariff Schedule Lookup Table'!I$7:L$286,4,FALSE))</f>
        <v>1</v>
      </c>
      <c r="H330" s="18" t="str">
        <f t="shared" si="44"/>
        <v>1-Unmetered, CE Funded, CE Maintained</v>
      </c>
      <c r="I330" s="123">
        <f>VLOOKUP(F330,'Maintenance Model'!$A$57:$B$61,2,FALSE)</f>
        <v>0</v>
      </c>
      <c r="J330" s="123">
        <f>IF(D330=1,VLOOKUP(C330,'Capital Code Schedules'!A$15:F$300,2,FALSE),IF(D330=2,VLOOKUP(C330,'Capital Code Schedules'!A$15:F$300,3,FALSE),0))</f>
        <v>60.355285078550516</v>
      </c>
      <c r="K330" s="123">
        <v>76.558915358334843</v>
      </c>
      <c r="L330" s="123">
        <f>VLOOKUP(LEFT(A330,10),'Streetlight Tariff Schedule'!B$11:G$260,6, FALSE)+I330</f>
        <v>188.19802105130185</v>
      </c>
      <c r="M330" s="161">
        <f t="shared" si="45"/>
        <v>264.75693640963669</v>
      </c>
      <c r="N330" s="405">
        <f t="shared" si="46"/>
        <v>257.88905172998022</v>
      </c>
      <c r="O330" s="405">
        <v>238.36507009071545</v>
      </c>
      <c r="P330" s="406">
        <v>234.89186823501075</v>
      </c>
      <c r="Q330" s="406">
        <v>244.48950210923132</v>
      </c>
      <c r="R330" s="406">
        <v>248.04866571086473</v>
      </c>
      <c r="S330" s="405">
        <f t="shared" si="47"/>
        <v>269.01378967958527</v>
      </c>
      <c r="T330" s="406">
        <v>253.2188262105752</v>
      </c>
      <c r="U330" s="406">
        <v>257.80501375334188</v>
      </c>
      <c r="V330" s="405">
        <f t="shared" si="48"/>
        <v>280.04784011118835</v>
      </c>
      <c r="W330" s="406">
        <v>261.47666557220288</v>
      </c>
      <c r="X330" s="406">
        <v>268.56038321316385</v>
      </c>
      <c r="Y330" s="405">
        <f t="shared" si="49"/>
        <v>292.06753008262604</v>
      </c>
      <c r="Z330" s="406">
        <v>268.68043243467145</v>
      </c>
      <c r="AA330" s="406">
        <v>276.95852146616488</v>
      </c>
      <c r="AB330" s="442">
        <f t="shared" si="50"/>
        <v>298.13058659468135</v>
      </c>
      <c r="AC330" s="438">
        <f t="shared" si="51"/>
        <v>306.98960992643083</v>
      </c>
      <c r="AD330" s="410"/>
      <c r="AE330" s="411"/>
      <c r="AF330" s="411"/>
      <c r="AG330" s="411"/>
    </row>
    <row r="331" spans="1:33" x14ac:dyDescent="0.2">
      <c r="A331" s="159" t="s">
        <v>1622</v>
      </c>
      <c r="B331" s="18" t="str">
        <f>VLOOKUP(LEFT(A331,7),'Tariff Schedule Lookup Table'!$A$8:$G$186,2,FALSE)</f>
        <v>Metal Hallide (Reactor Control Gear) 1000</v>
      </c>
      <c r="C331" s="160">
        <f t="shared" si="52"/>
        <v>120</v>
      </c>
      <c r="D331" s="18">
        <f t="shared" si="53"/>
        <v>2</v>
      </c>
      <c r="E331" s="18" t="str">
        <f>VLOOKUP(C331,'Tariff Schedule Lookup Table'!I$7:L$286,2,FALSE)</f>
        <v xml:space="preserve">METAL HALIDE 1000W FLOODLIGHT </v>
      </c>
      <c r="F331" s="18" t="str">
        <f>IF(E331 = "BULKHEADS ETC", "SHARED OR NO POLE", VLOOKUP(C331,'Tariff Schedule Lookup Table'!I$7:L$286,3,FALSE))</f>
        <v>SHARED OR NO POLE</v>
      </c>
      <c r="G331" s="18">
        <f>IF(E331 = "NO CAPITAL", 1, VLOOKUP(C331,'Tariff Schedule Lookup Table'!I$7:L$286,4,FALSE))</f>
        <v>1</v>
      </c>
      <c r="H331" s="18" t="str">
        <f t="shared" si="44"/>
        <v>2-Unmetered, Funded by Others, CE Maintained</v>
      </c>
      <c r="I331" s="123">
        <f>VLOOKUP(F331,'Maintenance Model'!$A$57:$B$61,2,FALSE)</f>
        <v>0</v>
      </c>
      <c r="J331" s="123">
        <f>IF(D331=1,VLOOKUP(C331,'Capital Code Schedules'!A$15:F$300,2,FALSE),IF(D331=2,VLOOKUP(C331,'Capital Code Schedules'!A$15:F$300,3,FALSE),0))</f>
        <v>0</v>
      </c>
      <c r="K331" s="123">
        <v>0</v>
      </c>
      <c r="L331" s="123">
        <f>VLOOKUP(LEFT(A331,10),'Streetlight Tariff Schedule'!B$11:G$260,6, FALSE)+I331</f>
        <v>188.19802105130185</v>
      </c>
      <c r="M331" s="161">
        <f t="shared" si="45"/>
        <v>188.19802105130185</v>
      </c>
      <c r="N331" s="405">
        <f t="shared" si="46"/>
        <v>196.0399733457356</v>
      </c>
      <c r="O331" s="405">
        <v>156.43811972155711</v>
      </c>
      <c r="P331" s="406">
        <v>156.43811972155711</v>
      </c>
      <c r="Q331" s="406">
        <v>164.09402332006971</v>
      </c>
      <c r="R331" s="406">
        <v>164.09402332006971</v>
      </c>
      <c r="S331" s="405">
        <f t="shared" si="47"/>
        <v>205.63394660533061</v>
      </c>
      <c r="T331" s="406">
        <v>170.83355932138181</v>
      </c>
      <c r="U331" s="406">
        <v>171.45766405440921</v>
      </c>
      <c r="V331" s="405">
        <f t="shared" si="48"/>
        <v>214.86167150931743</v>
      </c>
      <c r="W331" s="406">
        <v>177.05236332750198</v>
      </c>
      <c r="X331" s="406">
        <v>179.28585835943738</v>
      </c>
      <c r="Y331" s="405">
        <f t="shared" si="49"/>
        <v>224.67155036515163</v>
      </c>
      <c r="Z331" s="406">
        <v>182.16662870941423</v>
      </c>
      <c r="AA331" s="406">
        <v>185.13967265410716</v>
      </c>
      <c r="AB331" s="442">
        <f t="shared" si="50"/>
        <v>229.54843763417944</v>
      </c>
      <c r="AC331" s="438">
        <f t="shared" si="51"/>
        <v>236.41172043117834</v>
      </c>
      <c r="AD331" s="410"/>
      <c r="AE331" s="411"/>
      <c r="AF331" s="411"/>
      <c r="AG331" s="411"/>
    </row>
    <row r="332" spans="1:33" x14ac:dyDescent="0.2">
      <c r="A332" s="159" t="s">
        <v>1623</v>
      </c>
      <c r="B332" s="18" t="str">
        <f>VLOOKUP(LEFT(A332,7),'Tariff Schedule Lookup Table'!$A$8:$G$186,2,FALSE)</f>
        <v>Mercury Vapour 50</v>
      </c>
      <c r="C332" s="160">
        <f t="shared" si="52"/>
        <v>10</v>
      </c>
      <c r="D332" s="18">
        <f t="shared" si="53"/>
        <v>1</v>
      </c>
      <c r="E332" s="18" t="str">
        <f>VLOOKUP(C332,'Tariff Schedule Lookup Table'!I$7:L$286,2,FALSE)</f>
        <v>MERCURY VAPOUR 80W</v>
      </c>
      <c r="F332" s="18" t="str">
        <f>IF(E332 = "BULKHEADS ETC", "SHARED OR NO POLE", VLOOKUP(C332,'Tariff Schedule Lookup Table'!I$7:L$286,3,FALSE))</f>
        <v>SHARED OR NO POLE</v>
      </c>
      <c r="G332" s="18">
        <f>IF(E332 = "NO CAPITAL", 1, VLOOKUP(C332,'Tariff Schedule Lookup Table'!I$7:L$286,4,FALSE))</f>
        <v>1</v>
      </c>
      <c r="H332" s="18" t="str">
        <f t="shared" si="44"/>
        <v>1-Unmetered, CE Funded, CE Maintained</v>
      </c>
      <c r="I332" s="123">
        <f>VLOOKUP(F332,'Maintenance Model'!$A$57:$B$61,2,FALSE)</f>
        <v>0</v>
      </c>
      <c r="J332" s="123">
        <f>IF(D332=1,VLOOKUP(C332,'Capital Code Schedules'!A$15:F$300,2,FALSE),IF(D332=2,VLOOKUP(C332,'Capital Code Schedules'!A$15:F$300,3,FALSE),0))</f>
        <v>17.255027166785979</v>
      </c>
      <c r="K332" s="123">
        <v>21.887497717034414</v>
      </c>
      <c r="L332" s="123">
        <f>VLOOKUP(LEFT(A332,10),'Streetlight Tariff Schedule'!B$11:G$260,6, FALSE)+I332</f>
        <v>67.02885897425648</v>
      </c>
      <c r="M332" s="161">
        <f t="shared" si="45"/>
        <v>88.9163566912909</v>
      </c>
      <c r="N332" s="405">
        <f t="shared" si="46"/>
        <v>87.503948284624457</v>
      </c>
      <c r="O332" s="405">
        <v>66.854795290646024</v>
      </c>
      <c r="P332" s="406">
        <v>65.861838463453211</v>
      </c>
      <c r="Q332" s="406">
        <v>68.542504754899099</v>
      </c>
      <c r="R332" s="406">
        <v>69.560037263564936</v>
      </c>
      <c r="S332" s="405">
        <f t="shared" si="47"/>
        <v>91.358582341826391</v>
      </c>
      <c r="T332" s="406">
        <v>70.982495046332502</v>
      </c>
      <c r="U332" s="406">
        <v>72.288491522224689</v>
      </c>
      <c r="V332" s="405">
        <f t="shared" si="48"/>
        <v>95.161553232354265</v>
      </c>
      <c r="W332" s="406">
        <v>73.291991493094812</v>
      </c>
      <c r="X332" s="406">
        <v>75.298721394314242</v>
      </c>
      <c r="Y332" s="405">
        <f t="shared" si="49"/>
        <v>99.287217713789474</v>
      </c>
      <c r="Z332" s="406">
        <v>75.309257674873621</v>
      </c>
      <c r="AA332" s="406">
        <v>77.651341507704203</v>
      </c>
      <c r="AB332" s="442">
        <f t="shared" si="50"/>
        <v>101.3632914087047</v>
      </c>
      <c r="AC332" s="438">
        <f t="shared" si="51"/>
        <v>104.37829146304477</v>
      </c>
      <c r="AD332" s="410"/>
      <c r="AE332" s="411"/>
      <c r="AF332" s="411"/>
      <c r="AG332" s="411"/>
    </row>
    <row r="333" spans="1:33" x14ac:dyDescent="0.2">
      <c r="A333" s="159" t="s">
        <v>1624</v>
      </c>
      <c r="B333" s="18" t="str">
        <f>VLOOKUP(LEFT(A333,7),'Tariff Schedule Lookup Table'!$A$8:$G$186,2,FALSE)</f>
        <v>Mercury Vapour 50</v>
      </c>
      <c r="C333" s="160">
        <f t="shared" si="52"/>
        <v>10</v>
      </c>
      <c r="D333" s="18">
        <f t="shared" si="53"/>
        <v>2</v>
      </c>
      <c r="E333" s="18" t="str">
        <f>VLOOKUP(C333,'Tariff Schedule Lookup Table'!I$7:L$286,2,FALSE)</f>
        <v>MERCURY VAPOUR 80W</v>
      </c>
      <c r="F333" s="18" t="str">
        <f>IF(E333 = "BULKHEADS ETC", "SHARED OR NO POLE", VLOOKUP(C333,'Tariff Schedule Lookup Table'!I$7:L$286,3,FALSE))</f>
        <v>SHARED OR NO POLE</v>
      </c>
      <c r="G333" s="18">
        <f>IF(E333 = "NO CAPITAL", 1, VLOOKUP(C333,'Tariff Schedule Lookup Table'!I$7:L$286,4,FALSE))</f>
        <v>1</v>
      </c>
      <c r="H333" s="18" t="str">
        <f t="shared" si="44"/>
        <v>2-Unmetered, Funded by Others, CE Maintained</v>
      </c>
      <c r="I333" s="123">
        <f>VLOOKUP(F333,'Maintenance Model'!$A$57:$B$61,2,FALSE)</f>
        <v>0</v>
      </c>
      <c r="J333" s="123">
        <f>IF(D333=1,VLOOKUP(C333,'Capital Code Schedules'!A$15:F$300,2,FALSE),IF(D333=2,VLOOKUP(C333,'Capital Code Schedules'!A$15:F$300,3,FALSE),0))</f>
        <v>0</v>
      </c>
      <c r="K333" s="123">
        <v>0</v>
      </c>
      <c r="L333" s="123">
        <f>VLOOKUP(LEFT(A333,10),'Streetlight Tariff Schedule'!B$11:G$260,6, FALSE)+I333</f>
        <v>67.02885897425648</v>
      </c>
      <c r="M333" s="161">
        <f t="shared" si="45"/>
        <v>67.02885897425648</v>
      </c>
      <c r="N333" s="405">
        <f t="shared" si="46"/>
        <v>69.821859195460519</v>
      </c>
      <c r="O333" s="405">
        <v>43.432625177922191</v>
      </c>
      <c r="P333" s="406">
        <v>43.432625177922191</v>
      </c>
      <c r="Q333" s="406">
        <v>45.558168440551192</v>
      </c>
      <c r="R333" s="406">
        <v>45.558168440551192</v>
      </c>
      <c r="S333" s="405">
        <f t="shared" si="47"/>
        <v>73.238861547705653</v>
      </c>
      <c r="T333" s="406">
        <v>47.429296408204486</v>
      </c>
      <c r="U333" s="406">
        <v>47.602569437755037</v>
      </c>
      <c r="V333" s="405">
        <f t="shared" si="48"/>
        <v>76.525420395601088</v>
      </c>
      <c r="W333" s="406">
        <v>49.155851188673118</v>
      </c>
      <c r="X333" s="406">
        <v>49.775946551181072</v>
      </c>
      <c r="Y333" s="405">
        <f t="shared" si="49"/>
        <v>80.019319973870353</v>
      </c>
      <c r="Z333" s="406">
        <v>50.575747897917502</v>
      </c>
      <c r="AA333" s="406">
        <v>51.401167581541749</v>
      </c>
      <c r="AB333" s="442">
        <f t="shared" si="50"/>
        <v>81.756278668563013</v>
      </c>
      <c r="AC333" s="438">
        <f t="shared" si="51"/>
        <v>84.200714652164962</v>
      </c>
      <c r="AD333" s="410"/>
      <c r="AE333" s="411"/>
      <c r="AF333" s="411"/>
      <c r="AG333" s="411"/>
    </row>
    <row r="334" spans="1:33" x14ac:dyDescent="0.2">
      <c r="A334" s="159" t="s">
        <v>1625</v>
      </c>
      <c r="B334" s="18" t="str">
        <f>VLOOKUP(LEFT(A334,7),'Tariff Schedule Lookup Table'!$A$8:$G$186,2,FALSE)</f>
        <v>Mercury Vapour 50</v>
      </c>
      <c r="C334" s="160">
        <f t="shared" si="52"/>
        <v>810</v>
      </c>
      <c r="D334" s="18">
        <f t="shared" si="53"/>
        <v>2</v>
      </c>
      <c r="E334" s="18" t="str">
        <f>VLOOKUP(C334,'Tariff Schedule Lookup Table'!I$7:L$286,2,FALSE)</f>
        <v>MERCURY VAPOUR 80W</v>
      </c>
      <c r="F334" s="18" t="str">
        <f>IF(E334 = "BULKHEADS ETC", "SHARED OR NO POLE", VLOOKUP(C334,'Tariff Schedule Lookup Table'!I$7:L$286,3,FALSE))</f>
        <v>WOOD POLE</v>
      </c>
      <c r="G334" s="18">
        <f>IF(E334 = "NO CAPITAL", 1, VLOOKUP(C334,'Tariff Schedule Lookup Table'!I$7:L$286,4,FALSE))</f>
        <v>1</v>
      </c>
      <c r="H334" s="18" t="str">
        <f t="shared" si="44"/>
        <v>2-Unmetered, Funded by Others, CE Maintained</v>
      </c>
      <c r="I334" s="123">
        <f>VLOOKUP(F334,'Maintenance Model'!$A$57:$B$61,2,FALSE)</f>
        <v>10.731618231111112</v>
      </c>
      <c r="J334" s="123">
        <f>IF(D334=1,VLOOKUP(C334,'Capital Code Schedules'!A$15:F$300,2,FALSE),IF(D334=2,VLOOKUP(C334,'Capital Code Schedules'!A$15:F$300,3,FALSE),0))</f>
        <v>0</v>
      </c>
      <c r="K334" s="123">
        <v>0</v>
      </c>
      <c r="L334" s="123">
        <f>VLOOKUP(LEFT(A334,10),'Streetlight Tariff Schedule'!B$11:G$260,6, FALSE)+I334</f>
        <v>77.760477205367593</v>
      </c>
      <c r="M334" s="161">
        <f t="shared" si="45"/>
        <v>77.760477205367593</v>
      </c>
      <c r="N334" s="405">
        <f t="shared" si="46"/>
        <v>81.000649175457909</v>
      </c>
      <c r="O334" s="405">
        <v>53.828825253346352</v>
      </c>
      <c r="P334" s="406">
        <v>53.828825253346352</v>
      </c>
      <c r="Q334" s="406">
        <v>56.463146719842563</v>
      </c>
      <c r="R334" s="406">
        <v>56.463146719842563</v>
      </c>
      <c r="S334" s="405">
        <f t="shared" si="47"/>
        <v>84.964728791142491</v>
      </c>
      <c r="T334" s="406">
        <v>58.782155068632335</v>
      </c>
      <c r="U334" s="406">
        <v>58.996903396429381</v>
      </c>
      <c r="V334" s="405">
        <f t="shared" si="48"/>
        <v>88.777480317675639</v>
      </c>
      <c r="W334" s="406">
        <v>60.921984636553972</v>
      </c>
      <c r="X334" s="406">
        <v>61.690508408076283</v>
      </c>
      <c r="Y334" s="405">
        <f t="shared" si="49"/>
        <v>92.830768747040011</v>
      </c>
      <c r="Z334" s="406">
        <v>62.681753278827287</v>
      </c>
      <c r="AA334" s="406">
        <v>63.704748590035585</v>
      </c>
      <c r="AB334" s="442">
        <f t="shared" si="50"/>
        <v>94.845822248654713</v>
      </c>
      <c r="AC334" s="438">
        <f t="shared" si="51"/>
        <v>97.681623297511351</v>
      </c>
      <c r="AD334" s="410"/>
      <c r="AE334" s="411"/>
      <c r="AF334" s="411"/>
      <c r="AG334" s="411"/>
    </row>
    <row r="335" spans="1:33" x14ac:dyDescent="0.2">
      <c r="A335" s="159" t="s">
        <v>1626</v>
      </c>
      <c r="B335" s="18" t="str">
        <f>VLOOKUP(LEFT(A335,7),'Tariff Schedule Lookup Table'!$A$8:$G$186,2,FALSE)</f>
        <v>Mercury Vapour 50</v>
      </c>
      <c r="C335" s="160">
        <f t="shared" si="52"/>
        <v>990</v>
      </c>
      <c r="D335" s="18">
        <f t="shared" si="53"/>
        <v>1</v>
      </c>
      <c r="E335" s="18" t="str">
        <f>VLOOKUP(C335,'Tariff Schedule Lookup Table'!I$7:L$286,2,FALSE)</f>
        <v>MERCURY VAPOUR 80W</v>
      </c>
      <c r="F335" s="18" t="str">
        <f>IF(E335 = "BULKHEADS ETC", "SHARED OR NO POLE", VLOOKUP(C335,'Tariff Schedule Lookup Table'!I$7:L$286,3,FALSE))</f>
        <v>STEEL POLE</v>
      </c>
      <c r="G335" s="18">
        <f>IF(E335 = "NO CAPITAL", 1, VLOOKUP(C335,'Tariff Schedule Lookup Table'!I$7:L$286,4,FALSE))</f>
        <v>1</v>
      </c>
      <c r="H335" s="18" t="str">
        <f t="shared" si="44"/>
        <v>1-Unmetered, CE Funded, CE Maintained</v>
      </c>
      <c r="I335" s="123">
        <f>VLOOKUP(F335,'Maintenance Model'!$A$57:$B$61,2,FALSE)</f>
        <v>9.9616182311111103</v>
      </c>
      <c r="J335" s="123">
        <f>IF(D335=1,VLOOKUP(C335,'Capital Code Schedules'!A$15:F$300,2,FALSE),IF(D335=2,VLOOKUP(C335,'Capital Code Schedules'!A$15:F$300,3,FALSE),0))</f>
        <v>86.253661186307269</v>
      </c>
      <c r="K335" s="123">
        <v>109.41024862221688</v>
      </c>
      <c r="L335" s="123">
        <f>VLOOKUP(LEFT(A335,10),'Streetlight Tariff Schedule'!B$11:G$260,6, FALSE)+I335</f>
        <v>76.990477205367597</v>
      </c>
      <c r="M335" s="161">
        <f t="shared" si="45"/>
        <v>186.40072582758449</v>
      </c>
      <c r="N335" s="405">
        <f t="shared" si="46"/>
        <v>168.58700363680131</v>
      </c>
      <c r="O335" s="405">
        <v>170.10844104673259</v>
      </c>
      <c r="P335" s="406">
        <v>165.14489268963814</v>
      </c>
      <c r="Q335" s="406">
        <v>170.51488530545637</v>
      </c>
      <c r="R335" s="406">
        <v>175.60128148438892</v>
      </c>
      <c r="S335" s="405">
        <f t="shared" si="47"/>
        <v>174.69944400567798</v>
      </c>
      <c r="T335" s="406">
        <v>175.64294255170438</v>
      </c>
      <c r="U335" s="406">
        <v>181.51669849549106</v>
      </c>
      <c r="V335" s="405">
        <f t="shared" si="48"/>
        <v>181.05585840955115</v>
      </c>
      <c r="W335" s="406">
        <v>180.6648700887655</v>
      </c>
      <c r="X335" s="406">
        <v>188.35338931678515</v>
      </c>
      <c r="Y335" s="405">
        <f t="shared" si="49"/>
        <v>188.22704861201913</v>
      </c>
      <c r="Z335" s="406">
        <v>185.38452093266991</v>
      </c>
      <c r="AA335" s="406">
        <v>193.9737061322021</v>
      </c>
      <c r="AB335" s="442">
        <f t="shared" si="50"/>
        <v>191.91730160303425</v>
      </c>
      <c r="AC335" s="438">
        <f t="shared" si="51"/>
        <v>197.57713223672104</v>
      </c>
      <c r="AD335" s="410"/>
      <c r="AE335" s="411"/>
      <c r="AF335" s="411"/>
      <c r="AG335" s="411"/>
    </row>
    <row r="336" spans="1:33" x14ac:dyDescent="0.2">
      <c r="A336" s="159" t="s">
        <v>1628</v>
      </c>
      <c r="B336" s="18" t="str">
        <f>VLOOKUP(LEFT(A336,7),'Tariff Schedule Lookup Table'!$A$8:$G$186,2,FALSE)</f>
        <v>Mercury Vapour 50</v>
      </c>
      <c r="C336" s="160">
        <f t="shared" si="52"/>
        <v>990</v>
      </c>
      <c r="D336" s="18">
        <f t="shared" si="53"/>
        <v>2</v>
      </c>
      <c r="E336" s="18" t="str">
        <f>VLOOKUP(C336,'Tariff Schedule Lookup Table'!I$7:L$286,2,FALSE)</f>
        <v>MERCURY VAPOUR 80W</v>
      </c>
      <c r="F336" s="18" t="str">
        <f>IF(E336 = "BULKHEADS ETC", "SHARED OR NO POLE", VLOOKUP(C336,'Tariff Schedule Lookup Table'!I$7:L$286,3,FALSE))</f>
        <v>STEEL POLE</v>
      </c>
      <c r="G336" s="18">
        <f>IF(E336 = "NO CAPITAL", 1, VLOOKUP(C336,'Tariff Schedule Lookup Table'!I$7:L$286,4,FALSE))</f>
        <v>1</v>
      </c>
      <c r="H336" s="18" t="str">
        <f t="shared" si="44"/>
        <v>2-Unmetered, Funded by Others, CE Maintained</v>
      </c>
      <c r="I336" s="123">
        <f>VLOOKUP(F336,'Maintenance Model'!$A$57:$B$61,2,FALSE)</f>
        <v>9.9616182311111103</v>
      </c>
      <c r="J336" s="123">
        <f>IF(D336=1,VLOOKUP(C336,'Capital Code Schedules'!A$15:F$300,2,FALSE),IF(D336=2,VLOOKUP(C336,'Capital Code Schedules'!A$15:F$300,3,FALSE),0))</f>
        <v>0</v>
      </c>
      <c r="K336" s="123">
        <v>0</v>
      </c>
      <c r="L336" s="123">
        <f>VLOOKUP(LEFT(A336,10),'Streetlight Tariff Schedule'!B$11:G$260,6, FALSE)+I336</f>
        <v>76.990477205367597</v>
      </c>
      <c r="M336" s="161">
        <f t="shared" si="45"/>
        <v>76.990477205367597</v>
      </c>
      <c r="N336" s="405">
        <f t="shared" si="46"/>
        <v>80.198564336132918</v>
      </c>
      <c r="O336" s="405">
        <v>53.026740414021347</v>
      </c>
      <c r="P336" s="406">
        <v>53.026740414021347</v>
      </c>
      <c r="Q336" s="406">
        <v>55.621808761018109</v>
      </c>
      <c r="R336" s="406">
        <v>55.621808761018109</v>
      </c>
      <c r="S336" s="405">
        <f t="shared" si="47"/>
        <v>84.123390832318037</v>
      </c>
      <c r="T336" s="406">
        <v>57.906262362791239</v>
      </c>
      <c r="U336" s="406">
        <v>58.11781079950417</v>
      </c>
      <c r="V336" s="405">
        <f t="shared" si="48"/>
        <v>87.898387720750435</v>
      </c>
      <c r="W336" s="406">
        <v>60.014207065176777</v>
      </c>
      <c r="X336" s="406">
        <v>60.771279327904345</v>
      </c>
      <c r="Y336" s="405">
        <f t="shared" si="49"/>
        <v>91.91153966686808</v>
      </c>
      <c r="Z336" s="406">
        <v>61.747753999247387</v>
      </c>
      <c r="AA336" s="406">
        <v>62.755506008638143</v>
      </c>
      <c r="AB336" s="442">
        <f t="shared" si="50"/>
        <v>93.906639700448551</v>
      </c>
      <c r="AC336" s="438">
        <f t="shared" si="51"/>
        <v>96.714360072770091</v>
      </c>
      <c r="AD336" s="410"/>
      <c r="AE336" s="411"/>
      <c r="AF336" s="411"/>
      <c r="AG336" s="411"/>
    </row>
    <row r="337" spans="1:33" x14ac:dyDescent="0.2">
      <c r="A337" s="159" t="s">
        <v>1629</v>
      </c>
      <c r="B337" s="18" t="str">
        <f>VLOOKUP(LEFT(A337,7),'Tariff Schedule Lookup Table'!$A$8:$G$186,2,FALSE)</f>
        <v>Mercury Vapour 80</v>
      </c>
      <c r="C337" s="160">
        <f t="shared" si="52"/>
        <v>10</v>
      </c>
      <c r="D337" s="18">
        <f t="shared" si="53"/>
        <v>1</v>
      </c>
      <c r="E337" s="18" t="str">
        <f>VLOOKUP(C337,'Tariff Schedule Lookup Table'!I$7:L$286,2,FALSE)</f>
        <v>MERCURY VAPOUR 80W</v>
      </c>
      <c r="F337" s="18" t="str">
        <f>IF(E337 = "BULKHEADS ETC", "SHARED OR NO POLE", VLOOKUP(C337,'Tariff Schedule Lookup Table'!I$7:L$286,3,FALSE))</f>
        <v>SHARED OR NO POLE</v>
      </c>
      <c r="G337" s="18">
        <f>IF(E337 = "NO CAPITAL", 1, VLOOKUP(C337,'Tariff Schedule Lookup Table'!I$7:L$286,4,FALSE))</f>
        <v>1</v>
      </c>
      <c r="H337" s="18" t="str">
        <f t="shared" si="44"/>
        <v>1-Unmetered, CE Funded, CE Maintained</v>
      </c>
      <c r="I337" s="123">
        <f>VLOOKUP(F337,'Maintenance Model'!$A$57:$B$61,2,FALSE)</f>
        <v>0</v>
      </c>
      <c r="J337" s="123">
        <f>IF(D337=1,VLOOKUP(C337,'Capital Code Schedules'!A$15:F$300,2,FALSE),IF(D337=2,VLOOKUP(C337,'Capital Code Schedules'!A$15:F$300,3,FALSE),0))</f>
        <v>17.255027166785979</v>
      </c>
      <c r="K337" s="123">
        <v>21.887497717034414</v>
      </c>
      <c r="L337" s="123">
        <f>VLOOKUP(LEFT(A337,10),'Streetlight Tariff Schedule'!B$11:G$260,6, FALSE)+I337</f>
        <v>67.383383924256478</v>
      </c>
      <c r="M337" s="161">
        <f t="shared" si="45"/>
        <v>89.270881641290885</v>
      </c>
      <c r="N337" s="405">
        <f t="shared" si="46"/>
        <v>87.873245800932835</v>
      </c>
      <c r="O337" s="405">
        <v>67.229260316656919</v>
      </c>
      <c r="P337" s="406">
        <v>66.236303489464078</v>
      </c>
      <c r="Q337" s="406">
        <v>68.935295673251673</v>
      </c>
      <c r="R337" s="406">
        <v>69.952828181917525</v>
      </c>
      <c r="S337" s="405">
        <f t="shared" si="47"/>
        <v>91.745952858430741</v>
      </c>
      <c r="T337" s="406">
        <v>71.391418353188115</v>
      </c>
      <c r="U337" s="406">
        <v>72.698908744984578</v>
      </c>
      <c r="V337" s="405">
        <f t="shared" si="48"/>
        <v>95.566306815432569</v>
      </c>
      <c r="W337" s="406">
        <v>73.715800715276259</v>
      </c>
      <c r="X337" s="406">
        <v>75.727876920687521</v>
      </c>
      <c r="Y337" s="405">
        <f t="shared" si="49"/>
        <v>99.710451017278416</v>
      </c>
      <c r="Z337" s="406">
        <v>75.745308884638888</v>
      </c>
      <c r="AA337" s="406">
        <v>78.094509275633555</v>
      </c>
      <c r="AB337" s="442">
        <f t="shared" si="50"/>
        <v>101.79571172811204</v>
      </c>
      <c r="AC337" s="438">
        <f t="shared" si="51"/>
        <v>104.82364074406846</v>
      </c>
      <c r="AD337" s="410"/>
      <c r="AE337" s="411"/>
      <c r="AF337" s="411"/>
      <c r="AG337" s="411"/>
    </row>
    <row r="338" spans="1:33" x14ac:dyDescent="0.2">
      <c r="A338" s="159" t="s">
        <v>1630</v>
      </c>
      <c r="B338" s="18" t="str">
        <f>VLOOKUP(LEFT(A338,7),'Tariff Schedule Lookup Table'!$A$8:$G$186,2,FALSE)</f>
        <v>Mercury Vapour 80</v>
      </c>
      <c r="C338" s="160">
        <f t="shared" si="52"/>
        <v>10</v>
      </c>
      <c r="D338" s="18">
        <f t="shared" si="53"/>
        <v>2</v>
      </c>
      <c r="E338" s="18" t="str">
        <f>VLOOKUP(C338,'Tariff Schedule Lookup Table'!I$7:L$286,2,FALSE)</f>
        <v>MERCURY VAPOUR 80W</v>
      </c>
      <c r="F338" s="18" t="str">
        <f>IF(E338 = "BULKHEADS ETC", "SHARED OR NO POLE", VLOOKUP(C338,'Tariff Schedule Lookup Table'!I$7:L$286,3,FALSE))</f>
        <v>SHARED OR NO POLE</v>
      </c>
      <c r="G338" s="18">
        <f>IF(E338 = "NO CAPITAL", 1, VLOOKUP(C338,'Tariff Schedule Lookup Table'!I$7:L$286,4,FALSE))</f>
        <v>1</v>
      </c>
      <c r="H338" s="18" t="str">
        <f t="shared" ref="H338:H401" si="54">VLOOKUP(D338,A$11:B$15, 2, FALSE)</f>
        <v>2-Unmetered, Funded by Others, CE Maintained</v>
      </c>
      <c r="I338" s="123">
        <f>VLOOKUP(F338,'Maintenance Model'!$A$57:$B$61,2,FALSE)</f>
        <v>0</v>
      </c>
      <c r="J338" s="123">
        <f>IF(D338=1,VLOOKUP(C338,'Capital Code Schedules'!A$15:F$300,2,FALSE),IF(D338=2,VLOOKUP(C338,'Capital Code Schedules'!A$15:F$300,3,FALSE),0))</f>
        <v>0</v>
      </c>
      <c r="K338" s="123">
        <v>0</v>
      </c>
      <c r="L338" s="123">
        <f>VLOOKUP(LEFT(A338,10),'Streetlight Tariff Schedule'!B$11:G$260,6, FALSE)+I338</f>
        <v>67.383383924256478</v>
      </c>
      <c r="M338" s="161">
        <f t="shared" si="45"/>
        <v>67.383383924256478</v>
      </c>
      <c r="N338" s="405">
        <f t="shared" si="46"/>
        <v>70.191156711768897</v>
      </c>
      <c r="O338" s="405">
        <v>43.807090203933072</v>
      </c>
      <c r="P338" s="406">
        <v>43.807090203933072</v>
      </c>
      <c r="Q338" s="406">
        <v>45.950959358903759</v>
      </c>
      <c r="R338" s="406">
        <v>45.950959358903759</v>
      </c>
      <c r="S338" s="405">
        <f t="shared" si="47"/>
        <v>73.626232064310003</v>
      </c>
      <c r="T338" s="406">
        <v>47.838219715060099</v>
      </c>
      <c r="U338" s="406">
        <v>48.012986660514926</v>
      </c>
      <c r="V338" s="405">
        <f t="shared" si="48"/>
        <v>76.930173978679392</v>
      </c>
      <c r="W338" s="406">
        <v>49.579660410854572</v>
      </c>
      <c r="X338" s="406">
        <v>50.205102077554351</v>
      </c>
      <c r="Y338" s="405">
        <f t="shared" si="49"/>
        <v>80.442553277359309</v>
      </c>
      <c r="Z338" s="406">
        <v>51.011799107682748</v>
      </c>
      <c r="AA338" s="406">
        <v>51.844335349471095</v>
      </c>
      <c r="AB338" s="442">
        <f t="shared" si="50"/>
        <v>82.188698987970355</v>
      </c>
      <c r="AC338" s="438">
        <f t="shared" si="51"/>
        <v>84.646063933188643</v>
      </c>
      <c r="AD338" s="410"/>
      <c r="AE338" s="411"/>
      <c r="AF338" s="411"/>
      <c r="AG338" s="411"/>
    </row>
    <row r="339" spans="1:33" x14ac:dyDescent="0.2">
      <c r="A339" s="159" t="s">
        <v>1631</v>
      </c>
      <c r="B339" s="18" t="str">
        <f>VLOOKUP(LEFT(A339,7),'Tariff Schedule Lookup Table'!$A$8:$G$186,2,FALSE)</f>
        <v>Mercury Vapour 80</v>
      </c>
      <c r="C339" s="160">
        <f t="shared" si="52"/>
        <v>110</v>
      </c>
      <c r="D339" s="18">
        <f t="shared" si="53"/>
        <v>2</v>
      </c>
      <c r="E339" s="18" t="str">
        <f>VLOOKUP(C339,'Tariff Schedule Lookup Table'!I$7:L$286,2,FALSE)</f>
        <v>BULKHEADS ETC</v>
      </c>
      <c r="F339" s="18" t="str">
        <f>IF(E339 = "BULKHEADS ETC", "SHARED OR NO POLE", VLOOKUP(C339,'Tariff Schedule Lookup Table'!I$7:L$286,3,FALSE))</f>
        <v>SHARED OR NO POLE</v>
      </c>
      <c r="G339" s="18">
        <f>IF(E339 = "NO CAPITAL", 1, VLOOKUP(C339,'Tariff Schedule Lookup Table'!I$7:L$286,4,FALSE))</f>
        <v>1</v>
      </c>
      <c r="H339" s="18" t="str">
        <f t="shared" si="54"/>
        <v>2-Unmetered, Funded by Others, CE Maintained</v>
      </c>
      <c r="I339" s="123">
        <f>VLOOKUP(F339,'Maintenance Model'!$A$57:$B$61,2,FALSE)</f>
        <v>0</v>
      </c>
      <c r="J339" s="123">
        <f>IF(D339=1,VLOOKUP(C339,'Capital Code Schedules'!A$15:F$300,2,FALSE),IF(D339=2,VLOOKUP(C339,'Capital Code Schedules'!A$15:F$300,3,FALSE),0))</f>
        <v>0</v>
      </c>
      <c r="K339" s="123">
        <v>0</v>
      </c>
      <c r="L339" s="123">
        <f>VLOOKUP(LEFT(A339,10),'Streetlight Tariff Schedule'!B$11:G$260,6, FALSE)+I339</f>
        <v>67.383383924256478</v>
      </c>
      <c r="M339" s="161">
        <f t="shared" ref="M339:M402" si="55">IF(VLOOKUP(D339,A$11:D$15,3,FALSE)="Y",IF(VLOOKUP(D339,A$11:D$15,4,FALSE)="Y",K339+L339,K339),IF(VLOOKUP(D339,A$11:D$15,4,FALSE)="Y",L339,0))</f>
        <v>67.383383924256478</v>
      </c>
      <c r="N339" s="405">
        <f t="shared" ref="N339:N402" si="56">($J339+$L339+$L339*$M$10*$M$14)*(1+$M$12)</f>
        <v>70.191156711768897</v>
      </c>
      <c r="O339" s="405">
        <v>43.807090203933072</v>
      </c>
      <c r="P339" s="406">
        <v>43.807090203933072</v>
      </c>
      <c r="Q339" s="406">
        <v>45.950959358903759</v>
      </c>
      <c r="R339" s="406">
        <v>45.950959358903759</v>
      </c>
      <c r="S339" s="405">
        <f t="shared" ref="S339:S402" si="57">($J339+$L339+$L339*$N$10*$N$14)*(1+$N$12)</f>
        <v>73.626232064310003</v>
      </c>
      <c r="T339" s="406">
        <v>47.838219715060099</v>
      </c>
      <c r="U339" s="406">
        <v>48.012986660514926</v>
      </c>
      <c r="V339" s="405">
        <f t="shared" ref="V339:V402" si="58">($J339+$L339+$L339*$O$10*$O$14)*(1+$O$12)</f>
        <v>76.930173978679392</v>
      </c>
      <c r="W339" s="406">
        <v>49.579660410854572</v>
      </c>
      <c r="X339" s="406">
        <v>50.205102077554351</v>
      </c>
      <c r="Y339" s="405">
        <f t="shared" ref="Y339:Y402" si="59">($J339+$L339+$L339*$P$10*$P$14)*(1+$P$12)</f>
        <v>80.442553277359309</v>
      </c>
      <c r="Z339" s="406">
        <v>51.011799107682748</v>
      </c>
      <c r="AA339" s="406">
        <v>51.844335349471095</v>
      </c>
      <c r="AB339" s="442">
        <f t="shared" ref="AB339:AB402" si="60">($J339+$L339+$L339*$Q$10*$Q$14)*(1+$Q$12)</f>
        <v>82.188698987970355</v>
      </c>
      <c r="AC339" s="438">
        <f t="shared" ref="AC339:AC402" si="61">($J339+$L339+$L339*$R$10*$R$14)*(1+$R$12)</f>
        <v>84.646063933188643</v>
      </c>
      <c r="AD339" s="410"/>
      <c r="AE339" s="411"/>
      <c r="AF339" s="411"/>
      <c r="AG339" s="411"/>
    </row>
    <row r="340" spans="1:33" x14ac:dyDescent="0.2">
      <c r="A340" s="159" t="s">
        <v>1632</v>
      </c>
      <c r="B340" s="18" t="str">
        <f>VLOOKUP(LEFT(A340,7),'Tariff Schedule Lookup Table'!$A$8:$G$186,2,FALSE)</f>
        <v>Mercury Vapour 80</v>
      </c>
      <c r="C340" s="160">
        <f t="shared" si="52"/>
        <v>740</v>
      </c>
      <c r="D340" s="18">
        <f t="shared" si="53"/>
        <v>1</v>
      </c>
      <c r="E340" s="18" t="str">
        <f>VLOOKUP(C340,'Tariff Schedule Lookup Table'!I$7:L$286,2,FALSE)</f>
        <v>MERCURY VAPOUR 80W</v>
      </c>
      <c r="F340" s="18" t="str">
        <f>IF(E340 = "BULKHEADS ETC", "SHARED OR NO POLE", VLOOKUP(C340,'Tariff Schedule Lookup Table'!I$7:L$286,3,FALSE))</f>
        <v>SHARED OR NO POLE</v>
      </c>
      <c r="G340" s="18">
        <f>IF(E340 = "NO CAPITAL", 1, VLOOKUP(C340,'Tariff Schedule Lookup Table'!I$7:L$286,4,FALSE))</f>
        <v>2</v>
      </c>
      <c r="H340" s="18" t="str">
        <f t="shared" si="54"/>
        <v>1-Unmetered, CE Funded, CE Maintained</v>
      </c>
      <c r="I340" s="123">
        <f>VLOOKUP(F340,'Maintenance Model'!$A$57:$B$61,2,FALSE)</f>
        <v>0</v>
      </c>
      <c r="J340" s="123">
        <f>IF(D340=1,VLOOKUP(C340,'Capital Code Schedules'!A$15:F$300,2,FALSE),IF(D340=2,VLOOKUP(C340,'Capital Code Schedules'!A$15:F$300,3,FALSE),0))</f>
        <v>23.919781035330548</v>
      </c>
      <c r="K340" s="123">
        <v>30.34154323503618</v>
      </c>
      <c r="L340" s="123">
        <f>VLOOKUP(LEFT(A340,10),'Streetlight Tariff Schedule'!B$11:G$260,6, FALSE)+I340</f>
        <v>67.383383924256478</v>
      </c>
      <c r="M340" s="161">
        <f t="shared" si="55"/>
        <v>97.724927159292662</v>
      </c>
      <c r="N340" s="405">
        <f t="shared" si="56"/>
        <v>94.702952327723878</v>
      </c>
      <c r="O340" s="405">
        <v>76.276073014174216</v>
      </c>
      <c r="P340" s="406">
        <v>74.89958663403641</v>
      </c>
      <c r="Q340" s="406">
        <v>77.812995075652154</v>
      </c>
      <c r="R340" s="406">
        <v>79.223549493698371</v>
      </c>
      <c r="S340" s="405">
        <f t="shared" si="57"/>
        <v>98.744694621759862</v>
      </c>
      <c r="T340" s="406">
        <v>80.488840815798014</v>
      </c>
      <c r="U340" s="406">
        <v>82.233845614151178</v>
      </c>
      <c r="V340" s="405">
        <f t="shared" si="58"/>
        <v>102.76451271901657</v>
      </c>
      <c r="W340" s="406">
        <v>83.038384383835748</v>
      </c>
      <c r="X340" s="406">
        <v>85.586048149718863</v>
      </c>
      <c r="Y340" s="405">
        <f t="shared" si="59"/>
        <v>107.15267610099392</v>
      </c>
      <c r="Z340" s="406">
        <v>85.298626498995205</v>
      </c>
      <c r="AA340" s="406">
        <v>88.233638384692313</v>
      </c>
      <c r="AB340" s="442">
        <f t="shared" si="60"/>
        <v>109.36891997330093</v>
      </c>
      <c r="AC340" s="438">
        <f t="shared" si="61"/>
        <v>112.61722934919236</v>
      </c>
      <c r="AD340" s="410"/>
      <c r="AE340" s="411"/>
      <c r="AF340" s="411"/>
      <c r="AG340" s="411"/>
    </row>
    <row r="341" spans="1:33" x14ac:dyDescent="0.2">
      <c r="A341" s="159" t="s">
        <v>1633</v>
      </c>
      <c r="B341" s="18" t="str">
        <f>VLOOKUP(LEFT(A341,7),'Tariff Schedule Lookup Table'!$A$8:$G$186,2,FALSE)</f>
        <v>Mercury Vapour 80</v>
      </c>
      <c r="C341" s="160">
        <f t="shared" si="52"/>
        <v>740</v>
      </c>
      <c r="D341" s="18">
        <f t="shared" si="53"/>
        <v>2</v>
      </c>
      <c r="E341" s="18" t="str">
        <f>VLOOKUP(C341,'Tariff Schedule Lookup Table'!I$7:L$286,2,FALSE)</f>
        <v>MERCURY VAPOUR 80W</v>
      </c>
      <c r="F341" s="18" t="str">
        <f>IF(E341 = "BULKHEADS ETC", "SHARED OR NO POLE", VLOOKUP(C341,'Tariff Schedule Lookup Table'!I$7:L$286,3,FALSE))</f>
        <v>SHARED OR NO POLE</v>
      </c>
      <c r="G341" s="18">
        <f>IF(E341 = "NO CAPITAL", 1, VLOOKUP(C341,'Tariff Schedule Lookup Table'!I$7:L$286,4,FALSE))</f>
        <v>2</v>
      </c>
      <c r="H341" s="18" t="str">
        <f t="shared" si="54"/>
        <v>2-Unmetered, Funded by Others, CE Maintained</v>
      </c>
      <c r="I341" s="123">
        <f>VLOOKUP(F341,'Maintenance Model'!$A$57:$B$61,2,FALSE)</f>
        <v>0</v>
      </c>
      <c r="J341" s="123">
        <f>IF(D341=1,VLOOKUP(C341,'Capital Code Schedules'!A$15:F$300,2,FALSE),IF(D341=2,VLOOKUP(C341,'Capital Code Schedules'!A$15:F$300,3,FALSE),0))</f>
        <v>0</v>
      </c>
      <c r="K341" s="123">
        <v>0</v>
      </c>
      <c r="L341" s="123">
        <f>VLOOKUP(LEFT(A341,10),'Streetlight Tariff Schedule'!B$11:G$260,6, FALSE)+I341</f>
        <v>67.383383924256478</v>
      </c>
      <c r="M341" s="161">
        <f t="shared" si="55"/>
        <v>67.383383924256478</v>
      </c>
      <c r="N341" s="405">
        <f t="shared" si="56"/>
        <v>70.191156711768897</v>
      </c>
      <c r="O341" s="405">
        <v>43.807090203933072</v>
      </c>
      <c r="P341" s="406">
        <v>43.807090203933072</v>
      </c>
      <c r="Q341" s="406">
        <v>45.950959358903759</v>
      </c>
      <c r="R341" s="406">
        <v>45.950959358903759</v>
      </c>
      <c r="S341" s="405">
        <f t="shared" si="57"/>
        <v>73.626232064310003</v>
      </c>
      <c r="T341" s="406">
        <v>47.838219715060099</v>
      </c>
      <c r="U341" s="406">
        <v>48.012986660514926</v>
      </c>
      <c r="V341" s="405">
        <f t="shared" si="58"/>
        <v>76.930173978679392</v>
      </c>
      <c r="W341" s="406">
        <v>49.579660410854572</v>
      </c>
      <c r="X341" s="406">
        <v>50.205102077554351</v>
      </c>
      <c r="Y341" s="405">
        <f t="shared" si="59"/>
        <v>80.442553277359309</v>
      </c>
      <c r="Z341" s="406">
        <v>51.011799107682748</v>
      </c>
      <c r="AA341" s="406">
        <v>51.844335349471095</v>
      </c>
      <c r="AB341" s="442">
        <f t="shared" si="60"/>
        <v>82.188698987970355</v>
      </c>
      <c r="AC341" s="438">
        <f t="shared" si="61"/>
        <v>84.646063933188643</v>
      </c>
      <c r="AD341" s="410"/>
      <c r="AE341" s="411"/>
      <c r="AF341" s="411"/>
      <c r="AG341" s="411"/>
    </row>
    <row r="342" spans="1:33" x14ac:dyDescent="0.2">
      <c r="A342" s="159" t="s">
        <v>1634</v>
      </c>
      <c r="B342" s="18" t="str">
        <f>VLOOKUP(LEFT(A342,7),'Tariff Schedule Lookup Table'!$A$8:$G$186,2,FALSE)</f>
        <v>Mercury Vapour 80</v>
      </c>
      <c r="C342" s="160">
        <f t="shared" si="52"/>
        <v>810</v>
      </c>
      <c r="D342" s="18">
        <f t="shared" si="53"/>
        <v>1</v>
      </c>
      <c r="E342" s="18" t="str">
        <f>VLOOKUP(C342,'Tariff Schedule Lookup Table'!I$7:L$286,2,FALSE)</f>
        <v>MERCURY VAPOUR 80W</v>
      </c>
      <c r="F342" s="18" t="str">
        <f>IF(E342 = "BULKHEADS ETC", "SHARED OR NO POLE", VLOOKUP(C342,'Tariff Schedule Lookup Table'!I$7:L$286,3,FALSE))</f>
        <v>WOOD POLE</v>
      </c>
      <c r="G342" s="18">
        <f>IF(E342 = "NO CAPITAL", 1, VLOOKUP(C342,'Tariff Schedule Lookup Table'!I$7:L$286,4,FALSE))</f>
        <v>1</v>
      </c>
      <c r="H342" s="18" t="str">
        <f t="shared" si="54"/>
        <v>1-Unmetered, CE Funded, CE Maintained</v>
      </c>
      <c r="I342" s="123">
        <f>VLOOKUP(F342,'Maintenance Model'!$A$57:$B$61,2,FALSE)</f>
        <v>10.731618231111112</v>
      </c>
      <c r="J342" s="123">
        <f>IF(D342=1,VLOOKUP(C342,'Capital Code Schedules'!A$15:F$300,2,FALSE),IF(D342=2,VLOOKUP(C342,'Capital Code Schedules'!A$15:F$300,3,FALSE),0))</f>
        <v>51.156145528662286</v>
      </c>
      <c r="K342" s="123">
        <v>64.890075665956445</v>
      </c>
      <c r="L342" s="123">
        <f>VLOOKUP(LEFT(A342,10),'Streetlight Tariff Schedule'!B$11:G$260,6, FALSE)+I342</f>
        <v>78.115002155367591</v>
      </c>
      <c r="M342" s="161">
        <f t="shared" si="55"/>
        <v>143.00507782132405</v>
      </c>
      <c r="N342" s="405">
        <f t="shared" si="56"/>
        <v>133.79220682226298</v>
      </c>
      <c r="O342" s="405">
        <v>123.64322400429306</v>
      </c>
      <c r="P342" s="406">
        <v>120.6993953180461</v>
      </c>
      <c r="Q342" s="406">
        <v>124.99782127659157</v>
      </c>
      <c r="R342" s="406">
        <v>128.01450972282314</v>
      </c>
      <c r="S342" s="405">
        <f t="shared" si="57"/>
        <v>139.07181037647331</v>
      </c>
      <c r="T342" s="406">
        <v>129.01947363393469</v>
      </c>
      <c r="U342" s="406">
        <v>132.59391200822915</v>
      </c>
      <c r="V342" s="405">
        <f t="shared" si="58"/>
        <v>144.4329567349391</v>
      </c>
      <c r="W342" s="406">
        <v>132.90244189982872</v>
      </c>
      <c r="X342" s="406">
        <v>137.78728077157788</v>
      </c>
      <c r="Y342" s="405">
        <f t="shared" si="59"/>
        <v>150.37772438879301</v>
      </c>
      <c r="Z342" s="406">
        <v>136.44547956870286</v>
      </c>
      <c r="AA342" s="406">
        <v>141.97206027495145</v>
      </c>
      <c r="AB342" s="442">
        <f t="shared" si="60"/>
        <v>153.40734241947956</v>
      </c>
      <c r="AC342" s="438">
        <f t="shared" si="61"/>
        <v>157.94762923562877</v>
      </c>
      <c r="AD342" s="410"/>
      <c r="AE342" s="411"/>
      <c r="AF342" s="411"/>
      <c r="AG342" s="411"/>
    </row>
    <row r="343" spans="1:33" x14ac:dyDescent="0.2">
      <c r="A343" s="159" t="s">
        <v>1635</v>
      </c>
      <c r="B343" s="18" t="str">
        <f>VLOOKUP(LEFT(A343,7),'Tariff Schedule Lookup Table'!$A$8:$G$186,2,FALSE)</f>
        <v>Mercury Vapour 80</v>
      </c>
      <c r="C343" s="160">
        <f t="shared" si="52"/>
        <v>810</v>
      </c>
      <c r="D343" s="18">
        <f t="shared" si="53"/>
        <v>2</v>
      </c>
      <c r="E343" s="18" t="str">
        <f>VLOOKUP(C343,'Tariff Schedule Lookup Table'!I$7:L$286,2,FALSE)</f>
        <v>MERCURY VAPOUR 80W</v>
      </c>
      <c r="F343" s="18" t="str">
        <f>IF(E343 = "BULKHEADS ETC", "SHARED OR NO POLE", VLOOKUP(C343,'Tariff Schedule Lookup Table'!I$7:L$286,3,FALSE))</f>
        <v>WOOD POLE</v>
      </c>
      <c r="G343" s="18">
        <f>IF(E343 = "NO CAPITAL", 1, VLOOKUP(C343,'Tariff Schedule Lookup Table'!I$7:L$286,4,FALSE))</f>
        <v>1</v>
      </c>
      <c r="H343" s="18" t="str">
        <f t="shared" si="54"/>
        <v>2-Unmetered, Funded by Others, CE Maintained</v>
      </c>
      <c r="I343" s="123">
        <f>VLOOKUP(F343,'Maintenance Model'!$A$57:$B$61,2,FALSE)</f>
        <v>10.731618231111112</v>
      </c>
      <c r="J343" s="123">
        <f>IF(D343=1,VLOOKUP(C343,'Capital Code Schedules'!A$15:F$300,2,FALSE),IF(D343=2,VLOOKUP(C343,'Capital Code Schedules'!A$15:F$300,3,FALSE),0))</f>
        <v>0</v>
      </c>
      <c r="K343" s="123">
        <v>0</v>
      </c>
      <c r="L343" s="123">
        <f>VLOOKUP(LEFT(A343,10),'Streetlight Tariff Schedule'!B$11:G$260,6, FALSE)+I343</f>
        <v>78.115002155367591</v>
      </c>
      <c r="M343" s="161">
        <f t="shared" si="55"/>
        <v>78.115002155367591</v>
      </c>
      <c r="N343" s="405">
        <f t="shared" si="56"/>
        <v>81.369946691766287</v>
      </c>
      <c r="O343" s="405">
        <v>54.203290279357233</v>
      </c>
      <c r="P343" s="406">
        <v>54.203290279357233</v>
      </c>
      <c r="Q343" s="406">
        <v>56.855937638195144</v>
      </c>
      <c r="R343" s="406">
        <v>56.855937638195144</v>
      </c>
      <c r="S343" s="405">
        <f t="shared" si="57"/>
        <v>85.352099307746826</v>
      </c>
      <c r="T343" s="406">
        <v>59.191078375487955</v>
      </c>
      <c r="U343" s="406">
        <v>59.407320619189264</v>
      </c>
      <c r="V343" s="405">
        <f t="shared" si="58"/>
        <v>89.182233900753928</v>
      </c>
      <c r="W343" s="406">
        <v>61.345793858735426</v>
      </c>
      <c r="X343" s="406">
        <v>62.119663934449548</v>
      </c>
      <c r="Y343" s="405">
        <f t="shared" si="59"/>
        <v>93.254002050528982</v>
      </c>
      <c r="Z343" s="406">
        <v>63.117804488592533</v>
      </c>
      <c r="AA343" s="406">
        <v>64.147916357964931</v>
      </c>
      <c r="AB343" s="442">
        <f t="shared" si="60"/>
        <v>95.278242568062069</v>
      </c>
      <c r="AC343" s="438">
        <f t="shared" si="61"/>
        <v>98.126972578535046</v>
      </c>
      <c r="AD343" s="410"/>
      <c r="AE343" s="411"/>
      <c r="AF343" s="411"/>
      <c r="AG343" s="411"/>
    </row>
    <row r="344" spans="1:33" x14ac:dyDescent="0.2">
      <c r="A344" s="159" t="s">
        <v>1636</v>
      </c>
      <c r="B344" s="18" t="str">
        <f>VLOOKUP(LEFT(A344,7),'Tariff Schedule Lookup Table'!$A$8:$G$186,2,FALSE)</f>
        <v>Mercury Vapour 80</v>
      </c>
      <c r="C344" s="160">
        <f t="shared" si="52"/>
        <v>990</v>
      </c>
      <c r="D344" s="18">
        <f t="shared" si="53"/>
        <v>1</v>
      </c>
      <c r="E344" s="18" t="str">
        <f>VLOOKUP(C344,'Tariff Schedule Lookup Table'!I$7:L$286,2,FALSE)</f>
        <v>MERCURY VAPOUR 80W</v>
      </c>
      <c r="F344" s="18" t="str">
        <f>IF(E344 = "BULKHEADS ETC", "SHARED OR NO POLE", VLOOKUP(C344,'Tariff Schedule Lookup Table'!I$7:L$286,3,FALSE))</f>
        <v>STEEL POLE</v>
      </c>
      <c r="G344" s="18">
        <f>IF(E344 = "NO CAPITAL", 1, VLOOKUP(C344,'Tariff Schedule Lookup Table'!I$7:L$286,4,FALSE))</f>
        <v>1</v>
      </c>
      <c r="H344" s="18" t="str">
        <f t="shared" si="54"/>
        <v>1-Unmetered, CE Funded, CE Maintained</v>
      </c>
      <c r="I344" s="123">
        <f>VLOOKUP(F344,'Maintenance Model'!$A$57:$B$61,2,FALSE)</f>
        <v>9.9616182311111103</v>
      </c>
      <c r="J344" s="123">
        <f>IF(D344=1,VLOOKUP(C344,'Capital Code Schedules'!A$15:F$300,2,FALSE),IF(D344=2,VLOOKUP(C344,'Capital Code Schedules'!A$15:F$300,3,FALSE),0))</f>
        <v>86.253661186307269</v>
      </c>
      <c r="K344" s="123">
        <v>109.41024862221688</v>
      </c>
      <c r="L344" s="123">
        <f>VLOOKUP(LEFT(A344,10),'Streetlight Tariff Schedule'!B$11:G$260,6, FALSE)+I344</f>
        <v>77.345002155367581</v>
      </c>
      <c r="M344" s="161">
        <f t="shared" si="55"/>
        <v>186.75525077758448</v>
      </c>
      <c r="N344" s="405">
        <f t="shared" si="56"/>
        <v>168.95630115310968</v>
      </c>
      <c r="O344" s="405">
        <v>170.48290607274345</v>
      </c>
      <c r="P344" s="406">
        <v>165.51935771564899</v>
      </c>
      <c r="Q344" s="406">
        <v>170.90767622380895</v>
      </c>
      <c r="R344" s="406">
        <v>175.99407240274149</v>
      </c>
      <c r="S344" s="405">
        <f t="shared" si="57"/>
        <v>175.08681452228228</v>
      </c>
      <c r="T344" s="406">
        <v>176.05186585855998</v>
      </c>
      <c r="U344" s="406">
        <v>181.92711571825095</v>
      </c>
      <c r="V344" s="405">
        <f t="shared" si="58"/>
        <v>181.4606119926294</v>
      </c>
      <c r="W344" s="406">
        <v>181.08867931094696</v>
      </c>
      <c r="X344" s="406">
        <v>188.78254484315843</v>
      </c>
      <c r="Y344" s="405">
        <f t="shared" si="59"/>
        <v>188.65028191550803</v>
      </c>
      <c r="Z344" s="406">
        <v>185.82057214243517</v>
      </c>
      <c r="AA344" s="406">
        <v>194.41687390013143</v>
      </c>
      <c r="AB344" s="442">
        <f t="shared" si="60"/>
        <v>192.3497219224416</v>
      </c>
      <c r="AC344" s="438">
        <f t="shared" si="61"/>
        <v>198.02248151774469</v>
      </c>
      <c r="AD344" s="410"/>
      <c r="AE344" s="411"/>
      <c r="AF344" s="411"/>
      <c r="AG344" s="411"/>
    </row>
    <row r="345" spans="1:33" x14ac:dyDescent="0.2">
      <c r="A345" s="159" t="s">
        <v>1637</v>
      </c>
      <c r="B345" s="18" t="str">
        <f>VLOOKUP(LEFT(A345,7),'Tariff Schedule Lookup Table'!$A$8:$G$186,2,FALSE)</f>
        <v>Mercury Vapour 80</v>
      </c>
      <c r="C345" s="160">
        <f t="shared" si="52"/>
        <v>990</v>
      </c>
      <c r="D345" s="18">
        <f t="shared" si="53"/>
        <v>2</v>
      </c>
      <c r="E345" s="18" t="str">
        <f>VLOOKUP(C345,'Tariff Schedule Lookup Table'!I$7:L$286,2,FALSE)</f>
        <v>MERCURY VAPOUR 80W</v>
      </c>
      <c r="F345" s="18" t="str">
        <f>IF(E345 = "BULKHEADS ETC", "SHARED OR NO POLE", VLOOKUP(C345,'Tariff Schedule Lookup Table'!I$7:L$286,3,FALSE))</f>
        <v>STEEL POLE</v>
      </c>
      <c r="G345" s="18">
        <f>IF(E345 = "NO CAPITAL", 1, VLOOKUP(C345,'Tariff Schedule Lookup Table'!I$7:L$286,4,FALSE))</f>
        <v>1</v>
      </c>
      <c r="H345" s="18" t="str">
        <f t="shared" si="54"/>
        <v>2-Unmetered, Funded by Others, CE Maintained</v>
      </c>
      <c r="I345" s="123">
        <f>VLOOKUP(F345,'Maintenance Model'!$A$57:$B$61,2,FALSE)</f>
        <v>9.9616182311111103</v>
      </c>
      <c r="J345" s="123">
        <f>IF(D345=1,VLOOKUP(C345,'Capital Code Schedules'!A$15:F$300,2,FALSE),IF(D345=2,VLOOKUP(C345,'Capital Code Schedules'!A$15:F$300,3,FALSE),0))</f>
        <v>0</v>
      </c>
      <c r="K345" s="123">
        <v>0</v>
      </c>
      <c r="L345" s="123">
        <f>VLOOKUP(LEFT(A345,10),'Streetlight Tariff Schedule'!B$11:G$260,6, FALSE)+I345</f>
        <v>77.345002155367581</v>
      </c>
      <c r="M345" s="161">
        <f t="shared" si="55"/>
        <v>77.345002155367581</v>
      </c>
      <c r="N345" s="405">
        <f t="shared" si="56"/>
        <v>80.567861852441283</v>
      </c>
      <c r="O345" s="405">
        <v>53.401205440032236</v>
      </c>
      <c r="P345" s="406">
        <v>53.401205440032236</v>
      </c>
      <c r="Q345" s="406">
        <v>56.014599679370683</v>
      </c>
      <c r="R345" s="406">
        <v>56.014599679370683</v>
      </c>
      <c r="S345" s="405">
        <f t="shared" si="57"/>
        <v>84.510761348922358</v>
      </c>
      <c r="T345" s="406">
        <v>58.315185669646851</v>
      </c>
      <c r="U345" s="406">
        <v>58.528228022264059</v>
      </c>
      <c r="V345" s="405">
        <f t="shared" si="58"/>
        <v>88.303141303828724</v>
      </c>
      <c r="W345" s="406">
        <v>60.438016287358224</v>
      </c>
      <c r="X345" s="406">
        <v>61.20043485427761</v>
      </c>
      <c r="Y345" s="405">
        <f t="shared" si="59"/>
        <v>92.334772970357037</v>
      </c>
      <c r="Z345" s="406">
        <v>62.18380520901264</v>
      </c>
      <c r="AA345" s="406">
        <v>63.198673776567489</v>
      </c>
      <c r="AB345" s="442">
        <f t="shared" si="60"/>
        <v>94.339060019855893</v>
      </c>
      <c r="AC345" s="438">
        <f t="shared" si="61"/>
        <v>97.159709353793744</v>
      </c>
      <c r="AD345" s="410"/>
      <c r="AE345" s="411"/>
      <c r="AF345" s="411"/>
      <c r="AG345" s="411"/>
    </row>
    <row r="346" spans="1:33" x14ac:dyDescent="0.2">
      <c r="A346" s="159" t="s">
        <v>1638</v>
      </c>
      <c r="B346" s="18" t="str">
        <f>VLOOKUP(LEFT(A346,7),'Tariff Schedule Lookup Table'!$A$8:$G$186,2,FALSE)</f>
        <v>Mercury Vapour 80</v>
      </c>
      <c r="C346" s="160">
        <f t="shared" si="52"/>
        <v>1000</v>
      </c>
      <c r="D346" s="18">
        <f t="shared" si="53"/>
        <v>2</v>
      </c>
      <c r="E346" s="18" t="str">
        <f>VLOOKUP(C346,'Tariff Schedule Lookup Table'!I$7:L$286,2,FALSE)</f>
        <v>MERCURY VAPOUR 80W</v>
      </c>
      <c r="F346" s="18" t="str">
        <f>IF(E346 = "BULKHEADS ETC", "SHARED OR NO POLE", VLOOKUP(C346,'Tariff Schedule Lookup Table'!I$7:L$286,3,FALSE))</f>
        <v>STEEL POLE</v>
      </c>
      <c r="G346" s="18">
        <f>IF(E346 = "NO CAPITAL", 1, VLOOKUP(C346,'Tariff Schedule Lookup Table'!I$7:L$286,4,FALSE))</f>
        <v>2</v>
      </c>
      <c r="H346" s="18" t="str">
        <f t="shared" si="54"/>
        <v>2-Unmetered, Funded by Others, CE Maintained</v>
      </c>
      <c r="I346" s="123">
        <f>VLOOKUP(F346,'Maintenance Model'!$A$57:$B$61,2,FALSE)</f>
        <v>9.9616182311111103</v>
      </c>
      <c r="J346" s="123">
        <f>IF(D346=1,VLOOKUP(C346,'Capital Code Schedules'!A$15:F$300,2,FALSE),IF(D346=2,VLOOKUP(C346,'Capital Code Schedules'!A$15:F$300,3,FALSE),0))</f>
        <v>0</v>
      </c>
      <c r="K346" s="123">
        <v>0</v>
      </c>
      <c r="L346" s="123">
        <f>VLOOKUP(LEFT(A346,10),'Streetlight Tariff Schedule'!B$11:G$260,6, FALSE)+I346</f>
        <v>77.345002155367581</v>
      </c>
      <c r="M346" s="161">
        <f t="shared" si="55"/>
        <v>77.345002155367581</v>
      </c>
      <c r="N346" s="405">
        <f t="shared" si="56"/>
        <v>80.567861852441283</v>
      </c>
      <c r="O346" s="405">
        <v>53.401205440032236</v>
      </c>
      <c r="P346" s="406">
        <v>53.401205440032236</v>
      </c>
      <c r="Q346" s="406">
        <v>56.014599679370683</v>
      </c>
      <c r="R346" s="406">
        <v>56.014599679370683</v>
      </c>
      <c r="S346" s="405">
        <f t="shared" si="57"/>
        <v>84.510761348922358</v>
      </c>
      <c r="T346" s="406">
        <v>58.315185669646851</v>
      </c>
      <c r="U346" s="406">
        <v>58.528228022264059</v>
      </c>
      <c r="V346" s="405">
        <f t="shared" si="58"/>
        <v>88.303141303828724</v>
      </c>
      <c r="W346" s="406">
        <v>60.438016287358224</v>
      </c>
      <c r="X346" s="406">
        <v>61.20043485427761</v>
      </c>
      <c r="Y346" s="405">
        <f t="shared" si="59"/>
        <v>92.334772970357037</v>
      </c>
      <c r="Z346" s="406">
        <v>62.18380520901264</v>
      </c>
      <c r="AA346" s="406">
        <v>63.198673776567489</v>
      </c>
      <c r="AB346" s="442">
        <f t="shared" si="60"/>
        <v>94.339060019855893</v>
      </c>
      <c r="AC346" s="438">
        <f t="shared" si="61"/>
        <v>97.159709353793744</v>
      </c>
      <c r="AD346" s="410"/>
      <c r="AE346" s="411"/>
      <c r="AF346" s="411"/>
      <c r="AG346" s="411"/>
    </row>
    <row r="347" spans="1:33" x14ac:dyDescent="0.2">
      <c r="A347" s="159" t="s">
        <v>1639</v>
      </c>
      <c r="B347" s="18" t="str">
        <f>VLOOKUP(LEFT(A347,7),'Tariff Schedule Lookup Table'!$A$8:$G$186,2,FALSE)</f>
        <v>Mercury Vapour 80</v>
      </c>
      <c r="C347" s="160">
        <f t="shared" si="52"/>
        <v>1260</v>
      </c>
      <c r="D347" s="18">
        <f t="shared" si="53"/>
        <v>2</v>
      </c>
      <c r="E347" s="18" t="str">
        <f>VLOOKUP(C347,'Tariff Schedule Lookup Table'!I$7:L$286,2,FALSE)</f>
        <v>MERCURY VAPOUR 80W</v>
      </c>
      <c r="F347" s="18" t="str">
        <f>IF(E347 = "BULKHEADS ETC", "SHARED OR NO POLE", VLOOKUP(C347,'Tariff Schedule Lookup Table'!I$7:L$286,3,FALSE))</f>
        <v>WOOD POLE</v>
      </c>
      <c r="G347" s="18">
        <f>IF(E347 = "NO CAPITAL", 1, VLOOKUP(C347,'Tariff Schedule Lookup Table'!I$7:L$286,4,FALSE))</f>
        <v>2</v>
      </c>
      <c r="H347" s="18" t="str">
        <f t="shared" si="54"/>
        <v>2-Unmetered, Funded by Others, CE Maintained</v>
      </c>
      <c r="I347" s="123">
        <f>VLOOKUP(F347,'Maintenance Model'!$A$57:$B$61,2,FALSE)</f>
        <v>10.731618231111112</v>
      </c>
      <c r="J347" s="123">
        <f>IF(D347=1,VLOOKUP(C347,'Capital Code Schedules'!A$15:F$300,2,FALSE),IF(D347=2,VLOOKUP(C347,'Capital Code Schedules'!A$15:F$300,3,FALSE),0))</f>
        <v>0</v>
      </c>
      <c r="K347" s="123">
        <v>0</v>
      </c>
      <c r="L347" s="123">
        <f>VLOOKUP(LEFT(A347,10),'Streetlight Tariff Schedule'!B$11:G$260,6, FALSE)+I347</f>
        <v>78.115002155367591</v>
      </c>
      <c r="M347" s="161">
        <f t="shared" si="55"/>
        <v>78.115002155367591</v>
      </c>
      <c r="N347" s="405">
        <f t="shared" si="56"/>
        <v>81.369946691766287</v>
      </c>
      <c r="O347" s="405">
        <v>54.203290279357233</v>
      </c>
      <c r="P347" s="406">
        <v>54.203290279357233</v>
      </c>
      <c r="Q347" s="406">
        <v>56.855937638195144</v>
      </c>
      <c r="R347" s="406">
        <v>56.855937638195144</v>
      </c>
      <c r="S347" s="405">
        <f t="shared" si="57"/>
        <v>85.352099307746826</v>
      </c>
      <c r="T347" s="406">
        <v>59.191078375487955</v>
      </c>
      <c r="U347" s="406">
        <v>59.407320619189264</v>
      </c>
      <c r="V347" s="405">
        <f t="shared" si="58"/>
        <v>89.182233900753928</v>
      </c>
      <c r="W347" s="406">
        <v>61.345793858735426</v>
      </c>
      <c r="X347" s="406">
        <v>62.119663934449548</v>
      </c>
      <c r="Y347" s="405">
        <f t="shared" si="59"/>
        <v>93.254002050528982</v>
      </c>
      <c r="Z347" s="406">
        <v>63.117804488592533</v>
      </c>
      <c r="AA347" s="406">
        <v>64.147916357964931</v>
      </c>
      <c r="AB347" s="442">
        <f t="shared" si="60"/>
        <v>95.278242568062069</v>
      </c>
      <c r="AC347" s="438">
        <f t="shared" si="61"/>
        <v>98.126972578535046</v>
      </c>
      <c r="AD347" s="410"/>
      <c r="AE347" s="411"/>
      <c r="AF347" s="411"/>
      <c r="AG347" s="411"/>
    </row>
    <row r="348" spans="1:33" x14ac:dyDescent="0.2">
      <c r="A348" s="159" t="s">
        <v>1640</v>
      </c>
      <c r="B348" s="18" t="str">
        <f>VLOOKUP(LEFT(A348,7),'Tariff Schedule Lookup Table'!$A$8:$G$186,2,FALSE)</f>
        <v>Mercury Vapour 125</v>
      </c>
      <c r="C348" s="160">
        <f t="shared" si="52"/>
        <v>10</v>
      </c>
      <c r="D348" s="18">
        <f t="shared" si="53"/>
        <v>1</v>
      </c>
      <c r="E348" s="18" t="str">
        <f>VLOOKUP(C348,'Tariff Schedule Lookup Table'!I$7:L$286,2,FALSE)</f>
        <v>MERCURY VAPOUR 80W</v>
      </c>
      <c r="F348" s="18" t="str">
        <f>IF(E348 = "BULKHEADS ETC", "SHARED OR NO POLE", VLOOKUP(C348,'Tariff Schedule Lookup Table'!I$7:L$286,3,FALSE))</f>
        <v>SHARED OR NO POLE</v>
      </c>
      <c r="G348" s="18">
        <f>IF(E348 = "NO CAPITAL", 1, VLOOKUP(C348,'Tariff Schedule Lookup Table'!I$7:L$286,4,FALSE))</f>
        <v>1</v>
      </c>
      <c r="H348" s="18" t="str">
        <f t="shared" si="54"/>
        <v>1-Unmetered, CE Funded, CE Maintained</v>
      </c>
      <c r="I348" s="123">
        <f>VLOOKUP(F348,'Maintenance Model'!$A$57:$B$61,2,FALSE)</f>
        <v>0</v>
      </c>
      <c r="J348" s="123">
        <f>IF(D348=1,VLOOKUP(C348,'Capital Code Schedules'!A$15:F$300,2,FALSE),IF(D348=2,VLOOKUP(C348,'Capital Code Schedules'!A$15:F$300,3,FALSE),0))</f>
        <v>17.255027166785979</v>
      </c>
      <c r="K348" s="123">
        <v>21.887497717034414</v>
      </c>
      <c r="L348" s="123">
        <f>VLOOKUP(LEFT(A348,10),'Streetlight Tariff Schedule'!B$11:G$260,6, FALSE)+I348</f>
        <v>67.199298516256476</v>
      </c>
      <c r="M348" s="161">
        <f t="shared" si="55"/>
        <v>89.086796233290897</v>
      </c>
      <c r="N348" s="405">
        <f t="shared" si="56"/>
        <v>87.681489807559103</v>
      </c>
      <c r="O348" s="405">
        <v>67.034821118245233</v>
      </c>
      <c r="P348" s="406">
        <v>66.041864291052391</v>
      </c>
      <c r="Q348" s="406">
        <v>68.731340841684442</v>
      </c>
      <c r="R348" s="406">
        <v>69.748873350350308</v>
      </c>
      <c r="S348" s="405">
        <f t="shared" si="57"/>
        <v>91.544812544903351</v>
      </c>
      <c r="T348" s="406">
        <v>71.179086854986863</v>
      </c>
      <c r="U348" s="406">
        <v>72.485801537996807</v>
      </c>
      <c r="V348" s="405">
        <f t="shared" si="58"/>
        <v>95.356140426634184</v>
      </c>
      <c r="W348" s="406">
        <v>73.495739775758651</v>
      </c>
      <c r="X348" s="406">
        <v>75.505039937936715</v>
      </c>
      <c r="Y348" s="405">
        <f t="shared" si="59"/>
        <v>99.490689120825294</v>
      </c>
      <c r="Z348" s="406">
        <v>75.51889135081359</v>
      </c>
      <c r="AA348" s="406">
        <v>77.864396502550264</v>
      </c>
      <c r="AB348" s="442">
        <f t="shared" si="60"/>
        <v>101.57117951697826</v>
      </c>
      <c r="AC348" s="438">
        <f t="shared" si="61"/>
        <v>104.59239523060106</v>
      </c>
      <c r="AD348" s="410"/>
      <c r="AE348" s="411"/>
      <c r="AF348" s="411"/>
      <c r="AG348" s="411"/>
    </row>
    <row r="349" spans="1:33" x14ac:dyDescent="0.2">
      <c r="A349" s="159" t="s">
        <v>1641</v>
      </c>
      <c r="B349" s="18" t="str">
        <f>VLOOKUP(LEFT(A349,7),'Tariff Schedule Lookup Table'!$A$8:$G$186,2,FALSE)</f>
        <v>Mercury Vapour 125</v>
      </c>
      <c r="C349" s="160">
        <f t="shared" si="52"/>
        <v>10</v>
      </c>
      <c r="D349" s="18">
        <f t="shared" si="53"/>
        <v>2</v>
      </c>
      <c r="E349" s="18" t="str">
        <f>VLOOKUP(C349,'Tariff Schedule Lookup Table'!I$7:L$286,2,FALSE)</f>
        <v>MERCURY VAPOUR 80W</v>
      </c>
      <c r="F349" s="18" t="str">
        <f>IF(E349 = "BULKHEADS ETC", "SHARED OR NO POLE", VLOOKUP(C349,'Tariff Schedule Lookup Table'!I$7:L$286,3,FALSE))</f>
        <v>SHARED OR NO POLE</v>
      </c>
      <c r="G349" s="18">
        <f>IF(E349 = "NO CAPITAL", 1, VLOOKUP(C349,'Tariff Schedule Lookup Table'!I$7:L$286,4,FALSE))</f>
        <v>1</v>
      </c>
      <c r="H349" s="18" t="str">
        <f t="shared" si="54"/>
        <v>2-Unmetered, Funded by Others, CE Maintained</v>
      </c>
      <c r="I349" s="123">
        <f>VLOOKUP(F349,'Maintenance Model'!$A$57:$B$61,2,FALSE)</f>
        <v>0</v>
      </c>
      <c r="J349" s="123">
        <f>IF(D349=1,VLOOKUP(C349,'Capital Code Schedules'!A$15:F$300,2,FALSE),IF(D349=2,VLOOKUP(C349,'Capital Code Schedules'!A$15:F$300,3,FALSE),0))</f>
        <v>0</v>
      </c>
      <c r="K349" s="123">
        <v>0</v>
      </c>
      <c r="L349" s="123">
        <f>VLOOKUP(LEFT(A349,10),'Streetlight Tariff Schedule'!B$11:G$260,6, FALSE)+I349</f>
        <v>67.199298516256476</v>
      </c>
      <c r="M349" s="161">
        <f t="shared" si="55"/>
        <v>67.199298516256476</v>
      </c>
      <c r="N349" s="405">
        <f t="shared" si="56"/>
        <v>69.999400718395179</v>
      </c>
      <c r="O349" s="405">
        <v>43.612651005521379</v>
      </c>
      <c r="P349" s="406">
        <v>43.612651005521379</v>
      </c>
      <c r="Q349" s="406">
        <v>45.747004527336536</v>
      </c>
      <c r="R349" s="406">
        <v>45.747004527336536</v>
      </c>
      <c r="S349" s="405">
        <f t="shared" si="57"/>
        <v>73.425091750782613</v>
      </c>
      <c r="T349" s="406">
        <v>47.62588821685884</v>
      </c>
      <c r="U349" s="406">
        <v>47.799879453527147</v>
      </c>
      <c r="V349" s="405">
        <f t="shared" si="58"/>
        <v>76.720007589881007</v>
      </c>
      <c r="W349" s="406">
        <v>49.359599471336956</v>
      </c>
      <c r="X349" s="406">
        <v>49.982265094803545</v>
      </c>
      <c r="Y349" s="405">
        <f t="shared" si="59"/>
        <v>80.222791380906173</v>
      </c>
      <c r="Z349" s="406">
        <v>50.785381573857478</v>
      </c>
      <c r="AA349" s="406">
        <v>51.614222576387782</v>
      </c>
      <c r="AB349" s="442">
        <f t="shared" si="60"/>
        <v>81.964166776836564</v>
      </c>
      <c r="AC349" s="438">
        <f t="shared" si="61"/>
        <v>84.414818419721243</v>
      </c>
      <c r="AD349" s="410"/>
      <c r="AE349" s="411"/>
      <c r="AF349" s="411"/>
      <c r="AG349" s="411"/>
    </row>
    <row r="350" spans="1:33" x14ac:dyDescent="0.2">
      <c r="A350" s="159" t="s">
        <v>1642</v>
      </c>
      <c r="B350" s="18" t="str">
        <f>VLOOKUP(LEFT(A350,7),'Tariff Schedule Lookup Table'!$A$8:$G$186,2,FALSE)</f>
        <v>Mercury Vapour 125</v>
      </c>
      <c r="C350" s="160">
        <f t="shared" si="52"/>
        <v>810</v>
      </c>
      <c r="D350" s="18">
        <f t="shared" si="53"/>
        <v>2</v>
      </c>
      <c r="E350" s="18" t="str">
        <f>VLOOKUP(C350,'Tariff Schedule Lookup Table'!I$7:L$286,2,FALSE)</f>
        <v>MERCURY VAPOUR 80W</v>
      </c>
      <c r="F350" s="18" t="str">
        <f>IF(E350 = "BULKHEADS ETC", "SHARED OR NO POLE", VLOOKUP(C350,'Tariff Schedule Lookup Table'!I$7:L$286,3,FALSE))</f>
        <v>WOOD POLE</v>
      </c>
      <c r="G350" s="18">
        <f>IF(E350 = "NO CAPITAL", 1, VLOOKUP(C350,'Tariff Schedule Lookup Table'!I$7:L$286,4,FALSE))</f>
        <v>1</v>
      </c>
      <c r="H350" s="18" t="str">
        <f t="shared" si="54"/>
        <v>2-Unmetered, Funded by Others, CE Maintained</v>
      </c>
      <c r="I350" s="123">
        <f>VLOOKUP(F350,'Maintenance Model'!$A$57:$B$61,2,FALSE)</f>
        <v>10.731618231111112</v>
      </c>
      <c r="J350" s="123">
        <f>IF(D350=1,VLOOKUP(C350,'Capital Code Schedules'!A$15:F$300,2,FALSE),IF(D350=2,VLOOKUP(C350,'Capital Code Schedules'!A$15:F$300,3,FALSE),0))</f>
        <v>0</v>
      </c>
      <c r="K350" s="123">
        <v>0</v>
      </c>
      <c r="L350" s="123">
        <f>VLOOKUP(LEFT(A350,10),'Streetlight Tariff Schedule'!B$11:G$260,6, FALSE)+I350</f>
        <v>77.93091674736759</v>
      </c>
      <c r="M350" s="161">
        <f t="shared" si="55"/>
        <v>77.93091674736759</v>
      </c>
      <c r="N350" s="405">
        <f t="shared" si="56"/>
        <v>81.178190698392584</v>
      </c>
      <c r="O350" s="405">
        <v>54.008851080945547</v>
      </c>
      <c r="P350" s="406">
        <v>54.008851080945547</v>
      </c>
      <c r="Q350" s="406">
        <v>56.65198280662792</v>
      </c>
      <c r="R350" s="406">
        <v>56.65198280662792</v>
      </c>
      <c r="S350" s="405">
        <f t="shared" si="57"/>
        <v>85.150958994219437</v>
      </c>
      <c r="T350" s="406">
        <v>58.978746877286703</v>
      </c>
      <c r="U350" s="406">
        <v>59.194213412201499</v>
      </c>
      <c r="V350" s="405">
        <f t="shared" si="58"/>
        <v>88.972067511955544</v>
      </c>
      <c r="W350" s="406">
        <v>61.12573291921781</v>
      </c>
      <c r="X350" s="406">
        <v>61.896826951698749</v>
      </c>
      <c r="Y350" s="405">
        <f t="shared" si="59"/>
        <v>93.034240154075832</v>
      </c>
      <c r="Z350" s="406">
        <v>62.891386954767256</v>
      </c>
      <c r="AA350" s="406">
        <v>63.917803584881618</v>
      </c>
      <c r="AB350" s="442">
        <f t="shared" si="60"/>
        <v>95.053710356928278</v>
      </c>
      <c r="AC350" s="438">
        <f t="shared" si="61"/>
        <v>97.895727065067632</v>
      </c>
      <c r="AD350" s="410"/>
      <c r="AE350" s="411"/>
      <c r="AF350" s="411"/>
      <c r="AG350" s="411"/>
    </row>
    <row r="351" spans="1:33" x14ac:dyDescent="0.2">
      <c r="A351" s="159" t="s">
        <v>1643</v>
      </c>
      <c r="B351" s="18" t="str">
        <f>VLOOKUP(LEFT(A351,7),'Tariff Schedule Lookup Table'!$A$8:$G$186,2,FALSE)</f>
        <v>Mercury Vapour 125</v>
      </c>
      <c r="C351" s="160">
        <f t="shared" si="52"/>
        <v>990</v>
      </c>
      <c r="D351" s="18">
        <f t="shared" si="53"/>
        <v>1</v>
      </c>
      <c r="E351" s="18" t="str">
        <f>VLOOKUP(C351,'Tariff Schedule Lookup Table'!I$7:L$286,2,FALSE)</f>
        <v>MERCURY VAPOUR 80W</v>
      </c>
      <c r="F351" s="18" t="str">
        <f>IF(E351 = "BULKHEADS ETC", "SHARED OR NO POLE", VLOOKUP(C351,'Tariff Schedule Lookup Table'!I$7:L$286,3,FALSE))</f>
        <v>STEEL POLE</v>
      </c>
      <c r="G351" s="18">
        <f>IF(E351 = "NO CAPITAL", 1, VLOOKUP(C351,'Tariff Schedule Lookup Table'!I$7:L$286,4,FALSE))</f>
        <v>1</v>
      </c>
      <c r="H351" s="18" t="str">
        <f t="shared" si="54"/>
        <v>1-Unmetered, CE Funded, CE Maintained</v>
      </c>
      <c r="I351" s="123">
        <f>VLOOKUP(F351,'Maintenance Model'!$A$57:$B$61,2,FALSE)</f>
        <v>9.9616182311111103</v>
      </c>
      <c r="J351" s="123">
        <f>IF(D351=1,VLOOKUP(C351,'Capital Code Schedules'!A$15:F$300,2,FALSE),IF(D351=2,VLOOKUP(C351,'Capital Code Schedules'!A$15:F$300,3,FALSE),0))</f>
        <v>86.253661186307269</v>
      </c>
      <c r="K351" s="123">
        <v>109.41024862221688</v>
      </c>
      <c r="L351" s="123">
        <f>VLOOKUP(LEFT(A351,10),'Streetlight Tariff Schedule'!B$11:G$260,6, FALSE)+I351</f>
        <v>77.160916747367594</v>
      </c>
      <c r="M351" s="161">
        <f t="shared" si="55"/>
        <v>186.57116536958449</v>
      </c>
      <c r="N351" s="405">
        <f t="shared" si="56"/>
        <v>168.76454515973597</v>
      </c>
      <c r="O351" s="405">
        <v>170.28846687433176</v>
      </c>
      <c r="P351" s="406">
        <v>165.32491851723731</v>
      </c>
      <c r="Q351" s="406">
        <v>170.70372139224173</v>
      </c>
      <c r="R351" s="406">
        <v>175.79011757117428</v>
      </c>
      <c r="S351" s="405">
        <f t="shared" si="57"/>
        <v>174.88567420875492</v>
      </c>
      <c r="T351" s="406">
        <v>175.8395343603587</v>
      </c>
      <c r="U351" s="406">
        <v>181.71400851126316</v>
      </c>
      <c r="V351" s="405">
        <f t="shared" si="58"/>
        <v>181.25044560383105</v>
      </c>
      <c r="W351" s="406">
        <v>180.86861837142933</v>
      </c>
      <c r="X351" s="406">
        <v>188.55970786040763</v>
      </c>
      <c r="Y351" s="405">
        <f t="shared" si="59"/>
        <v>188.43052001905494</v>
      </c>
      <c r="Z351" s="406">
        <v>185.59415460860987</v>
      </c>
      <c r="AA351" s="406">
        <v>194.1867611270481</v>
      </c>
      <c r="AB351" s="442">
        <f t="shared" si="60"/>
        <v>192.12518971130783</v>
      </c>
      <c r="AC351" s="438">
        <f t="shared" si="61"/>
        <v>197.79123600427735</v>
      </c>
      <c r="AD351" s="410"/>
      <c r="AE351" s="411"/>
      <c r="AF351" s="411"/>
      <c r="AG351" s="411"/>
    </row>
    <row r="352" spans="1:33" x14ac:dyDescent="0.2">
      <c r="A352" s="159" t="s">
        <v>1644</v>
      </c>
      <c r="B352" s="18" t="str">
        <f>VLOOKUP(LEFT(A352,7),'Tariff Schedule Lookup Table'!$A$8:$G$186,2,FALSE)</f>
        <v>Mercury Vapour 125</v>
      </c>
      <c r="C352" s="160">
        <f t="shared" si="52"/>
        <v>990</v>
      </c>
      <c r="D352" s="18">
        <f t="shared" si="53"/>
        <v>2</v>
      </c>
      <c r="E352" s="18" t="str">
        <f>VLOOKUP(C352,'Tariff Schedule Lookup Table'!I$7:L$286,2,FALSE)</f>
        <v>MERCURY VAPOUR 80W</v>
      </c>
      <c r="F352" s="18" t="str">
        <f>IF(E352 = "BULKHEADS ETC", "SHARED OR NO POLE", VLOOKUP(C352,'Tariff Schedule Lookup Table'!I$7:L$286,3,FALSE))</f>
        <v>STEEL POLE</v>
      </c>
      <c r="G352" s="18">
        <f>IF(E352 = "NO CAPITAL", 1, VLOOKUP(C352,'Tariff Schedule Lookup Table'!I$7:L$286,4,FALSE))</f>
        <v>1</v>
      </c>
      <c r="H352" s="18" t="str">
        <f t="shared" si="54"/>
        <v>2-Unmetered, Funded by Others, CE Maintained</v>
      </c>
      <c r="I352" s="123">
        <f>VLOOKUP(F352,'Maintenance Model'!$A$57:$B$61,2,FALSE)</f>
        <v>9.9616182311111103</v>
      </c>
      <c r="J352" s="123">
        <f>IF(D352=1,VLOOKUP(C352,'Capital Code Schedules'!A$15:F$300,2,FALSE),IF(D352=2,VLOOKUP(C352,'Capital Code Schedules'!A$15:F$300,3,FALSE),0))</f>
        <v>0</v>
      </c>
      <c r="K352" s="123">
        <v>0</v>
      </c>
      <c r="L352" s="123">
        <f>VLOOKUP(LEFT(A352,10),'Streetlight Tariff Schedule'!B$11:G$260,6, FALSE)+I352</f>
        <v>77.160916747367594</v>
      </c>
      <c r="M352" s="161">
        <f t="shared" si="55"/>
        <v>77.160916747367594</v>
      </c>
      <c r="N352" s="405">
        <f t="shared" si="56"/>
        <v>80.376105859067579</v>
      </c>
      <c r="O352" s="405">
        <v>53.206766241620542</v>
      </c>
      <c r="P352" s="406">
        <v>53.206766241620542</v>
      </c>
      <c r="Q352" s="406">
        <v>55.810644847803452</v>
      </c>
      <c r="R352" s="406">
        <v>55.810644847803452</v>
      </c>
      <c r="S352" s="405">
        <f t="shared" si="57"/>
        <v>84.309621035394997</v>
      </c>
      <c r="T352" s="406">
        <v>58.102854171445593</v>
      </c>
      <c r="U352" s="406">
        <v>58.315120815276281</v>
      </c>
      <c r="V352" s="405">
        <f t="shared" si="58"/>
        <v>88.092974915030339</v>
      </c>
      <c r="W352" s="406">
        <v>60.217955347840608</v>
      </c>
      <c r="X352" s="406">
        <v>60.977597871526811</v>
      </c>
      <c r="Y352" s="405">
        <f t="shared" si="59"/>
        <v>92.115011073903901</v>
      </c>
      <c r="Z352" s="406">
        <v>61.957387675187356</v>
      </c>
      <c r="AA352" s="406">
        <v>62.968561003484176</v>
      </c>
      <c r="AB352" s="442">
        <f t="shared" si="60"/>
        <v>94.11452780872213</v>
      </c>
      <c r="AC352" s="438">
        <f t="shared" si="61"/>
        <v>96.928463840326373</v>
      </c>
      <c r="AD352" s="410"/>
      <c r="AE352" s="411"/>
      <c r="AF352" s="411"/>
      <c r="AG352" s="411"/>
    </row>
    <row r="353" spans="1:33" x14ac:dyDescent="0.2">
      <c r="A353" s="159" t="s">
        <v>1645</v>
      </c>
      <c r="B353" s="18" t="str">
        <f>VLOOKUP(LEFT(A353,7),'Tariff Schedule Lookup Table'!$A$8:$G$186,2,FALSE)</f>
        <v>Mercury Vapour 160</v>
      </c>
      <c r="C353" s="160">
        <f t="shared" si="52"/>
        <v>10</v>
      </c>
      <c r="D353" s="18">
        <f t="shared" si="53"/>
        <v>2</v>
      </c>
      <c r="E353" s="18" t="str">
        <f>VLOOKUP(C353,'Tariff Schedule Lookup Table'!I$7:L$286,2,FALSE)</f>
        <v>MERCURY VAPOUR 80W</v>
      </c>
      <c r="F353" s="18" t="str">
        <f>IF(E353 = "BULKHEADS ETC", "SHARED OR NO POLE", VLOOKUP(C353,'Tariff Schedule Lookup Table'!I$7:L$286,3,FALSE))</f>
        <v>SHARED OR NO POLE</v>
      </c>
      <c r="G353" s="18">
        <f>IF(E353 = "NO CAPITAL", 1, VLOOKUP(C353,'Tariff Schedule Lookup Table'!I$7:L$286,4,FALSE))</f>
        <v>1</v>
      </c>
      <c r="H353" s="18" t="str">
        <f t="shared" si="54"/>
        <v>2-Unmetered, Funded by Others, CE Maintained</v>
      </c>
      <c r="I353" s="123">
        <f>VLOOKUP(F353,'Maintenance Model'!$A$57:$B$61,2,FALSE)</f>
        <v>0</v>
      </c>
      <c r="J353" s="123">
        <f>IF(D353=1,VLOOKUP(C353,'Capital Code Schedules'!A$15:F$300,2,FALSE),IF(D353=2,VLOOKUP(C353,'Capital Code Schedules'!A$15:F$300,3,FALSE),0))</f>
        <v>0</v>
      </c>
      <c r="K353" s="123">
        <v>0</v>
      </c>
      <c r="L353" s="123">
        <f>VLOOKUP(LEFT(A353,10),'Streetlight Tariff Schedule'!B$11:G$260,6, FALSE)+I353</f>
        <v>76.39433466958981</v>
      </c>
      <c r="M353" s="161">
        <f t="shared" si="55"/>
        <v>76.39433466958981</v>
      </c>
      <c r="N353" s="405">
        <f t="shared" si="56"/>
        <v>79.57758136207562</v>
      </c>
      <c r="O353" s="405">
        <v>47.407818235480661</v>
      </c>
      <c r="P353" s="406">
        <v>47.407818235480661</v>
      </c>
      <c r="Q353" s="406">
        <v>49.727902923743727</v>
      </c>
      <c r="R353" s="406">
        <v>49.727902923743727</v>
      </c>
      <c r="S353" s="405">
        <f t="shared" si="57"/>
        <v>83.47201765800672</v>
      </c>
      <c r="T353" s="406">
        <v>51.770286828065572</v>
      </c>
      <c r="U353" s="406">
        <v>51.959418759566205</v>
      </c>
      <c r="V353" s="405">
        <f t="shared" si="58"/>
        <v>87.217784487095273</v>
      </c>
      <c r="W353" s="406">
        <v>53.65486541088778</v>
      </c>
      <c r="X353" s="406">
        <v>54.331715316091881</v>
      </c>
      <c r="Y353" s="405">
        <f t="shared" si="59"/>
        <v>91.199862322953308</v>
      </c>
      <c r="Z353" s="406">
        <v>55.204718886915572</v>
      </c>
      <c r="AA353" s="406">
        <v>56.105685525909742</v>
      </c>
      <c r="AB353" s="442">
        <f t="shared" si="60"/>
        <v>93.17951416038899</v>
      </c>
      <c r="AC353" s="438">
        <f t="shared" si="61"/>
        <v>95.965494161650795</v>
      </c>
      <c r="AD353" s="410"/>
      <c r="AE353" s="411"/>
      <c r="AF353" s="411"/>
      <c r="AG353" s="411"/>
    </row>
    <row r="354" spans="1:33" x14ac:dyDescent="0.2">
      <c r="A354" s="159" t="s">
        <v>1646</v>
      </c>
      <c r="B354" s="18" t="str">
        <f>VLOOKUP(LEFT(A354,7),'Tariff Schedule Lookup Table'!$A$8:$G$186,2,FALSE)</f>
        <v>Mercury Vapour 160</v>
      </c>
      <c r="C354" s="160">
        <f t="shared" si="52"/>
        <v>740</v>
      </c>
      <c r="D354" s="18">
        <f t="shared" si="53"/>
        <v>2</v>
      </c>
      <c r="E354" s="18" t="str">
        <f>VLOOKUP(C354,'Tariff Schedule Lookup Table'!I$7:L$286,2,FALSE)</f>
        <v>MERCURY VAPOUR 80W</v>
      </c>
      <c r="F354" s="18" t="str">
        <f>IF(E354 = "BULKHEADS ETC", "SHARED OR NO POLE", VLOOKUP(C354,'Tariff Schedule Lookup Table'!I$7:L$286,3,FALSE))</f>
        <v>SHARED OR NO POLE</v>
      </c>
      <c r="G354" s="18">
        <f>IF(E354 = "NO CAPITAL", 1, VLOOKUP(C354,'Tariff Schedule Lookup Table'!I$7:L$286,4,FALSE))</f>
        <v>2</v>
      </c>
      <c r="H354" s="18" t="str">
        <f t="shared" si="54"/>
        <v>2-Unmetered, Funded by Others, CE Maintained</v>
      </c>
      <c r="I354" s="123">
        <f>VLOOKUP(F354,'Maintenance Model'!$A$57:$B$61,2,FALSE)</f>
        <v>0</v>
      </c>
      <c r="J354" s="123">
        <f>IF(D354=1,VLOOKUP(C354,'Capital Code Schedules'!A$15:F$300,2,FALSE),IF(D354=2,VLOOKUP(C354,'Capital Code Schedules'!A$15:F$300,3,FALSE),0))</f>
        <v>0</v>
      </c>
      <c r="K354" s="123">
        <v>0</v>
      </c>
      <c r="L354" s="123">
        <f>VLOOKUP(LEFT(A354,10),'Streetlight Tariff Schedule'!B$11:G$260,6, FALSE)+I354</f>
        <v>76.39433466958981</v>
      </c>
      <c r="M354" s="161">
        <f t="shared" si="55"/>
        <v>76.39433466958981</v>
      </c>
      <c r="N354" s="405">
        <f t="shared" si="56"/>
        <v>79.57758136207562</v>
      </c>
      <c r="O354" s="405">
        <v>47.407818235480661</v>
      </c>
      <c r="P354" s="406">
        <v>47.407818235480661</v>
      </c>
      <c r="Q354" s="406">
        <v>49.727902923743727</v>
      </c>
      <c r="R354" s="406">
        <v>49.727902923743727</v>
      </c>
      <c r="S354" s="405">
        <f t="shared" si="57"/>
        <v>83.47201765800672</v>
      </c>
      <c r="T354" s="406">
        <v>51.770286828065572</v>
      </c>
      <c r="U354" s="406">
        <v>51.959418759566205</v>
      </c>
      <c r="V354" s="405">
        <f t="shared" si="58"/>
        <v>87.217784487095273</v>
      </c>
      <c r="W354" s="406">
        <v>53.65486541088778</v>
      </c>
      <c r="X354" s="406">
        <v>54.331715316091881</v>
      </c>
      <c r="Y354" s="405">
        <f t="shared" si="59"/>
        <v>91.199862322953308</v>
      </c>
      <c r="Z354" s="406">
        <v>55.204718886915572</v>
      </c>
      <c r="AA354" s="406">
        <v>56.105685525909742</v>
      </c>
      <c r="AB354" s="442">
        <f t="shared" si="60"/>
        <v>93.17951416038899</v>
      </c>
      <c r="AC354" s="438">
        <f t="shared" si="61"/>
        <v>95.965494161650795</v>
      </c>
      <c r="AD354" s="410"/>
      <c r="AE354" s="411"/>
      <c r="AF354" s="411"/>
      <c r="AG354" s="411"/>
    </row>
    <row r="355" spans="1:33" x14ac:dyDescent="0.2">
      <c r="A355" s="159" t="s">
        <v>1647</v>
      </c>
      <c r="B355" s="18" t="str">
        <f>VLOOKUP(LEFT(A355,7),'Tariff Schedule Lookup Table'!$A$8:$G$186,2,FALSE)</f>
        <v>Mercury Vapour 160</v>
      </c>
      <c r="C355" s="160">
        <f t="shared" si="52"/>
        <v>1000</v>
      </c>
      <c r="D355" s="18">
        <f t="shared" si="53"/>
        <v>2</v>
      </c>
      <c r="E355" s="18" t="str">
        <f>VLOOKUP(C355,'Tariff Schedule Lookup Table'!I$7:L$286,2,FALSE)</f>
        <v>MERCURY VAPOUR 80W</v>
      </c>
      <c r="F355" s="18" t="str">
        <f>IF(E355 = "BULKHEADS ETC", "SHARED OR NO POLE", VLOOKUP(C355,'Tariff Schedule Lookup Table'!I$7:L$286,3,FALSE))</f>
        <v>STEEL POLE</v>
      </c>
      <c r="G355" s="18">
        <f>IF(E355 = "NO CAPITAL", 1, VLOOKUP(C355,'Tariff Schedule Lookup Table'!I$7:L$286,4,FALSE))</f>
        <v>2</v>
      </c>
      <c r="H355" s="18" t="str">
        <f t="shared" si="54"/>
        <v>2-Unmetered, Funded by Others, CE Maintained</v>
      </c>
      <c r="I355" s="123">
        <f>VLOOKUP(F355,'Maintenance Model'!$A$57:$B$61,2,FALSE)</f>
        <v>9.9616182311111103</v>
      </c>
      <c r="J355" s="123">
        <f>IF(D355=1,VLOOKUP(C355,'Capital Code Schedules'!A$15:F$300,2,FALSE),IF(D355=2,VLOOKUP(C355,'Capital Code Schedules'!A$15:F$300,3,FALSE),0))</f>
        <v>0</v>
      </c>
      <c r="K355" s="123">
        <v>0</v>
      </c>
      <c r="L355" s="123">
        <f>VLOOKUP(LEFT(A355,10),'Streetlight Tariff Schedule'!B$11:G$260,6, FALSE)+I355</f>
        <v>86.355952900700913</v>
      </c>
      <c r="M355" s="161">
        <f t="shared" si="55"/>
        <v>86.355952900700913</v>
      </c>
      <c r="N355" s="405">
        <f t="shared" si="56"/>
        <v>89.954286502748005</v>
      </c>
      <c r="O355" s="405">
        <v>57.001933471579825</v>
      </c>
      <c r="P355" s="406">
        <v>57.001933471579825</v>
      </c>
      <c r="Q355" s="406">
        <v>59.791543244210644</v>
      </c>
      <c r="R355" s="406">
        <v>59.791543244210644</v>
      </c>
      <c r="S355" s="405">
        <f t="shared" si="57"/>
        <v>94.356546942619062</v>
      </c>
      <c r="T355" s="406">
        <v>62.247252782652318</v>
      </c>
      <c r="U355" s="406">
        <v>62.474660121315338</v>
      </c>
      <c r="V355" s="405">
        <f t="shared" si="58"/>
        <v>98.590751812244605</v>
      </c>
      <c r="W355" s="406">
        <v>64.513221287391445</v>
      </c>
      <c r="X355" s="406">
        <v>65.327048092815147</v>
      </c>
      <c r="Y355" s="405">
        <f t="shared" si="59"/>
        <v>103.09208201595104</v>
      </c>
      <c r="Z355" s="406">
        <v>66.376724988245456</v>
      </c>
      <c r="AA355" s="406">
        <v>67.460023953006143</v>
      </c>
      <c r="AB355" s="442">
        <f t="shared" si="60"/>
        <v>105.32987519227453</v>
      </c>
      <c r="AC355" s="438">
        <f t="shared" si="61"/>
        <v>108.4791395822559</v>
      </c>
      <c r="AD355" s="410"/>
      <c r="AE355" s="411"/>
      <c r="AF355" s="411"/>
      <c r="AG355" s="411"/>
    </row>
    <row r="356" spans="1:33" x14ac:dyDescent="0.2">
      <c r="A356" s="159" t="s">
        <v>1648</v>
      </c>
      <c r="B356" s="18" t="str">
        <f>VLOOKUP(LEFT(A356,7),'Tariff Schedule Lookup Table'!$A$8:$G$186,2,FALSE)</f>
        <v>Mercury Vapour 175</v>
      </c>
      <c r="C356" s="160">
        <f t="shared" si="52"/>
        <v>20</v>
      </c>
      <c r="D356" s="18">
        <f t="shared" si="53"/>
        <v>1</v>
      </c>
      <c r="E356" s="18" t="str">
        <f>VLOOKUP(C356,'Tariff Schedule Lookup Table'!I$7:L$286,2,FALSE)</f>
        <v xml:space="preserve">MERCURY VAPOUR 250W </v>
      </c>
      <c r="F356" s="18" t="str">
        <f>IF(E356 = "BULKHEADS ETC", "SHARED OR NO POLE", VLOOKUP(C356,'Tariff Schedule Lookup Table'!I$7:L$286,3,FALSE))</f>
        <v>SHARED OR NO POLE</v>
      </c>
      <c r="G356" s="18">
        <f>IF(E356 = "NO CAPITAL", 1, VLOOKUP(C356,'Tariff Schedule Lookup Table'!I$7:L$286,4,FALSE))</f>
        <v>1</v>
      </c>
      <c r="H356" s="18" t="str">
        <f t="shared" si="54"/>
        <v>1-Unmetered, CE Funded, CE Maintained</v>
      </c>
      <c r="I356" s="123">
        <f>VLOOKUP(F356,'Maintenance Model'!$A$57:$B$61,2,FALSE)</f>
        <v>0</v>
      </c>
      <c r="J356" s="123">
        <f>IF(D356=1,VLOOKUP(C356,'Capital Code Schedules'!A$15:F$300,2,FALSE),IF(D356=2,VLOOKUP(C356,'Capital Code Schedules'!A$15:F$300,3,FALSE),0))</f>
        <v>32.500655058222634</v>
      </c>
      <c r="K356" s="123">
        <v>41.226131174006881</v>
      </c>
      <c r="L356" s="123">
        <f>VLOOKUP(LEFT(A356,10),'Streetlight Tariff Schedule'!B$11:G$260,6, FALSE)+I356</f>
        <v>76.39433466958981</v>
      </c>
      <c r="M356" s="161">
        <f t="shared" si="55"/>
        <v>117.62046584359669</v>
      </c>
      <c r="N356" s="405">
        <f t="shared" si="56"/>
        <v>112.88262763298926</v>
      </c>
      <c r="O356" s="405">
        <v>91.524577032241311</v>
      </c>
      <c r="P356" s="406">
        <v>89.654296156044211</v>
      </c>
      <c r="Q356" s="406">
        <v>93.019981172841227</v>
      </c>
      <c r="R356" s="406">
        <v>94.936551500724207</v>
      </c>
      <c r="S356" s="405">
        <f t="shared" si="57"/>
        <v>117.60136382412547</v>
      </c>
      <c r="T356" s="406">
        <v>96.133844013828224</v>
      </c>
      <c r="U356" s="406">
        <v>98.456513820990622</v>
      </c>
      <c r="V356" s="405">
        <f t="shared" si="58"/>
        <v>122.31981701894841</v>
      </c>
      <c r="W356" s="406">
        <v>99.116420636998072</v>
      </c>
      <c r="X356" s="406">
        <v>102.40506190009859</v>
      </c>
      <c r="Y356" s="405">
        <f t="shared" si="59"/>
        <v>127.49185375763626</v>
      </c>
      <c r="Z356" s="406">
        <v>101.7914476048721</v>
      </c>
      <c r="AA356" s="406">
        <v>105.54912248756065</v>
      </c>
      <c r="AB356" s="442">
        <f t="shared" si="60"/>
        <v>130.11024464432239</v>
      </c>
      <c r="AC356" s="438">
        <f t="shared" si="61"/>
        <v>133.97090890266665</v>
      </c>
      <c r="AD356" s="410"/>
      <c r="AE356" s="411"/>
      <c r="AF356" s="411"/>
      <c r="AG356" s="411"/>
    </row>
    <row r="357" spans="1:33" x14ac:dyDescent="0.2">
      <c r="A357" s="159" t="s">
        <v>1649</v>
      </c>
      <c r="B357" s="18" t="str">
        <f>VLOOKUP(LEFT(A357,7),'Tariff Schedule Lookup Table'!$A$8:$G$186,2,FALSE)</f>
        <v>Mercury Vapour 250</v>
      </c>
      <c r="C357" s="160">
        <f t="shared" si="52"/>
        <v>20</v>
      </c>
      <c r="D357" s="18">
        <f t="shared" si="53"/>
        <v>1</v>
      </c>
      <c r="E357" s="18" t="str">
        <f>VLOOKUP(C357,'Tariff Schedule Lookup Table'!I$7:L$286,2,FALSE)</f>
        <v xml:space="preserve">MERCURY VAPOUR 250W </v>
      </c>
      <c r="F357" s="18" t="str">
        <f>IF(E357 = "BULKHEADS ETC", "SHARED OR NO POLE", VLOOKUP(C357,'Tariff Schedule Lookup Table'!I$7:L$286,3,FALSE))</f>
        <v>SHARED OR NO POLE</v>
      </c>
      <c r="G357" s="18">
        <f>IF(E357 = "NO CAPITAL", 1, VLOOKUP(C357,'Tariff Schedule Lookup Table'!I$7:L$286,4,FALSE))</f>
        <v>1</v>
      </c>
      <c r="H357" s="18" t="str">
        <f t="shared" si="54"/>
        <v>1-Unmetered, CE Funded, CE Maintained</v>
      </c>
      <c r="I357" s="123">
        <f>VLOOKUP(F357,'Maintenance Model'!$A$57:$B$61,2,FALSE)</f>
        <v>0</v>
      </c>
      <c r="J357" s="123">
        <f>IF(D357=1,VLOOKUP(C357,'Capital Code Schedules'!A$15:F$300,2,FALSE),IF(D357=2,VLOOKUP(C357,'Capital Code Schedules'!A$15:F$300,3,FALSE),0))</f>
        <v>32.500655058222634</v>
      </c>
      <c r="K357" s="123">
        <v>41.226131174006881</v>
      </c>
      <c r="L357" s="123">
        <f>VLOOKUP(LEFT(A357,10),'Streetlight Tariff Schedule'!B$11:G$260,6, FALSE)+I357</f>
        <v>79.887676365589812</v>
      </c>
      <c r="M357" s="161">
        <f t="shared" si="55"/>
        <v>121.11380753959669</v>
      </c>
      <c r="N357" s="405">
        <f t="shared" si="56"/>
        <v>116.5215320653834</v>
      </c>
      <c r="O357" s="405">
        <v>95.214399960239845</v>
      </c>
      <c r="P357" s="406">
        <v>93.344119084042745</v>
      </c>
      <c r="Q357" s="406">
        <v>96.890379837000594</v>
      </c>
      <c r="R357" s="406">
        <v>98.806950164883574</v>
      </c>
      <c r="S357" s="405">
        <f t="shared" si="57"/>
        <v>121.41835209943588</v>
      </c>
      <c r="T357" s="406">
        <v>100.16320453783337</v>
      </c>
      <c r="U357" s="406">
        <v>102.50059477220043</v>
      </c>
      <c r="V357" s="405">
        <f t="shared" si="58"/>
        <v>126.30809081568059</v>
      </c>
      <c r="W357" s="406">
        <v>103.29246079156482</v>
      </c>
      <c r="X357" s="406">
        <v>106.63378231695098</v>
      </c>
      <c r="Y357" s="405">
        <f t="shared" si="59"/>
        <v>131.66221904846788</v>
      </c>
      <c r="Z357" s="406">
        <v>106.08811522350986</v>
      </c>
      <c r="AA357" s="406">
        <v>109.91591371630444</v>
      </c>
      <c r="AB357" s="442">
        <f t="shared" si="60"/>
        <v>134.3711349765355</v>
      </c>
      <c r="AC357" s="438">
        <f t="shared" si="61"/>
        <v>138.35919585590833</v>
      </c>
      <c r="AD357" s="410"/>
      <c r="AE357" s="411"/>
      <c r="AF357" s="411"/>
      <c r="AG357" s="411"/>
    </row>
    <row r="358" spans="1:33" x14ac:dyDescent="0.2">
      <c r="A358" s="159" t="s">
        <v>1650</v>
      </c>
      <c r="B358" s="18" t="str">
        <f>VLOOKUP(LEFT(A358,7),'Tariff Schedule Lookup Table'!$A$8:$G$186,2,FALSE)</f>
        <v>Mercury Vapour 250</v>
      </c>
      <c r="C358" s="160">
        <f t="shared" si="52"/>
        <v>20</v>
      </c>
      <c r="D358" s="18">
        <f t="shared" si="53"/>
        <v>2</v>
      </c>
      <c r="E358" s="18" t="str">
        <f>VLOOKUP(C358,'Tariff Schedule Lookup Table'!I$7:L$286,2,FALSE)</f>
        <v xml:space="preserve">MERCURY VAPOUR 250W </v>
      </c>
      <c r="F358" s="18" t="str">
        <f>IF(E358 = "BULKHEADS ETC", "SHARED OR NO POLE", VLOOKUP(C358,'Tariff Schedule Lookup Table'!I$7:L$286,3,FALSE))</f>
        <v>SHARED OR NO POLE</v>
      </c>
      <c r="G358" s="18">
        <f>IF(E358 = "NO CAPITAL", 1, VLOOKUP(C358,'Tariff Schedule Lookup Table'!I$7:L$286,4,FALSE))</f>
        <v>1</v>
      </c>
      <c r="H358" s="18" t="str">
        <f t="shared" si="54"/>
        <v>2-Unmetered, Funded by Others, CE Maintained</v>
      </c>
      <c r="I358" s="123">
        <f>VLOOKUP(F358,'Maintenance Model'!$A$57:$B$61,2,FALSE)</f>
        <v>0</v>
      </c>
      <c r="J358" s="123">
        <f>IF(D358=1,VLOOKUP(C358,'Capital Code Schedules'!A$15:F$300,2,FALSE),IF(D358=2,VLOOKUP(C358,'Capital Code Schedules'!A$15:F$300,3,FALSE),0))</f>
        <v>0</v>
      </c>
      <c r="K358" s="123">
        <v>0</v>
      </c>
      <c r="L358" s="123">
        <f>VLOOKUP(LEFT(A358,10),'Streetlight Tariff Schedule'!B$11:G$260,6, FALSE)+I358</f>
        <v>79.887676365589812</v>
      </c>
      <c r="M358" s="161">
        <f t="shared" si="55"/>
        <v>79.887676365589812</v>
      </c>
      <c r="N358" s="405">
        <f t="shared" si="56"/>
        <v>83.216485794469762</v>
      </c>
      <c r="O358" s="405">
        <v>51.097641163479189</v>
      </c>
      <c r="P358" s="406">
        <v>51.097641163479189</v>
      </c>
      <c r="Q358" s="406">
        <v>53.598301587903094</v>
      </c>
      <c r="R358" s="406">
        <v>53.598301587903094</v>
      </c>
      <c r="S358" s="405">
        <f t="shared" si="57"/>
        <v>87.289005933317114</v>
      </c>
      <c r="T358" s="406">
        <v>55.799647352070707</v>
      </c>
      <c r="U358" s="406">
        <v>56.003499710776012</v>
      </c>
      <c r="V358" s="405">
        <f t="shared" si="58"/>
        <v>91.206058283827446</v>
      </c>
      <c r="W358" s="406">
        <v>57.830905565454536</v>
      </c>
      <c r="X358" s="406">
        <v>58.560435732944285</v>
      </c>
      <c r="Y358" s="405">
        <f t="shared" si="59"/>
        <v>95.37022761378492</v>
      </c>
      <c r="Z358" s="406">
        <v>59.501386505553342</v>
      </c>
      <c r="AA358" s="406">
        <v>60.472476754653549</v>
      </c>
      <c r="AB358" s="442">
        <f t="shared" si="60"/>
        <v>97.440404492602127</v>
      </c>
      <c r="AC358" s="438">
        <f t="shared" si="61"/>
        <v>100.35378111489247</v>
      </c>
      <c r="AD358" s="410"/>
      <c r="AE358" s="411"/>
      <c r="AF358" s="411"/>
      <c r="AG358" s="411"/>
    </row>
    <row r="359" spans="1:33" x14ac:dyDescent="0.2">
      <c r="A359" s="159" t="s">
        <v>1651</v>
      </c>
      <c r="B359" s="18" t="str">
        <f>VLOOKUP(LEFT(A359,7),'Tariff Schedule Lookup Table'!$A$8:$G$186,2,FALSE)</f>
        <v>Mercury Vapour 250</v>
      </c>
      <c r="C359" s="160">
        <f t="shared" si="52"/>
        <v>200</v>
      </c>
      <c r="D359" s="18">
        <f t="shared" si="53"/>
        <v>1</v>
      </c>
      <c r="E359" s="18" t="str">
        <f>VLOOKUP(C359,'Tariff Schedule Lookup Table'!I$7:L$286,2,FALSE)</f>
        <v xml:space="preserve">MERCURY VAPOUR 250W </v>
      </c>
      <c r="F359" s="18" t="str">
        <f>IF(E359 = "BULKHEADS ETC", "SHARED OR NO POLE", VLOOKUP(C359,'Tariff Schedule Lookup Table'!I$7:L$286,3,FALSE))</f>
        <v>WOOD POLE</v>
      </c>
      <c r="G359" s="18">
        <f>IF(E359 = "NO CAPITAL", 1, VLOOKUP(C359,'Tariff Schedule Lookup Table'!I$7:L$286,4,FALSE))</f>
        <v>1</v>
      </c>
      <c r="H359" s="18" t="str">
        <f t="shared" si="54"/>
        <v>1-Unmetered, CE Funded, CE Maintained</v>
      </c>
      <c r="I359" s="123">
        <f>VLOOKUP(F359,'Maintenance Model'!$A$57:$B$61,2,FALSE)</f>
        <v>10.731618231111112</v>
      </c>
      <c r="J359" s="123">
        <f>IF(D359=1,VLOOKUP(C359,'Capital Code Schedules'!A$15:F$300,2,FALSE),IF(D359=2,VLOOKUP(C359,'Capital Code Schedules'!A$15:F$300,3,FALSE),0))</f>
        <v>66.401773420098948</v>
      </c>
      <c r="K359" s="123">
        <v>84.228709122928919</v>
      </c>
      <c r="L359" s="123">
        <f>VLOOKUP(LEFT(A359,10),'Streetlight Tariff Schedule'!B$11:G$260,6, FALSE)+I359</f>
        <v>90.619294596700925</v>
      </c>
      <c r="M359" s="161">
        <f t="shared" si="55"/>
        <v>174.84800371962984</v>
      </c>
      <c r="N359" s="405">
        <f t="shared" si="56"/>
        <v>162.44049308671353</v>
      </c>
      <c r="O359" s="405">
        <v>151.62836364787597</v>
      </c>
      <c r="P359" s="406">
        <v>147.80721091262475</v>
      </c>
      <c r="Q359" s="406">
        <v>152.95290544034049</v>
      </c>
      <c r="R359" s="406">
        <v>156.8686317057892</v>
      </c>
      <c r="S359" s="405">
        <f t="shared" si="57"/>
        <v>168.74420961747842</v>
      </c>
      <c r="T359" s="406">
        <v>157.79125981857993</v>
      </c>
      <c r="U359" s="406">
        <v>162.395598035445</v>
      </c>
      <c r="V359" s="405">
        <f t="shared" si="58"/>
        <v>175.1747407351871</v>
      </c>
      <c r="W359" s="406">
        <v>162.47910197611728</v>
      </c>
      <c r="X359" s="406">
        <v>168.69318616784133</v>
      </c>
      <c r="Y359" s="405">
        <f t="shared" si="59"/>
        <v>182.3294924199825</v>
      </c>
      <c r="Z359" s="406">
        <v>166.78828590757385</v>
      </c>
      <c r="AA359" s="406">
        <v>173.79346471562229</v>
      </c>
      <c r="AB359" s="442">
        <f t="shared" si="60"/>
        <v>185.98276566790304</v>
      </c>
      <c r="AC359" s="438">
        <f t="shared" si="61"/>
        <v>191.48318434746864</v>
      </c>
      <c r="AD359" s="410"/>
      <c r="AE359" s="411"/>
      <c r="AF359" s="411"/>
      <c r="AG359" s="411"/>
    </row>
    <row r="360" spans="1:33" x14ac:dyDescent="0.2">
      <c r="A360" s="159" t="s">
        <v>1652</v>
      </c>
      <c r="B360" s="18" t="str">
        <f>VLOOKUP(LEFT(A360,7),'Tariff Schedule Lookup Table'!$A$8:$G$186,2,FALSE)</f>
        <v>Mercury Vapour 250</v>
      </c>
      <c r="C360" s="160">
        <f t="shared" si="52"/>
        <v>200</v>
      </c>
      <c r="D360" s="18">
        <f t="shared" si="53"/>
        <v>2</v>
      </c>
      <c r="E360" s="18" t="str">
        <f>VLOOKUP(C360,'Tariff Schedule Lookup Table'!I$7:L$286,2,FALSE)</f>
        <v xml:space="preserve">MERCURY VAPOUR 250W </v>
      </c>
      <c r="F360" s="18" t="str">
        <f>IF(E360 = "BULKHEADS ETC", "SHARED OR NO POLE", VLOOKUP(C360,'Tariff Schedule Lookup Table'!I$7:L$286,3,FALSE))</f>
        <v>WOOD POLE</v>
      </c>
      <c r="G360" s="18">
        <f>IF(E360 = "NO CAPITAL", 1, VLOOKUP(C360,'Tariff Schedule Lookup Table'!I$7:L$286,4,FALSE))</f>
        <v>1</v>
      </c>
      <c r="H360" s="18" t="str">
        <f t="shared" si="54"/>
        <v>2-Unmetered, Funded by Others, CE Maintained</v>
      </c>
      <c r="I360" s="123">
        <f>VLOOKUP(F360,'Maintenance Model'!$A$57:$B$61,2,FALSE)</f>
        <v>10.731618231111112</v>
      </c>
      <c r="J360" s="123">
        <f>IF(D360=1,VLOOKUP(C360,'Capital Code Schedules'!A$15:F$300,2,FALSE),IF(D360=2,VLOOKUP(C360,'Capital Code Schedules'!A$15:F$300,3,FALSE),0))</f>
        <v>0</v>
      </c>
      <c r="K360" s="123">
        <v>0</v>
      </c>
      <c r="L360" s="123">
        <f>VLOOKUP(LEFT(A360,10),'Streetlight Tariff Schedule'!B$11:G$260,6, FALSE)+I360</f>
        <v>90.619294596700925</v>
      </c>
      <c r="M360" s="161">
        <f t="shared" si="55"/>
        <v>90.619294596700925</v>
      </c>
      <c r="N360" s="405">
        <f t="shared" si="56"/>
        <v>94.395275774467152</v>
      </c>
      <c r="O360" s="405">
        <v>61.493841238903357</v>
      </c>
      <c r="P360" s="406">
        <v>61.493841238903357</v>
      </c>
      <c r="Q360" s="406">
        <v>64.503279867194479</v>
      </c>
      <c r="R360" s="406">
        <v>64.503279867194479</v>
      </c>
      <c r="S360" s="405">
        <f t="shared" si="57"/>
        <v>99.014873176753952</v>
      </c>
      <c r="T360" s="406">
        <v>67.152506012498563</v>
      </c>
      <c r="U360" s="406">
        <v>67.397833669450364</v>
      </c>
      <c r="V360" s="405">
        <f t="shared" si="58"/>
        <v>103.458118205902</v>
      </c>
      <c r="W360" s="406">
        <v>69.597039013335404</v>
      </c>
      <c r="X360" s="406">
        <v>70.474997589839489</v>
      </c>
      <c r="Y360" s="405">
        <f t="shared" si="59"/>
        <v>108.18167638695459</v>
      </c>
      <c r="Z360" s="406">
        <v>71.60739188646312</v>
      </c>
      <c r="AA360" s="406">
        <v>72.776057763147378</v>
      </c>
      <c r="AB360" s="442">
        <f t="shared" si="60"/>
        <v>110.52994807269384</v>
      </c>
      <c r="AC360" s="438">
        <f t="shared" si="61"/>
        <v>113.83468976023886</v>
      </c>
      <c r="AD360" s="410"/>
      <c r="AE360" s="411"/>
      <c r="AF360" s="411"/>
      <c r="AG360" s="411"/>
    </row>
    <row r="361" spans="1:33" x14ac:dyDescent="0.2">
      <c r="A361" s="159" t="s">
        <v>1653</v>
      </c>
      <c r="B361" s="18" t="str">
        <f>VLOOKUP(LEFT(A361,7),'Tariff Schedule Lookup Table'!$A$8:$G$186,2,FALSE)</f>
        <v>Mercury Vapour 250</v>
      </c>
      <c r="C361" s="160">
        <f t="shared" si="52"/>
        <v>290</v>
      </c>
      <c r="D361" s="18">
        <f t="shared" si="53"/>
        <v>1</v>
      </c>
      <c r="E361" s="18" t="str">
        <f>VLOOKUP(C361,'Tariff Schedule Lookup Table'!I$7:L$286,2,FALSE)</f>
        <v xml:space="preserve">MERCURY VAPOUR 250W </v>
      </c>
      <c r="F361" s="18" t="str">
        <f>IF(E361 = "BULKHEADS ETC", "SHARED OR NO POLE", VLOOKUP(C361,'Tariff Schedule Lookup Table'!I$7:L$286,3,FALSE))</f>
        <v>STEEL POLE</v>
      </c>
      <c r="G361" s="18">
        <f>IF(E361 = "NO CAPITAL", 1, VLOOKUP(C361,'Tariff Schedule Lookup Table'!I$7:L$286,4,FALSE))</f>
        <v>1</v>
      </c>
      <c r="H361" s="18" t="str">
        <f t="shared" si="54"/>
        <v>1-Unmetered, CE Funded, CE Maintained</v>
      </c>
      <c r="I361" s="123">
        <f>VLOOKUP(F361,'Maintenance Model'!$A$57:$B$61,2,FALSE)</f>
        <v>9.9616182311111103</v>
      </c>
      <c r="J361" s="123">
        <f>IF(D361=1,VLOOKUP(C361,'Capital Code Schedules'!A$15:F$300,2,FALSE),IF(D361=2,VLOOKUP(C361,'Capital Code Schedules'!A$15:F$300,3,FALSE),0))</f>
        <v>92.68503859372899</v>
      </c>
      <c r="K361" s="123">
        <v>117.5682629192497</v>
      </c>
      <c r="L361" s="123">
        <f>VLOOKUP(LEFT(A361,10),'Streetlight Tariff Schedule'!B$11:G$260,6, FALSE)+I361</f>
        <v>89.849294596700929</v>
      </c>
      <c r="M361" s="161">
        <f t="shared" si="55"/>
        <v>207.41755751595065</v>
      </c>
      <c r="N361" s="405">
        <f t="shared" si="56"/>
        <v>188.57218423406593</v>
      </c>
      <c r="O361" s="405">
        <v>186.50348186735445</v>
      </c>
      <c r="P361" s="406">
        <v>181.1698338260795</v>
      </c>
      <c r="Q361" s="406">
        <v>187.12185175117708</v>
      </c>
      <c r="R361" s="406">
        <v>192.58750758147357</v>
      </c>
      <c r="S361" s="405">
        <f t="shared" si="57"/>
        <v>195.50325860100165</v>
      </c>
      <c r="T361" s="406">
        <v>192.79215591807397</v>
      </c>
      <c r="U361" s="406">
        <v>199.11868536731214</v>
      </c>
      <c r="V361" s="405">
        <f t="shared" si="58"/>
        <v>202.68264610846649</v>
      </c>
      <c r="W361" s="406">
        <v>198.33606373300728</v>
      </c>
      <c r="X361" s="406">
        <v>206.6508509160478</v>
      </c>
      <c r="Y361" s="405">
        <f t="shared" si="59"/>
        <v>210.75958054120505</v>
      </c>
      <c r="Z361" s="406">
        <v>203.52895325463578</v>
      </c>
      <c r="AA361" s="406">
        <v>212.82910743671204</v>
      </c>
      <c r="AB361" s="442">
        <f t="shared" si="60"/>
        <v>214.90944830383592</v>
      </c>
      <c r="AC361" s="438">
        <f t="shared" si="61"/>
        <v>221.25088298372489</v>
      </c>
      <c r="AD361" s="410"/>
      <c r="AE361" s="411"/>
      <c r="AF361" s="411"/>
      <c r="AG361" s="411"/>
    </row>
    <row r="362" spans="1:33" x14ac:dyDescent="0.2">
      <c r="A362" s="159" t="s">
        <v>1654</v>
      </c>
      <c r="B362" s="18" t="str">
        <f>VLOOKUP(LEFT(A362,7),'Tariff Schedule Lookup Table'!$A$8:$G$186,2,FALSE)</f>
        <v>Mercury Vapour 250</v>
      </c>
      <c r="C362" s="160">
        <f t="shared" si="52"/>
        <v>290</v>
      </c>
      <c r="D362" s="18">
        <f t="shared" si="53"/>
        <v>2</v>
      </c>
      <c r="E362" s="18" t="str">
        <f>VLOOKUP(C362,'Tariff Schedule Lookup Table'!I$7:L$286,2,FALSE)</f>
        <v xml:space="preserve">MERCURY VAPOUR 250W </v>
      </c>
      <c r="F362" s="18" t="str">
        <f>IF(E362 = "BULKHEADS ETC", "SHARED OR NO POLE", VLOOKUP(C362,'Tariff Schedule Lookup Table'!I$7:L$286,3,FALSE))</f>
        <v>STEEL POLE</v>
      </c>
      <c r="G362" s="18">
        <f>IF(E362 = "NO CAPITAL", 1, VLOOKUP(C362,'Tariff Schedule Lookup Table'!I$7:L$286,4,FALSE))</f>
        <v>1</v>
      </c>
      <c r="H362" s="18" t="str">
        <f t="shared" si="54"/>
        <v>2-Unmetered, Funded by Others, CE Maintained</v>
      </c>
      <c r="I362" s="123">
        <f>VLOOKUP(F362,'Maintenance Model'!$A$57:$B$61,2,FALSE)</f>
        <v>9.9616182311111103</v>
      </c>
      <c r="J362" s="123">
        <f>IF(D362=1,VLOOKUP(C362,'Capital Code Schedules'!A$15:F$300,2,FALSE),IF(D362=2,VLOOKUP(C362,'Capital Code Schedules'!A$15:F$300,3,FALSE),0))</f>
        <v>0</v>
      </c>
      <c r="K362" s="123">
        <v>0</v>
      </c>
      <c r="L362" s="123">
        <f>VLOOKUP(LEFT(A362,10),'Streetlight Tariff Schedule'!B$11:G$260,6, FALSE)+I362</f>
        <v>89.849294596700929</v>
      </c>
      <c r="M362" s="161">
        <f t="shared" si="55"/>
        <v>89.849294596700929</v>
      </c>
      <c r="N362" s="405">
        <f t="shared" si="56"/>
        <v>93.593190935142161</v>
      </c>
      <c r="O362" s="405">
        <v>60.691756399578352</v>
      </c>
      <c r="P362" s="406">
        <v>60.691756399578352</v>
      </c>
      <c r="Q362" s="406">
        <v>63.661941908370011</v>
      </c>
      <c r="R362" s="406">
        <v>63.661941908370011</v>
      </c>
      <c r="S362" s="405">
        <f t="shared" si="57"/>
        <v>98.173535217929498</v>
      </c>
      <c r="T362" s="406">
        <v>66.276613306657453</v>
      </c>
      <c r="U362" s="406">
        <v>66.518741072525145</v>
      </c>
      <c r="V362" s="405">
        <f t="shared" si="58"/>
        <v>102.57902560897679</v>
      </c>
      <c r="W362" s="406">
        <v>68.689261441958195</v>
      </c>
      <c r="X362" s="406">
        <v>69.555768509667544</v>
      </c>
      <c r="Y362" s="405">
        <f t="shared" si="59"/>
        <v>107.26244730678266</v>
      </c>
      <c r="Z362" s="406">
        <v>70.673392606883226</v>
      </c>
      <c r="AA362" s="406">
        <v>71.826815181749936</v>
      </c>
      <c r="AB362" s="442">
        <f t="shared" si="60"/>
        <v>109.59076552448768</v>
      </c>
      <c r="AC362" s="438">
        <f t="shared" si="61"/>
        <v>112.86742653549759</v>
      </c>
      <c r="AD362" s="410"/>
      <c r="AE362" s="411"/>
      <c r="AF362" s="411"/>
      <c r="AG362" s="411"/>
    </row>
    <row r="363" spans="1:33" x14ac:dyDescent="0.2">
      <c r="A363" s="159" t="s">
        <v>1655</v>
      </c>
      <c r="B363" s="18" t="str">
        <f>VLOOKUP(LEFT(A363,7),'Tariff Schedule Lookup Table'!$A$8:$G$186,2,FALSE)</f>
        <v>Mercury Vapour 250</v>
      </c>
      <c r="C363" s="160">
        <f t="shared" si="52"/>
        <v>370</v>
      </c>
      <c r="D363" s="18">
        <f t="shared" si="53"/>
        <v>1</v>
      </c>
      <c r="E363" s="18" t="str">
        <f>VLOOKUP(C363,'Tariff Schedule Lookup Table'!I$7:L$286,2,FALSE)</f>
        <v xml:space="preserve">MERCURY VAPOUR 250W </v>
      </c>
      <c r="F363" s="18" t="str">
        <f>IF(E363 = "BULKHEADS ETC", "SHARED OR NO POLE", VLOOKUP(C363,'Tariff Schedule Lookup Table'!I$7:L$286,3,FALSE))</f>
        <v>STEEL POLE</v>
      </c>
      <c r="G363" s="18">
        <f>IF(E363 = "NO CAPITAL", 1, VLOOKUP(C363,'Tariff Schedule Lookup Table'!I$7:L$286,4,FALSE))</f>
        <v>2</v>
      </c>
      <c r="H363" s="18" t="str">
        <f t="shared" si="54"/>
        <v>1-Unmetered, CE Funded, CE Maintained</v>
      </c>
      <c r="I363" s="123">
        <f>VLOOKUP(F363,'Maintenance Model'!$A$57:$B$61,2,FALSE)</f>
        <v>9.9616182311111103</v>
      </c>
      <c r="J363" s="123">
        <f>IF(D363=1,VLOOKUP(C363,'Capital Code Schedules'!A$15:F$300,2,FALSE),IF(D363=2,VLOOKUP(C363,'Capital Code Schedules'!A$15:F$300,3,FALSE),0))</f>
        <v>105.78116986969529</v>
      </c>
      <c r="K363" s="123">
        <v>134.18032273428432</v>
      </c>
      <c r="L363" s="123">
        <f>VLOOKUP(LEFT(A363,10),'Streetlight Tariff Schedule'!B$11:G$260,6, FALSE)+I363</f>
        <v>89.849294596700929</v>
      </c>
      <c r="M363" s="161">
        <f t="shared" si="55"/>
        <v>224.02961733098525</v>
      </c>
      <c r="N363" s="405">
        <f t="shared" si="56"/>
        <v>201.9924447591124</v>
      </c>
      <c r="O363" s="405">
        <v>204.28031939993662</v>
      </c>
      <c r="P363" s="406">
        <v>198.19304212153622</v>
      </c>
      <c r="Q363" s="406">
        <v>204.56638445194633</v>
      </c>
      <c r="R363" s="406">
        <v>210.80432184298715</v>
      </c>
      <c r="S363" s="405">
        <f t="shared" si="57"/>
        <v>209.25567057404302</v>
      </c>
      <c r="T363" s="406">
        <v>210.66844080318728</v>
      </c>
      <c r="U363" s="406">
        <v>217.85467883527886</v>
      </c>
      <c r="V363" s="405">
        <f t="shared" si="58"/>
        <v>216.82700182273956</v>
      </c>
      <c r="W363" s="406">
        <v>216.65478666902715</v>
      </c>
      <c r="X363" s="406">
        <v>226.02199456257858</v>
      </c>
      <c r="Y363" s="405">
        <f t="shared" si="59"/>
        <v>225.38342991419196</v>
      </c>
      <c r="Z363" s="406">
        <v>222.30106458332213</v>
      </c>
      <c r="AA363" s="406">
        <v>232.75232867716895</v>
      </c>
      <c r="AB363" s="442">
        <f t="shared" si="60"/>
        <v>229.79067742578741</v>
      </c>
      <c r="AC363" s="438">
        <f t="shared" si="61"/>
        <v>236.56515587312518</v>
      </c>
      <c r="AD363" s="410"/>
      <c r="AE363" s="411"/>
      <c r="AF363" s="411"/>
      <c r="AG363" s="411"/>
    </row>
    <row r="364" spans="1:33" x14ac:dyDescent="0.2">
      <c r="A364" s="159" t="s">
        <v>1656</v>
      </c>
      <c r="B364" s="18" t="str">
        <f>VLOOKUP(LEFT(A364,7),'Tariff Schedule Lookup Table'!$A$8:$G$186,2,FALSE)</f>
        <v>Mercury Vapour 250</v>
      </c>
      <c r="C364" s="160">
        <f t="shared" ref="C364:C398" si="62">1*MID(A364,12,4)</f>
        <v>370</v>
      </c>
      <c r="D364" s="18">
        <f t="shared" ref="D364:D398" si="63">1*(MID(A364,17,3))</f>
        <v>2</v>
      </c>
      <c r="E364" s="18" t="str">
        <f>VLOOKUP(C364,'Tariff Schedule Lookup Table'!I$7:L$286,2,FALSE)</f>
        <v xml:space="preserve">MERCURY VAPOUR 250W </v>
      </c>
      <c r="F364" s="18" t="str">
        <f>IF(E364 = "BULKHEADS ETC", "SHARED OR NO POLE", VLOOKUP(C364,'Tariff Schedule Lookup Table'!I$7:L$286,3,FALSE))</f>
        <v>STEEL POLE</v>
      </c>
      <c r="G364" s="18">
        <f>IF(E364 = "NO CAPITAL", 1, VLOOKUP(C364,'Tariff Schedule Lookup Table'!I$7:L$286,4,FALSE))</f>
        <v>2</v>
      </c>
      <c r="H364" s="18" t="str">
        <f t="shared" si="54"/>
        <v>2-Unmetered, Funded by Others, CE Maintained</v>
      </c>
      <c r="I364" s="123">
        <f>VLOOKUP(F364,'Maintenance Model'!$A$57:$B$61,2,FALSE)</f>
        <v>9.9616182311111103</v>
      </c>
      <c r="J364" s="123">
        <f>IF(D364=1,VLOOKUP(C364,'Capital Code Schedules'!A$15:F$300,2,FALSE),IF(D364=2,VLOOKUP(C364,'Capital Code Schedules'!A$15:F$300,3,FALSE),0))</f>
        <v>0</v>
      </c>
      <c r="K364" s="123">
        <v>0</v>
      </c>
      <c r="L364" s="123">
        <f>VLOOKUP(LEFT(A364,10),'Streetlight Tariff Schedule'!B$11:G$260,6, FALSE)+I364</f>
        <v>89.849294596700929</v>
      </c>
      <c r="M364" s="161">
        <f t="shared" si="55"/>
        <v>89.849294596700929</v>
      </c>
      <c r="N364" s="405">
        <f t="shared" si="56"/>
        <v>93.593190935142161</v>
      </c>
      <c r="O364" s="405">
        <v>60.691756399578352</v>
      </c>
      <c r="P364" s="406">
        <v>60.691756399578352</v>
      </c>
      <c r="Q364" s="406">
        <v>63.661941908370011</v>
      </c>
      <c r="R364" s="406">
        <v>63.661941908370011</v>
      </c>
      <c r="S364" s="405">
        <f t="shared" si="57"/>
        <v>98.173535217929498</v>
      </c>
      <c r="T364" s="406">
        <v>66.276613306657453</v>
      </c>
      <c r="U364" s="406">
        <v>66.518741072525145</v>
      </c>
      <c r="V364" s="405">
        <f t="shared" si="58"/>
        <v>102.57902560897679</v>
      </c>
      <c r="W364" s="406">
        <v>68.689261441958195</v>
      </c>
      <c r="X364" s="406">
        <v>69.555768509667544</v>
      </c>
      <c r="Y364" s="405">
        <f t="shared" si="59"/>
        <v>107.26244730678266</v>
      </c>
      <c r="Z364" s="406">
        <v>70.673392606883226</v>
      </c>
      <c r="AA364" s="406">
        <v>71.826815181749936</v>
      </c>
      <c r="AB364" s="442">
        <f t="shared" si="60"/>
        <v>109.59076552448768</v>
      </c>
      <c r="AC364" s="438">
        <f t="shared" si="61"/>
        <v>112.86742653549759</v>
      </c>
      <c r="AD364" s="410"/>
      <c r="AE364" s="411"/>
      <c r="AF364" s="411"/>
      <c r="AG364" s="411"/>
    </row>
    <row r="365" spans="1:33" x14ac:dyDescent="0.2">
      <c r="A365" s="159" t="s">
        <v>1657</v>
      </c>
      <c r="B365" s="18" t="str">
        <f>VLOOKUP(LEFT(A365,7),'Tariff Schedule Lookup Table'!$A$8:$G$186,2,FALSE)</f>
        <v>Mercury Vapour 250</v>
      </c>
      <c r="C365" s="160">
        <f t="shared" si="62"/>
        <v>940</v>
      </c>
      <c r="D365" s="18">
        <f t="shared" si="63"/>
        <v>1</v>
      </c>
      <c r="E365" s="18" t="str">
        <f>VLOOKUP(C365,'Tariff Schedule Lookup Table'!I$7:L$286,2,FALSE)</f>
        <v xml:space="preserve">MERCURY VAPOUR 250W </v>
      </c>
      <c r="F365" s="18" t="str">
        <f>IF(E365 = "BULKHEADS ETC", "SHARED OR NO POLE", VLOOKUP(C365,'Tariff Schedule Lookup Table'!I$7:L$286,3,FALSE))</f>
        <v>SHARED OR NO POLE</v>
      </c>
      <c r="G365" s="18">
        <f>IF(E365 = "NO CAPITAL", 1, VLOOKUP(C365,'Tariff Schedule Lookup Table'!I$7:L$286,4,FALSE))</f>
        <v>2</v>
      </c>
      <c r="H365" s="18" t="str">
        <f t="shared" si="54"/>
        <v>1-Unmetered, CE Funded, CE Maintained</v>
      </c>
      <c r="I365" s="123">
        <f>VLOOKUP(F365,'Maintenance Model'!$A$57:$B$61,2,FALSE)</f>
        <v>0</v>
      </c>
      <c r="J365" s="123">
        <f>IF(D365=1,VLOOKUP(C365,'Capital Code Schedules'!A$15:F$300,2,FALSE),IF(D365=2,VLOOKUP(C365,'Capital Code Schedules'!A$15:F$300,3,FALSE),0))</f>
        <v>45.596786334188934</v>
      </c>
      <c r="K365" s="123">
        <v>57.838190989041465</v>
      </c>
      <c r="L365" s="123">
        <f>VLOOKUP(LEFT(A365,10),'Streetlight Tariff Schedule'!B$11:G$260,6, FALSE)+I365</f>
        <v>79.887676365589812</v>
      </c>
      <c r="M365" s="161">
        <f t="shared" si="55"/>
        <v>137.72586735463128</v>
      </c>
      <c r="N365" s="405">
        <f t="shared" si="56"/>
        <v>129.94179259042986</v>
      </c>
      <c r="O365" s="405">
        <v>112.99123749282202</v>
      </c>
      <c r="P365" s="406">
        <v>110.36732737949944</v>
      </c>
      <c r="Q365" s="406">
        <v>114.33491253776984</v>
      </c>
      <c r="R365" s="406">
        <v>117.02376442639716</v>
      </c>
      <c r="S365" s="405">
        <f t="shared" si="57"/>
        <v>135.17076407247723</v>
      </c>
      <c r="T365" s="406">
        <v>118.03948942294666</v>
      </c>
      <c r="U365" s="406">
        <v>121.23658824016715</v>
      </c>
      <c r="V365" s="405">
        <f t="shared" si="58"/>
        <v>140.45244652995362</v>
      </c>
      <c r="W365" s="406">
        <v>121.61118372758466</v>
      </c>
      <c r="X365" s="406">
        <v>126.00492596348178</v>
      </c>
      <c r="Y365" s="405">
        <f t="shared" si="59"/>
        <v>146.28606842145481</v>
      </c>
      <c r="Z365" s="406">
        <v>124.86022655219618</v>
      </c>
      <c r="AA365" s="406">
        <v>129.83913495676137</v>
      </c>
      <c r="AB365" s="442">
        <f t="shared" si="60"/>
        <v>149.25236409848699</v>
      </c>
      <c r="AC365" s="438">
        <f t="shared" si="61"/>
        <v>153.67346874530855</v>
      </c>
      <c r="AD365" s="410"/>
      <c r="AE365" s="411"/>
      <c r="AF365" s="411"/>
      <c r="AG365" s="411"/>
    </row>
    <row r="366" spans="1:33" x14ac:dyDescent="0.2">
      <c r="A366" s="159" t="s">
        <v>1658</v>
      </c>
      <c r="B366" s="18" t="str">
        <f>VLOOKUP(LEFT(A366,7),'Tariff Schedule Lookup Table'!$A$8:$G$186,2,FALSE)</f>
        <v>Mercury Vapour 400</v>
      </c>
      <c r="C366" s="160">
        <f t="shared" si="62"/>
        <v>30</v>
      </c>
      <c r="D366" s="18">
        <f t="shared" si="63"/>
        <v>1</v>
      </c>
      <c r="E366" s="18" t="str">
        <f>VLOOKUP(C366,'Tariff Schedule Lookup Table'!I$7:L$286,2,FALSE)</f>
        <v>MERCURY VAPOUR 400W</v>
      </c>
      <c r="F366" s="18" t="str">
        <f>IF(E366 = "BULKHEADS ETC", "SHARED OR NO POLE", VLOOKUP(C366,'Tariff Schedule Lookup Table'!I$7:L$286,3,FALSE))</f>
        <v>SHARED OR NO POLE</v>
      </c>
      <c r="G366" s="18">
        <f>IF(E366 = "NO CAPITAL", 1, VLOOKUP(C366,'Tariff Schedule Lookup Table'!I$7:L$286,4,FALSE))</f>
        <v>1</v>
      </c>
      <c r="H366" s="18" t="str">
        <f t="shared" si="54"/>
        <v>1-Unmetered, CE Funded, CE Maintained</v>
      </c>
      <c r="I366" s="123">
        <f>VLOOKUP(F366,'Maintenance Model'!$A$57:$B$61,2,FALSE)</f>
        <v>0</v>
      </c>
      <c r="J366" s="123">
        <f>IF(D366=1,VLOOKUP(C366,'Capital Code Schedules'!A$15:F$300,2,FALSE),IF(D366=2,VLOOKUP(C366,'Capital Code Schedules'!A$15:F$300,3,FALSE),0))</f>
        <v>32.642120539558654</v>
      </c>
      <c r="K366" s="123">
        <v>41.405576003032792</v>
      </c>
      <c r="L366" s="123">
        <f>VLOOKUP(LEFT(A366,10),'Streetlight Tariff Schedule'!B$11:G$260,6, FALSE)+I366</f>
        <v>90.34201511758981</v>
      </c>
      <c r="M366" s="161">
        <f t="shared" si="55"/>
        <v>131.74759112062259</v>
      </c>
      <c r="N366" s="405">
        <f t="shared" si="56"/>
        <v>127.5564554643267</v>
      </c>
      <c r="O366" s="405">
        <v>106.44876454650652</v>
      </c>
      <c r="P366" s="406">
        <v>104.57034290564144</v>
      </c>
      <c r="Q366" s="406">
        <v>108.66155428500741</v>
      </c>
      <c r="R366" s="406">
        <v>110.58646686148391</v>
      </c>
      <c r="S366" s="405">
        <f t="shared" si="57"/>
        <v>132.98980551421852</v>
      </c>
      <c r="T366" s="406">
        <v>112.4147595505863</v>
      </c>
      <c r="U366" s="406">
        <v>114.80548947057012</v>
      </c>
      <c r="V366" s="405">
        <f t="shared" si="58"/>
        <v>138.39637515071976</v>
      </c>
      <c r="W366" s="406">
        <v>115.98775542132562</v>
      </c>
      <c r="X366" s="406">
        <v>119.4980987133043</v>
      </c>
      <c r="Y366" s="405">
        <f t="shared" si="59"/>
        <v>144.30061848748568</v>
      </c>
      <c r="Z366" s="406">
        <v>119.14930281734188</v>
      </c>
      <c r="AA366" s="406">
        <v>123.19939090910469</v>
      </c>
      <c r="AB366" s="442">
        <f t="shared" si="60"/>
        <v>147.28322415149611</v>
      </c>
      <c r="AC366" s="438">
        <f t="shared" si="61"/>
        <v>151.65721592829399</v>
      </c>
      <c r="AD366" s="410"/>
      <c r="AE366" s="411"/>
      <c r="AF366" s="411"/>
      <c r="AG366" s="411"/>
    </row>
    <row r="367" spans="1:33" x14ac:dyDescent="0.2">
      <c r="A367" s="159" t="s">
        <v>1659</v>
      </c>
      <c r="B367" s="18" t="str">
        <f>VLOOKUP(LEFT(A367,7),'Tariff Schedule Lookup Table'!$A$8:$G$186,2,FALSE)</f>
        <v>Mercury Vapour 400</v>
      </c>
      <c r="C367" s="160">
        <f t="shared" si="62"/>
        <v>30</v>
      </c>
      <c r="D367" s="18">
        <f t="shared" si="63"/>
        <v>2</v>
      </c>
      <c r="E367" s="18" t="str">
        <f>VLOOKUP(C367,'Tariff Schedule Lookup Table'!I$7:L$286,2,FALSE)</f>
        <v>MERCURY VAPOUR 400W</v>
      </c>
      <c r="F367" s="18" t="str">
        <f>IF(E367 = "BULKHEADS ETC", "SHARED OR NO POLE", VLOOKUP(C367,'Tariff Schedule Lookup Table'!I$7:L$286,3,FALSE))</f>
        <v>SHARED OR NO POLE</v>
      </c>
      <c r="G367" s="18">
        <f>IF(E367 = "NO CAPITAL", 1, VLOOKUP(C367,'Tariff Schedule Lookup Table'!I$7:L$286,4,FALSE))</f>
        <v>1</v>
      </c>
      <c r="H367" s="18" t="str">
        <f t="shared" si="54"/>
        <v>2-Unmetered, Funded by Others, CE Maintained</v>
      </c>
      <c r="I367" s="123">
        <f>VLOOKUP(F367,'Maintenance Model'!$A$57:$B$61,2,FALSE)</f>
        <v>0</v>
      </c>
      <c r="J367" s="123">
        <f>IF(D367=1,VLOOKUP(C367,'Capital Code Schedules'!A$15:F$300,2,FALSE),IF(D367=2,VLOOKUP(C367,'Capital Code Schedules'!A$15:F$300,3,FALSE),0))</f>
        <v>0</v>
      </c>
      <c r="K367" s="123">
        <v>0</v>
      </c>
      <c r="L367" s="123">
        <f>VLOOKUP(LEFT(A367,10),'Streetlight Tariff Schedule'!B$11:G$260,6, FALSE)+I367</f>
        <v>90.34201511758981</v>
      </c>
      <c r="M367" s="161">
        <f t="shared" si="55"/>
        <v>90.34201511758981</v>
      </c>
      <c r="N367" s="405">
        <f t="shared" si="56"/>
        <v>94.106442441413961</v>
      </c>
      <c r="O367" s="405">
        <v>62.139978896533584</v>
      </c>
      <c r="P367" s="406">
        <v>62.139978896533584</v>
      </c>
      <c r="Q367" s="406">
        <v>65.181038766674135</v>
      </c>
      <c r="R367" s="406">
        <v>65.181038766674135</v>
      </c>
      <c r="S367" s="405">
        <f t="shared" si="57"/>
        <v>98.71190466898868</v>
      </c>
      <c r="T367" s="406">
        <v>67.858101273174285</v>
      </c>
      <c r="U367" s="406">
        <v>68.106006675058282</v>
      </c>
      <c r="V367" s="405">
        <f t="shared" si="58"/>
        <v>103.14155413140087</v>
      </c>
      <c r="W367" s="406">
        <v>70.328319851547633</v>
      </c>
      <c r="X367" s="406">
        <v>71.215503451024603</v>
      </c>
      <c r="Y367" s="405">
        <f t="shared" si="59"/>
        <v>107.85065903561193</v>
      </c>
      <c r="Z367" s="406">
        <v>72.359796217211908</v>
      </c>
      <c r="AA367" s="406">
        <v>73.540741681850008</v>
      </c>
      <c r="AB367" s="442">
        <f t="shared" si="60"/>
        <v>110.19174541326936</v>
      </c>
      <c r="AC367" s="438">
        <f t="shared" si="61"/>
        <v>113.48637515878484</v>
      </c>
      <c r="AD367" s="410"/>
      <c r="AE367" s="411"/>
      <c r="AF367" s="411"/>
      <c r="AG367" s="411"/>
    </row>
    <row r="368" spans="1:33" x14ac:dyDescent="0.2">
      <c r="A368" s="159" t="s">
        <v>1660</v>
      </c>
      <c r="B368" s="18" t="str">
        <f>VLOOKUP(LEFT(A368,7),'Tariff Schedule Lookup Table'!$A$8:$G$186,2,FALSE)</f>
        <v>Mercury Vapour 400</v>
      </c>
      <c r="C368" s="160">
        <f t="shared" si="62"/>
        <v>210</v>
      </c>
      <c r="D368" s="18">
        <f t="shared" si="63"/>
        <v>1</v>
      </c>
      <c r="E368" s="18" t="str">
        <f>VLOOKUP(C368,'Tariff Schedule Lookup Table'!I$7:L$286,2,FALSE)</f>
        <v>MERCURY VAPOUR 400W</v>
      </c>
      <c r="F368" s="18" t="str">
        <f>IF(E368 = "BULKHEADS ETC", "SHARED OR NO POLE", VLOOKUP(C368,'Tariff Schedule Lookup Table'!I$7:L$286,3,FALSE))</f>
        <v>WOOD POLE</v>
      </c>
      <c r="G368" s="18">
        <f>IF(E368 = "NO CAPITAL", 1, VLOOKUP(C368,'Tariff Schedule Lookup Table'!I$7:L$286,4,FALSE))</f>
        <v>1</v>
      </c>
      <c r="H368" s="18" t="str">
        <f t="shared" si="54"/>
        <v>1-Unmetered, CE Funded, CE Maintained</v>
      </c>
      <c r="I368" s="123">
        <f>VLOOKUP(F368,'Maintenance Model'!$A$57:$B$61,2,FALSE)</f>
        <v>10.731618231111112</v>
      </c>
      <c r="J368" s="123">
        <f>IF(D368=1,VLOOKUP(C368,'Capital Code Schedules'!A$15:F$300,2,FALSE),IF(D368=2,VLOOKUP(C368,'Capital Code Schedules'!A$15:F$300,3,FALSE),0))</f>
        <v>66.543238901434947</v>
      </c>
      <c r="K368" s="123">
        <v>84.40815395195483</v>
      </c>
      <c r="L368" s="123">
        <f>VLOOKUP(LEFT(A368,10),'Streetlight Tariff Schedule'!B$11:G$260,6, FALSE)+I368</f>
        <v>101.07363334870092</v>
      </c>
      <c r="M368" s="161">
        <f t="shared" si="55"/>
        <v>185.48178730065575</v>
      </c>
      <c r="N368" s="405">
        <f t="shared" si="56"/>
        <v>173.47541648565684</v>
      </c>
      <c r="O368" s="405">
        <v>162.86272823414265</v>
      </c>
      <c r="P368" s="406">
        <v>159.03343473422345</v>
      </c>
      <c r="Q368" s="406">
        <v>164.72407988834729</v>
      </c>
      <c r="R368" s="406">
        <v>168.64814840238952</v>
      </c>
      <c r="S368" s="405">
        <f t="shared" si="57"/>
        <v>180.31566303226106</v>
      </c>
      <c r="T368" s="406">
        <v>170.04281483133286</v>
      </c>
      <c r="U368" s="406">
        <v>174.70049273381468</v>
      </c>
      <c r="V368" s="405">
        <f t="shared" si="58"/>
        <v>187.26302507022632</v>
      </c>
      <c r="W368" s="406">
        <v>175.17439660587806</v>
      </c>
      <c r="X368" s="406">
        <v>181.55750256419466</v>
      </c>
      <c r="Y368" s="405">
        <f t="shared" si="59"/>
        <v>194.9678918590003</v>
      </c>
      <c r="Z368" s="406">
        <v>179.84947350140587</v>
      </c>
      <c r="AA368" s="406">
        <v>187.07694190842255</v>
      </c>
      <c r="AB368" s="442">
        <f t="shared" si="60"/>
        <v>198.89485484286362</v>
      </c>
      <c r="AC368" s="438">
        <f t="shared" si="61"/>
        <v>204.78120441985433</v>
      </c>
      <c r="AD368" s="410"/>
      <c r="AE368" s="411"/>
      <c r="AF368" s="411"/>
      <c r="AG368" s="411"/>
    </row>
    <row r="369" spans="1:33" x14ac:dyDescent="0.2">
      <c r="A369" s="159" t="s">
        <v>1661</v>
      </c>
      <c r="B369" s="18" t="str">
        <f>VLOOKUP(LEFT(A369,7),'Tariff Schedule Lookup Table'!$A$8:$G$186,2,FALSE)</f>
        <v>Mercury Vapour 400</v>
      </c>
      <c r="C369" s="160">
        <f t="shared" si="62"/>
        <v>210</v>
      </c>
      <c r="D369" s="18">
        <f t="shared" si="63"/>
        <v>2</v>
      </c>
      <c r="E369" s="18" t="str">
        <f>VLOOKUP(C369,'Tariff Schedule Lookup Table'!I$7:L$286,2,FALSE)</f>
        <v>MERCURY VAPOUR 400W</v>
      </c>
      <c r="F369" s="18" t="str">
        <f>IF(E369 = "BULKHEADS ETC", "SHARED OR NO POLE", VLOOKUP(C369,'Tariff Schedule Lookup Table'!I$7:L$286,3,FALSE))</f>
        <v>WOOD POLE</v>
      </c>
      <c r="G369" s="18">
        <f>IF(E369 = "NO CAPITAL", 1, VLOOKUP(C369,'Tariff Schedule Lookup Table'!I$7:L$286,4,FALSE))</f>
        <v>1</v>
      </c>
      <c r="H369" s="18" t="str">
        <f t="shared" si="54"/>
        <v>2-Unmetered, Funded by Others, CE Maintained</v>
      </c>
      <c r="I369" s="123">
        <f>VLOOKUP(F369,'Maintenance Model'!$A$57:$B$61,2,FALSE)</f>
        <v>10.731618231111112</v>
      </c>
      <c r="J369" s="123">
        <f>IF(D369=1,VLOOKUP(C369,'Capital Code Schedules'!A$15:F$300,2,FALSE),IF(D369=2,VLOOKUP(C369,'Capital Code Schedules'!A$15:F$300,3,FALSE),0))</f>
        <v>0</v>
      </c>
      <c r="K369" s="123">
        <v>0</v>
      </c>
      <c r="L369" s="123">
        <f>VLOOKUP(LEFT(A369,10),'Streetlight Tariff Schedule'!B$11:G$260,6, FALSE)+I369</f>
        <v>101.07363334870092</v>
      </c>
      <c r="M369" s="161">
        <f t="shared" si="55"/>
        <v>101.07363334870092</v>
      </c>
      <c r="N369" s="405">
        <f t="shared" si="56"/>
        <v>105.28523242141137</v>
      </c>
      <c r="O369" s="405">
        <v>72.536178971957739</v>
      </c>
      <c r="P369" s="406">
        <v>72.536178971957739</v>
      </c>
      <c r="Q369" s="406">
        <v>76.086017045965519</v>
      </c>
      <c r="R369" s="406">
        <v>76.086017045965519</v>
      </c>
      <c r="S369" s="405">
        <f t="shared" si="57"/>
        <v>110.4377719124255</v>
      </c>
      <c r="T369" s="406">
        <v>79.210959933602126</v>
      </c>
      <c r="U369" s="406">
        <v>79.50034063373262</v>
      </c>
      <c r="V369" s="405">
        <f t="shared" si="58"/>
        <v>115.39361405347543</v>
      </c>
      <c r="W369" s="406">
        <v>82.094453299428508</v>
      </c>
      <c r="X369" s="406">
        <v>83.130065307919807</v>
      </c>
      <c r="Y369" s="405">
        <f t="shared" si="59"/>
        <v>120.6621078087816</v>
      </c>
      <c r="Z369" s="406">
        <v>84.465801598121686</v>
      </c>
      <c r="AA369" s="406">
        <v>85.844322690343844</v>
      </c>
      <c r="AB369" s="442">
        <f t="shared" si="60"/>
        <v>123.28128899336104</v>
      </c>
      <c r="AC369" s="438">
        <f t="shared" si="61"/>
        <v>126.96728380413124</v>
      </c>
      <c r="AD369" s="410"/>
      <c r="AE369" s="411"/>
      <c r="AF369" s="411"/>
      <c r="AG369" s="411"/>
    </row>
    <row r="370" spans="1:33" x14ac:dyDescent="0.2">
      <c r="A370" s="159" t="s">
        <v>1662</v>
      </c>
      <c r="B370" s="18" t="str">
        <f>VLOOKUP(LEFT(A370,7),'Tariff Schedule Lookup Table'!$A$8:$G$186,2,FALSE)</f>
        <v>Mercury Vapour 400</v>
      </c>
      <c r="C370" s="160">
        <f t="shared" si="62"/>
        <v>300</v>
      </c>
      <c r="D370" s="18">
        <f t="shared" si="63"/>
        <v>1</v>
      </c>
      <c r="E370" s="18" t="str">
        <f>VLOOKUP(C370,'Tariff Schedule Lookup Table'!I$7:L$286,2,FALSE)</f>
        <v>MERCURY VAPOUR 400W</v>
      </c>
      <c r="F370" s="18" t="str">
        <f>IF(E370 = "BULKHEADS ETC", "SHARED OR NO POLE", VLOOKUP(C370,'Tariff Schedule Lookup Table'!I$7:L$286,3,FALSE))</f>
        <v>STEEL POLE</v>
      </c>
      <c r="G370" s="18">
        <f>IF(E370 = "NO CAPITAL", 1, VLOOKUP(C370,'Tariff Schedule Lookup Table'!I$7:L$286,4,FALSE))</f>
        <v>1</v>
      </c>
      <c r="H370" s="18" t="str">
        <f t="shared" si="54"/>
        <v>1-Unmetered, CE Funded, CE Maintained</v>
      </c>
      <c r="I370" s="123">
        <f>VLOOKUP(F370,'Maintenance Model'!$A$57:$B$61,2,FALSE)</f>
        <v>9.9616182311111103</v>
      </c>
      <c r="J370" s="123">
        <f>IF(D370=1,VLOOKUP(C370,'Capital Code Schedules'!A$15:F$300,2,FALSE),IF(D370=2,VLOOKUP(C370,'Capital Code Schedules'!A$15:F$300,3,FALSE),0))</f>
        <v>92.826504075065003</v>
      </c>
      <c r="K370" s="123">
        <v>117.74770774827562</v>
      </c>
      <c r="L370" s="123">
        <f>VLOOKUP(LEFT(A370,10),'Streetlight Tariff Schedule'!B$11:G$260,6, FALSE)+I370</f>
        <v>100.30363334870091</v>
      </c>
      <c r="M370" s="161">
        <f t="shared" si="55"/>
        <v>218.05134109697653</v>
      </c>
      <c r="N370" s="405">
        <f t="shared" si="56"/>
        <v>199.60710763300921</v>
      </c>
      <c r="O370" s="405">
        <v>197.73784645362113</v>
      </c>
      <c r="P370" s="406">
        <v>192.39605764767822</v>
      </c>
      <c r="Q370" s="406">
        <v>198.89302619918388</v>
      </c>
      <c r="R370" s="406">
        <v>204.3670242780739</v>
      </c>
      <c r="S370" s="405">
        <f t="shared" si="57"/>
        <v>207.07471201578423</v>
      </c>
      <c r="T370" s="406">
        <v>205.04371093082693</v>
      </c>
      <c r="U370" s="406">
        <v>211.42358006568182</v>
      </c>
      <c r="V370" s="405">
        <f t="shared" si="58"/>
        <v>214.77093044350562</v>
      </c>
      <c r="W370" s="406">
        <v>211.03135836276809</v>
      </c>
      <c r="X370" s="406">
        <v>219.5151673124011</v>
      </c>
      <c r="Y370" s="405">
        <f t="shared" si="59"/>
        <v>223.39797998022286</v>
      </c>
      <c r="Z370" s="406">
        <v>216.5901408484678</v>
      </c>
      <c r="AA370" s="406">
        <v>226.1125846295123</v>
      </c>
      <c r="AB370" s="442">
        <f t="shared" si="60"/>
        <v>227.8215374787965</v>
      </c>
      <c r="AC370" s="438">
        <f t="shared" si="61"/>
        <v>234.54890305611053</v>
      </c>
      <c r="AD370" s="410"/>
      <c r="AE370" s="411"/>
      <c r="AF370" s="411"/>
      <c r="AG370" s="411"/>
    </row>
    <row r="371" spans="1:33" x14ac:dyDescent="0.2">
      <c r="A371" s="159" t="s">
        <v>1663</v>
      </c>
      <c r="B371" s="18" t="str">
        <f>VLOOKUP(LEFT(A371,7),'Tariff Schedule Lookup Table'!$A$8:$G$186,2,FALSE)</f>
        <v>Mercury Vapour 400</v>
      </c>
      <c r="C371" s="160">
        <f t="shared" si="62"/>
        <v>300</v>
      </c>
      <c r="D371" s="18">
        <f t="shared" si="63"/>
        <v>2</v>
      </c>
      <c r="E371" s="18" t="str">
        <f>VLOOKUP(C371,'Tariff Schedule Lookup Table'!I$7:L$286,2,FALSE)</f>
        <v>MERCURY VAPOUR 400W</v>
      </c>
      <c r="F371" s="18" t="str">
        <f>IF(E371 = "BULKHEADS ETC", "SHARED OR NO POLE", VLOOKUP(C371,'Tariff Schedule Lookup Table'!I$7:L$286,3,FALSE))</f>
        <v>STEEL POLE</v>
      </c>
      <c r="G371" s="18">
        <f>IF(E371 = "NO CAPITAL", 1, VLOOKUP(C371,'Tariff Schedule Lookup Table'!I$7:L$286,4,FALSE))</f>
        <v>1</v>
      </c>
      <c r="H371" s="18" t="str">
        <f t="shared" si="54"/>
        <v>2-Unmetered, Funded by Others, CE Maintained</v>
      </c>
      <c r="I371" s="123">
        <f>VLOOKUP(F371,'Maintenance Model'!$A$57:$B$61,2,FALSE)</f>
        <v>9.9616182311111103</v>
      </c>
      <c r="J371" s="123">
        <f>IF(D371=1,VLOOKUP(C371,'Capital Code Schedules'!A$15:F$300,2,FALSE),IF(D371=2,VLOOKUP(C371,'Capital Code Schedules'!A$15:F$300,3,FALSE),0))</f>
        <v>0</v>
      </c>
      <c r="K371" s="123">
        <v>0</v>
      </c>
      <c r="L371" s="123">
        <f>VLOOKUP(LEFT(A371,10),'Streetlight Tariff Schedule'!B$11:G$260,6, FALSE)+I371</f>
        <v>100.30363334870091</v>
      </c>
      <c r="M371" s="161">
        <f t="shared" si="55"/>
        <v>100.30363334870091</v>
      </c>
      <c r="N371" s="405">
        <f t="shared" si="56"/>
        <v>104.48314758208636</v>
      </c>
      <c r="O371" s="405">
        <v>71.734094132632748</v>
      </c>
      <c r="P371" s="406">
        <v>71.734094132632748</v>
      </c>
      <c r="Q371" s="406">
        <v>75.244679087141051</v>
      </c>
      <c r="R371" s="406">
        <v>75.244679087141051</v>
      </c>
      <c r="S371" s="405">
        <f t="shared" si="57"/>
        <v>109.59643395360104</v>
      </c>
      <c r="T371" s="406">
        <v>78.335067227761044</v>
      </c>
      <c r="U371" s="406">
        <v>78.621248036807415</v>
      </c>
      <c r="V371" s="405">
        <f t="shared" si="58"/>
        <v>114.5145214565502</v>
      </c>
      <c r="W371" s="406">
        <v>81.186675728051299</v>
      </c>
      <c r="X371" s="406">
        <v>82.210836227747876</v>
      </c>
      <c r="Y371" s="405">
        <f t="shared" si="59"/>
        <v>119.74287872860963</v>
      </c>
      <c r="Z371" s="406">
        <v>83.531802318541793</v>
      </c>
      <c r="AA371" s="406">
        <v>84.895080108946402</v>
      </c>
      <c r="AB371" s="442">
        <f t="shared" si="60"/>
        <v>122.34210644515488</v>
      </c>
      <c r="AC371" s="438">
        <f t="shared" si="61"/>
        <v>126.00002057938994</v>
      </c>
      <c r="AD371" s="410"/>
      <c r="AE371" s="411"/>
      <c r="AF371" s="411"/>
      <c r="AG371" s="411"/>
    </row>
    <row r="372" spans="1:33" x14ac:dyDescent="0.2">
      <c r="A372" s="159" t="s">
        <v>1664</v>
      </c>
      <c r="B372" s="18" t="str">
        <f>VLOOKUP(LEFT(A372,7),'Tariff Schedule Lookup Table'!$A$8:$G$186,2,FALSE)</f>
        <v>Mercury Vapour 400</v>
      </c>
      <c r="C372" s="160">
        <f t="shared" si="62"/>
        <v>380</v>
      </c>
      <c r="D372" s="18">
        <f t="shared" si="63"/>
        <v>2</v>
      </c>
      <c r="E372" s="18" t="str">
        <f>VLOOKUP(C372,'Tariff Schedule Lookup Table'!I$7:L$286,2,FALSE)</f>
        <v>MERCURY VAPOUR 400W</v>
      </c>
      <c r="F372" s="18" t="str">
        <f>IF(E372 = "BULKHEADS ETC", "SHARED OR NO POLE", VLOOKUP(C372,'Tariff Schedule Lookup Table'!I$7:L$286,3,FALSE))</f>
        <v>STEEL POLE</v>
      </c>
      <c r="G372" s="18">
        <f>IF(E372 = "NO CAPITAL", 1, VLOOKUP(C372,'Tariff Schedule Lookup Table'!I$7:L$286,4,FALSE))</f>
        <v>2</v>
      </c>
      <c r="H372" s="18" t="str">
        <f t="shared" si="54"/>
        <v>2-Unmetered, Funded by Others, CE Maintained</v>
      </c>
      <c r="I372" s="123">
        <f>VLOOKUP(F372,'Maintenance Model'!$A$57:$B$61,2,FALSE)</f>
        <v>9.9616182311111103</v>
      </c>
      <c r="J372" s="123">
        <f>IF(D372=1,VLOOKUP(C372,'Capital Code Schedules'!A$15:F$300,2,FALSE),IF(D372=2,VLOOKUP(C372,'Capital Code Schedules'!A$15:F$300,3,FALSE),0))</f>
        <v>0</v>
      </c>
      <c r="K372" s="123">
        <v>0</v>
      </c>
      <c r="L372" s="123">
        <f>VLOOKUP(LEFT(A372,10),'Streetlight Tariff Schedule'!B$11:G$260,6, FALSE)+I372</f>
        <v>100.30363334870091</v>
      </c>
      <c r="M372" s="161">
        <f t="shared" si="55"/>
        <v>100.30363334870091</v>
      </c>
      <c r="N372" s="405">
        <f t="shared" si="56"/>
        <v>104.48314758208636</v>
      </c>
      <c r="O372" s="405">
        <v>71.734094132632748</v>
      </c>
      <c r="P372" s="406">
        <v>71.734094132632748</v>
      </c>
      <c r="Q372" s="406">
        <v>75.244679087141051</v>
      </c>
      <c r="R372" s="406">
        <v>75.244679087141051</v>
      </c>
      <c r="S372" s="405">
        <f t="shared" si="57"/>
        <v>109.59643395360104</v>
      </c>
      <c r="T372" s="406">
        <v>78.335067227761044</v>
      </c>
      <c r="U372" s="406">
        <v>78.621248036807415</v>
      </c>
      <c r="V372" s="405">
        <f t="shared" si="58"/>
        <v>114.5145214565502</v>
      </c>
      <c r="W372" s="406">
        <v>81.186675728051299</v>
      </c>
      <c r="X372" s="406">
        <v>82.210836227747876</v>
      </c>
      <c r="Y372" s="405">
        <f t="shared" si="59"/>
        <v>119.74287872860963</v>
      </c>
      <c r="Z372" s="406">
        <v>83.531802318541793</v>
      </c>
      <c r="AA372" s="406">
        <v>84.895080108946402</v>
      </c>
      <c r="AB372" s="442">
        <f t="shared" si="60"/>
        <v>122.34210644515488</v>
      </c>
      <c r="AC372" s="438">
        <f t="shared" si="61"/>
        <v>126.00002057938994</v>
      </c>
      <c r="AD372" s="410"/>
      <c r="AE372" s="411"/>
      <c r="AF372" s="411"/>
      <c r="AG372" s="411"/>
    </row>
    <row r="373" spans="1:33" x14ac:dyDescent="0.2">
      <c r="A373" s="159" t="s">
        <v>1665</v>
      </c>
      <c r="B373" s="18" t="str">
        <f>VLOOKUP(LEFT(A373,7),'Tariff Schedule Lookup Table'!$A$8:$G$186,2,FALSE)</f>
        <v>Mercury Vapour 400</v>
      </c>
      <c r="C373" s="160">
        <f t="shared" si="62"/>
        <v>420</v>
      </c>
      <c r="D373" s="18">
        <f t="shared" si="63"/>
        <v>2</v>
      </c>
      <c r="E373" s="18" t="str">
        <f>VLOOKUP(C373,'Tariff Schedule Lookup Table'!I$7:L$286,2,FALSE)</f>
        <v>MERCURY VAPOUR 400W</v>
      </c>
      <c r="F373" s="18" t="str">
        <f>IF(E373 = "BULKHEADS ETC", "SHARED OR NO POLE", VLOOKUP(C373,'Tariff Schedule Lookup Table'!I$7:L$286,3,FALSE))</f>
        <v>STEEL POLE</v>
      </c>
      <c r="G373" s="18">
        <f>IF(E373 = "NO CAPITAL", 1, VLOOKUP(C373,'Tariff Schedule Lookup Table'!I$7:L$286,4,FALSE))</f>
        <v>3</v>
      </c>
      <c r="H373" s="18" t="str">
        <f t="shared" si="54"/>
        <v>2-Unmetered, Funded by Others, CE Maintained</v>
      </c>
      <c r="I373" s="123">
        <f>VLOOKUP(F373,'Maintenance Model'!$A$57:$B$61,2,FALSE)</f>
        <v>9.9616182311111103</v>
      </c>
      <c r="J373" s="123">
        <f>IF(D373=1,VLOOKUP(C373,'Capital Code Schedules'!A$15:F$300,2,FALSE),IF(D373=2,VLOOKUP(C373,'Capital Code Schedules'!A$15:F$300,3,FALSE),0))</f>
        <v>0</v>
      </c>
      <c r="K373" s="123">
        <v>0</v>
      </c>
      <c r="L373" s="123">
        <f>VLOOKUP(LEFT(A373,10),'Streetlight Tariff Schedule'!B$11:G$260,6, FALSE)+I373</f>
        <v>100.30363334870091</v>
      </c>
      <c r="M373" s="161">
        <f t="shared" si="55"/>
        <v>100.30363334870091</v>
      </c>
      <c r="N373" s="405">
        <f t="shared" si="56"/>
        <v>104.48314758208636</v>
      </c>
      <c r="O373" s="405">
        <v>71.734094132632748</v>
      </c>
      <c r="P373" s="406">
        <v>71.734094132632748</v>
      </c>
      <c r="Q373" s="406">
        <v>75.244679087141051</v>
      </c>
      <c r="R373" s="406">
        <v>75.244679087141051</v>
      </c>
      <c r="S373" s="405">
        <f t="shared" si="57"/>
        <v>109.59643395360104</v>
      </c>
      <c r="T373" s="406">
        <v>78.335067227761044</v>
      </c>
      <c r="U373" s="406">
        <v>78.621248036807415</v>
      </c>
      <c r="V373" s="405">
        <f t="shared" si="58"/>
        <v>114.5145214565502</v>
      </c>
      <c r="W373" s="406">
        <v>81.186675728051299</v>
      </c>
      <c r="X373" s="406">
        <v>82.210836227747876</v>
      </c>
      <c r="Y373" s="405">
        <f t="shared" si="59"/>
        <v>119.74287872860963</v>
      </c>
      <c r="Z373" s="406">
        <v>83.531802318541793</v>
      </c>
      <c r="AA373" s="406">
        <v>84.895080108946402</v>
      </c>
      <c r="AB373" s="442">
        <f t="shared" si="60"/>
        <v>122.34210644515488</v>
      </c>
      <c r="AC373" s="438">
        <f t="shared" si="61"/>
        <v>126.00002057938994</v>
      </c>
      <c r="AD373" s="410"/>
      <c r="AE373" s="411"/>
      <c r="AF373" s="411"/>
      <c r="AG373" s="411"/>
    </row>
    <row r="374" spans="1:33" x14ac:dyDescent="0.2">
      <c r="A374" s="159" t="s">
        <v>1666</v>
      </c>
      <c r="B374" s="18" t="str">
        <f>VLOOKUP(LEFT(A374,7),'Tariff Schedule Lookup Table'!$A$8:$G$186,2,FALSE)</f>
        <v>Mercury Vapour 400</v>
      </c>
      <c r="C374" s="160">
        <f t="shared" si="62"/>
        <v>460</v>
      </c>
      <c r="D374" s="18">
        <f t="shared" si="63"/>
        <v>2</v>
      </c>
      <c r="E374" s="18" t="str">
        <f>VLOOKUP(C374,'Tariff Schedule Lookup Table'!I$7:L$286,2,FALSE)</f>
        <v xml:space="preserve">MERCURY VAPOUR 400W </v>
      </c>
      <c r="F374" s="18" t="str">
        <f>IF(E374 = "BULKHEADS ETC", "SHARED OR NO POLE", VLOOKUP(C374,'Tariff Schedule Lookup Table'!I$7:L$286,3,FALSE))</f>
        <v>STEEL POLE</v>
      </c>
      <c r="G374" s="18">
        <f>IF(E374 = "NO CAPITAL", 1, VLOOKUP(C374,'Tariff Schedule Lookup Table'!I$7:L$286,4,FALSE))</f>
        <v>4</v>
      </c>
      <c r="H374" s="18" t="str">
        <f t="shared" si="54"/>
        <v>2-Unmetered, Funded by Others, CE Maintained</v>
      </c>
      <c r="I374" s="123">
        <f>VLOOKUP(F374,'Maintenance Model'!$A$57:$B$61,2,FALSE)</f>
        <v>9.9616182311111103</v>
      </c>
      <c r="J374" s="123">
        <f>IF(D374=1,VLOOKUP(C374,'Capital Code Schedules'!A$15:F$300,2,FALSE),IF(D374=2,VLOOKUP(C374,'Capital Code Schedules'!A$15:F$300,3,FALSE),0))</f>
        <v>0</v>
      </c>
      <c r="K374" s="123">
        <v>0</v>
      </c>
      <c r="L374" s="123">
        <f>VLOOKUP(LEFT(A374,10),'Streetlight Tariff Schedule'!B$11:G$260,6, FALSE)+I374</f>
        <v>100.30363334870091</v>
      </c>
      <c r="M374" s="161">
        <f t="shared" si="55"/>
        <v>100.30363334870091</v>
      </c>
      <c r="N374" s="405">
        <f t="shared" si="56"/>
        <v>104.48314758208636</v>
      </c>
      <c r="O374" s="405">
        <v>71.734094132632748</v>
      </c>
      <c r="P374" s="406">
        <v>71.734094132632748</v>
      </c>
      <c r="Q374" s="406">
        <v>75.244679087141051</v>
      </c>
      <c r="R374" s="406">
        <v>75.244679087141051</v>
      </c>
      <c r="S374" s="405">
        <f t="shared" si="57"/>
        <v>109.59643395360104</v>
      </c>
      <c r="T374" s="406">
        <v>78.335067227761044</v>
      </c>
      <c r="U374" s="406">
        <v>78.621248036807415</v>
      </c>
      <c r="V374" s="405">
        <f t="shared" si="58"/>
        <v>114.5145214565502</v>
      </c>
      <c r="W374" s="406">
        <v>81.186675728051299</v>
      </c>
      <c r="X374" s="406">
        <v>82.210836227747876</v>
      </c>
      <c r="Y374" s="405">
        <f t="shared" si="59"/>
        <v>119.74287872860963</v>
      </c>
      <c r="Z374" s="406">
        <v>83.531802318541793</v>
      </c>
      <c r="AA374" s="406">
        <v>84.895080108946402</v>
      </c>
      <c r="AB374" s="442">
        <f t="shared" si="60"/>
        <v>122.34210644515488</v>
      </c>
      <c r="AC374" s="438">
        <f t="shared" si="61"/>
        <v>126.00002057938994</v>
      </c>
      <c r="AD374" s="410"/>
      <c r="AE374" s="411"/>
      <c r="AF374" s="411"/>
      <c r="AG374" s="411"/>
    </row>
    <row r="375" spans="1:33" x14ac:dyDescent="0.2">
      <c r="A375" s="159" t="s">
        <v>1667</v>
      </c>
      <c r="B375" s="18" t="str">
        <f>VLOOKUP(LEFT(A375,7),'Tariff Schedule Lookup Table'!$A$8:$G$186,2,FALSE)</f>
        <v>Mercury Vapour 400</v>
      </c>
      <c r="C375" s="160">
        <f t="shared" si="62"/>
        <v>540</v>
      </c>
      <c r="D375" s="18">
        <f t="shared" si="63"/>
        <v>2</v>
      </c>
      <c r="E375" s="18" t="str">
        <f>VLOOKUP(C375,'Tariff Schedule Lookup Table'!I$7:L$286,2,FALSE)</f>
        <v>MERCURY VAPOUR 400W</v>
      </c>
      <c r="F375" s="18" t="str">
        <f>IF(E375 = "BULKHEADS ETC", "SHARED OR NO POLE", VLOOKUP(C375,'Tariff Schedule Lookup Table'!I$7:L$286,3,FALSE))</f>
        <v>R/BOUT COLUMN</v>
      </c>
      <c r="G375" s="18">
        <f>IF(E375 = "NO CAPITAL", 1, VLOOKUP(C375,'Tariff Schedule Lookup Table'!I$7:L$286,4,FALSE))</f>
        <v>3</v>
      </c>
      <c r="H375" s="18" t="str">
        <f t="shared" si="54"/>
        <v>2-Unmetered, Funded by Others, CE Maintained</v>
      </c>
      <c r="I375" s="123">
        <f>VLOOKUP(F375,'Maintenance Model'!$A$57:$B$61,2,FALSE)</f>
        <v>9.9616182311111103</v>
      </c>
      <c r="J375" s="123">
        <f>IF(D375=1,VLOOKUP(C375,'Capital Code Schedules'!A$15:F$300,2,FALSE),IF(D375=2,VLOOKUP(C375,'Capital Code Schedules'!A$15:F$300,3,FALSE),0))</f>
        <v>0</v>
      </c>
      <c r="K375" s="123">
        <v>0</v>
      </c>
      <c r="L375" s="123">
        <f>VLOOKUP(LEFT(A375,10),'Streetlight Tariff Schedule'!B$11:G$260,6, FALSE)+I375</f>
        <v>100.30363334870091</v>
      </c>
      <c r="M375" s="161">
        <f t="shared" si="55"/>
        <v>100.30363334870091</v>
      </c>
      <c r="N375" s="405">
        <f t="shared" si="56"/>
        <v>104.48314758208636</v>
      </c>
      <c r="O375" s="405">
        <v>71.734094132632748</v>
      </c>
      <c r="P375" s="406">
        <v>71.734094132632748</v>
      </c>
      <c r="Q375" s="406">
        <v>75.244679087141051</v>
      </c>
      <c r="R375" s="406">
        <v>75.244679087141051</v>
      </c>
      <c r="S375" s="405">
        <f t="shared" si="57"/>
        <v>109.59643395360104</v>
      </c>
      <c r="T375" s="406">
        <v>78.335067227761044</v>
      </c>
      <c r="U375" s="406">
        <v>78.621248036807415</v>
      </c>
      <c r="V375" s="405">
        <f t="shared" si="58"/>
        <v>114.5145214565502</v>
      </c>
      <c r="W375" s="406">
        <v>81.186675728051299</v>
      </c>
      <c r="X375" s="406">
        <v>82.210836227747876</v>
      </c>
      <c r="Y375" s="405">
        <f t="shared" si="59"/>
        <v>119.74287872860963</v>
      </c>
      <c r="Z375" s="406">
        <v>83.531802318541793</v>
      </c>
      <c r="AA375" s="406">
        <v>84.895080108946402</v>
      </c>
      <c r="AB375" s="442">
        <f t="shared" si="60"/>
        <v>122.34210644515488</v>
      </c>
      <c r="AC375" s="438">
        <f t="shared" si="61"/>
        <v>126.00002057938994</v>
      </c>
      <c r="AD375" s="410"/>
      <c r="AE375" s="411"/>
      <c r="AF375" s="411"/>
      <c r="AG375" s="411"/>
    </row>
    <row r="376" spans="1:33" x14ac:dyDescent="0.2">
      <c r="A376" s="159" t="s">
        <v>1668</v>
      </c>
      <c r="B376" s="18" t="str">
        <f>VLOOKUP(LEFT(A376,7),'Tariff Schedule Lookup Table'!$A$8:$G$186,2,FALSE)</f>
        <v>Mercury Vapour 400</v>
      </c>
      <c r="C376" s="160">
        <f t="shared" si="62"/>
        <v>580</v>
      </c>
      <c r="D376" s="18">
        <f t="shared" si="63"/>
        <v>2</v>
      </c>
      <c r="E376" s="18" t="str">
        <f>VLOOKUP(C376,'Tariff Schedule Lookup Table'!I$7:L$286,2,FALSE)</f>
        <v>MERCURY VAPOUR 400W</v>
      </c>
      <c r="F376" s="18" t="str">
        <f>IF(E376 = "BULKHEADS ETC", "SHARED OR NO POLE", VLOOKUP(C376,'Tariff Schedule Lookup Table'!I$7:L$286,3,FALSE))</f>
        <v>R/BOUT COLUMN</v>
      </c>
      <c r="G376" s="18">
        <f>IF(E376 = "NO CAPITAL", 1, VLOOKUP(C376,'Tariff Schedule Lookup Table'!I$7:L$286,4,FALSE))</f>
        <v>4</v>
      </c>
      <c r="H376" s="18" t="str">
        <f t="shared" si="54"/>
        <v>2-Unmetered, Funded by Others, CE Maintained</v>
      </c>
      <c r="I376" s="123">
        <f>VLOOKUP(F376,'Maintenance Model'!$A$57:$B$61,2,FALSE)</f>
        <v>9.9616182311111103</v>
      </c>
      <c r="J376" s="123">
        <f>IF(D376=1,VLOOKUP(C376,'Capital Code Schedules'!A$15:F$300,2,FALSE),IF(D376=2,VLOOKUP(C376,'Capital Code Schedules'!A$15:F$300,3,FALSE),0))</f>
        <v>0</v>
      </c>
      <c r="K376" s="123">
        <v>0</v>
      </c>
      <c r="L376" s="123">
        <f>VLOOKUP(LEFT(A376,10),'Streetlight Tariff Schedule'!B$11:G$260,6, FALSE)+I376</f>
        <v>100.30363334870091</v>
      </c>
      <c r="M376" s="161">
        <f t="shared" si="55"/>
        <v>100.30363334870091</v>
      </c>
      <c r="N376" s="405">
        <f t="shared" si="56"/>
        <v>104.48314758208636</v>
      </c>
      <c r="O376" s="405">
        <v>71.734094132632748</v>
      </c>
      <c r="P376" s="406">
        <v>71.734094132632748</v>
      </c>
      <c r="Q376" s="406">
        <v>75.244679087141051</v>
      </c>
      <c r="R376" s="406">
        <v>75.244679087141051</v>
      </c>
      <c r="S376" s="405">
        <f t="shared" si="57"/>
        <v>109.59643395360104</v>
      </c>
      <c r="T376" s="406">
        <v>78.335067227761044</v>
      </c>
      <c r="U376" s="406">
        <v>78.621248036807415</v>
      </c>
      <c r="V376" s="405">
        <f t="shared" si="58"/>
        <v>114.5145214565502</v>
      </c>
      <c r="W376" s="406">
        <v>81.186675728051299</v>
      </c>
      <c r="X376" s="406">
        <v>82.210836227747876</v>
      </c>
      <c r="Y376" s="405">
        <f t="shared" si="59"/>
        <v>119.74287872860963</v>
      </c>
      <c r="Z376" s="406">
        <v>83.531802318541793</v>
      </c>
      <c r="AA376" s="406">
        <v>84.895080108946402</v>
      </c>
      <c r="AB376" s="442">
        <f t="shared" si="60"/>
        <v>122.34210644515488</v>
      </c>
      <c r="AC376" s="438">
        <f t="shared" si="61"/>
        <v>126.00002057938994</v>
      </c>
      <c r="AD376" s="410"/>
      <c r="AE376" s="411"/>
      <c r="AF376" s="411"/>
      <c r="AG376" s="411"/>
    </row>
    <row r="377" spans="1:33" x14ac:dyDescent="0.2">
      <c r="A377" s="159" t="s">
        <v>1669</v>
      </c>
      <c r="B377" s="18" t="str">
        <f>VLOOKUP(LEFT(A377,7),'Tariff Schedule Lookup Table'!$A$8:$G$186,2,FALSE)</f>
        <v>Mercury Vapour 400</v>
      </c>
      <c r="C377" s="160">
        <f t="shared" si="62"/>
        <v>790</v>
      </c>
      <c r="D377" s="18">
        <f t="shared" si="63"/>
        <v>1</v>
      </c>
      <c r="E377" s="18" t="str">
        <f>VLOOKUP(C377,'Tariff Schedule Lookup Table'!I$7:L$286,2,FALSE)</f>
        <v>MERCURY VAPOUR 400W</v>
      </c>
      <c r="F377" s="18" t="str">
        <f>IF(E377 = "BULKHEADS ETC", "SHARED OR NO POLE", VLOOKUP(C377,'Tariff Schedule Lookup Table'!I$7:L$286,3,FALSE))</f>
        <v>WOOD POLE</v>
      </c>
      <c r="G377" s="18">
        <f>IF(E377 = "NO CAPITAL", 1, VLOOKUP(C377,'Tariff Schedule Lookup Table'!I$7:L$286,4,FALSE))</f>
        <v>2</v>
      </c>
      <c r="H377" s="18" t="str">
        <f t="shared" si="54"/>
        <v>1-Unmetered, CE Funded, CE Maintained</v>
      </c>
      <c r="I377" s="123">
        <f>VLOOKUP(F377,'Maintenance Model'!$A$57:$B$61,2,FALSE)</f>
        <v>10.731618231111112</v>
      </c>
      <c r="J377" s="123">
        <f>IF(D377=1,VLOOKUP(C377,'Capital Code Schedules'!A$15:F$300,2,FALSE),IF(D377=2,VLOOKUP(C377,'Capital Code Schedules'!A$15:F$300,3,FALSE),0))</f>
        <v>79.780835658737288</v>
      </c>
      <c r="K377" s="123">
        <v>101.19965859601533</v>
      </c>
      <c r="L377" s="123">
        <f>VLOOKUP(LEFT(A377,10),'Streetlight Tariff Schedule'!B$11:G$260,6, FALSE)+I377</f>
        <v>101.07363334870092</v>
      </c>
      <c r="M377" s="161">
        <f t="shared" si="55"/>
        <v>202.27329194471625</v>
      </c>
      <c r="N377" s="405">
        <f t="shared" si="56"/>
        <v>187.04064376270242</v>
      </c>
      <c r="O377" s="405">
        <v>180.83159261993717</v>
      </c>
      <c r="P377" s="406">
        <v>176.24052911822446</v>
      </c>
      <c r="Q377" s="406">
        <v>182.35704985835235</v>
      </c>
      <c r="R377" s="406">
        <v>187.06174218173243</v>
      </c>
      <c r="S377" s="405">
        <f t="shared" si="57"/>
        <v>194.21662968441348</v>
      </c>
      <c r="T377" s="406">
        <v>188.11220080809554</v>
      </c>
      <c r="U377" s="406">
        <v>193.63887393586887</v>
      </c>
      <c r="V377" s="405">
        <f t="shared" si="58"/>
        <v>201.56016927196507</v>
      </c>
      <c r="W377" s="406">
        <v>193.69099988556562</v>
      </c>
      <c r="X377" s="406">
        <v>201.13789488899849</v>
      </c>
      <c r="Y377" s="405">
        <f t="shared" si="59"/>
        <v>209.74970924917804</v>
      </c>
      <c r="Z377" s="406">
        <v>198.82436271226567</v>
      </c>
      <c r="AA377" s="406">
        <v>207.2153754144833</v>
      </c>
      <c r="AB377" s="442">
        <f t="shared" si="60"/>
        <v>213.93683221910848</v>
      </c>
      <c r="AC377" s="438">
        <f t="shared" si="61"/>
        <v>220.26090333774789</v>
      </c>
      <c r="AD377" s="410"/>
      <c r="AE377" s="411"/>
      <c r="AF377" s="411"/>
      <c r="AG377" s="411"/>
    </row>
    <row r="378" spans="1:33" x14ac:dyDescent="0.2">
      <c r="A378" s="159" t="s">
        <v>1670</v>
      </c>
      <c r="B378" s="18" t="str">
        <f>VLOOKUP(LEFT(A378,7),'Tariff Schedule Lookup Table'!$A$8:$G$186,2,FALSE)</f>
        <v>Mercury Vapour 400</v>
      </c>
      <c r="C378" s="160">
        <f t="shared" si="62"/>
        <v>950</v>
      </c>
      <c r="D378" s="18">
        <f t="shared" si="63"/>
        <v>1</v>
      </c>
      <c r="E378" s="18" t="str">
        <f>VLOOKUP(C378,'Tariff Schedule Lookup Table'!I$7:L$286,2,FALSE)</f>
        <v>MERCURY VAPOUR 400W</v>
      </c>
      <c r="F378" s="18" t="str">
        <f>IF(E378 = "BULKHEADS ETC", "SHARED OR NO POLE", VLOOKUP(C378,'Tariff Schedule Lookup Table'!I$7:L$286,3,FALSE))</f>
        <v>SHARED OR NO POLE</v>
      </c>
      <c r="G378" s="18">
        <f>IF(E378 = "NO CAPITAL", 1, VLOOKUP(C378,'Tariff Schedule Lookup Table'!I$7:L$286,4,FALSE))</f>
        <v>2</v>
      </c>
      <c r="H378" s="18" t="str">
        <f t="shared" si="54"/>
        <v>1-Unmetered, CE Funded, CE Maintained</v>
      </c>
      <c r="I378" s="123">
        <f>VLOOKUP(F378,'Maintenance Model'!$A$57:$B$61,2,FALSE)</f>
        <v>0</v>
      </c>
      <c r="J378" s="123">
        <f>IF(D378=1,VLOOKUP(C378,'Capital Code Schedules'!A$15:F$300,2,FALSE),IF(D378=2,VLOOKUP(C378,'Capital Code Schedules'!A$15:F$300,3,FALSE),0))</f>
        <v>45.879717296860981</v>
      </c>
      <c r="K378" s="123">
        <v>58.197080647093287</v>
      </c>
      <c r="L378" s="123">
        <f>VLOOKUP(LEFT(A378,10),'Streetlight Tariff Schedule'!B$11:G$260,6, FALSE)+I378</f>
        <v>90.34201511758981</v>
      </c>
      <c r="M378" s="161">
        <f t="shared" si="55"/>
        <v>148.53909576468311</v>
      </c>
      <c r="N378" s="405">
        <f t="shared" si="56"/>
        <v>141.12168274137224</v>
      </c>
      <c r="O378" s="405">
        <v>124.417628932301</v>
      </c>
      <c r="P378" s="406">
        <v>121.77743728964244</v>
      </c>
      <c r="Q378" s="406">
        <v>126.29452425501242</v>
      </c>
      <c r="R378" s="406">
        <v>129.0000606408268</v>
      </c>
      <c r="S378" s="405">
        <f t="shared" si="57"/>
        <v>146.89077216637094</v>
      </c>
      <c r="T378" s="406">
        <v>130.48414552734894</v>
      </c>
      <c r="U378" s="406">
        <v>133.74387067262427</v>
      </c>
      <c r="V378" s="405">
        <f t="shared" si="58"/>
        <v>152.69351935245854</v>
      </c>
      <c r="W378" s="406">
        <v>134.50435870101313</v>
      </c>
      <c r="X378" s="406">
        <v>139.0784910381081</v>
      </c>
      <c r="Y378" s="405">
        <f t="shared" si="59"/>
        <v>159.08243587766341</v>
      </c>
      <c r="Z378" s="406">
        <v>138.12419202820166</v>
      </c>
      <c r="AA378" s="406">
        <v>143.33782441516539</v>
      </c>
      <c r="AB378" s="442">
        <f t="shared" si="60"/>
        <v>162.32520152774097</v>
      </c>
      <c r="AC378" s="438">
        <f t="shared" si="61"/>
        <v>167.13691484618758</v>
      </c>
      <c r="AD378" s="410"/>
      <c r="AE378" s="411"/>
      <c r="AF378" s="411"/>
      <c r="AG378" s="411"/>
    </row>
    <row r="379" spans="1:33" x14ac:dyDescent="0.2">
      <c r="A379" s="159" t="s">
        <v>1671</v>
      </c>
      <c r="B379" s="18" t="str">
        <f>VLOOKUP(LEFT(A379,7),'Tariff Schedule Lookup Table'!$A$8:$G$186,2,FALSE)</f>
        <v>Mercury Vapour 400</v>
      </c>
      <c r="C379" s="160">
        <f t="shared" si="62"/>
        <v>950</v>
      </c>
      <c r="D379" s="18">
        <f t="shared" si="63"/>
        <v>2</v>
      </c>
      <c r="E379" s="18" t="str">
        <f>VLOOKUP(C379,'Tariff Schedule Lookup Table'!I$7:L$286,2,FALSE)</f>
        <v>MERCURY VAPOUR 400W</v>
      </c>
      <c r="F379" s="18" t="str">
        <f>IF(E379 = "BULKHEADS ETC", "SHARED OR NO POLE", VLOOKUP(C379,'Tariff Schedule Lookup Table'!I$7:L$286,3,FALSE))</f>
        <v>SHARED OR NO POLE</v>
      </c>
      <c r="G379" s="18">
        <f>IF(E379 = "NO CAPITAL", 1, VLOOKUP(C379,'Tariff Schedule Lookup Table'!I$7:L$286,4,FALSE))</f>
        <v>2</v>
      </c>
      <c r="H379" s="18" t="str">
        <f t="shared" si="54"/>
        <v>2-Unmetered, Funded by Others, CE Maintained</v>
      </c>
      <c r="I379" s="123">
        <f>VLOOKUP(F379,'Maintenance Model'!$A$57:$B$61,2,FALSE)</f>
        <v>0</v>
      </c>
      <c r="J379" s="123">
        <f>IF(D379=1,VLOOKUP(C379,'Capital Code Schedules'!A$15:F$300,2,FALSE),IF(D379=2,VLOOKUP(C379,'Capital Code Schedules'!A$15:F$300,3,FALSE),0))</f>
        <v>0</v>
      </c>
      <c r="K379" s="123">
        <v>0</v>
      </c>
      <c r="L379" s="123">
        <f>VLOOKUP(LEFT(A379,10),'Streetlight Tariff Schedule'!B$11:G$260,6, FALSE)+I379</f>
        <v>90.34201511758981</v>
      </c>
      <c r="M379" s="161">
        <f t="shared" si="55"/>
        <v>90.34201511758981</v>
      </c>
      <c r="N379" s="405">
        <f t="shared" si="56"/>
        <v>94.106442441413961</v>
      </c>
      <c r="O379" s="405">
        <v>62.139978896533584</v>
      </c>
      <c r="P379" s="406">
        <v>62.139978896533584</v>
      </c>
      <c r="Q379" s="406">
        <v>65.181038766674135</v>
      </c>
      <c r="R379" s="406">
        <v>65.181038766674135</v>
      </c>
      <c r="S379" s="405">
        <f t="shared" si="57"/>
        <v>98.71190466898868</v>
      </c>
      <c r="T379" s="406">
        <v>67.858101273174285</v>
      </c>
      <c r="U379" s="406">
        <v>68.106006675058282</v>
      </c>
      <c r="V379" s="405">
        <f t="shared" si="58"/>
        <v>103.14155413140087</v>
      </c>
      <c r="W379" s="406">
        <v>70.328319851547633</v>
      </c>
      <c r="X379" s="406">
        <v>71.215503451024603</v>
      </c>
      <c r="Y379" s="405">
        <f t="shared" si="59"/>
        <v>107.85065903561193</v>
      </c>
      <c r="Z379" s="406">
        <v>72.359796217211908</v>
      </c>
      <c r="AA379" s="406">
        <v>73.540741681850008</v>
      </c>
      <c r="AB379" s="442">
        <f t="shared" si="60"/>
        <v>110.19174541326936</v>
      </c>
      <c r="AC379" s="438">
        <f t="shared" si="61"/>
        <v>113.48637515878484</v>
      </c>
      <c r="AD379" s="410"/>
      <c r="AE379" s="411"/>
      <c r="AF379" s="411"/>
      <c r="AG379" s="411"/>
    </row>
    <row r="380" spans="1:33" x14ac:dyDescent="0.2">
      <c r="A380" s="159" t="s">
        <v>1672</v>
      </c>
      <c r="B380" s="18" t="str">
        <f>VLOOKUP(LEFT(A380,7),'Tariff Schedule Lookup Table'!$A$8:$G$186,2,FALSE)</f>
        <v>Mercury Vapour 500</v>
      </c>
      <c r="C380" s="160">
        <f t="shared" si="62"/>
        <v>300</v>
      </c>
      <c r="D380" s="18">
        <f t="shared" si="63"/>
        <v>1</v>
      </c>
      <c r="E380" s="18" t="str">
        <f>VLOOKUP(C380,'Tariff Schedule Lookup Table'!I$7:L$286,2,FALSE)</f>
        <v>MERCURY VAPOUR 400W</v>
      </c>
      <c r="F380" s="18" t="str">
        <f>IF(E380 = "BULKHEADS ETC", "SHARED OR NO POLE", VLOOKUP(C380,'Tariff Schedule Lookup Table'!I$7:L$286,3,FALSE))</f>
        <v>STEEL POLE</v>
      </c>
      <c r="G380" s="18">
        <f>IF(E380 = "NO CAPITAL", 1, VLOOKUP(C380,'Tariff Schedule Lookup Table'!I$7:L$286,4,FALSE))</f>
        <v>1</v>
      </c>
      <c r="H380" s="18" t="str">
        <f t="shared" si="54"/>
        <v>1-Unmetered, CE Funded, CE Maintained</v>
      </c>
      <c r="I380" s="123">
        <f>VLOOKUP(F380,'Maintenance Model'!$A$57:$B$61,2,FALSE)</f>
        <v>9.9616182311111103</v>
      </c>
      <c r="J380" s="123">
        <f>IF(D380=1,VLOOKUP(C380,'Capital Code Schedules'!A$15:F$300,2,FALSE),IF(D380=2,VLOOKUP(C380,'Capital Code Schedules'!A$15:F$300,3,FALSE),0))</f>
        <v>92.826504075065003</v>
      </c>
      <c r="K380" s="123">
        <v>117.74770774827562</v>
      </c>
      <c r="L380" s="123">
        <f>VLOOKUP(LEFT(A380,10),'Streetlight Tariff Schedule'!B$11:G$260,6, FALSE)+I380</f>
        <v>90.993406812700925</v>
      </c>
      <c r="M380" s="161">
        <f t="shared" si="55"/>
        <v>208.74111456097654</v>
      </c>
      <c r="N380" s="405">
        <f t="shared" si="56"/>
        <v>189.90893678209116</v>
      </c>
      <c r="O380" s="405">
        <v>187.90397094790447</v>
      </c>
      <c r="P380" s="406">
        <v>182.56218214196153</v>
      </c>
      <c r="Q380" s="406">
        <v>188.57789201428119</v>
      </c>
      <c r="R380" s="406">
        <v>194.05189009317124</v>
      </c>
      <c r="S380" s="405">
        <f t="shared" si="57"/>
        <v>196.90192371709395</v>
      </c>
      <c r="T380" s="406">
        <v>194.30492196075318</v>
      </c>
      <c r="U380" s="406">
        <v>200.64555917273634</v>
      </c>
      <c r="V380" s="405">
        <f t="shared" si="58"/>
        <v>204.14164314026635</v>
      </c>
      <c r="W380" s="406">
        <v>199.90164840425822</v>
      </c>
      <c r="X380" s="406">
        <v>208.24505735339406</v>
      </c>
      <c r="Y380" s="405">
        <f t="shared" si="59"/>
        <v>212.28339429856101</v>
      </c>
      <c r="Z380" s="406">
        <v>205.1389424371535</v>
      </c>
      <c r="AA380" s="406">
        <v>214.4744973443278</v>
      </c>
      <c r="AB380" s="442">
        <f t="shared" si="60"/>
        <v>216.46569035872238</v>
      </c>
      <c r="AC380" s="438">
        <f t="shared" si="61"/>
        <v>222.85352676743122</v>
      </c>
      <c r="AD380" s="410"/>
      <c r="AE380" s="411"/>
      <c r="AF380" s="411"/>
      <c r="AG380" s="411"/>
    </row>
    <row r="381" spans="1:33" x14ac:dyDescent="0.2">
      <c r="A381" s="159" t="s">
        <v>1673</v>
      </c>
      <c r="B381" s="18" t="str">
        <f>VLOOKUP(LEFT(A381,7),'Tariff Schedule Lookup Table'!$A$8:$G$186,2,FALSE)</f>
        <v>Mercury Vapour 700</v>
      </c>
      <c r="C381" s="160">
        <f t="shared" si="62"/>
        <v>190</v>
      </c>
      <c r="D381" s="18">
        <f t="shared" si="63"/>
        <v>1</v>
      </c>
      <c r="E381" s="18" t="str">
        <f>VLOOKUP(C381,'Tariff Schedule Lookup Table'!I$7:L$286,2,FALSE)</f>
        <v>HIGH PRESSURE SODIUM 600W HIGH MAST</v>
      </c>
      <c r="F381" s="18" t="str">
        <f>IF(E381 = "BULKHEADS ETC", "SHARED OR NO POLE", VLOOKUP(C381,'Tariff Schedule Lookup Table'!I$7:L$286,3,FALSE))</f>
        <v>SHARED OR NO POLE</v>
      </c>
      <c r="G381" s="18">
        <f>IF(E381 = "NO CAPITAL", 1, VLOOKUP(C381,'Tariff Schedule Lookup Table'!I$7:L$286,4,FALSE))</f>
        <v>1</v>
      </c>
      <c r="H381" s="18" t="str">
        <f t="shared" si="54"/>
        <v>1-Unmetered, CE Funded, CE Maintained</v>
      </c>
      <c r="I381" s="123">
        <f>VLOOKUP(F381,'Maintenance Model'!$A$57:$B$61,2,FALSE)</f>
        <v>0</v>
      </c>
      <c r="J381" s="123">
        <f>IF(D381=1,VLOOKUP(C381,'Capital Code Schedules'!A$15:F$300,2,FALSE),IF(D381=2,VLOOKUP(C381,'Capital Code Schedules'!A$15:F$300,3,FALSE),0))</f>
        <v>137.96112170810926</v>
      </c>
      <c r="K381" s="123">
        <v>174.99965124588107</v>
      </c>
      <c r="L381" s="123">
        <f>VLOOKUP(LEFT(A381,10),'Streetlight Tariff Schedule'!B$11:G$260,6, FALSE)+I381</f>
        <v>86.146312671589811</v>
      </c>
      <c r="M381" s="161">
        <f t="shared" si="55"/>
        <v>261.14596391747091</v>
      </c>
      <c r="N381" s="405">
        <f t="shared" si="56"/>
        <v>231.11157032445422</v>
      </c>
      <c r="O381" s="405">
        <v>244.97828689364653</v>
      </c>
      <c r="P381" s="406">
        <v>237.03918390857922</v>
      </c>
      <c r="Q381" s="406">
        <v>244.30180162163103</v>
      </c>
      <c r="R381" s="406">
        <v>252.43739740557874</v>
      </c>
      <c r="S381" s="405">
        <f t="shared" si="57"/>
        <v>239.0021912804184</v>
      </c>
      <c r="T381" s="406">
        <v>251.33623284807695</v>
      </c>
      <c r="U381" s="406">
        <v>260.62305343760454</v>
      </c>
      <c r="V381" s="405">
        <f t="shared" si="58"/>
        <v>247.35504622155213</v>
      </c>
      <c r="W381" s="406">
        <v>258.29114200523247</v>
      </c>
      <c r="X381" s="406">
        <v>270.2017736986511</v>
      </c>
      <c r="Y381" s="405">
        <f t="shared" si="59"/>
        <v>256.89667213175443</v>
      </c>
      <c r="Z381" s="406">
        <v>264.95395540027272</v>
      </c>
      <c r="AA381" s="406">
        <v>278.17703934301875</v>
      </c>
      <c r="AB381" s="442">
        <f t="shared" si="60"/>
        <v>261.84039830261128</v>
      </c>
      <c r="AC381" s="438">
        <f t="shared" si="61"/>
        <v>269.54391459364234</v>
      </c>
      <c r="AD381" s="410"/>
      <c r="AE381" s="411"/>
      <c r="AF381" s="411"/>
      <c r="AG381" s="411"/>
    </row>
    <row r="382" spans="1:33" x14ac:dyDescent="0.2">
      <c r="A382" s="159" t="s">
        <v>1674</v>
      </c>
      <c r="B382" s="18" t="str">
        <f>VLOOKUP(LEFT(A382,7),'Tariff Schedule Lookup Table'!$A$8:$G$186,2,FALSE)</f>
        <v>Mercury Vapour 700</v>
      </c>
      <c r="C382" s="160">
        <f t="shared" si="62"/>
        <v>190</v>
      </c>
      <c r="D382" s="18">
        <f t="shared" si="63"/>
        <v>2</v>
      </c>
      <c r="E382" s="18" t="str">
        <f>VLOOKUP(C382,'Tariff Schedule Lookup Table'!I$7:L$286,2,FALSE)</f>
        <v>HIGH PRESSURE SODIUM 600W HIGH MAST</v>
      </c>
      <c r="F382" s="18" t="str">
        <f>IF(E382 = "BULKHEADS ETC", "SHARED OR NO POLE", VLOOKUP(C382,'Tariff Schedule Lookup Table'!I$7:L$286,3,FALSE))</f>
        <v>SHARED OR NO POLE</v>
      </c>
      <c r="G382" s="18">
        <f>IF(E382 = "NO CAPITAL", 1, VLOOKUP(C382,'Tariff Schedule Lookup Table'!I$7:L$286,4,FALSE))</f>
        <v>1</v>
      </c>
      <c r="H382" s="18" t="str">
        <f t="shared" si="54"/>
        <v>2-Unmetered, Funded by Others, CE Maintained</v>
      </c>
      <c r="I382" s="123">
        <f>VLOOKUP(F382,'Maintenance Model'!$A$57:$B$61,2,FALSE)</f>
        <v>0</v>
      </c>
      <c r="J382" s="123">
        <f>IF(D382=1,VLOOKUP(C382,'Capital Code Schedules'!A$15:F$300,2,FALSE),IF(D382=2,VLOOKUP(C382,'Capital Code Schedules'!A$15:F$300,3,FALSE),0))</f>
        <v>0</v>
      </c>
      <c r="K382" s="123">
        <v>0</v>
      </c>
      <c r="L382" s="123">
        <f>VLOOKUP(LEFT(A382,10),'Streetlight Tariff Schedule'!B$11:G$260,6, FALSE)+I382</f>
        <v>86.146312671589811</v>
      </c>
      <c r="M382" s="161">
        <f t="shared" si="55"/>
        <v>86.146312671589811</v>
      </c>
      <c r="N382" s="405">
        <f t="shared" si="56"/>
        <v>89.73591085406926</v>
      </c>
      <c r="O382" s="405">
        <v>57.708291294362574</v>
      </c>
      <c r="P382" s="406">
        <v>57.708291294362574</v>
      </c>
      <c r="Q382" s="406">
        <v>60.532469415212518</v>
      </c>
      <c r="R382" s="406">
        <v>60.532469415212518</v>
      </c>
      <c r="S382" s="405">
        <f t="shared" si="57"/>
        <v>94.127484238141378</v>
      </c>
      <c r="T382" s="406">
        <v>63.018609669549562</v>
      </c>
      <c r="U382" s="406">
        <v>63.24883499951288</v>
      </c>
      <c r="V382" s="405">
        <f t="shared" si="58"/>
        <v>98.351410028570228</v>
      </c>
      <c r="W382" s="406">
        <v>65.312657653036538</v>
      </c>
      <c r="X382" s="406">
        <v>66.136569255508192</v>
      </c>
      <c r="Y382" s="405">
        <f t="shared" si="59"/>
        <v>102.84181267183045</v>
      </c>
      <c r="Z382" s="406">
        <v>67.199253560360006</v>
      </c>
      <c r="AA382" s="406">
        <v>68.295976573246222</v>
      </c>
      <c r="AB382" s="442">
        <f t="shared" si="60"/>
        <v>105.0741733161926</v>
      </c>
      <c r="AC382" s="438">
        <f t="shared" si="61"/>
        <v>108.21579246011889</v>
      </c>
      <c r="AD382" s="410"/>
      <c r="AE382" s="411"/>
      <c r="AF382" s="411"/>
      <c r="AG382" s="411"/>
    </row>
    <row r="383" spans="1:33" x14ac:dyDescent="0.2">
      <c r="A383" s="159" t="s">
        <v>1675</v>
      </c>
      <c r="B383" s="18" t="str">
        <f>VLOOKUP(LEFT(A383,7),'Tariff Schedule Lookup Table'!$A$8:$G$186,2,FALSE)</f>
        <v>Mercury Vapour 700</v>
      </c>
      <c r="C383" s="160">
        <f t="shared" si="62"/>
        <v>250</v>
      </c>
      <c r="D383" s="18">
        <f t="shared" si="63"/>
        <v>2</v>
      </c>
      <c r="E383" s="18" t="str">
        <f>VLOOKUP(C383,'Tariff Schedule Lookup Table'!I$7:L$286,2,FALSE)</f>
        <v>HIGH PRESSURE SODIUM 600W HIGH MAST</v>
      </c>
      <c r="F383" s="18" t="str">
        <f>IF(E383 = "BULKHEADS ETC", "SHARED OR NO POLE", VLOOKUP(C383,'Tariff Schedule Lookup Table'!I$7:L$286,3,FALSE))</f>
        <v>WOOD POLE</v>
      </c>
      <c r="G383" s="18">
        <f>IF(E383 = "NO CAPITAL", 1, VLOOKUP(C383,'Tariff Schedule Lookup Table'!I$7:L$286,4,FALSE))</f>
        <v>1</v>
      </c>
      <c r="H383" s="18" t="str">
        <f t="shared" si="54"/>
        <v>2-Unmetered, Funded by Others, CE Maintained</v>
      </c>
      <c r="I383" s="123">
        <f>VLOOKUP(F383,'Maintenance Model'!$A$57:$B$61,2,FALSE)</f>
        <v>10.731618231111112</v>
      </c>
      <c r="J383" s="123">
        <f>IF(D383=1,VLOOKUP(C383,'Capital Code Schedules'!A$15:F$300,2,FALSE),IF(D383=2,VLOOKUP(C383,'Capital Code Schedules'!A$15:F$300,3,FALSE),0))</f>
        <v>0</v>
      </c>
      <c r="K383" s="123">
        <v>0</v>
      </c>
      <c r="L383" s="123">
        <f>VLOOKUP(LEFT(A383,10),'Streetlight Tariff Schedule'!B$11:G$260,6, FALSE)+I383</f>
        <v>96.877930902700925</v>
      </c>
      <c r="M383" s="161">
        <f t="shared" si="55"/>
        <v>96.877930902700925</v>
      </c>
      <c r="N383" s="405">
        <f t="shared" si="56"/>
        <v>100.91470083406665</v>
      </c>
      <c r="O383" s="405">
        <v>68.104491369786743</v>
      </c>
      <c r="P383" s="406">
        <v>68.104491369786743</v>
      </c>
      <c r="Q383" s="406">
        <v>71.437447694503888</v>
      </c>
      <c r="R383" s="406">
        <v>71.437447694503888</v>
      </c>
      <c r="S383" s="405">
        <f t="shared" si="57"/>
        <v>105.8533514815782</v>
      </c>
      <c r="T383" s="406">
        <v>74.371468329977418</v>
      </c>
      <c r="U383" s="406">
        <v>74.643168958187218</v>
      </c>
      <c r="V383" s="405">
        <f t="shared" si="58"/>
        <v>110.60346995064478</v>
      </c>
      <c r="W383" s="406">
        <v>77.0787911009174</v>
      </c>
      <c r="X383" s="406">
        <v>78.051131112403397</v>
      </c>
      <c r="Y383" s="405">
        <f t="shared" si="59"/>
        <v>115.65326144500013</v>
      </c>
      <c r="Z383" s="406">
        <v>79.305258941269784</v>
      </c>
      <c r="AA383" s="406">
        <v>80.599557581740058</v>
      </c>
      <c r="AB383" s="442">
        <f t="shared" si="60"/>
        <v>118.1637168962843</v>
      </c>
      <c r="AC383" s="438">
        <f t="shared" si="61"/>
        <v>121.69670110546528</v>
      </c>
      <c r="AD383" s="410"/>
      <c r="AE383" s="411"/>
      <c r="AF383" s="411"/>
      <c r="AG383" s="411"/>
    </row>
    <row r="384" spans="1:33" x14ac:dyDescent="0.2">
      <c r="A384" s="159" t="s">
        <v>1677</v>
      </c>
      <c r="B384" s="18" t="str">
        <f>VLOOKUP(LEFT(A384,7),'Tariff Schedule Lookup Table'!$A$8:$G$186,2,FALSE)</f>
        <v>Mercury Vapour 700</v>
      </c>
      <c r="C384" s="160">
        <f t="shared" si="62"/>
        <v>340</v>
      </c>
      <c r="D384" s="18">
        <f t="shared" si="63"/>
        <v>2</v>
      </c>
      <c r="E384" s="18" t="str">
        <f>VLOOKUP(C384,'Tariff Schedule Lookup Table'!I$7:L$286,2,FALSE)</f>
        <v>HIGH PRESSURE SODIUM 600W HIGH MAST</v>
      </c>
      <c r="F384" s="18" t="str">
        <f>IF(E384 = "BULKHEADS ETC", "SHARED OR NO POLE", VLOOKUP(C384,'Tariff Schedule Lookup Table'!I$7:L$286,3,FALSE))</f>
        <v>STEEL POLE</v>
      </c>
      <c r="G384" s="18">
        <f>IF(E384 = "NO CAPITAL", 1, VLOOKUP(C384,'Tariff Schedule Lookup Table'!I$7:L$286,4,FALSE))</f>
        <v>1</v>
      </c>
      <c r="H384" s="18" t="str">
        <f t="shared" si="54"/>
        <v>2-Unmetered, Funded by Others, CE Maintained</v>
      </c>
      <c r="I384" s="123">
        <f>VLOOKUP(F384,'Maintenance Model'!$A$57:$B$61,2,FALSE)</f>
        <v>9.9616182311111103</v>
      </c>
      <c r="J384" s="123">
        <f>IF(D384=1,VLOOKUP(C384,'Capital Code Schedules'!A$15:F$300,2,FALSE),IF(D384=2,VLOOKUP(C384,'Capital Code Schedules'!A$15:F$300,3,FALSE),0))</f>
        <v>0</v>
      </c>
      <c r="K384" s="123">
        <v>0</v>
      </c>
      <c r="L384" s="123">
        <f>VLOOKUP(LEFT(A384,10),'Streetlight Tariff Schedule'!B$11:G$260,6, FALSE)+I384</f>
        <v>96.107930902700929</v>
      </c>
      <c r="M384" s="161">
        <f t="shared" si="55"/>
        <v>96.107930902700929</v>
      </c>
      <c r="N384" s="405">
        <f t="shared" si="56"/>
        <v>100.11261599474166</v>
      </c>
      <c r="O384" s="405">
        <v>67.302406530461738</v>
      </c>
      <c r="P384" s="406">
        <v>67.302406530461738</v>
      </c>
      <c r="Q384" s="406">
        <v>70.596109735679448</v>
      </c>
      <c r="R384" s="406">
        <v>70.596109735679448</v>
      </c>
      <c r="S384" s="405">
        <f t="shared" si="57"/>
        <v>105.01201352275375</v>
      </c>
      <c r="T384" s="406">
        <v>73.495575624136336</v>
      </c>
      <c r="U384" s="406">
        <v>73.764076361262013</v>
      </c>
      <c r="V384" s="405">
        <f t="shared" si="58"/>
        <v>109.72437735371958</v>
      </c>
      <c r="W384" s="406">
        <v>76.171013529540204</v>
      </c>
      <c r="X384" s="406">
        <v>77.131902032231466</v>
      </c>
      <c r="Y384" s="405">
        <f t="shared" si="59"/>
        <v>114.7340323648282</v>
      </c>
      <c r="Z384" s="406">
        <v>78.371259661689891</v>
      </c>
      <c r="AA384" s="406">
        <v>79.650315000342616</v>
      </c>
      <c r="AB384" s="442">
        <f t="shared" si="60"/>
        <v>117.22453434807815</v>
      </c>
      <c r="AC384" s="438">
        <f t="shared" si="61"/>
        <v>120.72943788072402</v>
      </c>
      <c r="AD384" s="410"/>
      <c r="AE384" s="411"/>
      <c r="AF384" s="411"/>
      <c r="AG384" s="411"/>
    </row>
    <row r="385" spans="1:33" x14ac:dyDescent="0.2">
      <c r="A385" s="159" t="s">
        <v>1678</v>
      </c>
      <c r="B385" s="18" t="str">
        <f>VLOOKUP(LEFT(A385,7),'Tariff Schedule Lookup Table'!$A$8:$G$186,2,FALSE)</f>
        <v>Mercury Vapour 700</v>
      </c>
      <c r="C385" s="160">
        <f t="shared" si="62"/>
        <v>700</v>
      </c>
      <c r="D385" s="18">
        <f t="shared" si="63"/>
        <v>1</v>
      </c>
      <c r="E385" s="18" t="str">
        <f>VLOOKUP(C385,'Tariff Schedule Lookup Table'!I$7:L$286,2,FALSE)</f>
        <v>HIGH PRESSURE SODIUM 600W HIGH MAST</v>
      </c>
      <c r="F385" s="18" t="str">
        <f>IF(E385 = "BULKHEADS ETC", "SHARED OR NO POLE", VLOOKUP(C385,'Tariff Schedule Lookup Table'!I$7:L$286,3,FALSE))</f>
        <v>WOOD POLE</v>
      </c>
      <c r="G385" s="18">
        <f>IF(E385 = "NO CAPITAL", 1, VLOOKUP(C385,'Tariff Schedule Lookup Table'!I$7:L$286,4,FALSE))</f>
        <v>2</v>
      </c>
      <c r="H385" s="18" t="str">
        <f t="shared" si="54"/>
        <v>1-Unmetered, CE Funded, CE Maintained</v>
      </c>
      <c r="I385" s="123">
        <f>VLOOKUP(F385,'Maintenance Model'!$A$57:$B$61,2,FALSE)</f>
        <v>10.731618231111112</v>
      </c>
      <c r="J385" s="123" t="e">
        <f>IF(D385=1,VLOOKUP(C385,'Capital Code Schedules'!A$15:F$300,2,FALSE),IF(D385=2,VLOOKUP(C385,'Capital Code Schedules'!A$15:F$300,3,FALSE),0))</f>
        <v>#N/A</v>
      </c>
      <c r="K385" s="123" t="e">
        <v>#N/A</v>
      </c>
      <c r="L385" s="123">
        <f>VLOOKUP(LEFT(A385,10),'Streetlight Tariff Schedule'!B$11:G$260,6, FALSE)+I385</f>
        <v>96.877930902700925</v>
      </c>
      <c r="M385" s="161" t="e">
        <f t="shared" si="55"/>
        <v>#N/A</v>
      </c>
      <c r="N385" s="405" t="e">
        <f t="shared" si="56"/>
        <v>#N/A</v>
      </c>
      <c r="O385" s="405" t="e">
        <v>#N/A</v>
      </c>
      <c r="P385" s="406" t="e">
        <v>#N/A</v>
      </c>
      <c r="Q385" s="406" t="e">
        <v>#N/A</v>
      </c>
      <c r="R385" s="406" t="e">
        <v>#N/A</v>
      </c>
      <c r="S385" s="405" t="e">
        <f t="shared" si="57"/>
        <v>#N/A</v>
      </c>
      <c r="T385" s="406" t="e">
        <v>#N/A</v>
      </c>
      <c r="U385" s="406" t="e">
        <v>#N/A</v>
      </c>
      <c r="V385" s="405" t="e">
        <f t="shared" si="58"/>
        <v>#N/A</v>
      </c>
      <c r="W385" s="406" t="e">
        <v>#N/A</v>
      </c>
      <c r="X385" s="406" t="e">
        <v>#N/A</v>
      </c>
      <c r="Y385" s="405" t="e">
        <f t="shared" si="59"/>
        <v>#N/A</v>
      </c>
      <c r="Z385" s="406" t="e">
        <v>#N/A</v>
      </c>
      <c r="AA385" s="406" t="e">
        <v>#N/A</v>
      </c>
      <c r="AB385" s="442" t="e">
        <f t="shared" si="60"/>
        <v>#N/A</v>
      </c>
      <c r="AC385" s="438" t="e">
        <f t="shared" si="61"/>
        <v>#N/A</v>
      </c>
      <c r="AD385" s="410"/>
      <c r="AE385" s="411"/>
      <c r="AF385" s="411"/>
      <c r="AG385" s="411"/>
    </row>
    <row r="386" spans="1:33" x14ac:dyDescent="0.2">
      <c r="A386" s="159" t="s">
        <v>1679</v>
      </c>
      <c r="B386" s="18" t="str">
        <f>VLOOKUP(LEFT(A386,7),'Tariff Schedule Lookup Table'!$A$8:$G$186,2,FALSE)</f>
        <v>Mercury Vapour 1000</v>
      </c>
      <c r="C386" s="160">
        <f t="shared" si="62"/>
        <v>120</v>
      </c>
      <c r="D386" s="18">
        <f t="shared" si="63"/>
        <v>2</v>
      </c>
      <c r="E386" s="18" t="str">
        <f>VLOOKUP(C386,'Tariff Schedule Lookup Table'!I$7:L$286,2,FALSE)</f>
        <v xml:space="preserve">METAL HALIDE 1000W FLOODLIGHT </v>
      </c>
      <c r="F386" s="18" t="str">
        <f>IF(E386 = "BULKHEADS ETC", "SHARED OR NO POLE", VLOOKUP(C386,'Tariff Schedule Lookup Table'!I$7:L$286,3,FALSE))</f>
        <v>SHARED OR NO POLE</v>
      </c>
      <c r="G386" s="18">
        <f>IF(E386 = "NO CAPITAL", 1, VLOOKUP(C386,'Tariff Schedule Lookup Table'!I$7:L$286,4,FALSE))</f>
        <v>1</v>
      </c>
      <c r="H386" s="18" t="str">
        <f t="shared" si="54"/>
        <v>2-Unmetered, Funded by Others, CE Maintained</v>
      </c>
      <c r="I386" s="123">
        <f>VLOOKUP(F386,'Maintenance Model'!$A$57:$B$61,2,FALSE)</f>
        <v>0</v>
      </c>
      <c r="J386" s="123">
        <f>IF(D386=1,VLOOKUP(C386,'Capital Code Schedules'!A$15:F$300,2,FALSE),IF(D386=2,VLOOKUP(C386,'Capital Code Schedules'!A$15:F$300,3,FALSE),0))</f>
        <v>0</v>
      </c>
      <c r="K386" s="123">
        <v>0</v>
      </c>
      <c r="L386" s="123">
        <f>VLOOKUP(LEFT(A386,10),'Streetlight Tariff Schedule'!B$11:G$260,6, FALSE)+I386</f>
        <v>109.1703669715898</v>
      </c>
      <c r="M386" s="161">
        <f t="shared" si="55"/>
        <v>109.1703669715898</v>
      </c>
      <c r="N386" s="405">
        <f t="shared" si="56"/>
        <v>113.71934578111545</v>
      </c>
      <c r="O386" s="405">
        <v>82.027321851521947</v>
      </c>
      <c r="P386" s="406">
        <v>82.027321851521947</v>
      </c>
      <c r="Q386" s="406">
        <v>86.04164565992096</v>
      </c>
      <c r="R386" s="406">
        <v>86.04164565992096</v>
      </c>
      <c r="S386" s="405">
        <f t="shared" si="57"/>
        <v>119.28464118440822</v>
      </c>
      <c r="T386" s="406">
        <v>89.575478012889135</v>
      </c>
      <c r="U386" s="406">
        <v>89.902723315352588</v>
      </c>
      <c r="V386" s="405">
        <f t="shared" si="58"/>
        <v>124.63748234848458</v>
      </c>
      <c r="W386" s="406">
        <v>92.836267893574842</v>
      </c>
      <c r="X386" s="406">
        <v>94.007386647523248</v>
      </c>
      <c r="Y386" s="405">
        <f t="shared" si="59"/>
        <v>130.32802079652876</v>
      </c>
      <c r="Z386" s="406">
        <v>95.517900051151869</v>
      </c>
      <c r="AA386" s="406">
        <v>97.076796520657581</v>
      </c>
      <c r="AB386" s="442">
        <f t="shared" si="60"/>
        <v>133.15701745581725</v>
      </c>
      <c r="AC386" s="438">
        <f t="shared" si="61"/>
        <v>137.13828727678907</v>
      </c>
      <c r="AD386" s="410"/>
      <c r="AE386" s="411"/>
      <c r="AF386" s="411"/>
      <c r="AG386" s="411"/>
    </row>
    <row r="387" spans="1:33" x14ac:dyDescent="0.2">
      <c r="A387" s="36" t="s">
        <v>1680</v>
      </c>
      <c r="B387" s="18" t="str">
        <f>VLOOKUP(LEFT(A387,7),'Tariff Schedule Lookup Table'!$A$8:$G$186,2,FALSE)</f>
        <v>Compact Fluorescent 1x42</v>
      </c>
      <c r="C387" s="160">
        <f t="shared" si="62"/>
        <v>1620</v>
      </c>
      <c r="D387" s="18">
        <f t="shared" si="63"/>
        <v>1</v>
      </c>
      <c r="E387" s="18" t="str">
        <f>VLOOKUP(C387,'Tariff Schedule Lookup Table'!I$7:L$286,2,FALSE)</f>
        <v>COMPACT FLUORESCENT 42W</v>
      </c>
      <c r="F387" s="18" t="str">
        <f>IF(E387 = "BULKHEADS ETC", "SHARED OR NO POLE", VLOOKUP(C387,'Tariff Schedule Lookup Table'!I$7:L$286,3,FALSE))</f>
        <v>SHARED OR NO POLE</v>
      </c>
      <c r="G387" s="18">
        <f>IF(E387 = "NO CAPITAL", 1, VLOOKUP(C387,'Tariff Schedule Lookup Table'!I$7:L$286,4,FALSE))</f>
        <v>1</v>
      </c>
      <c r="H387" s="18" t="str">
        <f t="shared" si="54"/>
        <v>1-Unmetered, CE Funded, CE Maintained</v>
      </c>
      <c r="I387" s="123">
        <f>VLOOKUP(F387,'Maintenance Model'!$A$57:$B$61,2,FALSE)</f>
        <v>0</v>
      </c>
      <c r="J387" s="123">
        <f>IF(D387=1,VLOOKUP(C387,'Capital Code Schedules'!A$15:F$300,2,FALSE),IF(D387=2,VLOOKUP(C387,'Capital Code Schedules'!A$15:F$300,3,FALSE),0))</f>
        <v>19.218771251383032</v>
      </c>
      <c r="K387" s="123" t="e">
        <v>#N/A</v>
      </c>
      <c r="L387" s="123">
        <f>VLOOKUP(LEFT(A387,10),'Streetlight Tariff Schedule'!B$11:G$260,6, FALSE)+I387</f>
        <v>80.145074857589805</v>
      </c>
      <c r="M387" s="161" t="e">
        <f t="shared" si="55"/>
        <v>#N/A</v>
      </c>
      <c r="N387" s="405">
        <f t="shared" si="56"/>
        <v>103.17904556691973</v>
      </c>
      <c r="O387" s="405">
        <v>77.457295569379014</v>
      </c>
      <c r="P387" s="406" t="e">
        <v>#N/A</v>
      </c>
      <c r="Q387" s="406" t="e">
        <v>#N/A</v>
      </c>
      <c r="R387" s="406">
        <v>80.616933805176032</v>
      </c>
      <c r="S387" s="405">
        <f t="shared" si="57"/>
        <v>107.75212467301837</v>
      </c>
      <c r="T387" s="406" t="e">
        <v>#N/A</v>
      </c>
      <c r="U387" s="406">
        <v>83.79683264905735</v>
      </c>
      <c r="V387" s="405">
        <f t="shared" si="58"/>
        <v>112.25698116986995</v>
      </c>
      <c r="W387" s="406" t="e">
        <v>#N/A</v>
      </c>
      <c r="X387" s="406">
        <v>87.29946590590194</v>
      </c>
      <c r="Y387" s="405">
        <f t="shared" si="59"/>
        <v>117.13823168991668</v>
      </c>
      <c r="Z387" s="406" t="e">
        <v>#N/A</v>
      </c>
      <c r="AA387" s="406">
        <v>90.03186258513324</v>
      </c>
      <c r="AB387" s="442">
        <f t="shared" si="60"/>
        <v>119.59278737376094</v>
      </c>
      <c r="AC387" s="438">
        <f t="shared" si="61"/>
        <v>123.15104920594534</v>
      </c>
      <c r="AD387" s="410"/>
      <c r="AE387" s="411"/>
      <c r="AF387" s="411"/>
      <c r="AG387" s="411"/>
    </row>
    <row r="388" spans="1:33" x14ac:dyDescent="0.2">
      <c r="A388" s="36" t="s">
        <v>1681</v>
      </c>
      <c r="B388" s="18" t="str">
        <f>VLOOKUP(LEFT(A388,7),'Tariff Schedule Lookup Table'!$A$8:$G$186,2,FALSE)</f>
        <v>Compact Fluorescent 1x42</v>
      </c>
      <c r="C388" s="160">
        <f t="shared" si="62"/>
        <v>1620</v>
      </c>
      <c r="D388" s="18">
        <f t="shared" si="63"/>
        <v>2</v>
      </c>
      <c r="E388" s="18" t="str">
        <f>VLOOKUP(C388,'Tariff Schedule Lookup Table'!I$7:L$286,2,FALSE)</f>
        <v>COMPACT FLUORESCENT 42W</v>
      </c>
      <c r="F388" s="18" t="str">
        <f>IF(E388 = "BULKHEADS ETC", "SHARED OR NO POLE", VLOOKUP(C388,'Tariff Schedule Lookup Table'!I$7:L$286,3,FALSE))</f>
        <v>SHARED OR NO POLE</v>
      </c>
      <c r="G388" s="18">
        <f>IF(E388 = "NO CAPITAL", 1, VLOOKUP(C388,'Tariff Schedule Lookup Table'!I$7:L$286,4,FALSE))</f>
        <v>1</v>
      </c>
      <c r="H388" s="18" t="str">
        <f t="shared" si="54"/>
        <v>2-Unmetered, Funded by Others, CE Maintained</v>
      </c>
      <c r="I388" s="123">
        <f>VLOOKUP(F388,'Maintenance Model'!$A$57:$B$61,2,FALSE)</f>
        <v>0</v>
      </c>
      <c r="J388" s="123">
        <f>IF(D388=1,VLOOKUP(C388,'Capital Code Schedules'!A$15:F$300,2,FALSE),IF(D388=2,VLOOKUP(C388,'Capital Code Schedules'!A$15:F$300,3,FALSE),0))</f>
        <v>0</v>
      </c>
      <c r="K388" s="123">
        <v>0</v>
      </c>
      <c r="L388" s="123">
        <f>VLOOKUP(LEFT(A388,10),'Streetlight Tariff Schedule'!B$11:G$260,6, FALSE)+I388</f>
        <v>80.145074857589805</v>
      </c>
      <c r="M388" s="161">
        <f t="shared" si="55"/>
        <v>80.145074857589805</v>
      </c>
      <c r="N388" s="405">
        <f t="shared" si="56"/>
        <v>83.484609727064964</v>
      </c>
      <c r="O388" s="405">
        <v>51.369516903118786</v>
      </c>
      <c r="P388" s="406">
        <v>51.369516903118786</v>
      </c>
      <c r="Q388" s="406">
        <v>53.883482616925875</v>
      </c>
      <c r="R388" s="406">
        <v>53.883482616925875</v>
      </c>
      <c r="S388" s="405">
        <f t="shared" si="57"/>
        <v>87.57025154612721</v>
      </c>
      <c r="T388" s="406">
        <v>56.09654110391606</v>
      </c>
      <c r="U388" s="406">
        <v>56.301478101942052</v>
      </c>
      <c r="V388" s="405">
        <f t="shared" si="58"/>
        <v>91.499924658862369</v>
      </c>
      <c r="W388" s="406">
        <v>58.138607053559099</v>
      </c>
      <c r="X388" s="406">
        <v>58.872018839639445</v>
      </c>
      <c r="Y388" s="405">
        <f t="shared" si="59"/>
        <v>95.677510963185966</v>
      </c>
      <c r="Z388" s="406">
        <v>59.817976138605538</v>
      </c>
      <c r="AA388" s="406">
        <v>60.794233277482242</v>
      </c>
      <c r="AB388" s="442">
        <f t="shared" si="60"/>
        <v>97.754357962239752</v>
      </c>
      <c r="AC388" s="438">
        <f t="shared" si="61"/>
        <v>100.6771214985489</v>
      </c>
      <c r="AD388" s="410"/>
      <c r="AE388" s="411"/>
      <c r="AF388" s="411"/>
      <c r="AG388" s="411"/>
    </row>
    <row r="389" spans="1:33" x14ac:dyDescent="0.2">
      <c r="A389" s="36" t="s">
        <v>1682</v>
      </c>
      <c r="B389" s="18" t="str">
        <f>VLOOKUP(LEFT(A389,7),'Tariff Schedule Lookup Table'!$A$8:$G$186,2,FALSE)</f>
        <v>Compact Fluorescent 1x42</v>
      </c>
      <c r="C389" s="160">
        <f t="shared" si="62"/>
        <v>1630</v>
      </c>
      <c r="D389" s="18">
        <f t="shared" si="63"/>
        <v>1</v>
      </c>
      <c r="E389" s="18" t="str">
        <f>VLOOKUP(C389,'Tariff Schedule Lookup Table'!I$7:L$286,2,FALSE)</f>
        <v>COMPACT FLUORESCENT 42W</v>
      </c>
      <c r="F389" s="18" t="str">
        <f>IF(E389 = "BULKHEADS ETC", "SHARED OR NO POLE", VLOOKUP(C389,'Tariff Schedule Lookup Table'!I$7:L$286,3,FALSE))</f>
        <v>SHARED OR NO POLE</v>
      </c>
      <c r="G389" s="18">
        <f>IF(E389 = "NO CAPITAL", 1, VLOOKUP(C389,'Tariff Schedule Lookup Table'!I$7:L$286,4,FALSE))</f>
        <v>2</v>
      </c>
      <c r="H389" s="18" t="str">
        <f t="shared" si="54"/>
        <v>1-Unmetered, CE Funded, CE Maintained</v>
      </c>
      <c r="I389" s="123">
        <f>VLOOKUP(F389,'Maintenance Model'!$A$57:$B$61,2,FALSE)</f>
        <v>0</v>
      </c>
      <c r="J389" s="123" t="e">
        <f>IF(D389=1,VLOOKUP(C389,'Capital Code Schedules'!A$15:F$300,2,FALSE),IF(D389=2,VLOOKUP(C389,'Capital Code Schedules'!A$15:F$300,3,FALSE),0))</f>
        <v>#N/A</v>
      </c>
      <c r="K389" s="123" t="e">
        <v>#N/A</v>
      </c>
      <c r="L389" s="123">
        <f>VLOOKUP(LEFT(A389,10),'Streetlight Tariff Schedule'!B$11:G$260,6, FALSE)+I389</f>
        <v>80.145074857589805</v>
      </c>
      <c r="M389" s="161" t="e">
        <f t="shared" si="55"/>
        <v>#N/A</v>
      </c>
      <c r="N389" s="405" t="e">
        <f t="shared" si="56"/>
        <v>#N/A</v>
      </c>
      <c r="O389" s="405" t="e">
        <v>#N/A</v>
      </c>
      <c r="P389" s="406" t="e">
        <v>#N/A</v>
      </c>
      <c r="Q389" s="406" t="e">
        <v>#N/A</v>
      </c>
      <c r="R389" s="406" t="e">
        <v>#N/A</v>
      </c>
      <c r="S389" s="405" t="e">
        <f t="shared" si="57"/>
        <v>#N/A</v>
      </c>
      <c r="T389" s="406" t="e">
        <v>#N/A</v>
      </c>
      <c r="U389" s="406" t="e">
        <v>#N/A</v>
      </c>
      <c r="V389" s="405" t="e">
        <f t="shared" si="58"/>
        <v>#N/A</v>
      </c>
      <c r="W389" s="406" t="e">
        <v>#N/A</v>
      </c>
      <c r="X389" s="406" t="e">
        <v>#N/A</v>
      </c>
      <c r="Y389" s="405" t="e">
        <f t="shared" si="59"/>
        <v>#N/A</v>
      </c>
      <c r="Z389" s="406" t="e">
        <v>#N/A</v>
      </c>
      <c r="AA389" s="406" t="e">
        <v>#N/A</v>
      </c>
      <c r="AB389" s="442" t="e">
        <f t="shared" si="60"/>
        <v>#N/A</v>
      </c>
      <c r="AC389" s="438" t="e">
        <f t="shared" si="61"/>
        <v>#N/A</v>
      </c>
      <c r="AD389" s="410"/>
      <c r="AE389" s="411"/>
      <c r="AF389" s="411"/>
      <c r="AG389" s="411"/>
    </row>
    <row r="390" spans="1:33" x14ac:dyDescent="0.2">
      <c r="A390" s="36" t="s">
        <v>1683</v>
      </c>
      <c r="B390" s="18" t="str">
        <f>VLOOKUP(LEFT(A390,7),'Tariff Schedule Lookup Table'!$A$8:$G$186,2,FALSE)</f>
        <v>Compact Fluorescent 1x42</v>
      </c>
      <c r="C390" s="160">
        <f t="shared" si="62"/>
        <v>1630</v>
      </c>
      <c r="D390" s="18">
        <f t="shared" si="63"/>
        <v>2</v>
      </c>
      <c r="E390" s="18" t="str">
        <f>VLOOKUP(C390,'Tariff Schedule Lookup Table'!I$7:L$286,2,FALSE)</f>
        <v>COMPACT FLUORESCENT 42W</v>
      </c>
      <c r="F390" s="18" t="str">
        <f>IF(E390 = "BULKHEADS ETC", "SHARED OR NO POLE", VLOOKUP(C390,'Tariff Schedule Lookup Table'!I$7:L$286,3,FALSE))</f>
        <v>SHARED OR NO POLE</v>
      </c>
      <c r="G390" s="18">
        <f>IF(E390 = "NO CAPITAL", 1, VLOOKUP(C390,'Tariff Schedule Lookup Table'!I$7:L$286,4,FALSE))</f>
        <v>2</v>
      </c>
      <c r="H390" s="18" t="str">
        <f t="shared" si="54"/>
        <v>2-Unmetered, Funded by Others, CE Maintained</v>
      </c>
      <c r="I390" s="123">
        <f>VLOOKUP(F390,'Maintenance Model'!$A$57:$B$61,2,FALSE)</f>
        <v>0</v>
      </c>
      <c r="J390" s="123">
        <f>IF(D390=1,VLOOKUP(C390,'Capital Code Schedules'!A$15:F$300,2,FALSE),IF(D390=2,VLOOKUP(C390,'Capital Code Schedules'!A$15:F$300,3,FALSE),0))</f>
        <v>0</v>
      </c>
      <c r="K390" s="123">
        <v>0</v>
      </c>
      <c r="L390" s="123">
        <f>VLOOKUP(LEFT(A390,10),'Streetlight Tariff Schedule'!B$11:G$260,6, FALSE)+I390</f>
        <v>80.145074857589805</v>
      </c>
      <c r="M390" s="161">
        <f t="shared" si="55"/>
        <v>80.145074857589805</v>
      </c>
      <c r="N390" s="405">
        <f t="shared" si="56"/>
        <v>83.484609727064964</v>
      </c>
      <c r="O390" s="405">
        <v>51.369516903118786</v>
      </c>
      <c r="P390" s="406">
        <v>51.369516903118786</v>
      </c>
      <c r="Q390" s="406">
        <v>53.883482616925875</v>
      </c>
      <c r="R390" s="406">
        <v>53.883482616925875</v>
      </c>
      <c r="S390" s="405">
        <f t="shared" si="57"/>
        <v>87.57025154612721</v>
      </c>
      <c r="T390" s="406">
        <v>56.09654110391606</v>
      </c>
      <c r="U390" s="406">
        <v>56.301478101942052</v>
      </c>
      <c r="V390" s="405">
        <f t="shared" si="58"/>
        <v>91.499924658862369</v>
      </c>
      <c r="W390" s="406">
        <v>58.138607053559099</v>
      </c>
      <c r="X390" s="406">
        <v>58.872018839639445</v>
      </c>
      <c r="Y390" s="405">
        <f t="shared" si="59"/>
        <v>95.677510963185966</v>
      </c>
      <c r="Z390" s="406">
        <v>59.817976138605538</v>
      </c>
      <c r="AA390" s="406">
        <v>60.794233277482242</v>
      </c>
      <c r="AB390" s="442">
        <f t="shared" si="60"/>
        <v>97.754357962239752</v>
      </c>
      <c r="AC390" s="438">
        <f t="shared" si="61"/>
        <v>100.6771214985489</v>
      </c>
      <c r="AD390" s="410"/>
      <c r="AE390" s="411"/>
      <c r="AF390" s="411"/>
      <c r="AG390" s="411"/>
    </row>
    <row r="391" spans="1:33" x14ac:dyDescent="0.2">
      <c r="A391" s="36" t="s">
        <v>1684</v>
      </c>
      <c r="B391" s="18" t="str">
        <f>VLOOKUP(LEFT(A391,7),'Tariff Schedule Lookup Table'!$A$8:$G$186,2,FALSE)</f>
        <v>Compact Fluorescent 1x42</v>
      </c>
      <c r="C391" s="160">
        <f t="shared" si="62"/>
        <v>1640</v>
      </c>
      <c r="D391" s="18">
        <f t="shared" si="63"/>
        <v>1</v>
      </c>
      <c r="E391" s="18" t="str">
        <f>VLOOKUP(C391,'Tariff Schedule Lookup Table'!I$7:L$286,2,FALSE)</f>
        <v>COMPACT FLUORESCENT 42W</v>
      </c>
      <c r="F391" s="18" t="str">
        <f>IF(E391 = "BULKHEADS ETC", "SHARED OR NO POLE", VLOOKUP(C391,'Tariff Schedule Lookup Table'!I$7:L$286,3,FALSE))</f>
        <v>SHARED OR NO POLE</v>
      </c>
      <c r="G391" s="18">
        <f>IF(E391 = "NO CAPITAL", 1, VLOOKUP(C391,'Tariff Schedule Lookup Table'!I$7:L$286,4,FALSE))</f>
        <v>3</v>
      </c>
      <c r="H391" s="18" t="str">
        <f t="shared" si="54"/>
        <v>1-Unmetered, CE Funded, CE Maintained</v>
      </c>
      <c r="I391" s="123">
        <f>VLOOKUP(F391,'Maintenance Model'!$A$57:$B$61,2,FALSE)</f>
        <v>0</v>
      </c>
      <c r="J391" s="123" t="e">
        <f>IF(D391=1,VLOOKUP(C391,'Capital Code Schedules'!A$15:F$300,2,FALSE),IF(D391=2,VLOOKUP(C391,'Capital Code Schedules'!A$15:F$300,3,FALSE),0))</f>
        <v>#N/A</v>
      </c>
      <c r="K391" s="123" t="e">
        <v>#N/A</v>
      </c>
      <c r="L391" s="123">
        <f>VLOOKUP(LEFT(A391,10),'Streetlight Tariff Schedule'!B$11:G$260,6, FALSE)+I391</f>
        <v>80.145074857589805</v>
      </c>
      <c r="M391" s="161" t="e">
        <f t="shared" si="55"/>
        <v>#N/A</v>
      </c>
      <c r="N391" s="405" t="e">
        <f t="shared" si="56"/>
        <v>#N/A</v>
      </c>
      <c r="O391" s="405" t="e">
        <v>#N/A</v>
      </c>
      <c r="P391" s="406" t="e">
        <v>#N/A</v>
      </c>
      <c r="Q391" s="406" t="e">
        <v>#N/A</v>
      </c>
      <c r="R391" s="406" t="e">
        <v>#N/A</v>
      </c>
      <c r="S391" s="405" t="e">
        <f t="shared" si="57"/>
        <v>#N/A</v>
      </c>
      <c r="T391" s="406" t="e">
        <v>#N/A</v>
      </c>
      <c r="U391" s="406" t="e">
        <v>#N/A</v>
      </c>
      <c r="V391" s="405" t="e">
        <f t="shared" si="58"/>
        <v>#N/A</v>
      </c>
      <c r="W391" s="406" t="e">
        <v>#N/A</v>
      </c>
      <c r="X391" s="406" t="e">
        <v>#N/A</v>
      </c>
      <c r="Y391" s="405" t="e">
        <f t="shared" si="59"/>
        <v>#N/A</v>
      </c>
      <c r="Z391" s="406" t="e">
        <v>#N/A</v>
      </c>
      <c r="AA391" s="406" t="e">
        <v>#N/A</v>
      </c>
      <c r="AB391" s="442" t="e">
        <f t="shared" si="60"/>
        <v>#N/A</v>
      </c>
      <c r="AC391" s="438" t="e">
        <f t="shared" si="61"/>
        <v>#N/A</v>
      </c>
      <c r="AD391" s="410"/>
      <c r="AE391" s="411"/>
      <c r="AF391" s="411"/>
      <c r="AG391" s="411"/>
    </row>
    <row r="392" spans="1:33" x14ac:dyDescent="0.2">
      <c r="A392" s="36" t="s">
        <v>1685</v>
      </c>
      <c r="B392" s="18" t="str">
        <f>VLOOKUP(LEFT(A392,7),'Tariff Schedule Lookup Table'!$A$8:$G$186,2,FALSE)</f>
        <v>Compact Fluorescent 1x42</v>
      </c>
      <c r="C392" s="160">
        <f t="shared" si="62"/>
        <v>1640</v>
      </c>
      <c r="D392" s="18">
        <f t="shared" si="63"/>
        <v>2</v>
      </c>
      <c r="E392" s="18" t="str">
        <f>VLOOKUP(C392,'Tariff Schedule Lookup Table'!I$7:L$286,2,FALSE)</f>
        <v>COMPACT FLUORESCENT 42W</v>
      </c>
      <c r="F392" s="18" t="str">
        <f>IF(E392 = "BULKHEADS ETC", "SHARED OR NO POLE", VLOOKUP(C392,'Tariff Schedule Lookup Table'!I$7:L$286,3,FALSE))</f>
        <v>SHARED OR NO POLE</v>
      </c>
      <c r="G392" s="18">
        <f>IF(E392 = "NO CAPITAL", 1, VLOOKUP(C392,'Tariff Schedule Lookup Table'!I$7:L$286,4,FALSE))</f>
        <v>3</v>
      </c>
      <c r="H392" s="18" t="str">
        <f t="shared" si="54"/>
        <v>2-Unmetered, Funded by Others, CE Maintained</v>
      </c>
      <c r="I392" s="123">
        <f>VLOOKUP(F392,'Maintenance Model'!$A$57:$B$61,2,FALSE)</f>
        <v>0</v>
      </c>
      <c r="J392" s="123">
        <f>IF(D392=1,VLOOKUP(C392,'Capital Code Schedules'!A$15:F$300,2,FALSE),IF(D392=2,VLOOKUP(C392,'Capital Code Schedules'!A$15:F$300,3,FALSE),0))</f>
        <v>0</v>
      </c>
      <c r="K392" s="123">
        <v>0</v>
      </c>
      <c r="L392" s="123">
        <f>VLOOKUP(LEFT(A392,10),'Streetlight Tariff Schedule'!B$11:G$260,6, FALSE)+I392</f>
        <v>80.145074857589805</v>
      </c>
      <c r="M392" s="161">
        <f t="shared" si="55"/>
        <v>80.145074857589805</v>
      </c>
      <c r="N392" s="405">
        <f t="shared" si="56"/>
        <v>83.484609727064964</v>
      </c>
      <c r="O392" s="405">
        <v>51.369516903118786</v>
      </c>
      <c r="P392" s="406">
        <v>51.369516903118786</v>
      </c>
      <c r="Q392" s="406">
        <v>53.883482616925875</v>
      </c>
      <c r="R392" s="406">
        <v>53.883482616925875</v>
      </c>
      <c r="S392" s="405">
        <f t="shared" si="57"/>
        <v>87.57025154612721</v>
      </c>
      <c r="T392" s="406">
        <v>56.09654110391606</v>
      </c>
      <c r="U392" s="406">
        <v>56.301478101942052</v>
      </c>
      <c r="V392" s="405">
        <f t="shared" si="58"/>
        <v>91.499924658862369</v>
      </c>
      <c r="W392" s="406">
        <v>58.138607053559099</v>
      </c>
      <c r="X392" s="406">
        <v>58.872018839639445</v>
      </c>
      <c r="Y392" s="405">
        <f t="shared" si="59"/>
        <v>95.677510963185966</v>
      </c>
      <c r="Z392" s="406">
        <v>59.817976138605538</v>
      </c>
      <c r="AA392" s="406">
        <v>60.794233277482242</v>
      </c>
      <c r="AB392" s="442">
        <f t="shared" si="60"/>
        <v>97.754357962239752</v>
      </c>
      <c r="AC392" s="438">
        <f t="shared" si="61"/>
        <v>100.6771214985489</v>
      </c>
      <c r="AD392" s="410"/>
      <c r="AE392" s="411"/>
      <c r="AF392" s="411"/>
      <c r="AG392" s="411"/>
    </row>
    <row r="393" spans="1:33" x14ac:dyDescent="0.2">
      <c r="A393" s="36" t="s">
        <v>1686</v>
      </c>
      <c r="B393" s="18" t="str">
        <f>VLOOKUP(LEFT(A393,7),'Tariff Schedule Lookup Table'!$A$8:$G$186,2,FALSE)</f>
        <v>Compact Fluorescent 1x42</v>
      </c>
      <c r="C393" s="160">
        <f t="shared" si="62"/>
        <v>1650</v>
      </c>
      <c r="D393" s="18">
        <f t="shared" si="63"/>
        <v>1</v>
      </c>
      <c r="E393" s="18" t="str">
        <f>VLOOKUP(C393,'Tariff Schedule Lookup Table'!I$7:L$286,2,FALSE)</f>
        <v>COMPACT FLUORESCENT 42W</v>
      </c>
      <c r="F393" s="18" t="str">
        <f>IF(E393 = "BULKHEADS ETC", "SHARED OR NO POLE", VLOOKUP(C393,'Tariff Schedule Lookup Table'!I$7:L$286,3,FALSE))</f>
        <v>SHARED OR NO POLE</v>
      </c>
      <c r="G393" s="18">
        <f>IF(E393 = "NO CAPITAL", 1, VLOOKUP(C393,'Tariff Schedule Lookup Table'!I$7:L$286,4,FALSE))</f>
        <v>4</v>
      </c>
      <c r="H393" s="18" t="str">
        <f t="shared" si="54"/>
        <v>1-Unmetered, CE Funded, CE Maintained</v>
      </c>
      <c r="I393" s="123">
        <f>VLOOKUP(F393,'Maintenance Model'!$A$57:$B$61,2,FALSE)</f>
        <v>0</v>
      </c>
      <c r="J393" s="123" t="e">
        <f>IF(D393=1,VLOOKUP(C393,'Capital Code Schedules'!A$15:F$300,2,FALSE),IF(D393=2,VLOOKUP(C393,'Capital Code Schedules'!A$15:F$300,3,FALSE),0))</f>
        <v>#N/A</v>
      </c>
      <c r="K393" s="123" t="e">
        <v>#N/A</v>
      </c>
      <c r="L393" s="123">
        <f>VLOOKUP(LEFT(A393,10),'Streetlight Tariff Schedule'!B$11:G$260,6, FALSE)+I393</f>
        <v>80.145074857589805</v>
      </c>
      <c r="M393" s="161" t="e">
        <f t="shared" si="55"/>
        <v>#N/A</v>
      </c>
      <c r="N393" s="405" t="e">
        <f t="shared" si="56"/>
        <v>#N/A</v>
      </c>
      <c r="O393" s="405" t="e">
        <v>#N/A</v>
      </c>
      <c r="P393" s="406" t="e">
        <v>#N/A</v>
      </c>
      <c r="Q393" s="406" t="e">
        <v>#N/A</v>
      </c>
      <c r="R393" s="406" t="e">
        <v>#N/A</v>
      </c>
      <c r="S393" s="405" t="e">
        <f t="shared" si="57"/>
        <v>#N/A</v>
      </c>
      <c r="T393" s="406" t="e">
        <v>#N/A</v>
      </c>
      <c r="U393" s="406" t="e">
        <v>#N/A</v>
      </c>
      <c r="V393" s="405" t="e">
        <f t="shared" si="58"/>
        <v>#N/A</v>
      </c>
      <c r="W393" s="406" t="e">
        <v>#N/A</v>
      </c>
      <c r="X393" s="406" t="e">
        <v>#N/A</v>
      </c>
      <c r="Y393" s="405" t="e">
        <f t="shared" si="59"/>
        <v>#N/A</v>
      </c>
      <c r="Z393" s="406" t="e">
        <v>#N/A</v>
      </c>
      <c r="AA393" s="406" t="e">
        <v>#N/A</v>
      </c>
      <c r="AB393" s="442" t="e">
        <f t="shared" si="60"/>
        <v>#N/A</v>
      </c>
      <c r="AC393" s="438" t="e">
        <f t="shared" si="61"/>
        <v>#N/A</v>
      </c>
      <c r="AD393" s="410"/>
      <c r="AE393" s="411"/>
      <c r="AF393" s="411"/>
      <c r="AG393" s="411"/>
    </row>
    <row r="394" spans="1:33" x14ac:dyDescent="0.2">
      <c r="A394" s="36" t="s">
        <v>1687</v>
      </c>
      <c r="B394" s="18" t="str">
        <f>VLOOKUP(LEFT(A394,7),'Tariff Schedule Lookup Table'!$A$8:$G$186,2,FALSE)</f>
        <v>Compact Fluorescent 1x42</v>
      </c>
      <c r="C394" s="160">
        <f t="shared" si="62"/>
        <v>1650</v>
      </c>
      <c r="D394" s="18">
        <f t="shared" si="63"/>
        <v>2</v>
      </c>
      <c r="E394" s="18" t="str">
        <f>VLOOKUP(C394,'Tariff Schedule Lookup Table'!I$7:L$286,2,FALSE)</f>
        <v>COMPACT FLUORESCENT 42W</v>
      </c>
      <c r="F394" s="18" t="str">
        <f>IF(E394 = "BULKHEADS ETC", "SHARED OR NO POLE", VLOOKUP(C394,'Tariff Schedule Lookup Table'!I$7:L$286,3,FALSE))</f>
        <v>SHARED OR NO POLE</v>
      </c>
      <c r="G394" s="18">
        <f>IF(E394 = "NO CAPITAL", 1, VLOOKUP(C394,'Tariff Schedule Lookup Table'!I$7:L$286,4,FALSE))</f>
        <v>4</v>
      </c>
      <c r="H394" s="18" t="str">
        <f t="shared" si="54"/>
        <v>2-Unmetered, Funded by Others, CE Maintained</v>
      </c>
      <c r="I394" s="123">
        <f>VLOOKUP(F394,'Maintenance Model'!$A$57:$B$61,2,FALSE)</f>
        <v>0</v>
      </c>
      <c r="J394" s="123">
        <f>IF(D394=1,VLOOKUP(C394,'Capital Code Schedules'!A$15:F$300,2,FALSE),IF(D394=2,VLOOKUP(C394,'Capital Code Schedules'!A$15:F$300,3,FALSE),0))</f>
        <v>0</v>
      </c>
      <c r="K394" s="123">
        <v>0</v>
      </c>
      <c r="L394" s="123">
        <f>VLOOKUP(LEFT(A394,10),'Streetlight Tariff Schedule'!B$11:G$260,6, FALSE)+I394</f>
        <v>80.145074857589805</v>
      </c>
      <c r="M394" s="161">
        <f t="shared" si="55"/>
        <v>80.145074857589805</v>
      </c>
      <c r="N394" s="405">
        <f t="shared" si="56"/>
        <v>83.484609727064964</v>
      </c>
      <c r="O394" s="405">
        <v>51.369516903118786</v>
      </c>
      <c r="P394" s="406">
        <v>51.369516903118786</v>
      </c>
      <c r="Q394" s="406">
        <v>53.883482616925875</v>
      </c>
      <c r="R394" s="406">
        <v>53.883482616925875</v>
      </c>
      <c r="S394" s="405">
        <f t="shared" si="57"/>
        <v>87.57025154612721</v>
      </c>
      <c r="T394" s="406">
        <v>56.09654110391606</v>
      </c>
      <c r="U394" s="406">
        <v>56.301478101942052</v>
      </c>
      <c r="V394" s="405">
        <f t="shared" si="58"/>
        <v>91.499924658862369</v>
      </c>
      <c r="W394" s="406">
        <v>58.138607053559099</v>
      </c>
      <c r="X394" s="406">
        <v>58.872018839639445</v>
      </c>
      <c r="Y394" s="405">
        <f t="shared" si="59"/>
        <v>95.677510963185966</v>
      </c>
      <c r="Z394" s="406">
        <v>59.817976138605538</v>
      </c>
      <c r="AA394" s="406">
        <v>60.794233277482242</v>
      </c>
      <c r="AB394" s="442">
        <f t="shared" si="60"/>
        <v>97.754357962239752</v>
      </c>
      <c r="AC394" s="438">
        <f t="shared" si="61"/>
        <v>100.6771214985489</v>
      </c>
      <c r="AD394" s="410"/>
      <c r="AE394" s="411"/>
      <c r="AF394" s="411"/>
      <c r="AG394" s="411"/>
    </row>
    <row r="395" spans="1:33" x14ac:dyDescent="0.2">
      <c r="A395" s="36" t="s">
        <v>1688</v>
      </c>
      <c r="B395" s="18" t="str">
        <f>VLOOKUP(LEFT(A395,7),'Tariff Schedule Lookup Table'!$A$8:$G$186,2,FALSE)</f>
        <v>Compact Fluorescent 1x42</v>
      </c>
      <c r="C395" s="160">
        <f t="shared" si="62"/>
        <v>1660</v>
      </c>
      <c r="D395" s="18">
        <f t="shared" si="63"/>
        <v>1</v>
      </c>
      <c r="E395" s="18" t="str">
        <f>VLOOKUP(C395,'Tariff Schedule Lookup Table'!I$7:L$286,2,FALSE)</f>
        <v>COMPACT FLUORESCENT 42W</v>
      </c>
      <c r="F395" s="18" t="str">
        <f>IF(E395 = "BULKHEADS ETC", "SHARED OR NO POLE", VLOOKUP(C395,'Tariff Schedule Lookup Table'!I$7:L$286,3,FALSE))</f>
        <v>WOOD POLE</v>
      </c>
      <c r="G395" s="18">
        <f>IF(E395 = "NO CAPITAL", 1, VLOOKUP(C395,'Tariff Schedule Lookup Table'!I$7:L$286,4,FALSE))</f>
        <v>1</v>
      </c>
      <c r="H395" s="18" t="str">
        <f t="shared" si="54"/>
        <v>1-Unmetered, CE Funded, CE Maintained</v>
      </c>
      <c r="I395" s="123">
        <f>VLOOKUP(F395,'Maintenance Model'!$A$57:$B$61,2,FALSE)</f>
        <v>10.731618231111112</v>
      </c>
      <c r="J395" s="123" t="e">
        <f>IF(D395=1,VLOOKUP(C395,'Capital Code Schedules'!A$15:F$300,2,FALSE),IF(D395=2,VLOOKUP(C395,'Capital Code Schedules'!A$15:F$300,3,FALSE),0))</f>
        <v>#N/A</v>
      </c>
      <c r="K395" s="123" t="e">
        <v>#N/A</v>
      </c>
      <c r="L395" s="123">
        <f>VLOOKUP(LEFT(A395,10),'Streetlight Tariff Schedule'!B$11:G$260,6, FALSE)+I395</f>
        <v>90.876693088700918</v>
      </c>
      <c r="M395" s="161" t="e">
        <f t="shared" si="55"/>
        <v>#N/A</v>
      </c>
      <c r="N395" s="405" t="e">
        <f t="shared" si="56"/>
        <v>#N/A</v>
      </c>
      <c r="O395" s="405" t="e">
        <v>#N/A</v>
      </c>
      <c r="P395" s="406" t="e">
        <v>#N/A</v>
      </c>
      <c r="Q395" s="406" t="e">
        <v>#N/A</v>
      </c>
      <c r="R395" s="406" t="e">
        <v>#N/A</v>
      </c>
      <c r="S395" s="405" t="e">
        <f t="shared" si="57"/>
        <v>#N/A</v>
      </c>
      <c r="T395" s="406" t="e">
        <v>#N/A</v>
      </c>
      <c r="U395" s="406" t="e">
        <v>#N/A</v>
      </c>
      <c r="V395" s="405" t="e">
        <f t="shared" si="58"/>
        <v>#N/A</v>
      </c>
      <c r="W395" s="406" t="e">
        <v>#N/A</v>
      </c>
      <c r="X395" s="406" t="e">
        <v>#N/A</v>
      </c>
      <c r="Y395" s="405" t="e">
        <f t="shared" si="59"/>
        <v>#N/A</v>
      </c>
      <c r="Z395" s="406" t="e">
        <v>#N/A</v>
      </c>
      <c r="AA395" s="406" t="e">
        <v>#N/A</v>
      </c>
      <c r="AB395" s="442" t="e">
        <f t="shared" si="60"/>
        <v>#N/A</v>
      </c>
      <c r="AC395" s="438" t="e">
        <f t="shared" si="61"/>
        <v>#N/A</v>
      </c>
      <c r="AD395" s="410"/>
      <c r="AE395" s="411"/>
      <c r="AF395" s="411"/>
      <c r="AG395" s="411"/>
    </row>
    <row r="396" spans="1:33" x14ac:dyDescent="0.2">
      <c r="A396" s="36" t="s">
        <v>1689</v>
      </c>
      <c r="B396" s="18" t="str">
        <f>VLOOKUP(LEFT(A396,7),'Tariff Schedule Lookup Table'!$A$8:$G$186,2,FALSE)</f>
        <v>Compact Fluorescent 1x42</v>
      </c>
      <c r="C396" s="160">
        <f t="shared" si="62"/>
        <v>1660</v>
      </c>
      <c r="D396" s="18">
        <f t="shared" si="63"/>
        <v>2</v>
      </c>
      <c r="E396" s="18" t="str">
        <f>VLOOKUP(C396,'Tariff Schedule Lookup Table'!I$7:L$286,2,FALSE)</f>
        <v>COMPACT FLUORESCENT 42W</v>
      </c>
      <c r="F396" s="18" t="str">
        <f>IF(E396 = "BULKHEADS ETC", "SHARED OR NO POLE", VLOOKUP(C396,'Tariff Schedule Lookup Table'!I$7:L$286,3,FALSE))</f>
        <v>WOOD POLE</v>
      </c>
      <c r="G396" s="18">
        <f>IF(E396 = "NO CAPITAL", 1, VLOOKUP(C396,'Tariff Schedule Lookup Table'!I$7:L$286,4,FALSE))</f>
        <v>1</v>
      </c>
      <c r="H396" s="18" t="str">
        <f t="shared" si="54"/>
        <v>2-Unmetered, Funded by Others, CE Maintained</v>
      </c>
      <c r="I396" s="123">
        <f>VLOOKUP(F396,'Maintenance Model'!$A$57:$B$61,2,FALSE)</f>
        <v>10.731618231111112</v>
      </c>
      <c r="J396" s="123">
        <f>IF(D396=1,VLOOKUP(C396,'Capital Code Schedules'!A$15:F$300,2,FALSE),IF(D396=2,VLOOKUP(C396,'Capital Code Schedules'!A$15:F$300,3,FALSE),0))</f>
        <v>0</v>
      </c>
      <c r="K396" s="123">
        <v>0</v>
      </c>
      <c r="L396" s="123">
        <f>VLOOKUP(LEFT(A396,10),'Streetlight Tariff Schedule'!B$11:G$260,6, FALSE)+I396</f>
        <v>90.876693088700918</v>
      </c>
      <c r="M396" s="161">
        <f t="shared" si="55"/>
        <v>90.876693088700918</v>
      </c>
      <c r="N396" s="405">
        <f t="shared" si="56"/>
        <v>94.663399707062354</v>
      </c>
      <c r="O396" s="405">
        <v>61.765716978542955</v>
      </c>
      <c r="P396" s="406">
        <v>61.765716978542955</v>
      </c>
      <c r="Q396" s="406">
        <v>64.788460896217245</v>
      </c>
      <c r="R396" s="406">
        <v>64.788460896217245</v>
      </c>
      <c r="S396" s="405">
        <f t="shared" si="57"/>
        <v>99.296118789564034</v>
      </c>
      <c r="T396" s="406">
        <v>67.449399764343909</v>
      </c>
      <c r="U396" s="406">
        <v>67.695812060616404</v>
      </c>
      <c r="V396" s="405">
        <f t="shared" si="58"/>
        <v>103.75198458093693</v>
      </c>
      <c r="W396" s="406">
        <v>69.90474050143996</v>
      </c>
      <c r="X396" s="406">
        <v>70.786580696534642</v>
      </c>
      <c r="Y396" s="405">
        <f t="shared" si="59"/>
        <v>108.48895973635564</v>
      </c>
      <c r="Z396" s="406">
        <v>71.923981519515323</v>
      </c>
      <c r="AA396" s="406">
        <v>73.097814285976085</v>
      </c>
      <c r="AB396" s="442">
        <f t="shared" si="60"/>
        <v>110.84390154233147</v>
      </c>
      <c r="AC396" s="438">
        <f t="shared" si="61"/>
        <v>114.15803014389529</v>
      </c>
      <c r="AD396" s="410"/>
      <c r="AE396" s="411"/>
      <c r="AF396" s="411"/>
      <c r="AG396" s="411"/>
    </row>
    <row r="397" spans="1:33" x14ac:dyDescent="0.2">
      <c r="A397" s="36" t="s">
        <v>1690</v>
      </c>
      <c r="B397" s="18" t="str">
        <f>VLOOKUP(LEFT(A397,7),'Tariff Schedule Lookup Table'!$A$8:$G$186,2,FALSE)</f>
        <v>Compact Fluorescent 1x42</v>
      </c>
      <c r="C397" s="160">
        <f t="shared" si="62"/>
        <v>1670</v>
      </c>
      <c r="D397" s="18">
        <f t="shared" si="63"/>
        <v>1</v>
      </c>
      <c r="E397" s="18" t="str">
        <f>VLOOKUP(C397,'Tariff Schedule Lookup Table'!I$7:L$286,2,FALSE)</f>
        <v>COMPACT FLUORESCENT 42W</v>
      </c>
      <c r="F397" s="18" t="str">
        <f>IF(E397 = "BULKHEADS ETC", "SHARED OR NO POLE", VLOOKUP(C397,'Tariff Schedule Lookup Table'!I$7:L$286,3,FALSE))</f>
        <v>WOOD POLE</v>
      </c>
      <c r="G397" s="18">
        <f>IF(E397 = "NO CAPITAL", 1, VLOOKUP(C397,'Tariff Schedule Lookup Table'!I$7:L$286,4,FALSE))</f>
        <v>2</v>
      </c>
      <c r="H397" s="18" t="str">
        <f t="shared" si="54"/>
        <v>1-Unmetered, CE Funded, CE Maintained</v>
      </c>
      <c r="I397" s="123">
        <f>VLOOKUP(F397,'Maintenance Model'!$A$57:$B$61,2,FALSE)</f>
        <v>10.731618231111112</v>
      </c>
      <c r="J397" s="123" t="e">
        <f>IF(D397=1,VLOOKUP(C397,'Capital Code Schedules'!A$15:F$300,2,FALSE),IF(D397=2,VLOOKUP(C397,'Capital Code Schedules'!A$15:F$300,3,FALSE),0))</f>
        <v>#N/A</v>
      </c>
      <c r="K397" s="123" t="e">
        <v>#N/A</v>
      </c>
      <c r="L397" s="123">
        <f>VLOOKUP(LEFT(A397,10),'Streetlight Tariff Schedule'!B$11:G$260,6, FALSE)+I397</f>
        <v>90.876693088700918</v>
      </c>
      <c r="M397" s="161" t="e">
        <f t="shared" si="55"/>
        <v>#N/A</v>
      </c>
      <c r="N397" s="405" t="e">
        <f t="shared" si="56"/>
        <v>#N/A</v>
      </c>
      <c r="O397" s="405" t="e">
        <v>#N/A</v>
      </c>
      <c r="P397" s="406" t="e">
        <v>#N/A</v>
      </c>
      <c r="Q397" s="406" t="e">
        <v>#N/A</v>
      </c>
      <c r="R397" s="406" t="e">
        <v>#N/A</v>
      </c>
      <c r="S397" s="405" t="e">
        <f t="shared" si="57"/>
        <v>#N/A</v>
      </c>
      <c r="T397" s="406" t="e">
        <v>#N/A</v>
      </c>
      <c r="U397" s="406" t="e">
        <v>#N/A</v>
      </c>
      <c r="V397" s="405" t="e">
        <f t="shared" si="58"/>
        <v>#N/A</v>
      </c>
      <c r="W397" s="406" t="e">
        <v>#N/A</v>
      </c>
      <c r="X397" s="406" t="e">
        <v>#N/A</v>
      </c>
      <c r="Y397" s="405" t="e">
        <f t="shared" si="59"/>
        <v>#N/A</v>
      </c>
      <c r="Z397" s="406" t="e">
        <v>#N/A</v>
      </c>
      <c r="AA397" s="406" t="e">
        <v>#N/A</v>
      </c>
      <c r="AB397" s="442" t="e">
        <f t="shared" si="60"/>
        <v>#N/A</v>
      </c>
      <c r="AC397" s="438" t="e">
        <f t="shared" si="61"/>
        <v>#N/A</v>
      </c>
      <c r="AD397" s="410"/>
      <c r="AE397" s="411"/>
      <c r="AF397" s="411"/>
      <c r="AG397" s="411"/>
    </row>
    <row r="398" spans="1:33" x14ac:dyDescent="0.2">
      <c r="A398" s="36" t="s">
        <v>1691</v>
      </c>
      <c r="B398" s="18" t="str">
        <f>VLOOKUP(LEFT(A398,7),'Tariff Schedule Lookup Table'!$A$8:$G$186,2,FALSE)</f>
        <v>Compact Fluorescent 1x42</v>
      </c>
      <c r="C398" s="160">
        <f t="shared" si="62"/>
        <v>1670</v>
      </c>
      <c r="D398" s="18">
        <f t="shared" si="63"/>
        <v>2</v>
      </c>
      <c r="E398" s="18" t="str">
        <f>VLOOKUP(C398,'Tariff Schedule Lookup Table'!I$7:L$286,2,FALSE)</f>
        <v>COMPACT FLUORESCENT 42W</v>
      </c>
      <c r="F398" s="18" t="str">
        <f>IF(E398 = "BULKHEADS ETC", "SHARED OR NO POLE", VLOOKUP(C398,'Tariff Schedule Lookup Table'!I$7:L$286,3,FALSE))</f>
        <v>WOOD POLE</v>
      </c>
      <c r="G398" s="18">
        <f>IF(E398 = "NO CAPITAL", 1, VLOOKUP(C398,'Tariff Schedule Lookup Table'!I$7:L$286,4,FALSE))</f>
        <v>2</v>
      </c>
      <c r="H398" s="18" t="str">
        <f t="shared" si="54"/>
        <v>2-Unmetered, Funded by Others, CE Maintained</v>
      </c>
      <c r="I398" s="123">
        <f>VLOOKUP(F398,'Maintenance Model'!$A$57:$B$61,2,FALSE)</f>
        <v>10.731618231111112</v>
      </c>
      <c r="J398" s="123">
        <f>IF(D398=1,VLOOKUP(C398,'Capital Code Schedules'!A$15:F$300,2,FALSE),IF(D398=2,VLOOKUP(C398,'Capital Code Schedules'!A$15:F$300,3,FALSE),0))</f>
        <v>0</v>
      </c>
      <c r="K398" s="123">
        <v>0</v>
      </c>
      <c r="L398" s="123">
        <f>VLOOKUP(LEFT(A398,10),'Streetlight Tariff Schedule'!B$11:G$260,6, FALSE)+I398</f>
        <v>90.876693088700918</v>
      </c>
      <c r="M398" s="161">
        <f t="shared" si="55"/>
        <v>90.876693088700918</v>
      </c>
      <c r="N398" s="405">
        <f t="shared" si="56"/>
        <v>94.663399707062354</v>
      </c>
      <c r="O398" s="405">
        <v>61.765716978542955</v>
      </c>
      <c r="P398" s="406">
        <v>61.765716978542955</v>
      </c>
      <c r="Q398" s="406">
        <v>64.788460896217245</v>
      </c>
      <c r="R398" s="406">
        <v>64.788460896217245</v>
      </c>
      <c r="S398" s="405">
        <f t="shared" si="57"/>
        <v>99.296118789564034</v>
      </c>
      <c r="T398" s="406">
        <v>67.449399764343909</v>
      </c>
      <c r="U398" s="406">
        <v>67.695812060616404</v>
      </c>
      <c r="V398" s="405">
        <f t="shared" si="58"/>
        <v>103.75198458093693</v>
      </c>
      <c r="W398" s="406">
        <v>69.90474050143996</v>
      </c>
      <c r="X398" s="406">
        <v>70.786580696534642</v>
      </c>
      <c r="Y398" s="405">
        <f t="shared" si="59"/>
        <v>108.48895973635564</v>
      </c>
      <c r="Z398" s="406">
        <v>71.923981519515323</v>
      </c>
      <c r="AA398" s="406">
        <v>73.097814285976085</v>
      </c>
      <c r="AB398" s="442">
        <f t="shared" si="60"/>
        <v>110.84390154233147</v>
      </c>
      <c r="AC398" s="438">
        <f t="shared" si="61"/>
        <v>114.15803014389529</v>
      </c>
      <c r="AD398" s="410"/>
      <c r="AE398" s="411"/>
      <c r="AF398" s="411"/>
      <c r="AG398" s="411"/>
    </row>
    <row r="399" spans="1:33" x14ac:dyDescent="0.2">
      <c r="A399" s="36" t="s">
        <v>1692</v>
      </c>
      <c r="B399" s="18" t="str">
        <f>VLOOKUP(LEFT(A399,7),'Tariff Schedule Lookup Table'!$A$8:$G$186,2,FALSE)</f>
        <v>Compact Fluorescent 1x42</v>
      </c>
      <c r="C399" s="160">
        <f t="shared" ref="C399:C424" si="64">1*MID(A399,12,4)</f>
        <v>1680</v>
      </c>
      <c r="D399" s="18">
        <f t="shared" ref="D399:D424" si="65">1*(MID(A399,17,3))</f>
        <v>1</v>
      </c>
      <c r="E399" s="18" t="str">
        <f>VLOOKUP(C399,'Tariff Schedule Lookup Table'!I$7:L$286,2,FALSE)</f>
        <v>COMPACT FLUORESCENT 42W</v>
      </c>
      <c r="F399" s="18" t="str">
        <f>IF(E399 = "BULKHEADS ETC", "SHARED OR NO POLE", VLOOKUP(C399,'Tariff Schedule Lookup Table'!I$7:L$286,3,FALSE))</f>
        <v>WOOD POLE</v>
      </c>
      <c r="G399" s="18">
        <f>IF(E399 = "NO CAPITAL", 1, VLOOKUP(C399,'Tariff Schedule Lookup Table'!I$7:L$286,4,FALSE))</f>
        <v>3</v>
      </c>
      <c r="H399" s="18" t="str">
        <f t="shared" si="54"/>
        <v>1-Unmetered, CE Funded, CE Maintained</v>
      </c>
      <c r="I399" s="123">
        <f>VLOOKUP(F399,'Maintenance Model'!$A$57:$B$61,2,FALSE)</f>
        <v>10.731618231111112</v>
      </c>
      <c r="J399" s="123" t="e">
        <f>IF(D399=1,VLOOKUP(C399,'Capital Code Schedules'!A$15:F$300,2,FALSE),IF(D399=2,VLOOKUP(C399,'Capital Code Schedules'!A$15:F$300,3,FALSE),0))</f>
        <v>#N/A</v>
      </c>
      <c r="K399" s="123" t="e">
        <v>#N/A</v>
      </c>
      <c r="L399" s="123">
        <f>VLOOKUP(LEFT(A399,10),'Streetlight Tariff Schedule'!B$11:G$260,6, FALSE)+I399</f>
        <v>90.876693088700918</v>
      </c>
      <c r="M399" s="161" t="e">
        <f t="shared" si="55"/>
        <v>#N/A</v>
      </c>
      <c r="N399" s="405" t="e">
        <f t="shared" si="56"/>
        <v>#N/A</v>
      </c>
      <c r="O399" s="405" t="e">
        <v>#N/A</v>
      </c>
      <c r="P399" s="406" t="e">
        <v>#N/A</v>
      </c>
      <c r="Q399" s="406" t="e">
        <v>#N/A</v>
      </c>
      <c r="R399" s="406" t="e">
        <v>#N/A</v>
      </c>
      <c r="S399" s="405" t="e">
        <f t="shared" si="57"/>
        <v>#N/A</v>
      </c>
      <c r="T399" s="406" t="e">
        <v>#N/A</v>
      </c>
      <c r="U399" s="406" t="e">
        <v>#N/A</v>
      </c>
      <c r="V399" s="405" t="e">
        <f t="shared" si="58"/>
        <v>#N/A</v>
      </c>
      <c r="W399" s="406" t="e">
        <v>#N/A</v>
      </c>
      <c r="X399" s="406" t="e">
        <v>#N/A</v>
      </c>
      <c r="Y399" s="405" t="e">
        <f t="shared" si="59"/>
        <v>#N/A</v>
      </c>
      <c r="Z399" s="406" t="e">
        <v>#N/A</v>
      </c>
      <c r="AA399" s="406" t="e">
        <v>#N/A</v>
      </c>
      <c r="AB399" s="442" t="e">
        <f t="shared" si="60"/>
        <v>#N/A</v>
      </c>
      <c r="AC399" s="438" t="e">
        <f t="shared" si="61"/>
        <v>#N/A</v>
      </c>
      <c r="AD399" s="410"/>
      <c r="AE399" s="411"/>
      <c r="AF399" s="411"/>
      <c r="AG399" s="411"/>
    </row>
    <row r="400" spans="1:33" x14ac:dyDescent="0.2">
      <c r="A400" s="36" t="s">
        <v>1693</v>
      </c>
      <c r="B400" s="18" t="str">
        <f>VLOOKUP(LEFT(A400,7),'Tariff Schedule Lookup Table'!$A$8:$G$186,2,FALSE)</f>
        <v>Compact Fluorescent 1x42</v>
      </c>
      <c r="C400" s="160">
        <f t="shared" si="64"/>
        <v>1680</v>
      </c>
      <c r="D400" s="18">
        <f t="shared" si="65"/>
        <v>2</v>
      </c>
      <c r="E400" s="18" t="str">
        <f>VLOOKUP(C400,'Tariff Schedule Lookup Table'!I$7:L$286,2,FALSE)</f>
        <v>COMPACT FLUORESCENT 42W</v>
      </c>
      <c r="F400" s="18" t="str">
        <f>IF(E400 = "BULKHEADS ETC", "SHARED OR NO POLE", VLOOKUP(C400,'Tariff Schedule Lookup Table'!I$7:L$286,3,FALSE))</f>
        <v>WOOD POLE</v>
      </c>
      <c r="G400" s="18">
        <f>IF(E400 = "NO CAPITAL", 1, VLOOKUP(C400,'Tariff Schedule Lookup Table'!I$7:L$286,4,FALSE))</f>
        <v>3</v>
      </c>
      <c r="H400" s="18" t="str">
        <f t="shared" si="54"/>
        <v>2-Unmetered, Funded by Others, CE Maintained</v>
      </c>
      <c r="I400" s="123">
        <f>VLOOKUP(F400,'Maintenance Model'!$A$57:$B$61,2,FALSE)</f>
        <v>10.731618231111112</v>
      </c>
      <c r="J400" s="123">
        <f>IF(D400=1,VLOOKUP(C400,'Capital Code Schedules'!A$15:F$300,2,FALSE),IF(D400=2,VLOOKUP(C400,'Capital Code Schedules'!A$15:F$300,3,FALSE),0))</f>
        <v>0</v>
      </c>
      <c r="K400" s="123">
        <v>0</v>
      </c>
      <c r="L400" s="123">
        <f>VLOOKUP(LEFT(A400,10),'Streetlight Tariff Schedule'!B$11:G$260,6, FALSE)+I400</f>
        <v>90.876693088700918</v>
      </c>
      <c r="M400" s="161">
        <f t="shared" si="55"/>
        <v>90.876693088700918</v>
      </c>
      <c r="N400" s="405">
        <f t="shared" si="56"/>
        <v>94.663399707062354</v>
      </c>
      <c r="O400" s="405">
        <v>61.765716978542955</v>
      </c>
      <c r="P400" s="406">
        <v>61.765716978542955</v>
      </c>
      <c r="Q400" s="406">
        <v>64.788460896217245</v>
      </c>
      <c r="R400" s="406">
        <v>64.788460896217245</v>
      </c>
      <c r="S400" s="405">
        <f t="shared" si="57"/>
        <v>99.296118789564034</v>
      </c>
      <c r="T400" s="406">
        <v>67.449399764343909</v>
      </c>
      <c r="U400" s="406">
        <v>67.695812060616404</v>
      </c>
      <c r="V400" s="405">
        <f t="shared" si="58"/>
        <v>103.75198458093693</v>
      </c>
      <c r="W400" s="406">
        <v>69.90474050143996</v>
      </c>
      <c r="X400" s="406">
        <v>70.786580696534642</v>
      </c>
      <c r="Y400" s="405">
        <f t="shared" si="59"/>
        <v>108.48895973635564</v>
      </c>
      <c r="Z400" s="406">
        <v>71.923981519515323</v>
      </c>
      <c r="AA400" s="406">
        <v>73.097814285976085</v>
      </c>
      <c r="AB400" s="442">
        <f t="shared" si="60"/>
        <v>110.84390154233147</v>
      </c>
      <c r="AC400" s="438">
        <f t="shared" si="61"/>
        <v>114.15803014389529</v>
      </c>
      <c r="AD400" s="410"/>
      <c r="AE400" s="411"/>
      <c r="AF400" s="411"/>
      <c r="AG400" s="411"/>
    </row>
    <row r="401" spans="1:33" x14ac:dyDescent="0.2">
      <c r="A401" s="36" t="s">
        <v>1694</v>
      </c>
      <c r="B401" s="18" t="str">
        <f>VLOOKUP(LEFT(A401,7),'Tariff Schedule Lookup Table'!$A$8:$G$186,2,FALSE)</f>
        <v>Compact Fluorescent 1x42</v>
      </c>
      <c r="C401" s="160">
        <f t="shared" si="64"/>
        <v>1690</v>
      </c>
      <c r="D401" s="18">
        <f t="shared" si="65"/>
        <v>1</v>
      </c>
      <c r="E401" s="18" t="str">
        <f>VLOOKUP(C401,'Tariff Schedule Lookup Table'!I$7:L$286,2,FALSE)</f>
        <v>COMPACT FLUORESCENT 42W</v>
      </c>
      <c r="F401" s="18" t="str">
        <f>IF(E401 = "BULKHEADS ETC", "SHARED OR NO POLE", VLOOKUP(C401,'Tariff Schedule Lookup Table'!I$7:L$286,3,FALSE))</f>
        <v>WOOD POLE</v>
      </c>
      <c r="G401" s="18">
        <f>IF(E401 = "NO CAPITAL", 1, VLOOKUP(C401,'Tariff Schedule Lookup Table'!I$7:L$286,4,FALSE))</f>
        <v>4</v>
      </c>
      <c r="H401" s="18" t="str">
        <f t="shared" si="54"/>
        <v>1-Unmetered, CE Funded, CE Maintained</v>
      </c>
      <c r="I401" s="123">
        <f>VLOOKUP(F401,'Maintenance Model'!$A$57:$B$61,2,FALSE)</f>
        <v>10.731618231111112</v>
      </c>
      <c r="J401" s="123" t="e">
        <f>IF(D401=1,VLOOKUP(C401,'Capital Code Schedules'!A$15:F$300,2,FALSE),IF(D401=2,VLOOKUP(C401,'Capital Code Schedules'!A$15:F$300,3,FALSE),0))</f>
        <v>#N/A</v>
      </c>
      <c r="K401" s="123" t="e">
        <v>#N/A</v>
      </c>
      <c r="L401" s="123">
        <f>VLOOKUP(LEFT(A401,10),'Streetlight Tariff Schedule'!B$11:G$260,6, FALSE)+I401</f>
        <v>90.876693088700918</v>
      </c>
      <c r="M401" s="161" t="e">
        <f t="shared" si="55"/>
        <v>#N/A</v>
      </c>
      <c r="N401" s="405" t="e">
        <f t="shared" si="56"/>
        <v>#N/A</v>
      </c>
      <c r="O401" s="405" t="e">
        <v>#N/A</v>
      </c>
      <c r="P401" s="406" t="e">
        <v>#N/A</v>
      </c>
      <c r="Q401" s="406" t="e">
        <v>#N/A</v>
      </c>
      <c r="R401" s="406" t="e">
        <v>#N/A</v>
      </c>
      <c r="S401" s="405" t="e">
        <f t="shared" si="57"/>
        <v>#N/A</v>
      </c>
      <c r="T401" s="406" t="e">
        <v>#N/A</v>
      </c>
      <c r="U401" s="406" t="e">
        <v>#N/A</v>
      </c>
      <c r="V401" s="405" t="e">
        <f t="shared" si="58"/>
        <v>#N/A</v>
      </c>
      <c r="W401" s="406" t="e">
        <v>#N/A</v>
      </c>
      <c r="X401" s="406" t="e">
        <v>#N/A</v>
      </c>
      <c r="Y401" s="405" t="e">
        <f t="shared" si="59"/>
        <v>#N/A</v>
      </c>
      <c r="Z401" s="406" t="e">
        <v>#N/A</v>
      </c>
      <c r="AA401" s="406" t="e">
        <v>#N/A</v>
      </c>
      <c r="AB401" s="442" t="e">
        <f t="shared" si="60"/>
        <v>#N/A</v>
      </c>
      <c r="AC401" s="438" t="e">
        <f t="shared" si="61"/>
        <v>#N/A</v>
      </c>
      <c r="AD401" s="410"/>
      <c r="AE401" s="411"/>
      <c r="AF401" s="411"/>
      <c r="AG401" s="411"/>
    </row>
    <row r="402" spans="1:33" x14ac:dyDescent="0.2">
      <c r="A402" s="36" t="s">
        <v>1695</v>
      </c>
      <c r="B402" s="18" t="str">
        <f>VLOOKUP(LEFT(A402,7),'Tariff Schedule Lookup Table'!$A$8:$G$186,2,FALSE)</f>
        <v>Compact Fluorescent 1x42</v>
      </c>
      <c r="C402" s="160">
        <f t="shared" si="64"/>
        <v>1690</v>
      </c>
      <c r="D402" s="18">
        <f t="shared" si="65"/>
        <v>2</v>
      </c>
      <c r="E402" s="18" t="str">
        <f>VLOOKUP(C402,'Tariff Schedule Lookup Table'!I$7:L$286,2,FALSE)</f>
        <v>COMPACT FLUORESCENT 42W</v>
      </c>
      <c r="F402" s="18" t="str">
        <f>IF(E402 = "BULKHEADS ETC", "SHARED OR NO POLE", VLOOKUP(C402,'Tariff Schedule Lookup Table'!I$7:L$286,3,FALSE))</f>
        <v>WOOD POLE</v>
      </c>
      <c r="G402" s="18">
        <f>IF(E402 = "NO CAPITAL", 1, VLOOKUP(C402,'Tariff Schedule Lookup Table'!I$7:L$286,4,FALSE))</f>
        <v>4</v>
      </c>
      <c r="H402" s="18" t="str">
        <f t="shared" ref="H402:H465" si="66">VLOOKUP(D402,A$11:B$15, 2, FALSE)</f>
        <v>2-Unmetered, Funded by Others, CE Maintained</v>
      </c>
      <c r="I402" s="123">
        <f>VLOOKUP(F402,'Maintenance Model'!$A$57:$B$61,2,FALSE)</f>
        <v>10.731618231111112</v>
      </c>
      <c r="J402" s="123">
        <f>IF(D402=1,VLOOKUP(C402,'Capital Code Schedules'!A$15:F$300,2,FALSE),IF(D402=2,VLOOKUP(C402,'Capital Code Schedules'!A$15:F$300,3,FALSE),0))</f>
        <v>0</v>
      </c>
      <c r="K402" s="123">
        <v>0</v>
      </c>
      <c r="L402" s="123">
        <f>VLOOKUP(LEFT(A402,10),'Streetlight Tariff Schedule'!B$11:G$260,6, FALSE)+I402</f>
        <v>90.876693088700918</v>
      </c>
      <c r="M402" s="161">
        <f t="shared" si="55"/>
        <v>90.876693088700918</v>
      </c>
      <c r="N402" s="405">
        <f t="shared" si="56"/>
        <v>94.663399707062354</v>
      </c>
      <c r="O402" s="405">
        <v>61.765716978542955</v>
      </c>
      <c r="P402" s="406">
        <v>61.765716978542955</v>
      </c>
      <c r="Q402" s="406">
        <v>64.788460896217245</v>
      </c>
      <c r="R402" s="406">
        <v>64.788460896217245</v>
      </c>
      <c r="S402" s="405">
        <f t="shared" si="57"/>
        <v>99.296118789564034</v>
      </c>
      <c r="T402" s="406">
        <v>67.449399764343909</v>
      </c>
      <c r="U402" s="406">
        <v>67.695812060616404</v>
      </c>
      <c r="V402" s="405">
        <f t="shared" si="58"/>
        <v>103.75198458093693</v>
      </c>
      <c r="W402" s="406">
        <v>69.90474050143996</v>
      </c>
      <c r="X402" s="406">
        <v>70.786580696534642</v>
      </c>
      <c r="Y402" s="405">
        <f t="shared" si="59"/>
        <v>108.48895973635564</v>
      </c>
      <c r="Z402" s="406">
        <v>71.923981519515323</v>
      </c>
      <c r="AA402" s="406">
        <v>73.097814285976085</v>
      </c>
      <c r="AB402" s="442">
        <f t="shared" si="60"/>
        <v>110.84390154233147</v>
      </c>
      <c r="AC402" s="438">
        <f t="shared" si="61"/>
        <v>114.15803014389529</v>
      </c>
      <c r="AD402" s="410"/>
      <c r="AE402" s="411"/>
      <c r="AF402" s="411"/>
      <c r="AG402" s="411"/>
    </row>
    <row r="403" spans="1:33" x14ac:dyDescent="0.2">
      <c r="A403" s="36" t="s">
        <v>1696</v>
      </c>
      <c r="B403" s="18" t="str">
        <f>VLOOKUP(LEFT(A403,7),'Tariff Schedule Lookup Table'!$A$8:$G$186,2,FALSE)</f>
        <v>Compact Fluorescent 1x42</v>
      </c>
      <c r="C403" s="160">
        <f t="shared" si="64"/>
        <v>1700</v>
      </c>
      <c r="D403" s="18">
        <f t="shared" si="65"/>
        <v>1</v>
      </c>
      <c r="E403" s="18" t="str">
        <f>VLOOKUP(C403,'Tariff Schedule Lookup Table'!I$7:L$286,2,FALSE)</f>
        <v>COMPACT FLUORESCENT 42W</v>
      </c>
      <c r="F403" s="18" t="str">
        <f>IF(E403 = "BULKHEADS ETC", "SHARED OR NO POLE", VLOOKUP(C403,'Tariff Schedule Lookup Table'!I$7:L$286,3,FALSE))</f>
        <v>STEEL POLE</v>
      </c>
      <c r="G403" s="18">
        <f>IF(E403 = "NO CAPITAL", 1, VLOOKUP(C403,'Tariff Schedule Lookup Table'!I$7:L$286,4,FALSE))</f>
        <v>1</v>
      </c>
      <c r="H403" s="18" t="str">
        <f t="shared" si="66"/>
        <v>1-Unmetered, CE Funded, CE Maintained</v>
      </c>
      <c r="I403" s="123">
        <f>VLOOKUP(F403,'Maintenance Model'!$A$57:$B$61,2,FALSE)</f>
        <v>9.9616182311111103</v>
      </c>
      <c r="J403" s="123">
        <f>IF(D403=1,VLOOKUP(C403,'Capital Code Schedules'!A$15:F$300,2,FALSE),IF(D403=2,VLOOKUP(C403,'Capital Code Schedules'!A$15:F$300,3,FALSE),0))</f>
        <v>88.217405270904322</v>
      </c>
      <c r="K403" s="123" t="e">
        <v>#N/A</v>
      </c>
      <c r="L403" s="123">
        <f>VLOOKUP(LEFT(A403,10),'Streetlight Tariff Schedule'!B$11:G$260,6, FALSE)+I403</f>
        <v>90.106693088700922</v>
      </c>
      <c r="M403" s="161" t="e">
        <f t="shared" ref="M403:M466" si="67">IF(VLOOKUP(D403,A$11:D$15,3,FALSE)="Y",IF(VLOOKUP(D403,A$11:D$15,4,FALSE)="Y",K403+L403,K403),IF(VLOOKUP(D403,A$11:D$15,4,FALSE)="Y",L403,0))</f>
        <v>#N/A</v>
      </c>
      <c r="N403" s="405">
        <f t="shared" ref="N403:N466" si="68">($J403+$L403+$L403*$M$10*$M$14)*(1+$M$12)</f>
        <v>184.26210091909655</v>
      </c>
      <c r="O403" s="405">
        <v>180.71094132546554</v>
      </c>
      <c r="P403" s="406" t="e">
        <v>#N/A</v>
      </c>
      <c r="Q403" s="406" t="e">
        <v>#N/A</v>
      </c>
      <c r="R403" s="406">
        <v>186.658178026</v>
      </c>
      <c r="S403" s="405">
        <f t="shared" ref="S403:S466" si="69">($J403+$L403+$L403*$N$10*$N$14)*(1+$N$12)</f>
        <v>191.09298633686993</v>
      </c>
      <c r="T403" s="406" t="e">
        <v>#N/A</v>
      </c>
      <c r="U403" s="406">
        <v>193.0250396223237</v>
      </c>
      <c r="V403" s="405">
        <f t="shared" ref="V403:V466" si="70">($J403+$L403+$L403*$O$10*$O$14)*(1+$O$12)</f>
        <v>198.15128634706679</v>
      </c>
      <c r="W403" s="406" t="e">
        <v>#N/A</v>
      </c>
      <c r="X403" s="406">
        <v>200.35413382837285</v>
      </c>
      <c r="Y403" s="405">
        <f t="shared" ref="Y403:Y466" si="71">($J403+$L403+$L403*$P$10*$P$14)*(1+$P$12)</f>
        <v>206.07806258814634</v>
      </c>
      <c r="Z403" s="406" t="e">
        <v>#N/A</v>
      </c>
      <c r="AA403" s="406">
        <v>206.35422720963109</v>
      </c>
      <c r="AB403" s="442">
        <f t="shared" ref="AB403:AB466" si="72">($J403+$L403+$L403*$Q$10*$Q$14)*(1+$Q$12)</f>
        <v>210.14679756809051</v>
      </c>
      <c r="AC403" s="438">
        <f t="shared" ref="AC403:AC466" si="73">($J403+$L403+$L403*$R$10*$R$14)*(1+$R$12)</f>
        <v>216.34988997962162</v>
      </c>
      <c r="AD403" s="410"/>
      <c r="AE403" s="411"/>
      <c r="AF403" s="411"/>
      <c r="AG403" s="411"/>
    </row>
    <row r="404" spans="1:33" x14ac:dyDescent="0.2">
      <c r="A404" s="36" t="s">
        <v>1697</v>
      </c>
      <c r="B404" s="18" t="str">
        <f>VLOOKUP(LEFT(A404,7),'Tariff Schedule Lookup Table'!$A$8:$G$186,2,FALSE)</f>
        <v>Compact Fluorescent 1x42</v>
      </c>
      <c r="C404" s="160">
        <f t="shared" si="64"/>
        <v>1700</v>
      </c>
      <c r="D404" s="18">
        <f t="shared" si="65"/>
        <v>2</v>
      </c>
      <c r="E404" s="18" t="str">
        <f>VLOOKUP(C404,'Tariff Schedule Lookup Table'!I$7:L$286,2,FALSE)</f>
        <v>COMPACT FLUORESCENT 42W</v>
      </c>
      <c r="F404" s="18" t="str">
        <f>IF(E404 = "BULKHEADS ETC", "SHARED OR NO POLE", VLOOKUP(C404,'Tariff Schedule Lookup Table'!I$7:L$286,3,FALSE))</f>
        <v>STEEL POLE</v>
      </c>
      <c r="G404" s="18">
        <f>IF(E404 = "NO CAPITAL", 1, VLOOKUP(C404,'Tariff Schedule Lookup Table'!I$7:L$286,4,FALSE))</f>
        <v>1</v>
      </c>
      <c r="H404" s="18" t="str">
        <f t="shared" si="66"/>
        <v>2-Unmetered, Funded by Others, CE Maintained</v>
      </c>
      <c r="I404" s="123">
        <f>VLOOKUP(F404,'Maintenance Model'!$A$57:$B$61,2,FALSE)</f>
        <v>9.9616182311111103</v>
      </c>
      <c r="J404" s="123">
        <f>IF(D404=1,VLOOKUP(C404,'Capital Code Schedules'!A$15:F$300,2,FALSE),IF(D404=2,VLOOKUP(C404,'Capital Code Schedules'!A$15:F$300,3,FALSE),0))</f>
        <v>0</v>
      </c>
      <c r="K404" s="123">
        <v>0</v>
      </c>
      <c r="L404" s="123">
        <f>VLOOKUP(LEFT(A404,10),'Streetlight Tariff Schedule'!B$11:G$260,6, FALSE)+I404</f>
        <v>90.106693088700922</v>
      </c>
      <c r="M404" s="161">
        <f t="shared" si="67"/>
        <v>90.106693088700922</v>
      </c>
      <c r="N404" s="405">
        <f t="shared" si="68"/>
        <v>93.861314867737363</v>
      </c>
      <c r="O404" s="405">
        <v>60.96363213921795</v>
      </c>
      <c r="P404" s="406">
        <v>60.96363213921795</v>
      </c>
      <c r="Q404" s="406">
        <v>63.947122937392791</v>
      </c>
      <c r="R404" s="406">
        <v>63.947122937392791</v>
      </c>
      <c r="S404" s="405">
        <f t="shared" si="69"/>
        <v>98.45478083073958</v>
      </c>
      <c r="T404" s="406">
        <v>66.573507058502798</v>
      </c>
      <c r="U404" s="406">
        <v>66.816719463691186</v>
      </c>
      <c r="V404" s="405">
        <f t="shared" si="70"/>
        <v>102.87289198401172</v>
      </c>
      <c r="W404" s="406">
        <v>68.996962930062764</v>
      </c>
      <c r="X404" s="406">
        <v>69.867351616362711</v>
      </c>
      <c r="Y404" s="405">
        <f t="shared" si="71"/>
        <v>107.56973065618371</v>
      </c>
      <c r="Z404" s="406">
        <v>70.989982239935429</v>
      </c>
      <c r="AA404" s="406">
        <v>72.148571704578643</v>
      </c>
      <c r="AB404" s="442">
        <f t="shared" si="72"/>
        <v>109.90471899412532</v>
      </c>
      <c r="AC404" s="438">
        <f t="shared" si="73"/>
        <v>113.19076691915403</v>
      </c>
      <c r="AD404" s="410"/>
      <c r="AE404" s="411"/>
      <c r="AF404" s="411"/>
      <c r="AG404" s="411"/>
    </row>
    <row r="405" spans="1:33" x14ac:dyDescent="0.2">
      <c r="A405" s="36" t="s">
        <v>1698</v>
      </c>
      <c r="B405" s="18" t="str">
        <f>VLOOKUP(LEFT(A405,7),'Tariff Schedule Lookup Table'!$A$8:$G$186,2,FALSE)</f>
        <v>Compact Fluorescent 1x42</v>
      </c>
      <c r="C405" s="160">
        <f t="shared" si="64"/>
        <v>1710</v>
      </c>
      <c r="D405" s="18">
        <f t="shared" si="65"/>
        <v>1</v>
      </c>
      <c r="E405" s="18" t="str">
        <f>VLOOKUP(C405,'Tariff Schedule Lookup Table'!I$7:L$286,2,FALSE)</f>
        <v>COMPACT FLUORESCENT 42W</v>
      </c>
      <c r="F405" s="18" t="str">
        <f>IF(E405 = "BULKHEADS ETC", "SHARED OR NO POLE", VLOOKUP(C405,'Tariff Schedule Lookup Table'!I$7:L$286,3,FALSE))</f>
        <v>STEEL POLE</v>
      </c>
      <c r="G405" s="18">
        <f>IF(E405 = "NO CAPITAL", 1, VLOOKUP(C405,'Tariff Schedule Lookup Table'!I$7:L$286,4,FALSE))</f>
        <v>2</v>
      </c>
      <c r="H405" s="18" t="str">
        <f t="shared" si="66"/>
        <v>1-Unmetered, CE Funded, CE Maintained</v>
      </c>
      <c r="I405" s="123">
        <f>VLOOKUP(F405,'Maintenance Model'!$A$57:$B$61,2,FALSE)</f>
        <v>9.9616182311111103</v>
      </c>
      <c r="J405" s="123" t="e">
        <f>IF(D405=1,VLOOKUP(C405,'Capital Code Schedules'!A$15:F$300,2,FALSE),IF(D405=2,VLOOKUP(C405,'Capital Code Schedules'!A$15:F$300,3,FALSE),0))</f>
        <v>#N/A</v>
      </c>
      <c r="K405" s="123" t="e">
        <v>#N/A</v>
      </c>
      <c r="L405" s="123">
        <f>VLOOKUP(LEFT(A405,10),'Streetlight Tariff Schedule'!B$11:G$260,6, FALSE)+I405</f>
        <v>90.106693088700922</v>
      </c>
      <c r="M405" s="161" t="e">
        <f t="shared" si="67"/>
        <v>#N/A</v>
      </c>
      <c r="N405" s="405" t="e">
        <f t="shared" si="68"/>
        <v>#N/A</v>
      </c>
      <c r="O405" s="405" t="e">
        <v>#N/A</v>
      </c>
      <c r="P405" s="406" t="e">
        <v>#N/A</v>
      </c>
      <c r="Q405" s="406" t="e">
        <v>#N/A</v>
      </c>
      <c r="R405" s="406" t="e">
        <v>#N/A</v>
      </c>
      <c r="S405" s="405" t="e">
        <f t="shared" si="69"/>
        <v>#N/A</v>
      </c>
      <c r="T405" s="406" t="e">
        <v>#N/A</v>
      </c>
      <c r="U405" s="406" t="e">
        <v>#N/A</v>
      </c>
      <c r="V405" s="405" t="e">
        <f t="shared" si="70"/>
        <v>#N/A</v>
      </c>
      <c r="W405" s="406" t="e">
        <v>#N/A</v>
      </c>
      <c r="X405" s="406" t="e">
        <v>#N/A</v>
      </c>
      <c r="Y405" s="405" t="e">
        <f t="shared" si="71"/>
        <v>#N/A</v>
      </c>
      <c r="Z405" s="406" t="e">
        <v>#N/A</v>
      </c>
      <c r="AA405" s="406" t="e">
        <v>#N/A</v>
      </c>
      <c r="AB405" s="442" t="e">
        <f t="shared" si="72"/>
        <v>#N/A</v>
      </c>
      <c r="AC405" s="438" t="e">
        <f t="shared" si="73"/>
        <v>#N/A</v>
      </c>
      <c r="AD405" s="410"/>
      <c r="AE405" s="411"/>
      <c r="AF405" s="411"/>
      <c r="AG405" s="411"/>
    </row>
    <row r="406" spans="1:33" x14ac:dyDescent="0.2">
      <c r="A406" s="36" t="s">
        <v>1699</v>
      </c>
      <c r="B406" s="18" t="str">
        <f>VLOOKUP(LEFT(A406,7),'Tariff Schedule Lookup Table'!$A$8:$G$186,2,FALSE)</f>
        <v>Compact Fluorescent 1x42</v>
      </c>
      <c r="C406" s="160">
        <f t="shared" si="64"/>
        <v>1710</v>
      </c>
      <c r="D406" s="18">
        <f t="shared" si="65"/>
        <v>2</v>
      </c>
      <c r="E406" s="18" t="str">
        <f>VLOOKUP(C406,'Tariff Schedule Lookup Table'!I$7:L$286,2,FALSE)</f>
        <v>COMPACT FLUORESCENT 42W</v>
      </c>
      <c r="F406" s="18" t="str">
        <f>IF(E406 = "BULKHEADS ETC", "SHARED OR NO POLE", VLOOKUP(C406,'Tariff Schedule Lookup Table'!I$7:L$286,3,FALSE))</f>
        <v>STEEL POLE</v>
      </c>
      <c r="G406" s="18">
        <f>IF(E406 = "NO CAPITAL", 1, VLOOKUP(C406,'Tariff Schedule Lookup Table'!I$7:L$286,4,FALSE))</f>
        <v>2</v>
      </c>
      <c r="H406" s="18" t="str">
        <f t="shared" si="66"/>
        <v>2-Unmetered, Funded by Others, CE Maintained</v>
      </c>
      <c r="I406" s="123">
        <f>VLOOKUP(F406,'Maintenance Model'!$A$57:$B$61,2,FALSE)</f>
        <v>9.9616182311111103</v>
      </c>
      <c r="J406" s="123">
        <f>IF(D406=1,VLOOKUP(C406,'Capital Code Schedules'!A$15:F$300,2,FALSE),IF(D406=2,VLOOKUP(C406,'Capital Code Schedules'!A$15:F$300,3,FALSE),0))</f>
        <v>0</v>
      </c>
      <c r="K406" s="123">
        <v>0</v>
      </c>
      <c r="L406" s="123">
        <f>VLOOKUP(LEFT(A406,10),'Streetlight Tariff Schedule'!B$11:G$260,6, FALSE)+I406</f>
        <v>90.106693088700922</v>
      </c>
      <c r="M406" s="161">
        <f t="shared" si="67"/>
        <v>90.106693088700922</v>
      </c>
      <c r="N406" s="405">
        <f t="shared" si="68"/>
        <v>93.861314867737363</v>
      </c>
      <c r="O406" s="405">
        <v>60.96363213921795</v>
      </c>
      <c r="P406" s="406">
        <v>60.96363213921795</v>
      </c>
      <c r="Q406" s="406">
        <v>63.947122937392791</v>
      </c>
      <c r="R406" s="406">
        <v>63.947122937392791</v>
      </c>
      <c r="S406" s="405">
        <f t="shared" si="69"/>
        <v>98.45478083073958</v>
      </c>
      <c r="T406" s="406">
        <v>66.573507058502798</v>
      </c>
      <c r="U406" s="406">
        <v>66.816719463691186</v>
      </c>
      <c r="V406" s="405">
        <f t="shared" si="70"/>
        <v>102.87289198401172</v>
      </c>
      <c r="W406" s="406">
        <v>68.996962930062764</v>
      </c>
      <c r="X406" s="406">
        <v>69.867351616362711</v>
      </c>
      <c r="Y406" s="405">
        <f t="shared" si="71"/>
        <v>107.56973065618371</v>
      </c>
      <c r="Z406" s="406">
        <v>70.989982239935429</v>
      </c>
      <c r="AA406" s="406">
        <v>72.148571704578643</v>
      </c>
      <c r="AB406" s="442">
        <f t="shared" si="72"/>
        <v>109.90471899412532</v>
      </c>
      <c r="AC406" s="438">
        <f t="shared" si="73"/>
        <v>113.19076691915403</v>
      </c>
      <c r="AD406" s="410"/>
      <c r="AE406" s="411"/>
      <c r="AF406" s="411"/>
      <c r="AG406" s="411"/>
    </row>
    <row r="407" spans="1:33" x14ac:dyDescent="0.2">
      <c r="A407" s="36" t="s">
        <v>1700</v>
      </c>
      <c r="B407" s="18" t="str">
        <f>VLOOKUP(LEFT(A407,7),'Tariff Schedule Lookup Table'!$A$8:$G$186,2,FALSE)</f>
        <v>Compact Fluorescent 1x42</v>
      </c>
      <c r="C407" s="160">
        <f t="shared" si="64"/>
        <v>1720</v>
      </c>
      <c r="D407" s="18">
        <f t="shared" si="65"/>
        <v>1</v>
      </c>
      <c r="E407" s="18" t="str">
        <f>VLOOKUP(C407,'Tariff Schedule Lookup Table'!I$7:L$286,2,FALSE)</f>
        <v>COMPACT FLUORESCENT 42W</v>
      </c>
      <c r="F407" s="18" t="str">
        <f>IF(E407 = "BULKHEADS ETC", "SHARED OR NO POLE", VLOOKUP(C407,'Tariff Schedule Lookup Table'!I$7:L$286,3,FALSE))</f>
        <v>STEEL POLE</v>
      </c>
      <c r="G407" s="18">
        <f>IF(E407 = "NO CAPITAL", 1, VLOOKUP(C407,'Tariff Schedule Lookup Table'!I$7:L$286,4,FALSE))</f>
        <v>3</v>
      </c>
      <c r="H407" s="18" t="str">
        <f t="shared" si="66"/>
        <v>1-Unmetered, CE Funded, CE Maintained</v>
      </c>
      <c r="I407" s="123">
        <f>VLOOKUP(F407,'Maintenance Model'!$A$57:$B$61,2,FALSE)</f>
        <v>9.9616182311111103</v>
      </c>
      <c r="J407" s="123" t="e">
        <f>IF(D407=1,VLOOKUP(C407,'Capital Code Schedules'!A$15:F$300,2,FALSE),IF(D407=2,VLOOKUP(C407,'Capital Code Schedules'!A$15:F$300,3,FALSE),0))</f>
        <v>#N/A</v>
      </c>
      <c r="K407" s="123" t="e">
        <v>#N/A</v>
      </c>
      <c r="L407" s="123">
        <f>VLOOKUP(LEFT(A407,10),'Streetlight Tariff Schedule'!B$11:G$260,6, FALSE)+I407</f>
        <v>90.106693088700922</v>
      </c>
      <c r="M407" s="161" t="e">
        <f t="shared" si="67"/>
        <v>#N/A</v>
      </c>
      <c r="N407" s="405" t="e">
        <f t="shared" si="68"/>
        <v>#N/A</v>
      </c>
      <c r="O407" s="405" t="e">
        <v>#N/A</v>
      </c>
      <c r="P407" s="406" t="e">
        <v>#N/A</v>
      </c>
      <c r="Q407" s="406" t="e">
        <v>#N/A</v>
      </c>
      <c r="R407" s="406" t="e">
        <v>#N/A</v>
      </c>
      <c r="S407" s="405" t="e">
        <f t="shared" si="69"/>
        <v>#N/A</v>
      </c>
      <c r="T407" s="406" t="e">
        <v>#N/A</v>
      </c>
      <c r="U407" s="406" t="e">
        <v>#N/A</v>
      </c>
      <c r="V407" s="405" t="e">
        <f t="shared" si="70"/>
        <v>#N/A</v>
      </c>
      <c r="W407" s="406" t="e">
        <v>#N/A</v>
      </c>
      <c r="X407" s="406" t="e">
        <v>#N/A</v>
      </c>
      <c r="Y407" s="405" t="e">
        <f t="shared" si="71"/>
        <v>#N/A</v>
      </c>
      <c r="Z407" s="406" t="e">
        <v>#N/A</v>
      </c>
      <c r="AA407" s="406" t="e">
        <v>#N/A</v>
      </c>
      <c r="AB407" s="442" t="e">
        <f t="shared" si="72"/>
        <v>#N/A</v>
      </c>
      <c r="AC407" s="438" t="e">
        <f t="shared" si="73"/>
        <v>#N/A</v>
      </c>
      <c r="AD407" s="410"/>
      <c r="AE407" s="411"/>
      <c r="AF407" s="411"/>
      <c r="AG407" s="411"/>
    </row>
    <row r="408" spans="1:33" x14ac:dyDescent="0.2">
      <c r="A408" s="36" t="s">
        <v>1701</v>
      </c>
      <c r="B408" s="18" t="str">
        <f>VLOOKUP(LEFT(A408,7),'Tariff Schedule Lookup Table'!$A$8:$G$186,2,FALSE)</f>
        <v>Compact Fluorescent 1x42</v>
      </c>
      <c r="C408" s="160">
        <f t="shared" si="64"/>
        <v>1720</v>
      </c>
      <c r="D408" s="18">
        <f t="shared" si="65"/>
        <v>2</v>
      </c>
      <c r="E408" s="18" t="str">
        <f>VLOOKUP(C408,'Tariff Schedule Lookup Table'!I$7:L$286,2,FALSE)</f>
        <v>COMPACT FLUORESCENT 42W</v>
      </c>
      <c r="F408" s="18" t="str">
        <f>IF(E408 = "BULKHEADS ETC", "SHARED OR NO POLE", VLOOKUP(C408,'Tariff Schedule Lookup Table'!I$7:L$286,3,FALSE))</f>
        <v>STEEL POLE</v>
      </c>
      <c r="G408" s="18">
        <f>IF(E408 = "NO CAPITAL", 1, VLOOKUP(C408,'Tariff Schedule Lookup Table'!I$7:L$286,4,FALSE))</f>
        <v>3</v>
      </c>
      <c r="H408" s="18" t="str">
        <f t="shared" si="66"/>
        <v>2-Unmetered, Funded by Others, CE Maintained</v>
      </c>
      <c r="I408" s="123">
        <f>VLOOKUP(F408,'Maintenance Model'!$A$57:$B$61,2,FALSE)</f>
        <v>9.9616182311111103</v>
      </c>
      <c r="J408" s="123">
        <f>IF(D408=1,VLOOKUP(C408,'Capital Code Schedules'!A$15:F$300,2,FALSE),IF(D408=2,VLOOKUP(C408,'Capital Code Schedules'!A$15:F$300,3,FALSE),0))</f>
        <v>0</v>
      </c>
      <c r="K408" s="123">
        <v>0</v>
      </c>
      <c r="L408" s="123">
        <f>VLOOKUP(LEFT(A408,10),'Streetlight Tariff Schedule'!B$11:G$260,6, FALSE)+I408</f>
        <v>90.106693088700922</v>
      </c>
      <c r="M408" s="161">
        <f t="shared" si="67"/>
        <v>90.106693088700922</v>
      </c>
      <c r="N408" s="405">
        <f t="shared" si="68"/>
        <v>93.861314867737363</v>
      </c>
      <c r="O408" s="405">
        <v>60.96363213921795</v>
      </c>
      <c r="P408" s="406">
        <v>60.96363213921795</v>
      </c>
      <c r="Q408" s="406">
        <v>63.947122937392791</v>
      </c>
      <c r="R408" s="406">
        <v>63.947122937392791</v>
      </c>
      <c r="S408" s="405">
        <f t="shared" si="69"/>
        <v>98.45478083073958</v>
      </c>
      <c r="T408" s="406">
        <v>66.573507058502798</v>
      </c>
      <c r="U408" s="406">
        <v>66.816719463691186</v>
      </c>
      <c r="V408" s="405">
        <f t="shared" si="70"/>
        <v>102.87289198401172</v>
      </c>
      <c r="W408" s="406">
        <v>68.996962930062764</v>
      </c>
      <c r="X408" s="406">
        <v>69.867351616362711</v>
      </c>
      <c r="Y408" s="405">
        <f t="shared" si="71"/>
        <v>107.56973065618371</v>
      </c>
      <c r="Z408" s="406">
        <v>70.989982239935429</v>
      </c>
      <c r="AA408" s="406">
        <v>72.148571704578643</v>
      </c>
      <c r="AB408" s="442">
        <f t="shared" si="72"/>
        <v>109.90471899412532</v>
      </c>
      <c r="AC408" s="438">
        <f t="shared" si="73"/>
        <v>113.19076691915403</v>
      </c>
      <c r="AD408" s="410"/>
      <c r="AE408" s="411"/>
      <c r="AF408" s="411"/>
      <c r="AG408" s="411"/>
    </row>
    <row r="409" spans="1:33" x14ac:dyDescent="0.2">
      <c r="A409" s="36" t="s">
        <v>1702</v>
      </c>
      <c r="B409" s="18" t="str">
        <f>VLOOKUP(LEFT(A409,7),'Tariff Schedule Lookup Table'!$A$8:$G$186,2,FALSE)</f>
        <v>Compact Fluorescent 1x42</v>
      </c>
      <c r="C409" s="160">
        <f t="shared" si="64"/>
        <v>1730</v>
      </c>
      <c r="D409" s="18">
        <f t="shared" si="65"/>
        <v>1</v>
      </c>
      <c r="E409" s="18" t="str">
        <f>VLOOKUP(C409,'Tariff Schedule Lookup Table'!I$7:L$286,2,FALSE)</f>
        <v>COMPACT FLUORESCENT 42W</v>
      </c>
      <c r="F409" s="18" t="str">
        <f>IF(E409 = "BULKHEADS ETC", "SHARED OR NO POLE", VLOOKUP(C409,'Tariff Schedule Lookup Table'!I$7:L$286,3,FALSE))</f>
        <v>STEEL POLE</v>
      </c>
      <c r="G409" s="18">
        <f>IF(E409 = "NO CAPITAL", 1, VLOOKUP(C409,'Tariff Schedule Lookup Table'!I$7:L$286,4,FALSE))</f>
        <v>4</v>
      </c>
      <c r="H409" s="18" t="str">
        <f t="shared" si="66"/>
        <v>1-Unmetered, CE Funded, CE Maintained</v>
      </c>
      <c r="I409" s="123">
        <f>VLOOKUP(F409,'Maintenance Model'!$A$57:$B$61,2,FALSE)</f>
        <v>9.9616182311111103</v>
      </c>
      <c r="J409" s="123" t="e">
        <f>IF(D409=1,VLOOKUP(C409,'Capital Code Schedules'!A$15:F$300,2,FALSE),IF(D409=2,VLOOKUP(C409,'Capital Code Schedules'!A$15:F$300,3,FALSE),0))</f>
        <v>#N/A</v>
      </c>
      <c r="K409" s="123" t="e">
        <v>#N/A</v>
      </c>
      <c r="L409" s="123">
        <f>VLOOKUP(LEFT(A409,10),'Streetlight Tariff Schedule'!B$11:G$260,6, FALSE)+I409</f>
        <v>90.106693088700922</v>
      </c>
      <c r="M409" s="161" t="e">
        <f t="shared" si="67"/>
        <v>#N/A</v>
      </c>
      <c r="N409" s="405" t="e">
        <f t="shared" si="68"/>
        <v>#N/A</v>
      </c>
      <c r="O409" s="405" t="e">
        <v>#N/A</v>
      </c>
      <c r="P409" s="406" t="e">
        <v>#N/A</v>
      </c>
      <c r="Q409" s="406" t="e">
        <v>#N/A</v>
      </c>
      <c r="R409" s="406" t="e">
        <v>#N/A</v>
      </c>
      <c r="S409" s="405" t="e">
        <f t="shared" si="69"/>
        <v>#N/A</v>
      </c>
      <c r="T409" s="406" t="e">
        <v>#N/A</v>
      </c>
      <c r="U409" s="406" t="e">
        <v>#N/A</v>
      </c>
      <c r="V409" s="405" t="e">
        <f t="shared" si="70"/>
        <v>#N/A</v>
      </c>
      <c r="W409" s="406" t="e">
        <v>#N/A</v>
      </c>
      <c r="X409" s="406" t="e">
        <v>#N/A</v>
      </c>
      <c r="Y409" s="405" t="e">
        <f t="shared" si="71"/>
        <v>#N/A</v>
      </c>
      <c r="Z409" s="406" t="e">
        <v>#N/A</v>
      </c>
      <c r="AA409" s="406" t="e">
        <v>#N/A</v>
      </c>
      <c r="AB409" s="442" t="e">
        <f t="shared" si="72"/>
        <v>#N/A</v>
      </c>
      <c r="AC409" s="438" t="e">
        <f t="shared" si="73"/>
        <v>#N/A</v>
      </c>
      <c r="AD409" s="410"/>
      <c r="AE409" s="411"/>
      <c r="AF409" s="411"/>
      <c r="AG409" s="411"/>
    </row>
    <row r="410" spans="1:33" x14ac:dyDescent="0.2">
      <c r="A410" s="36" t="s">
        <v>1703</v>
      </c>
      <c r="B410" s="18" t="str">
        <f>VLOOKUP(LEFT(A410,7),'Tariff Schedule Lookup Table'!$A$8:$G$186,2,FALSE)</f>
        <v>Compact Fluorescent 1x42</v>
      </c>
      <c r="C410" s="160">
        <f t="shared" si="64"/>
        <v>1730</v>
      </c>
      <c r="D410" s="18">
        <f t="shared" si="65"/>
        <v>2</v>
      </c>
      <c r="E410" s="18" t="str">
        <f>VLOOKUP(C410,'Tariff Schedule Lookup Table'!I$7:L$286,2,FALSE)</f>
        <v>COMPACT FLUORESCENT 42W</v>
      </c>
      <c r="F410" s="18" t="str">
        <f>IF(E410 = "BULKHEADS ETC", "SHARED OR NO POLE", VLOOKUP(C410,'Tariff Schedule Lookup Table'!I$7:L$286,3,FALSE))</f>
        <v>STEEL POLE</v>
      </c>
      <c r="G410" s="18">
        <f>IF(E410 = "NO CAPITAL", 1, VLOOKUP(C410,'Tariff Schedule Lookup Table'!I$7:L$286,4,FALSE))</f>
        <v>4</v>
      </c>
      <c r="H410" s="18" t="str">
        <f t="shared" si="66"/>
        <v>2-Unmetered, Funded by Others, CE Maintained</v>
      </c>
      <c r="I410" s="123">
        <f>VLOOKUP(F410,'Maintenance Model'!$A$57:$B$61,2,FALSE)</f>
        <v>9.9616182311111103</v>
      </c>
      <c r="J410" s="123">
        <f>IF(D410=1,VLOOKUP(C410,'Capital Code Schedules'!A$15:F$300,2,FALSE),IF(D410=2,VLOOKUP(C410,'Capital Code Schedules'!A$15:F$300,3,FALSE),0))</f>
        <v>0</v>
      </c>
      <c r="K410" s="123">
        <v>0</v>
      </c>
      <c r="L410" s="123">
        <f>VLOOKUP(LEFT(A410,10),'Streetlight Tariff Schedule'!B$11:G$260,6, FALSE)+I410</f>
        <v>90.106693088700922</v>
      </c>
      <c r="M410" s="161">
        <f t="shared" si="67"/>
        <v>90.106693088700922</v>
      </c>
      <c r="N410" s="405">
        <f t="shared" si="68"/>
        <v>93.861314867737363</v>
      </c>
      <c r="O410" s="405">
        <v>60.96363213921795</v>
      </c>
      <c r="P410" s="406">
        <v>60.96363213921795</v>
      </c>
      <c r="Q410" s="406">
        <v>63.947122937392791</v>
      </c>
      <c r="R410" s="406">
        <v>63.947122937392791</v>
      </c>
      <c r="S410" s="405">
        <f t="shared" si="69"/>
        <v>98.45478083073958</v>
      </c>
      <c r="T410" s="406">
        <v>66.573507058502798</v>
      </c>
      <c r="U410" s="406">
        <v>66.816719463691186</v>
      </c>
      <c r="V410" s="405">
        <f t="shared" si="70"/>
        <v>102.87289198401172</v>
      </c>
      <c r="W410" s="406">
        <v>68.996962930062764</v>
      </c>
      <c r="X410" s="406">
        <v>69.867351616362711</v>
      </c>
      <c r="Y410" s="405">
        <f t="shared" si="71"/>
        <v>107.56973065618371</v>
      </c>
      <c r="Z410" s="406">
        <v>70.989982239935429</v>
      </c>
      <c r="AA410" s="406">
        <v>72.148571704578643</v>
      </c>
      <c r="AB410" s="442">
        <f t="shared" si="72"/>
        <v>109.90471899412532</v>
      </c>
      <c r="AC410" s="438">
        <f t="shared" si="73"/>
        <v>113.19076691915403</v>
      </c>
      <c r="AD410" s="410"/>
      <c r="AE410" s="411"/>
      <c r="AF410" s="411"/>
      <c r="AG410" s="411"/>
    </row>
    <row r="411" spans="1:33" x14ac:dyDescent="0.2">
      <c r="A411" s="36" t="s">
        <v>1704</v>
      </c>
      <c r="B411" s="18" t="str">
        <f>VLOOKUP(LEFT(A411,7),'Tariff Schedule Lookup Table'!$A$8:$G$186,2,FALSE)</f>
        <v>T5 2x14W</v>
      </c>
      <c r="C411" s="160">
        <f t="shared" si="64"/>
        <v>1740</v>
      </c>
      <c r="D411" s="18">
        <f t="shared" si="65"/>
        <v>1</v>
      </c>
      <c r="E411" s="18" t="str">
        <f>VLOOKUP(C411,'Tariff Schedule Lookup Table'!I$7:L$286,2,FALSE)</f>
        <v>T5 2x14W</v>
      </c>
      <c r="F411" s="18" t="str">
        <f>IF(E411 = "BULKHEADS ETC", "SHARED OR NO POLE", VLOOKUP(C411,'Tariff Schedule Lookup Table'!I$7:L$286,3,FALSE))</f>
        <v>SHARED OR NO POLE</v>
      </c>
      <c r="G411" s="18">
        <f>IF(E411 = "NO CAPITAL", 1, VLOOKUP(C411,'Tariff Schedule Lookup Table'!I$7:L$286,4,FALSE))</f>
        <v>1</v>
      </c>
      <c r="H411" s="18" t="str">
        <f t="shared" si="66"/>
        <v>1-Unmetered, CE Funded, CE Maintained</v>
      </c>
      <c r="I411" s="123">
        <f>VLOOKUP(F411,'Maintenance Model'!$A$57:$B$61,2,FALSE)</f>
        <v>0</v>
      </c>
      <c r="J411" s="123" t="e">
        <f>IF(D411=1,VLOOKUP(C411,'Capital Code Schedules'!A$15:F$300,2,FALSE),IF(D411=2,VLOOKUP(C411,'Capital Code Schedules'!A$15:F$300,3,FALSE),0))</f>
        <v>#N/A</v>
      </c>
      <c r="K411" s="123" t="e">
        <v>#N/A</v>
      </c>
      <c r="L411" s="123">
        <f>VLOOKUP(LEFT(A411,10),'Streetlight Tariff Schedule'!B$11:G$260,6, FALSE)+I411</f>
        <v>78.411247177589814</v>
      </c>
      <c r="M411" s="161" t="e">
        <f t="shared" si="67"/>
        <v>#N/A</v>
      </c>
      <c r="N411" s="405" t="e">
        <f t="shared" si="68"/>
        <v>#N/A</v>
      </c>
      <c r="O411" s="405" t="e">
        <v>#N/A</v>
      </c>
      <c r="P411" s="406" t="e">
        <v>#N/A</v>
      </c>
      <c r="Q411" s="406" t="e">
        <v>#N/A</v>
      </c>
      <c r="R411" s="406" t="e">
        <v>#N/A</v>
      </c>
      <c r="S411" s="405" t="e">
        <f t="shared" si="69"/>
        <v>#N/A</v>
      </c>
      <c r="T411" s="406" t="e">
        <v>#N/A</v>
      </c>
      <c r="U411" s="406" t="e">
        <v>#N/A</v>
      </c>
      <c r="V411" s="405" t="e">
        <f t="shared" si="70"/>
        <v>#N/A</v>
      </c>
      <c r="W411" s="406" t="e">
        <v>#N/A</v>
      </c>
      <c r="X411" s="406" t="e">
        <v>#N/A</v>
      </c>
      <c r="Y411" s="405" t="e">
        <f t="shared" si="71"/>
        <v>#N/A</v>
      </c>
      <c r="Z411" s="406" t="e">
        <v>#N/A</v>
      </c>
      <c r="AA411" s="406" t="e">
        <v>#N/A</v>
      </c>
      <c r="AB411" s="442" t="e">
        <f t="shared" si="72"/>
        <v>#N/A</v>
      </c>
      <c r="AC411" s="438" t="e">
        <f t="shared" si="73"/>
        <v>#N/A</v>
      </c>
      <c r="AD411" s="410"/>
      <c r="AE411" s="411"/>
      <c r="AF411" s="411"/>
      <c r="AG411" s="411"/>
    </row>
    <row r="412" spans="1:33" x14ac:dyDescent="0.2">
      <c r="A412" s="36" t="s">
        <v>1705</v>
      </c>
      <c r="B412" s="18" t="str">
        <f>VLOOKUP(LEFT(A412,7),'Tariff Schedule Lookup Table'!$A$8:$G$186,2,FALSE)</f>
        <v>T5 2x14W</v>
      </c>
      <c r="C412" s="160">
        <f t="shared" si="64"/>
        <v>1740</v>
      </c>
      <c r="D412" s="18">
        <f t="shared" si="65"/>
        <v>2</v>
      </c>
      <c r="E412" s="18" t="str">
        <f>VLOOKUP(C412,'Tariff Schedule Lookup Table'!I$7:L$286,2,FALSE)</f>
        <v>T5 2x14W</v>
      </c>
      <c r="F412" s="18" t="str">
        <f>IF(E412 = "BULKHEADS ETC", "SHARED OR NO POLE", VLOOKUP(C412,'Tariff Schedule Lookup Table'!I$7:L$286,3,FALSE))</f>
        <v>SHARED OR NO POLE</v>
      </c>
      <c r="G412" s="18">
        <f>IF(E412 = "NO CAPITAL", 1, VLOOKUP(C412,'Tariff Schedule Lookup Table'!I$7:L$286,4,FALSE))</f>
        <v>1</v>
      </c>
      <c r="H412" s="18" t="str">
        <f t="shared" si="66"/>
        <v>2-Unmetered, Funded by Others, CE Maintained</v>
      </c>
      <c r="I412" s="123">
        <f>VLOOKUP(F412,'Maintenance Model'!$A$57:$B$61,2,FALSE)</f>
        <v>0</v>
      </c>
      <c r="J412" s="123">
        <f>IF(D412=1,VLOOKUP(C412,'Capital Code Schedules'!A$15:F$300,2,FALSE),IF(D412=2,VLOOKUP(C412,'Capital Code Schedules'!A$15:F$300,3,FALSE),0))</f>
        <v>0</v>
      </c>
      <c r="K412" s="123">
        <v>0</v>
      </c>
      <c r="L412" s="123">
        <f>VLOOKUP(LEFT(A412,10),'Streetlight Tariff Schedule'!B$11:G$260,6, FALSE)+I412</f>
        <v>78.411247177589814</v>
      </c>
      <c r="M412" s="161">
        <f t="shared" si="67"/>
        <v>78.411247177589814</v>
      </c>
      <c r="N412" s="405">
        <f t="shared" si="68"/>
        <v>81.678535835987006</v>
      </c>
      <c r="O412" s="405">
        <v>49.538170964590115</v>
      </c>
      <c r="P412" s="406">
        <v>49.538170964590115</v>
      </c>
      <c r="Q412" s="406">
        <v>51.962512691699722</v>
      </c>
      <c r="R412" s="406">
        <v>51.962512691699722</v>
      </c>
      <c r="S412" s="405">
        <f t="shared" si="69"/>
        <v>85.67579045360182</v>
      </c>
      <c r="T412" s="406">
        <v>54.096674667369399</v>
      </c>
      <c r="U412" s="406">
        <v>54.294305571010725</v>
      </c>
      <c r="V412" s="405">
        <f t="shared" si="70"/>
        <v>89.520450531807825</v>
      </c>
      <c r="W412" s="406">
        <v>56.065940065079289</v>
      </c>
      <c r="X412" s="406">
        <v>56.773205397451676</v>
      </c>
      <c r="Y412" s="405">
        <f t="shared" si="71"/>
        <v>93.607660543104103</v>
      </c>
      <c r="Z412" s="406">
        <v>57.68543890141401</v>
      </c>
      <c r="AA412" s="406">
        <v>58.626892042627794</v>
      </c>
      <c r="AB412" s="442">
        <f t="shared" si="72"/>
        <v>95.639577834119279</v>
      </c>
      <c r="AC412" s="438">
        <f t="shared" si="73"/>
        <v>98.499111429844405</v>
      </c>
      <c r="AD412" s="410"/>
      <c r="AE412" s="411"/>
      <c r="AF412" s="411"/>
      <c r="AG412" s="411"/>
    </row>
    <row r="413" spans="1:33" x14ac:dyDescent="0.2">
      <c r="A413" s="36" t="s">
        <v>1706</v>
      </c>
      <c r="B413" s="18" t="str">
        <f>VLOOKUP(LEFT(A413,7),'Tariff Schedule Lookup Table'!$A$8:$G$186,2,FALSE)</f>
        <v>T5 2x14W</v>
      </c>
      <c r="C413" s="160">
        <f t="shared" si="64"/>
        <v>1750</v>
      </c>
      <c r="D413" s="18">
        <f t="shared" si="65"/>
        <v>1</v>
      </c>
      <c r="E413" s="18" t="str">
        <f>VLOOKUP(C413,'Tariff Schedule Lookup Table'!I$7:L$286,2,FALSE)</f>
        <v>T5 2x14W</v>
      </c>
      <c r="F413" s="18" t="str">
        <f>IF(E413 = "BULKHEADS ETC", "SHARED OR NO POLE", VLOOKUP(C413,'Tariff Schedule Lookup Table'!I$7:L$286,3,FALSE))</f>
        <v>SHARED OR NO POLE</v>
      </c>
      <c r="G413" s="18">
        <f>IF(E413 = "NO CAPITAL", 1, VLOOKUP(C413,'Tariff Schedule Lookup Table'!I$7:L$286,4,FALSE))</f>
        <v>2</v>
      </c>
      <c r="H413" s="18" t="str">
        <f t="shared" si="66"/>
        <v>1-Unmetered, CE Funded, CE Maintained</v>
      </c>
      <c r="I413" s="123">
        <f>VLOOKUP(F413,'Maintenance Model'!$A$57:$B$61,2,FALSE)</f>
        <v>0</v>
      </c>
      <c r="J413" s="123" t="e">
        <f>IF(D413=1,VLOOKUP(C413,'Capital Code Schedules'!A$15:F$300,2,FALSE),IF(D413=2,VLOOKUP(C413,'Capital Code Schedules'!A$15:F$300,3,FALSE),0))</f>
        <v>#N/A</v>
      </c>
      <c r="K413" s="123" t="e">
        <v>#N/A</v>
      </c>
      <c r="L413" s="123">
        <f>VLOOKUP(LEFT(A413,10),'Streetlight Tariff Schedule'!B$11:G$260,6, FALSE)+I413</f>
        <v>78.411247177589814</v>
      </c>
      <c r="M413" s="161" t="e">
        <f t="shared" si="67"/>
        <v>#N/A</v>
      </c>
      <c r="N413" s="405" t="e">
        <f t="shared" si="68"/>
        <v>#N/A</v>
      </c>
      <c r="O413" s="405" t="e">
        <v>#N/A</v>
      </c>
      <c r="P413" s="406" t="e">
        <v>#N/A</v>
      </c>
      <c r="Q413" s="406" t="e">
        <v>#N/A</v>
      </c>
      <c r="R413" s="406" t="e">
        <v>#N/A</v>
      </c>
      <c r="S413" s="405" t="e">
        <f t="shared" si="69"/>
        <v>#N/A</v>
      </c>
      <c r="T413" s="406" t="e">
        <v>#N/A</v>
      </c>
      <c r="U413" s="406" t="e">
        <v>#N/A</v>
      </c>
      <c r="V413" s="405" t="e">
        <f t="shared" si="70"/>
        <v>#N/A</v>
      </c>
      <c r="W413" s="406" t="e">
        <v>#N/A</v>
      </c>
      <c r="X413" s="406" t="e">
        <v>#N/A</v>
      </c>
      <c r="Y413" s="405" t="e">
        <f t="shared" si="71"/>
        <v>#N/A</v>
      </c>
      <c r="Z413" s="406" t="e">
        <v>#N/A</v>
      </c>
      <c r="AA413" s="406" t="e">
        <v>#N/A</v>
      </c>
      <c r="AB413" s="442" t="e">
        <f t="shared" si="72"/>
        <v>#N/A</v>
      </c>
      <c r="AC413" s="438" t="e">
        <f t="shared" si="73"/>
        <v>#N/A</v>
      </c>
      <c r="AD413" s="410"/>
      <c r="AE413" s="411"/>
      <c r="AF413" s="411"/>
      <c r="AG413" s="411"/>
    </row>
    <row r="414" spans="1:33" x14ac:dyDescent="0.2">
      <c r="A414" s="36" t="s">
        <v>1707</v>
      </c>
      <c r="B414" s="18" t="str">
        <f>VLOOKUP(LEFT(A414,7),'Tariff Schedule Lookup Table'!$A$8:$G$186,2,FALSE)</f>
        <v>T5 2x14W</v>
      </c>
      <c r="C414" s="160">
        <f t="shared" si="64"/>
        <v>1750</v>
      </c>
      <c r="D414" s="18">
        <f t="shared" si="65"/>
        <v>2</v>
      </c>
      <c r="E414" s="18" t="str">
        <f>VLOOKUP(C414,'Tariff Schedule Lookup Table'!I$7:L$286,2,FALSE)</f>
        <v>T5 2x14W</v>
      </c>
      <c r="F414" s="18" t="str">
        <f>IF(E414 = "BULKHEADS ETC", "SHARED OR NO POLE", VLOOKUP(C414,'Tariff Schedule Lookup Table'!I$7:L$286,3,FALSE))</f>
        <v>SHARED OR NO POLE</v>
      </c>
      <c r="G414" s="18">
        <f>IF(E414 = "NO CAPITAL", 1, VLOOKUP(C414,'Tariff Schedule Lookup Table'!I$7:L$286,4,FALSE))</f>
        <v>2</v>
      </c>
      <c r="H414" s="18" t="str">
        <f t="shared" si="66"/>
        <v>2-Unmetered, Funded by Others, CE Maintained</v>
      </c>
      <c r="I414" s="123">
        <f>VLOOKUP(F414,'Maintenance Model'!$A$57:$B$61,2,FALSE)</f>
        <v>0</v>
      </c>
      <c r="J414" s="123">
        <f>IF(D414=1,VLOOKUP(C414,'Capital Code Schedules'!A$15:F$300,2,FALSE),IF(D414=2,VLOOKUP(C414,'Capital Code Schedules'!A$15:F$300,3,FALSE),0))</f>
        <v>0</v>
      </c>
      <c r="K414" s="123">
        <v>0</v>
      </c>
      <c r="L414" s="123">
        <f>VLOOKUP(LEFT(A414,10),'Streetlight Tariff Schedule'!B$11:G$260,6, FALSE)+I414</f>
        <v>78.411247177589814</v>
      </c>
      <c r="M414" s="161">
        <f t="shared" si="67"/>
        <v>78.411247177589814</v>
      </c>
      <c r="N414" s="405">
        <f t="shared" si="68"/>
        <v>81.678535835987006</v>
      </c>
      <c r="O414" s="405">
        <v>49.538170964590115</v>
      </c>
      <c r="P414" s="406">
        <v>49.538170964590115</v>
      </c>
      <c r="Q414" s="406">
        <v>51.962512691699722</v>
      </c>
      <c r="R414" s="406">
        <v>51.962512691699722</v>
      </c>
      <c r="S414" s="405">
        <f t="shared" si="69"/>
        <v>85.67579045360182</v>
      </c>
      <c r="T414" s="406">
        <v>54.096674667369399</v>
      </c>
      <c r="U414" s="406">
        <v>54.294305571010725</v>
      </c>
      <c r="V414" s="405">
        <f t="shared" si="70"/>
        <v>89.520450531807825</v>
      </c>
      <c r="W414" s="406">
        <v>56.065940065079289</v>
      </c>
      <c r="X414" s="406">
        <v>56.773205397451676</v>
      </c>
      <c r="Y414" s="405">
        <f t="shared" si="71"/>
        <v>93.607660543104103</v>
      </c>
      <c r="Z414" s="406">
        <v>57.68543890141401</v>
      </c>
      <c r="AA414" s="406">
        <v>58.626892042627794</v>
      </c>
      <c r="AB414" s="442">
        <f t="shared" si="72"/>
        <v>95.639577834119279</v>
      </c>
      <c r="AC414" s="438">
        <f t="shared" si="73"/>
        <v>98.499111429844405</v>
      </c>
      <c r="AD414" s="410"/>
      <c r="AE414" s="411"/>
      <c r="AF414" s="411"/>
      <c r="AG414" s="411"/>
    </row>
    <row r="415" spans="1:33" x14ac:dyDescent="0.2">
      <c r="A415" s="36" t="s">
        <v>1708</v>
      </c>
      <c r="B415" s="18" t="str">
        <f>VLOOKUP(LEFT(A415,7),'Tariff Schedule Lookup Table'!$A$8:$G$186,2,FALSE)</f>
        <v>T5 2x14W</v>
      </c>
      <c r="C415" s="160">
        <f t="shared" si="64"/>
        <v>1760</v>
      </c>
      <c r="D415" s="18">
        <f t="shared" si="65"/>
        <v>1</v>
      </c>
      <c r="E415" s="18" t="str">
        <f>VLOOKUP(C415,'Tariff Schedule Lookup Table'!I$7:L$286,2,FALSE)</f>
        <v>T5 2x14W</v>
      </c>
      <c r="F415" s="18" t="str">
        <f>IF(E415 = "BULKHEADS ETC", "SHARED OR NO POLE", VLOOKUP(C415,'Tariff Schedule Lookup Table'!I$7:L$286,3,FALSE))</f>
        <v>SHARED OR NO POLE</v>
      </c>
      <c r="G415" s="18">
        <f>IF(E415 = "NO CAPITAL", 1, VLOOKUP(C415,'Tariff Schedule Lookup Table'!I$7:L$286,4,FALSE))</f>
        <v>3</v>
      </c>
      <c r="H415" s="18" t="str">
        <f t="shared" si="66"/>
        <v>1-Unmetered, CE Funded, CE Maintained</v>
      </c>
      <c r="I415" s="123">
        <f>VLOOKUP(F415,'Maintenance Model'!$A$57:$B$61,2,FALSE)</f>
        <v>0</v>
      </c>
      <c r="J415" s="123" t="e">
        <f>IF(D415=1,VLOOKUP(C415,'Capital Code Schedules'!A$15:F$300,2,FALSE),IF(D415=2,VLOOKUP(C415,'Capital Code Schedules'!A$15:F$300,3,FALSE),0))</f>
        <v>#N/A</v>
      </c>
      <c r="K415" s="123" t="e">
        <v>#N/A</v>
      </c>
      <c r="L415" s="123">
        <f>VLOOKUP(LEFT(A415,10),'Streetlight Tariff Schedule'!B$11:G$260,6, FALSE)+I415</f>
        <v>78.411247177589814</v>
      </c>
      <c r="M415" s="161" t="e">
        <f t="shared" si="67"/>
        <v>#N/A</v>
      </c>
      <c r="N415" s="405" t="e">
        <f t="shared" si="68"/>
        <v>#N/A</v>
      </c>
      <c r="O415" s="405" t="e">
        <v>#N/A</v>
      </c>
      <c r="P415" s="406" t="e">
        <v>#N/A</v>
      </c>
      <c r="Q415" s="406" t="e">
        <v>#N/A</v>
      </c>
      <c r="R415" s="406" t="e">
        <v>#N/A</v>
      </c>
      <c r="S415" s="405" t="e">
        <f t="shared" si="69"/>
        <v>#N/A</v>
      </c>
      <c r="T415" s="406" t="e">
        <v>#N/A</v>
      </c>
      <c r="U415" s="406" t="e">
        <v>#N/A</v>
      </c>
      <c r="V415" s="405" t="e">
        <f t="shared" si="70"/>
        <v>#N/A</v>
      </c>
      <c r="W415" s="406" t="e">
        <v>#N/A</v>
      </c>
      <c r="X415" s="406" t="e">
        <v>#N/A</v>
      </c>
      <c r="Y415" s="405" t="e">
        <f t="shared" si="71"/>
        <v>#N/A</v>
      </c>
      <c r="Z415" s="406" t="e">
        <v>#N/A</v>
      </c>
      <c r="AA415" s="406" t="e">
        <v>#N/A</v>
      </c>
      <c r="AB415" s="442" t="e">
        <f t="shared" si="72"/>
        <v>#N/A</v>
      </c>
      <c r="AC415" s="438" t="e">
        <f t="shared" si="73"/>
        <v>#N/A</v>
      </c>
      <c r="AD415" s="410"/>
      <c r="AE415" s="411"/>
      <c r="AF415" s="411"/>
      <c r="AG415" s="411"/>
    </row>
    <row r="416" spans="1:33" x14ac:dyDescent="0.2">
      <c r="A416" s="36" t="s">
        <v>1709</v>
      </c>
      <c r="B416" s="18" t="str">
        <f>VLOOKUP(LEFT(A416,7),'Tariff Schedule Lookup Table'!$A$8:$G$186,2,FALSE)</f>
        <v>T5 2x14W</v>
      </c>
      <c r="C416" s="160">
        <f t="shared" si="64"/>
        <v>1760</v>
      </c>
      <c r="D416" s="18">
        <f t="shared" si="65"/>
        <v>2</v>
      </c>
      <c r="E416" s="18" t="str">
        <f>VLOOKUP(C416,'Tariff Schedule Lookup Table'!I$7:L$286,2,FALSE)</f>
        <v>T5 2x14W</v>
      </c>
      <c r="F416" s="18" t="str">
        <f>IF(E416 = "BULKHEADS ETC", "SHARED OR NO POLE", VLOOKUP(C416,'Tariff Schedule Lookup Table'!I$7:L$286,3,FALSE))</f>
        <v>SHARED OR NO POLE</v>
      </c>
      <c r="G416" s="18">
        <f>IF(E416 = "NO CAPITAL", 1, VLOOKUP(C416,'Tariff Schedule Lookup Table'!I$7:L$286,4,FALSE))</f>
        <v>3</v>
      </c>
      <c r="H416" s="18" t="str">
        <f t="shared" si="66"/>
        <v>2-Unmetered, Funded by Others, CE Maintained</v>
      </c>
      <c r="I416" s="123">
        <f>VLOOKUP(F416,'Maintenance Model'!$A$57:$B$61,2,FALSE)</f>
        <v>0</v>
      </c>
      <c r="J416" s="123">
        <f>IF(D416=1,VLOOKUP(C416,'Capital Code Schedules'!A$15:F$300,2,FALSE),IF(D416=2,VLOOKUP(C416,'Capital Code Schedules'!A$15:F$300,3,FALSE),0))</f>
        <v>0</v>
      </c>
      <c r="K416" s="123">
        <v>0</v>
      </c>
      <c r="L416" s="123">
        <f>VLOOKUP(LEFT(A416,10),'Streetlight Tariff Schedule'!B$11:G$260,6, FALSE)+I416</f>
        <v>78.411247177589814</v>
      </c>
      <c r="M416" s="161">
        <f t="shared" si="67"/>
        <v>78.411247177589814</v>
      </c>
      <c r="N416" s="405">
        <f t="shared" si="68"/>
        <v>81.678535835987006</v>
      </c>
      <c r="O416" s="405">
        <v>49.538170964590115</v>
      </c>
      <c r="P416" s="406">
        <v>49.538170964590115</v>
      </c>
      <c r="Q416" s="406">
        <v>51.962512691699722</v>
      </c>
      <c r="R416" s="406">
        <v>51.962512691699722</v>
      </c>
      <c r="S416" s="405">
        <f t="shared" si="69"/>
        <v>85.67579045360182</v>
      </c>
      <c r="T416" s="406">
        <v>54.096674667369399</v>
      </c>
      <c r="U416" s="406">
        <v>54.294305571010725</v>
      </c>
      <c r="V416" s="405">
        <f t="shared" si="70"/>
        <v>89.520450531807825</v>
      </c>
      <c r="W416" s="406">
        <v>56.065940065079289</v>
      </c>
      <c r="X416" s="406">
        <v>56.773205397451676</v>
      </c>
      <c r="Y416" s="405">
        <f t="shared" si="71"/>
        <v>93.607660543104103</v>
      </c>
      <c r="Z416" s="406">
        <v>57.68543890141401</v>
      </c>
      <c r="AA416" s="406">
        <v>58.626892042627794</v>
      </c>
      <c r="AB416" s="442">
        <f t="shared" si="72"/>
        <v>95.639577834119279</v>
      </c>
      <c r="AC416" s="438">
        <f t="shared" si="73"/>
        <v>98.499111429844405</v>
      </c>
      <c r="AD416" s="410"/>
      <c r="AE416" s="411"/>
      <c r="AF416" s="411"/>
      <c r="AG416" s="411"/>
    </row>
    <row r="417" spans="1:33" x14ac:dyDescent="0.2">
      <c r="A417" s="36" t="s">
        <v>1710</v>
      </c>
      <c r="B417" s="18" t="str">
        <f>VLOOKUP(LEFT(A417,7),'Tariff Schedule Lookup Table'!$A$8:$G$186,2,FALSE)</f>
        <v>T5 2x14W</v>
      </c>
      <c r="C417" s="160">
        <f t="shared" si="64"/>
        <v>1770</v>
      </c>
      <c r="D417" s="18">
        <f t="shared" si="65"/>
        <v>1</v>
      </c>
      <c r="E417" s="18" t="str">
        <f>VLOOKUP(C417,'Tariff Schedule Lookup Table'!I$7:L$286,2,FALSE)</f>
        <v>T5 2x14W</v>
      </c>
      <c r="F417" s="18" t="str">
        <f>IF(E417 = "BULKHEADS ETC", "SHARED OR NO POLE", VLOOKUP(C417,'Tariff Schedule Lookup Table'!I$7:L$286,3,FALSE))</f>
        <v>SHARED OR NO POLE</v>
      </c>
      <c r="G417" s="18">
        <f>IF(E417 = "NO CAPITAL", 1, VLOOKUP(C417,'Tariff Schedule Lookup Table'!I$7:L$286,4,FALSE))</f>
        <v>4</v>
      </c>
      <c r="H417" s="18" t="str">
        <f t="shared" si="66"/>
        <v>1-Unmetered, CE Funded, CE Maintained</v>
      </c>
      <c r="I417" s="123">
        <f>VLOOKUP(F417,'Maintenance Model'!$A$57:$B$61,2,FALSE)</f>
        <v>0</v>
      </c>
      <c r="J417" s="123" t="e">
        <f>IF(D417=1,VLOOKUP(C417,'Capital Code Schedules'!A$15:F$300,2,FALSE),IF(D417=2,VLOOKUP(C417,'Capital Code Schedules'!A$15:F$300,3,FALSE),0))</f>
        <v>#N/A</v>
      </c>
      <c r="K417" s="123" t="e">
        <v>#N/A</v>
      </c>
      <c r="L417" s="123">
        <f>VLOOKUP(LEFT(A417,10),'Streetlight Tariff Schedule'!B$11:G$260,6, FALSE)+I417</f>
        <v>78.411247177589814</v>
      </c>
      <c r="M417" s="161" t="e">
        <f t="shared" si="67"/>
        <v>#N/A</v>
      </c>
      <c r="N417" s="405" t="e">
        <f t="shared" si="68"/>
        <v>#N/A</v>
      </c>
      <c r="O417" s="405" t="e">
        <v>#N/A</v>
      </c>
      <c r="P417" s="406" t="e">
        <v>#N/A</v>
      </c>
      <c r="Q417" s="406" t="e">
        <v>#N/A</v>
      </c>
      <c r="R417" s="406" t="e">
        <v>#N/A</v>
      </c>
      <c r="S417" s="405" t="e">
        <f t="shared" si="69"/>
        <v>#N/A</v>
      </c>
      <c r="T417" s="406" t="e">
        <v>#N/A</v>
      </c>
      <c r="U417" s="406" t="e">
        <v>#N/A</v>
      </c>
      <c r="V417" s="405" t="e">
        <f t="shared" si="70"/>
        <v>#N/A</v>
      </c>
      <c r="W417" s="406" t="e">
        <v>#N/A</v>
      </c>
      <c r="X417" s="406" t="e">
        <v>#N/A</v>
      </c>
      <c r="Y417" s="405" t="e">
        <f t="shared" si="71"/>
        <v>#N/A</v>
      </c>
      <c r="Z417" s="406" t="e">
        <v>#N/A</v>
      </c>
      <c r="AA417" s="406" t="e">
        <v>#N/A</v>
      </c>
      <c r="AB417" s="442" t="e">
        <f t="shared" si="72"/>
        <v>#N/A</v>
      </c>
      <c r="AC417" s="438" t="e">
        <f t="shared" si="73"/>
        <v>#N/A</v>
      </c>
      <c r="AD417" s="410"/>
      <c r="AE417" s="411"/>
      <c r="AF417" s="411"/>
      <c r="AG417" s="411"/>
    </row>
    <row r="418" spans="1:33" x14ac:dyDescent="0.2">
      <c r="A418" s="36" t="s">
        <v>1711</v>
      </c>
      <c r="B418" s="18" t="str">
        <f>VLOOKUP(LEFT(A418,7),'Tariff Schedule Lookup Table'!$A$8:$G$186,2,FALSE)</f>
        <v>T5 2x14W</v>
      </c>
      <c r="C418" s="160">
        <f t="shared" si="64"/>
        <v>1770</v>
      </c>
      <c r="D418" s="18">
        <f t="shared" si="65"/>
        <v>2</v>
      </c>
      <c r="E418" s="18" t="str">
        <f>VLOOKUP(C418,'Tariff Schedule Lookup Table'!I$7:L$286,2,FALSE)</f>
        <v>T5 2x14W</v>
      </c>
      <c r="F418" s="18" t="str">
        <f>IF(E418 = "BULKHEADS ETC", "SHARED OR NO POLE", VLOOKUP(C418,'Tariff Schedule Lookup Table'!I$7:L$286,3,FALSE))</f>
        <v>SHARED OR NO POLE</v>
      </c>
      <c r="G418" s="18">
        <f>IF(E418 = "NO CAPITAL", 1, VLOOKUP(C418,'Tariff Schedule Lookup Table'!I$7:L$286,4,FALSE))</f>
        <v>4</v>
      </c>
      <c r="H418" s="18" t="str">
        <f t="shared" si="66"/>
        <v>2-Unmetered, Funded by Others, CE Maintained</v>
      </c>
      <c r="I418" s="123">
        <f>VLOOKUP(F418,'Maintenance Model'!$A$57:$B$61,2,FALSE)</f>
        <v>0</v>
      </c>
      <c r="J418" s="123">
        <f>IF(D418=1,VLOOKUP(C418,'Capital Code Schedules'!A$15:F$300,2,FALSE),IF(D418=2,VLOOKUP(C418,'Capital Code Schedules'!A$15:F$300,3,FALSE),0))</f>
        <v>0</v>
      </c>
      <c r="K418" s="123">
        <v>0</v>
      </c>
      <c r="L418" s="123">
        <f>VLOOKUP(LEFT(A418,10),'Streetlight Tariff Schedule'!B$11:G$260,6, FALSE)+I418</f>
        <v>78.411247177589814</v>
      </c>
      <c r="M418" s="161">
        <f t="shared" si="67"/>
        <v>78.411247177589814</v>
      </c>
      <c r="N418" s="405">
        <f t="shared" si="68"/>
        <v>81.678535835987006</v>
      </c>
      <c r="O418" s="405">
        <v>49.538170964590115</v>
      </c>
      <c r="P418" s="406">
        <v>49.538170964590115</v>
      </c>
      <c r="Q418" s="406">
        <v>51.962512691699722</v>
      </c>
      <c r="R418" s="406">
        <v>51.962512691699722</v>
      </c>
      <c r="S418" s="405">
        <f t="shared" si="69"/>
        <v>85.67579045360182</v>
      </c>
      <c r="T418" s="406">
        <v>54.096674667369399</v>
      </c>
      <c r="U418" s="406">
        <v>54.294305571010725</v>
      </c>
      <c r="V418" s="405">
        <f t="shared" si="70"/>
        <v>89.520450531807825</v>
      </c>
      <c r="W418" s="406">
        <v>56.065940065079289</v>
      </c>
      <c r="X418" s="406">
        <v>56.773205397451676</v>
      </c>
      <c r="Y418" s="405">
        <f t="shared" si="71"/>
        <v>93.607660543104103</v>
      </c>
      <c r="Z418" s="406">
        <v>57.68543890141401</v>
      </c>
      <c r="AA418" s="406">
        <v>58.626892042627794</v>
      </c>
      <c r="AB418" s="442">
        <f t="shared" si="72"/>
        <v>95.639577834119279</v>
      </c>
      <c r="AC418" s="438">
        <f t="shared" si="73"/>
        <v>98.499111429844405</v>
      </c>
      <c r="AD418" s="410"/>
      <c r="AE418" s="411"/>
      <c r="AF418" s="411"/>
      <c r="AG418" s="411"/>
    </row>
    <row r="419" spans="1:33" x14ac:dyDescent="0.2">
      <c r="A419" s="36" t="s">
        <v>1712</v>
      </c>
      <c r="B419" s="18" t="str">
        <f>VLOOKUP(LEFT(A419,7),'Tariff Schedule Lookup Table'!$A$8:$G$186,2,FALSE)</f>
        <v>T5 2x14W</v>
      </c>
      <c r="C419" s="160">
        <f t="shared" si="64"/>
        <v>1780</v>
      </c>
      <c r="D419" s="18">
        <f t="shared" si="65"/>
        <v>1</v>
      </c>
      <c r="E419" s="18" t="str">
        <f>VLOOKUP(C419,'Tariff Schedule Lookup Table'!I$7:L$286,2,FALSE)</f>
        <v>T5 2x14W</v>
      </c>
      <c r="F419" s="18" t="str">
        <f>IF(E419 = "BULKHEADS ETC", "SHARED OR NO POLE", VLOOKUP(C419,'Tariff Schedule Lookup Table'!I$7:L$286,3,FALSE))</f>
        <v>WOOD POLE</v>
      </c>
      <c r="G419" s="18">
        <f>IF(E419 = "NO CAPITAL", 1, VLOOKUP(C419,'Tariff Schedule Lookup Table'!I$7:L$286,4,FALSE))</f>
        <v>1</v>
      </c>
      <c r="H419" s="18" t="str">
        <f t="shared" si="66"/>
        <v>1-Unmetered, CE Funded, CE Maintained</v>
      </c>
      <c r="I419" s="123">
        <f>VLOOKUP(F419,'Maintenance Model'!$A$57:$B$61,2,FALSE)</f>
        <v>10.731618231111112</v>
      </c>
      <c r="J419" s="123" t="e">
        <f>IF(D419=1,VLOOKUP(C419,'Capital Code Schedules'!A$15:F$300,2,FALSE),IF(D419=2,VLOOKUP(C419,'Capital Code Schedules'!A$15:F$300,3,FALSE),0))</f>
        <v>#N/A</v>
      </c>
      <c r="K419" s="123" t="e">
        <v>#N/A</v>
      </c>
      <c r="L419" s="123">
        <f>VLOOKUP(LEFT(A419,10),'Streetlight Tariff Schedule'!B$11:G$260,6, FALSE)+I419</f>
        <v>89.142865408700928</v>
      </c>
      <c r="M419" s="161" t="e">
        <f t="shared" si="67"/>
        <v>#N/A</v>
      </c>
      <c r="N419" s="405" t="e">
        <f t="shared" si="68"/>
        <v>#N/A</v>
      </c>
      <c r="O419" s="405" t="e">
        <v>#N/A</v>
      </c>
      <c r="P419" s="406" t="e">
        <v>#N/A</v>
      </c>
      <c r="Q419" s="406" t="e">
        <v>#N/A</v>
      </c>
      <c r="R419" s="406" t="e">
        <v>#N/A</v>
      </c>
      <c r="S419" s="405" t="e">
        <f t="shared" si="69"/>
        <v>#N/A</v>
      </c>
      <c r="T419" s="406" t="e">
        <v>#N/A</v>
      </c>
      <c r="U419" s="406" t="e">
        <v>#N/A</v>
      </c>
      <c r="V419" s="405" t="e">
        <f t="shared" si="70"/>
        <v>#N/A</v>
      </c>
      <c r="W419" s="406" t="e">
        <v>#N/A</v>
      </c>
      <c r="X419" s="406" t="e">
        <v>#N/A</v>
      </c>
      <c r="Y419" s="405" t="e">
        <f t="shared" si="71"/>
        <v>#N/A</v>
      </c>
      <c r="Z419" s="406" t="e">
        <v>#N/A</v>
      </c>
      <c r="AA419" s="406" t="e">
        <v>#N/A</v>
      </c>
      <c r="AB419" s="442" t="e">
        <f t="shared" si="72"/>
        <v>#N/A</v>
      </c>
      <c r="AC419" s="438" t="e">
        <f t="shared" si="73"/>
        <v>#N/A</v>
      </c>
      <c r="AD419" s="410"/>
      <c r="AE419" s="411"/>
      <c r="AF419" s="411"/>
      <c r="AG419" s="411"/>
    </row>
    <row r="420" spans="1:33" x14ac:dyDescent="0.2">
      <c r="A420" s="36" t="s">
        <v>1713</v>
      </c>
      <c r="B420" s="18" t="str">
        <f>VLOOKUP(LEFT(A420,7),'Tariff Schedule Lookup Table'!$A$8:$G$186,2,FALSE)</f>
        <v>T5 2x14W</v>
      </c>
      <c r="C420" s="160">
        <f t="shared" si="64"/>
        <v>1780</v>
      </c>
      <c r="D420" s="18">
        <f t="shared" si="65"/>
        <v>2</v>
      </c>
      <c r="E420" s="18" t="str">
        <f>VLOOKUP(C420,'Tariff Schedule Lookup Table'!I$7:L$286,2,FALSE)</f>
        <v>T5 2x14W</v>
      </c>
      <c r="F420" s="18" t="str">
        <f>IF(E420 = "BULKHEADS ETC", "SHARED OR NO POLE", VLOOKUP(C420,'Tariff Schedule Lookup Table'!I$7:L$286,3,FALSE))</f>
        <v>WOOD POLE</v>
      </c>
      <c r="G420" s="18">
        <f>IF(E420 = "NO CAPITAL", 1, VLOOKUP(C420,'Tariff Schedule Lookup Table'!I$7:L$286,4,FALSE))</f>
        <v>1</v>
      </c>
      <c r="H420" s="18" t="str">
        <f t="shared" si="66"/>
        <v>2-Unmetered, Funded by Others, CE Maintained</v>
      </c>
      <c r="I420" s="123">
        <f>VLOOKUP(F420,'Maintenance Model'!$A$57:$B$61,2,FALSE)</f>
        <v>10.731618231111112</v>
      </c>
      <c r="J420" s="123">
        <f>IF(D420=1,VLOOKUP(C420,'Capital Code Schedules'!A$15:F$300,2,FALSE),IF(D420=2,VLOOKUP(C420,'Capital Code Schedules'!A$15:F$300,3,FALSE),0))</f>
        <v>0</v>
      </c>
      <c r="K420" s="123">
        <v>0</v>
      </c>
      <c r="L420" s="123">
        <f>VLOOKUP(LEFT(A420,10),'Streetlight Tariff Schedule'!B$11:G$260,6, FALSE)+I420</f>
        <v>89.142865408700928</v>
      </c>
      <c r="M420" s="161">
        <f t="shared" si="67"/>
        <v>89.142865408700928</v>
      </c>
      <c r="N420" s="405">
        <f t="shared" si="68"/>
        <v>92.857325815984396</v>
      </c>
      <c r="O420" s="405">
        <v>59.934371040014277</v>
      </c>
      <c r="P420" s="406">
        <v>59.934371040014277</v>
      </c>
      <c r="Q420" s="406">
        <v>62.867490970991092</v>
      </c>
      <c r="R420" s="406">
        <v>62.867490970991092</v>
      </c>
      <c r="S420" s="405">
        <f t="shared" si="69"/>
        <v>97.401657697038658</v>
      </c>
      <c r="T420" s="406">
        <v>65.449533327797255</v>
      </c>
      <c r="U420" s="406">
        <v>65.688639529685062</v>
      </c>
      <c r="V420" s="405">
        <f t="shared" si="70"/>
        <v>101.77251045388239</v>
      </c>
      <c r="W420" s="406">
        <v>67.83207351296015</v>
      </c>
      <c r="X420" s="406">
        <v>68.68776725434688</v>
      </c>
      <c r="Y420" s="405">
        <f t="shared" si="71"/>
        <v>106.41910931627378</v>
      </c>
      <c r="Z420" s="406">
        <v>69.791444282323795</v>
      </c>
      <c r="AA420" s="406">
        <v>70.930473051121623</v>
      </c>
      <c r="AB420" s="442">
        <f t="shared" si="72"/>
        <v>108.72912141421099</v>
      </c>
      <c r="AC420" s="438">
        <f t="shared" si="73"/>
        <v>111.98002007519079</v>
      </c>
      <c r="AD420" s="410"/>
      <c r="AE420" s="411"/>
      <c r="AF420" s="411"/>
      <c r="AG420" s="411"/>
    </row>
    <row r="421" spans="1:33" x14ac:dyDescent="0.2">
      <c r="A421" s="36" t="s">
        <v>1714</v>
      </c>
      <c r="B421" s="18" t="str">
        <f>VLOOKUP(LEFT(A421,7),'Tariff Schedule Lookup Table'!$A$8:$G$186,2,FALSE)</f>
        <v>T5 2x14W</v>
      </c>
      <c r="C421" s="160">
        <f t="shared" si="64"/>
        <v>1790</v>
      </c>
      <c r="D421" s="18">
        <f t="shared" si="65"/>
        <v>1</v>
      </c>
      <c r="E421" s="18" t="str">
        <f>VLOOKUP(C421,'Tariff Schedule Lookup Table'!I$7:L$286,2,FALSE)</f>
        <v>T5 2x14W</v>
      </c>
      <c r="F421" s="18" t="str">
        <f>IF(E421 = "BULKHEADS ETC", "SHARED OR NO POLE", VLOOKUP(C421,'Tariff Schedule Lookup Table'!I$7:L$286,3,FALSE))</f>
        <v>WOOD POLE</v>
      </c>
      <c r="G421" s="18">
        <f>IF(E421 = "NO CAPITAL", 1, VLOOKUP(C421,'Tariff Schedule Lookup Table'!I$7:L$286,4,FALSE))</f>
        <v>2</v>
      </c>
      <c r="H421" s="18" t="str">
        <f t="shared" si="66"/>
        <v>1-Unmetered, CE Funded, CE Maintained</v>
      </c>
      <c r="I421" s="123">
        <f>VLOOKUP(F421,'Maintenance Model'!$A$57:$B$61,2,FALSE)</f>
        <v>10.731618231111112</v>
      </c>
      <c r="J421" s="123" t="e">
        <f>IF(D421=1,VLOOKUP(C421,'Capital Code Schedules'!A$15:F$300,2,FALSE),IF(D421=2,VLOOKUP(C421,'Capital Code Schedules'!A$15:F$300,3,FALSE),0))</f>
        <v>#N/A</v>
      </c>
      <c r="K421" s="123" t="e">
        <v>#N/A</v>
      </c>
      <c r="L421" s="123">
        <f>VLOOKUP(LEFT(A421,10),'Streetlight Tariff Schedule'!B$11:G$260,6, FALSE)+I421</f>
        <v>89.142865408700928</v>
      </c>
      <c r="M421" s="161" t="e">
        <f t="shared" si="67"/>
        <v>#N/A</v>
      </c>
      <c r="N421" s="405" t="e">
        <f t="shared" si="68"/>
        <v>#N/A</v>
      </c>
      <c r="O421" s="405" t="e">
        <v>#N/A</v>
      </c>
      <c r="P421" s="406" t="e">
        <v>#N/A</v>
      </c>
      <c r="Q421" s="406" t="e">
        <v>#N/A</v>
      </c>
      <c r="R421" s="406" t="e">
        <v>#N/A</v>
      </c>
      <c r="S421" s="405" t="e">
        <f t="shared" si="69"/>
        <v>#N/A</v>
      </c>
      <c r="T421" s="406" t="e">
        <v>#N/A</v>
      </c>
      <c r="U421" s="406" t="e">
        <v>#N/A</v>
      </c>
      <c r="V421" s="405" t="e">
        <f t="shared" si="70"/>
        <v>#N/A</v>
      </c>
      <c r="W421" s="406" t="e">
        <v>#N/A</v>
      </c>
      <c r="X421" s="406" t="e">
        <v>#N/A</v>
      </c>
      <c r="Y421" s="405" t="e">
        <f t="shared" si="71"/>
        <v>#N/A</v>
      </c>
      <c r="Z421" s="406" t="e">
        <v>#N/A</v>
      </c>
      <c r="AA421" s="406" t="e">
        <v>#N/A</v>
      </c>
      <c r="AB421" s="442" t="e">
        <f t="shared" si="72"/>
        <v>#N/A</v>
      </c>
      <c r="AC421" s="438" t="e">
        <f t="shared" si="73"/>
        <v>#N/A</v>
      </c>
      <c r="AD421" s="410"/>
      <c r="AE421" s="411"/>
      <c r="AF421" s="411"/>
      <c r="AG421" s="411"/>
    </row>
    <row r="422" spans="1:33" x14ac:dyDescent="0.2">
      <c r="A422" s="36" t="s">
        <v>1715</v>
      </c>
      <c r="B422" s="18" t="str">
        <f>VLOOKUP(LEFT(A422,7),'Tariff Schedule Lookup Table'!$A$8:$G$186,2,FALSE)</f>
        <v>T5 2x14W</v>
      </c>
      <c r="C422" s="160">
        <f t="shared" si="64"/>
        <v>1790</v>
      </c>
      <c r="D422" s="18">
        <f t="shared" si="65"/>
        <v>2</v>
      </c>
      <c r="E422" s="18" t="str">
        <f>VLOOKUP(C422,'Tariff Schedule Lookup Table'!I$7:L$286,2,FALSE)</f>
        <v>T5 2x14W</v>
      </c>
      <c r="F422" s="18" t="str">
        <f>IF(E422 = "BULKHEADS ETC", "SHARED OR NO POLE", VLOOKUP(C422,'Tariff Schedule Lookup Table'!I$7:L$286,3,FALSE))</f>
        <v>WOOD POLE</v>
      </c>
      <c r="G422" s="18">
        <f>IF(E422 = "NO CAPITAL", 1, VLOOKUP(C422,'Tariff Schedule Lookup Table'!I$7:L$286,4,FALSE))</f>
        <v>2</v>
      </c>
      <c r="H422" s="18" t="str">
        <f t="shared" si="66"/>
        <v>2-Unmetered, Funded by Others, CE Maintained</v>
      </c>
      <c r="I422" s="123">
        <f>VLOOKUP(F422,'Maintenance Model'!$A$57:$B$61,2,FALSE)</f>
        <v>10.731618231111112</v>
      </c>
      <c r="J422" s="123">
        <f>IF(D422=1,VLOOKUP(C422,'Capital Code Schedules'!A$15:F$300,2,FALSE),IF(D422=2,VLOOKUP(C422,'Capital Code Schedules'!A$15:F$300,3,FALSE),0))</f>
        <v>0</v>
      </c>
      <c r="K422" s="123">
        <v>0</v>
      </c>
      <c r="L422" s="123">
        <f>VLOOKUP(LEFT(A422,10),'Streetlight Tariff Schedule'!B$11:G$260,6, FALSE)+I422</f>
        <v>89.142865408700928</v>
      </c>
      <c r="M422" s="161">
        <f t="shared" si="67"/>
        <v>89.142865408700928</v>
      </c>
      <c r="N422" s="405">
        <f t="shared" si="68"/>
        <v>92.857325815984396</v>
      </c>
      <c r="O422" s="405">
        <v>59.934371040014277</v>
      </c>
      <c r="P422" s="406">
        <v>59.934371040014277</v>
      </c>
      <c r="Q422" s="406">
        <v>62.867490970991092</v>
      </c>
      <c r="R422" s="406">
        <v>62.867490970991092</v>
      </c>
      <c r="S422" s="405">
        <f t="shared" si="69"/>
        <v>97.401657697038658</v>
      </c>
      <c r="T422" s="406">
        <v>65.449533327797255</v>
      </c>
      <c r="U422" s="406">
        <v>65.688639529685062</v>
      </c>
      <c r="V422" s="405">
        <f t="shared" si="70"/>
        <v>101.77251045388239</v>
      </c>
      <c r="W422" s="406">
        <v>67.83207351296015</v>
      </c>
      <c r="X422" s="406">
        <v>68.68776725434688</v>
      </c>
      <c r="Y422" s="405">
        <f t="shared" si="71"/>
        <v>106.41910931627378</v>
      </c>
      <c r="Z422" s="406">
        <v>69.791444282323795</v>
      </c>
      <c r="AA422" s="406">
        <v>70.930473051121623</v>
      </c>
      <c r="AB422" s="442">
        <f t="shared" si="72"/>
        <v>108.72912141421099</v>
      </c>
      <c r="AC422" s="438">
        <f t="shared" si="73"/>
        <v>111.98002007519079</v>
      </c>
      <c r="AD422" s="410"/>
      <c r="AE422" s="411"/>
      <c r="AF422" s="411"/>
      <c r="AG422" s="411"/>
    </row>
    <row r="423" spans="1:33" x14ac:dyDescent="0.2">
      <c r="A423" s="36" t="s">
        <v>1716</v>
      </c>
      <c r="B423" s="18" t="str">
        <f>VLOOKUP(LEFT(A423,7),'Tariff Schedule Lookup Table'!$A$8:$G$186,2,FALSE)</f>
        <v>T5 2x14W</v>
      </c>
      <c r="C423" s="160">
        <f t="shared" si="64"/>
        <v>1800</v>
      </c>
      <c r="D423" s="18">
        <f t="shared" si="65"/>
        <v>1</v>
      </c>
      <c r="E423" s="18" t="str">
        <f>VLOOKUP(C423,'Tariff Schedule Lookup Table'!I$7:L$286,2,FALSE)</f>
        <v>T5 2x14W</v>
      </c>
      <c r="F423" s="18" t="str">
        <f>IF(E423 = "BULKHEADS ETC", "SHARED OR NO POLE", VLOOKUP(C423,'Tariff Schedule Lookup Table'!I$7:L$286,3,FALSE))</f>
        <v>WOOD POLE</v>
      </c>
      <c r="G423" s="18">
        <f>IF(E423 = "NO CAPITAL", 1, VLOOKUP(C423,'Tariff Schedule Lookup Table'!I$7:L$286,4,FALSE))</f>
        <v>3</v>
      </c>
      <c r="H423" s="18" t="str">
        <f t="shared" si="66"/>
        <v>1-Unmetered, CE Funded, CE Maintained</v>
      </c>
      <c r="I423" s="123">
        <f>VLOOKUP(F423,'Maintenance Model'!$A$57:$B$61,2,FALSE)</f>
        <v>10.731618231111112</v>
      </c>
      <c r="J423" s="123" t="e">
        <f>IF(D423=1,VLOOKUP(C423,'Capital Code Schedules'!A$15:F$300,2,FALSE),IF(D423=2,VLOOKUP(C423,'Capital Code Schedules'!A$15:F$300,3,FALSE),0))</f>
        <v>#N/A</v>
      </c>
      <c r="K423" s="123" t="e">
        <v>#N/A</v>
      </c>
      <c r="L423" s="123">
        <f>VLOOKUP(LEFT(A423,10),'Streetlight Tariff Schedule'!B$11:G$260,6, FALSE)+I423</f>
        <v>89.142865408700928</v>
      </c>
      <c r="M423" s="161" t="e">
        <f t="shared" si="67"/>
        <v>#N/A</v>
      </c>
      <c r="N423" s="405" t="e">
        <f t="shared" si="68"/>
        <v>#N/A</v>
      </c>
      <c r="O423" s="405" t="e">
        <v>#N/A</v>
      </c>
      <c r="P423" s="406" t="e">
        <v>#N/A</v>
      </c>
      <c r="Q423" s="406" t="e">
        <v>#N/A</v>
      </c>
      <c r="R423" s="406" t="e">
        <v>#N/A</v>
      </c>
      <c r="S423" s="405" t="e">
        <f t="shared" si="69"/>
        <v>#N/A</v>
      </c>
      <c r="T423" s="406" t="e">
        <v>#N/A</v>
      </c>
      <c r="U423" s="406" t="e">
        <v>#N/A</v>
      </c>
      <c r="V423" s="405" t="e">
        <f t="shared" si="70"/>
        <v>#N/A</v>
      </c>
      <c r="W423" s="406" t="e">
        <v>#N/A</v>
      </c>
      <c r="X423" s="406" t="e">
        <v>#N/A</v>
      </c>
      <c r="Y423" s="405" t="e">
        <f t="shared" si="71"/>
        <v>#N/A</v>
      </c>
      <c r="Z423" s="406" t="e">
        <v>#N/A</v>
      </c>
      <c r="AA423" s="406" t="e">
        <v>#N/A</v>
      </c>
      <c r="AB423" s="442" t="e">
        <f t="shared" si="72"/>
        <v>#N/A</v>
      </c>
      <c r="AC423" s="438" t="e">
        <f t="shared" si="73"/>
        <v>#N/A</v>
      </c>
      <c r="AD423" s="410"/>
      <c r="AE423" s="411"/>
      <c r="AF423" s="411"/>
      <c r="AG423" s="411"/>
    </row>
    <row r="424" spans="1:33" x14ac:dyDescent="0.2">
      <c r="A424" s="36" t="s">
        <v>1717</v>
      </c>
      <c r="B424" s="18" t="str">
        <f>VLOOKUP(LEFT(A424,7),'Tariff Schedule Lookup Table'!$A$8:$G$186,2,FALSE)</f>
        <v>T5 2x14W</v>
      </c>
      <c r="C424" s="160">
        <f t="shared" si="64"/>
        <v>1800</v>
      </c>
      <c r="D424" s="18">
        <f t="shared" si="65"/>
        <v>2</v>
      </c>
      <c r="E424" s="18" t="str">
        <f>VLOOKUP(C424,'Tariff Schedule Lookup Table'!I$7:L$286,2,FALSE)</f>
        <v>T5 2x14W</v>
      </c>
      <c r="F424" s="18" t="str">
        <f>IF(E424 = "BULKHEADS ETC", "SHARED OR NO POLE", VLOOKUP(C424,'Tariff Schedule Lookup Table'!I$7:L$286,3,FALSE))</f>
        <v>WOOD POLE</v>
      </c>
      <c r="G424" s="18">
        <f>IF(E424 = "NO CAPITAL", 1, VLOOKUP(C424,'Tariff Schedule Lookup Table'!I$7:L$286,4,FALSE))</f>
        <v>3</v>
      </c>
      <c r="H424" s="18" t="str">
        <f t="shared" si="66"/>
        <v>2-Unmetered, Funded by Others, CE Maintained</v>
      </c>
      <c r="I424" s="123">
        <f>VLOOKUP(F424,'Maintenance Model'!$A$57:$B$61,2,FALSE)</f>
        <v>10.731618231111112</v>
      </c>
      <c r="J424" s="123">
        <f>IF(D424=1,VLOOKUP(C424,'Capital Code Schedules'!A$15:F$300,2,FALSE),IF(D424=2,VLOOKUP(C424,'Capital Code Schedules'!A$15:F$300,3,FALSE),0))</f>
        <v>0</v>
      </c>
      <c r="K424" s="123">
        <v>0</v>
      </c>
      <c r="L424" s="123">
        <f>VLOOKUP(LEFT(A424,10),'Streetlight Tariff Schedule'!B$11:G$260,6, FALSE)+I424</f>
        <v>89.142865408700928</v>
      </c>
      <c r="M424" s="161">
        <f t="shared" si="67"/>
        <v>89.142865408700928</v>
      </c>
      <c r="N424" s="405">
        <f t="shared" si="68"/>
        <v>92.857325815984396</v>
      </c>
      <c r="O424" s="405">
        <v>59.934371040014277</v>
      </c>
      <c r="P424" s="406">
        <v>59.934371040014277</v>
      </c>
      <c r="Q424" s="406">
        <v>62.867490970991092</v>
      </c>
      <c r="R424" s="406">
        <v>62.867490970991092</v>
      </c>
      <c r="S424" s="405">
        <f t="shared" si="69"/>
        <v>97.401657697038658</v>
      </c>
      <c r="T424" s="406">
        <v>65.449533327797255</v>
      </c>
      <c r="U424" s="406">
        <v>65.688639529685062</v>
      </c>
      <c r="V424" s="405">
        <f t="shared" si="70"/>
        <v>101.77251045388239</v>
      </c>
      <c r="W424" s="406">
        <v>67.83207351296015</v>
      </c>
      <c r="X424" s="406">
        <v>68.68776725434688</v>
      </c>
      <c r="Y424" s="405">
        <f t="shared" si="71"/>
        <v>106.41910931627378</v>
      </c>
      <c r="Z424" s="406">
        <v>69.791444282323795</v>
      </c>
      <c r="AA424" s="406">
        <v>70.930473051121623</v>
      </c>
      <c r="AB424" s="442">
        <f t="shared" si="72"/>
        <v>108.72912141421099</v>
      </c>
      <c r="AC424" s="438">
        <f t="shared" si="73"/>
        <v>111.98002007519079</v>
      </c>
      <c r="AD424" s="410"/>
      <c r="AE424" s="411"/>
      <c r="AF424" s="411"/>
      <c r="AG424" s="411"/>
    </row>
    <row r="425" spans="1:33" x14ac:dyDescent="0.2">
      <c r="A425" s="36" t="s">
        <v>1718</v>
      </c>
      <c r="B425" s="18" t="str">
        <f>VLOOKUP(LEFT(A425,7),'Tariff Schedule Lookup Table'!$A$8:$G$186,2,FALSE)</f>
        <v>T5 2x14W</v>
      </c>
      <c r="C425" s="160">
        <f t="shared" ref="C425:C448" si="74">1*MID(A425,12,4)</f>
        <v>1810</v>
      </c>
      <c r="D425" s="18">
        <f t="shared" ref="D425:D448" si="75">1*(MID(A425,17,3))</f>
        <v>1</v>
      </c>
      <c r="E425" s="18" t="str">
        <f>VLOOKUP(C425,'Tariff Schedule Lookup Table'!I$7:L$286,2,FALSE)</f>
        <v>T5 2x14W</v>
      </c>
      <c r="F425" s="18" t="str">
        <f>IF(E425 = "BULKHEADS ETC", "SHARED OR NO POLE", VLOOKUP(C425,'Tariff Schedule Lookup Table'!I$7:L$286,3,FALSE))</f>
        <v>WOOD POLE</v>
      </c>
      <c r="G425" s="18">
        <f>IF(E425 = "NO CAPITAL", 1, VLOOKUP(C425,'Tariff Schedule Lookup Table'!I$7:L$286,4,FALSE))</f>
        <v>4</v>
      </c>
      <c r="H425" s="18" t="str">
        <f t="shared" si="66"/>
        <v>1-Unmetered, CE Funded, CE Maintained</v>
      </c>
      <c r="I425" s="123">
        <f>VLOOKUP(F425,'Maintenance Model'!$A$57:$B$61,2,FALSE)</f>
        <v>10.731618231111112</v>
      </c>
      <c r="J425" s="123" t="e">
        <f>IF(D425=1,VLOOKUP(C425,'Capital Code Schedules'!A$15:F$300,2,FALSE),IF(D425=2,VLOOKUP(C425,'Capital Code Schedules'!A$15:F$300,3,FALSE),0))</f>
        <v>#N/A</v>
      </c>
      <c r="K425" s="123" t="e">
        <v>#N/A</v>
      </c>
      <c r="L425" s="123">
        <f>VLOOKUP(LEFT(A425,10),'Streetlight Tariff Schedule'!B$11:G$260,6, FALSE)+I425</f>
        <v>89.142865408700928</v>
      </c>
      <c r="M425" s="161" t="e">
        <f t="shared" si="67"/>
        <v>#N/A</v>
      </c>
      <c r="N425" s="405" t="e">
        <f t="shared" si="68"/>
        <v>#N/A</v>
      </c>
      <c r="O425" s="405" t="e">
        <v>#N/A</v>
      </c>
      <c r="P425" s="406" t="e">
        <v>#N/A</v>
      </c>
      <c r="Q425" s="406" t="e">
        <v>#N/A</v>
      </c>
      <c r="R425" s="406" t="e">
        <v>#N/A</v>
      </c>
      <c r="S425" s="405" t="e">
        <f t="shared" si="69"/>
        <v>#N/A</v>
      </c>
      <c r="T425" s="406" t="e">
        <v>#N/A</v>
      </c>
      <c r="U425" s="406" t="e">
        <v>#N/A</v>
      </c>
      <c r="V425" s="405" t="e">
        <f t="shared" si="70"/>
        <v>#N/A</v>
      </c>
      <c r="W425" s="406" t="e">
        <v>#N/A</v>
      </c>
      <c r="X425" s="406" t="e">
        <v>#N/A</v>
      </c>
      <c r="Y425" s="405" t="e">
        <f t="shared" si="71"/>
        <v>#N/A</v>
      </c>
      <c r="Z425" s="406" t="e">
        <v>#N/A</v>
      </c>
      <c r="AA425" s="406" t="e">
        <v>#N/A</v>
      </c>
      <c r="AB425" s="442" t="e">
        <f t="shared" si="72"/>
        <v>#N/A</v>
      </c>
      <c r="AC425" s="438" t="e">
        <f t="shared" si="73"/>
        <v>#N/A</v>
      </c>
      <c r="AD425" s="410"/>
      <c r="AE425" s="411"/>
      <c r="AF425" s="411"/>
      <c r="AG425" s="411"/>
    </row>
    <row r="426" spans="1:33" x14ac:dyDescent="0.2">
      <c r="A426" s="36" t="s">
        <v>1719</v>
      </c>
      <c r="B426" s="18" t="str">
        <f>VLOOKUP(LEFT(A426,7),'Tariff Schedule Lookup Table'!$A$8:$G$186,2,FALSE)</f>
        <v>T5 2x14W</v>
      </c>
      <c r="C426" s="160">
        <f t="shared" si="74"/>
        <v>1810</v>
      </c>
      <c r="D426" s="18">
        <f t="shared" si="75"/>
        <v>2</v>
      </c>
      <c r="E426" s="18" t="str">
        <f>VLOOKUP(C426,'Tariff Schedule Lookup Table'!I$7:L$286,2,FALSE)</f>
        <v>T5 2x14W</v>
      </c>
      <c r="F426" s="18" t="str">
        <f>IF(E426 = "BULKHEADS ETC", "SHARED OR NO POLE", VLOOKUP(C426,'Tariff Schedule Lookup Table'!I$7:L$286,3,FALSE))</f>
        <v>WOOD POLE</v>
      </c>
      <c r="G426" s="18">
        <f>IF(E426 = "NO CAPITAL", 1, VLOOKUP(C426,'Tariff Schedule Lookup Table'!I$7:L$286,4,FALSE))</f>
        <v>4</v>
      </c>
      <c r="H426" s="18" t="str">
        <f t="shared" si="66"/>
        <v>2-Unmetered, Funded by Others, CE Maintained</v>
      </c>
      <c r="I426" s="123">
        <f>VLOOKUP(F426,'Maintenance Model'!$A$57:$B$61,2,FALSE)</f>
        <v>10.731618231111112</v>
      </c>
      <c r="J426" s="123">
        <f>IF(D426=1,VLOOKUP(C426,'Capital Code Schedules'!A$15:F$300,2,FALSE),IF(D426=2,VLOOKUP(C426,'Capital Code Schedules'!A$15:F$300,3,FALSE),0))</f>
        <v>0</v>
      </c>
      <c r="K426" s="123">
        <v>0</v>
      </c>
      <c r="L426" s="123">
        <f>VLOOKUP(LEFT(A426,10),'Streetlight Tariff Schedule'!B$11:G$260,6, FALSE)+I426</f>
        <v>89.142865408700928</v>
      </c>
      <c r="M426" s="161">
        <f t="shared" si="67"/>
        <v>89.142865408700928</v>
      </c>
      <c r="N426" s="405">
        <f t="shared" si="68"/>
        <v>92.857325815984396</v>
      </c>
      <c r="O426" s="405">
        <v>59.934371040014277</v>
      </c>
      <c r="P426" s="406">
        <v>59.934371040014277</v>
      </c>
      <c r="Q426" s="406">
        <v>62.867490970991092</v>
      </c>
      <c r="R426" s="406">
        <v>62.867490970991092</v>
      </c>
      <c r="S426" s="405">
        <f t="shared" si="69"/>
        <v>97.401657697038658</v>
      </c>
      <c r="T426" s="406">
        <v>65.449533327797255</v>
      </c>
      <c r="U426" s="406">
        <v>65.688639529685062</v>
      </c>
      <c r="V426" s="405">
        <f t="shared" si="70"/>
        <v>101.77251045388239</v>
      </c>
      <c r="W426" s="406">
        <v>67.83207351296015</v>
      </c>
      <c r="X426" s="406">
        <v>68.68776725434688</v>
      </c>
      <c r="Y426" s="405">
        <f t="shared" si="71"/>
        <v>106.41910931627378</v>
      </c>
      <c r="Z426" s="406">
        <v>69.791444282323795</v>
      </c>
      <c r="AA426" s="406">
        <v>70.930473051121623</v>
      </c>
      <c r="AB426" s="442">
        <f t="shared" si="72"/>
        <v>108.72912141421099</v>
      </c>
      <c r="AC426" s="438">
        <f t="shared" si="73"/>
        <v>111.98002007519079</v>
      </c>
      <c r="AD426" s="410"/>
      <c r="AE426" s="411"/>
      <c r="AF426" s="411"/>
      <c r="AG426" s="411"/>
    </row>
    <row r="427" spans="1:33" x14ac:dyDescent="0.2">
      <c r="A427" s="36" t="s">
        <v>1720</v>
      </c>
      <c r="B427" s="18" t="str">
        <f>VLOOKUP(LEFT(A427,7),'Tariff Schedule Lookup Table'!$A$8:$G$186,2,FALSE)</f>
        <v>T5 2x14W</v>
      </c>
      <c r="C427" s="160">
        <f t="shared" si="74"/>
        <v>1820</v>
      </c>
      <c r="D427" s="18">
        <f t="shared" si="75"/>
        <v>1</v>
      </c>
      <c r="E427" s="18" t="str">
        <f>VLOOKUP(C427,'Tariff Schedule Lookup Table'!I$7:L$286,2,FALSE)</f>
        <v>T5 2x14W</v>
      </c>
      <c r="F427" s="18" t="str">
        <f>IF(E427 = "BULKHEADS ETC", "SHARED OR NO POLE", VLOOKUP(C427,'Tariff Schedule Lookup Table'!I$7:L$286,3,FALSE))</f>
        <v>STEEL POLE</v>
      </c>
      <c r="G427" s="18">
        <f>IF(E427 = "NO CAPITAL", 1, VLOOKUP(C427,'Tariff Schedule Lookup Table'!I$7:L$286,4,FALSE))</f>
        <v>1</v>
      </c>
      <c r="H427" s="18" t="str">
        <f t="shared" si="66"/>
        <v>1-Unmetered, CE Funded, CE Maintained</v>
      </c>
      <c r="I427" s="123">
        <f>VLOOKUP(F427,'Maintenance Model'!$A$57:$B$61,2,FALSE)</f>
        <v>9.9616182311111103</v>
      </c>
      <c r="J427" s="123" t="e">
        <f>IF(D427=1,VLOOKUP(C427,'Capital Code Schedules'!A$15:F$300,2,FALSE),IF(D427=2,VLOOKUP(C427,'Capital Code Schedules'!A$15:F$300,3,FALSE),0))</f>
        <v>#N/A</v>
      </c>
      <c r="K427" s="123" t="e">
        <v>#N/A</v>
      </c>
      <c r="L427" s="123">
        <f>VLOOKUP(LEFT(A427,10),'Streetlight Tariff Schedule'!B$11:G$260,6, FALSE)+I427</f>
        <v>88.372865408700932</v>
      </c>
      <c r="M427" s="161" t="e">
        <f t="shared" si="67"/>
        <v>#N/A</v>
      </c>
      <c r="N427" s="405" t="e">
        <f t="shared" si="68"/>
        <v>#N/A</v>
      </c>
      <c r="O427" s="405" t="e">
        <v>#N/A</v>
      </c>
      <c r="P427" s="406" t="e">
        <v>#N/A</v>
      </c>
      <c r="Q427" s="406" t="e">
        <v>#N/A</v>
      </c>
      <c r="R427" s="406" t="e">
        <v>#N/A</v>
      </c>
      <c r="S427" s="405" t="e">
        <f t="shared" si="69"/>
        <v>#N/A</v>
      </c>
      <c r="T427" s="406" t="e">
        <v>#N/A</v>
      </c>
      <c r="U427" s="406" t="e">
        <v>#N/A</v>
      </c>
      <c r="V427" s="405" t="e">
        <f t="shared" si="70"/>
        <v>#N/A</v>
      </c>
      <c r="W427" s="406" t="e">
        <v>#N/A</v>
      </c>
      <c r="X427" s="406" t="e">
        <v>#N/A</v>
      </c>
      <c r="Y427" s="405" t="e">
        <f t="shared" si="71"/>
        <v>#N/A</v>
      </c>
      <c r="Z427" s="406" t="e">
        <v>#N/A</v>
      </c>
      <c r="AA427" s="406" t="e">
        <v>#N/A</v>
      </c>
      <c r="AB427" s="442" t="e">
        <f t="shared" si="72"/>
        <v>#N/A</v>
      </c>
      <c r="AC427" s="438" t="e">
        <f t="shared" si="73"/>
        <v>#N/A</v>
      </c>
      <c r="AD427" s="410"/>
      <c r="AE427" s="411"/>
      <c r="AF427" s="411"/>
      <c r="AG427" s="411"/>
    </row>
    <row r="428" spans="1:33" x14ac:dyDescent="0.2">
      <c r="A428" s="36" t="s">
        <v>1721</v>
      </c>
      <c r="B428" s="18" t="str">
        <f>VLOOKUP(LEFT(A428,7),'Tariff Schedule Lookup Table'!$A$8:$G$186,2,FALSE)</f>
        <v>T5 2x14W</v>
      </c>
      <c r="C428" s="160">
        <f t="shared" si="74"/>
        <v>1820</v>
      </c>
      <c r="D428" s="18">
        <f t="shared" si="75"/>
        <v>2</v>
      </c>
      <c r="E428" s="18" t="str">
        <f>VLOOKUP(C428,'Tariff Schedule Lookup Table'!I$7:L$286,2,FALSE)</f>
        <v>T5 2x14W</v>
      </c>
      <c r="F428" s="18" t="str">
        <f>IF(E428 = "BULKHEADS ETC", "SHARED OR NO POLE", VLOOKUP(C428,'Tariff Schedule Lookup Table'!I$7:L$286,3,FALSE))</f>
        <v>STEEL POLE</v>
      </c>
      <c r="G428" s="18">
        <f>IF(E428 = "NO CAPITAL", 1, VLOOKUP(C428,'Tariff Schedule Lookup Table'!I$7:L$286,4,FALSE))</f>
        <v>1</v>
      </c>
      <c r="H428" s="18" t="str">
        <f t="shared" si="66"/>
        <v>2-Unmetered, Funded by Others, CE Maintained</v>
      </c>
      <c r="I428" s="123">
        <f>VLOOKUP(F428,'Maintenance Model'!$A$57:$B$61,2,FALSE)</f>
        <v>9.9616182311111103</v>
      </c>
      <c r="J428" s="123">
        <f>IF(D428=1,VLOOKUP(C428,'Capital Code Schedules'!A$15:F$300,2,FALSE),IF(D428=2,VLOOKUP(C428,'Capital Code Schedules'!A$15:F$300,3,FALSE),0))</f>
        <v>0</v>
      </c>
      <c r="K428" s="123">
        <v>0</v>
      </c>
      <c r="L428" s="123">
        <f>VLOOKUP(LEFT(A428,10),'Streetlight Tariff Schedule'!B$11:G$260,6, FALSE)+I428</f>
        <v>88.372865408700932</v>
      </c>
      <c r="M428" s="161">
        <f t="shared" si="67"/>
        <v>88.372865408700932</v>
      </c>
      <c r="N428" s="405">
        <f t="shared" si="68"/>
        <v>92.055240976659405</v>
      </c>
      <c r="O428" s="405">
        <v>59.132286200689279</v>
      </c>
      <c r="P428" s="406">
        <v>59.132286200689279</v>
      </c>
      <c r="Q428" s="406">
        <v>62.026153012166638</v>
      </c>
      <c r="R428" s="406">
        <v>62.026153012166638</v>
      </c>
      <c r="S428" s="405">
        <f t="shared" si="69"/>
        <v>96.560319738214204</v>
      </c>
      <c r="T428" s="406">
        <v>64.573640621956159</v>
      </c>
      <c r="U428" s="406">
        <v>64.809546932759858</v>
      </c>
      <c r="V428" s="405">
        <f t="shared" si="70"/>
        <v>100.89341785695717</v>
      </c>
      <c r="W428" s="406">
        <v>66.92429594158294</v>
      </c>
      <c r="X428" s="406">
        <v>67.768538174174935</v>
      </c>
      <c r="Y428" s="405">
        <f t="shared" si="71"/>
        <v>105.49988023610184</v>
      </c>
      <c r="Z428" s="406">
        <v>68.857445002743887</v>
      </c>
      <c r="AA428" s="406">
        <v>69.981230469724181</v>
      </c>
      <c r="AB428" s="442">
        <f t="shared" si="72"/>
        <v>107.78993886600485</v>
      </c>
      <c r="AC428" s="438">
        <f t="shared" si="73"/>
        <v>111.01275685044953</v>
      </c>
      <c r="AD428" s="410"/>
      <c r="AE428" s="411"/>
      <c r="AF428" s="411"/>
      <c r="AG428" s="411"/>
    </row>
    <row r="429" spans="1:33" x14ac:dyDescent="0.2">
      <c r="A429" s="36" t="s">
        <v>1722</v>
      </c>
      <c r="B429" s="18" t="str">
        <f>VLOOKUP(LEFT(A429,7),'Tariff Schedule Lookup Table'!$A$8:$G$186,2,FALSE)</f>
        <v>T5 2x14W</v>
      </c>
      <c r="C429" s="160">
        <f t="shared" si="74"/>
        <v>1830</v>
      </c>
      <c r="D429" s="18">
        <f t="shared" si="75"/>
        <v>1</v>
      </c>
      <c r="E429" s="18" t="str">
        <f>VLOOKUP(C429,'Tariff Schedule Lookup Table'!I$7:L$286,2,FALSE)</f>
        <v>T5 2x14W</v>
      </c>
      <c r="F429" s="18" t="str">
        <f>IF(E429 = "BULKHEADS ETC", "SHARED OR NO POLE", VLOOKUP(C429,'Tariff Schedule Lookup Table'!I$7:L$286,3,FALSE))</f>
        <v>STEEL POLE</v>
      </c>
      <c r="G429" s="18">
        <f>IF(E429 = "NO CAPITAL", 1, VLOOKUP(C429,'Tariff Schedule Lookup Table'!I$7:L$286,4,FALSE))</f>
        <v>2</v>
      </c>
      <c r="H429" s="18" t="str">
        <f t="shared" si="66"/>
        <v>1-Unmetered, CE Funded, CE Maintained</v>
      </c>
      <c r="I429" s="123">
        <f>VLOOKUP(F429,'Maintenance Model'!$A$57:$B$61,2,FALSE)</f>
        <v>9.9616182311111103</v>
      </c>
      <c r="J429" s="123" t="e">
        <f>IF(D429=1,VLOOKUP(C429,'Capital Code Schedules'!A$15:F$300,2,FALSE),IF(D429=2,VLOOKUP(C429,'Capital Code Schedules'!A$15:F$300,3,FALSE),0))</f>
        <v>#N/A</v>
      </c>
      <c r="K429" s="123" t="e">
        <v>#N/A</v>
      </c>
      <c r="L429" s="123">
        <f>VLOOKUP(LEFT(A429,10),'Streetlight Tariff Schedule'!B$11:G$260,6, FALSE)+I429</f>
        <v>88.372865408700932</v>
      </c>
      <c r="M429" s="161" t="e">
        <f t="shared" si="67"/>
        <v>#N/A</v>
      </c>
      <c r="N429" s="405" t="e">
        <f t="shared" si="68"/>
        <v>#N/A</v>
      </c>
      <c r="O429" s="405" t="e">
        <v>#N/A</v>
      </c>
      <c r="P429" s="406" t="e">
        <v>#N/A</v>
      </c>
      <c r="Q429" s="406" t="e">
        <v>#N/A</v>
      </c>
      <c r="R429" s="406" t="e">
        <v>#N/A</v>
      </c>
      <c r="S429" s="405" t="e">
        <f t="shared" si="69"/>
        <v>#N/A</v>
      </c>
      <c r="T429" s="406" t="e">
        <v>#N/A</v>
      </c>
      <c r="U429" s="406" t="e">
        <v>#N/A</v>
      </c>
      <c r="V429" s="405" t="e">
        <f t="shared" si="70"/>
        <v>#N/A</v>
      </c>
      <c r="W429" s="406" t="e">
        <v>#N/A</v>
      </c>
      <c r="X429" s="406" t="e">
        <v>#N/A</v>
      </c>
      <c r="Y429" s="405" t="e">
        <f t="shared" si="71"/>
        <v>#N/A</v>
      </c>
      <c r="Z429" s="406" t="e">
        <v>#N/A</v>
      </c>
      <c r="AA429" s="406" t="e">
        <v>#N/A</v>
      </c>
      <c r="AB429" s="442" t="e">
        <f t="shared" si="72"/>
        <v>#N/A</v>
      </c>
      <c r="AC429" s="438" t="e">
        <f t="shared" si="73"/>
        <v>#N/A</v>
      </c>
      <c r="AD429" s="410"/>
      <c r="AE429" s="411"/>
      <c r="AF429" s="411"/>
      <c r="AG429" s="411"/>
    </row>
    <row r="430" spans="1:33" x14ac:dyDescent="0.2">
      <c r="A430" s="36" t="s">
        <v>1723</v>
      </c>
      <c r="B430" s="18" t="str">
        <f>VLOOKUP(LEFT(A430,7),'Tariff Schedule Lookup Table'!$A$8:$G$186,2,FALSE)</f>
        <v>T5 2x14W</v>
      </c>
      <c r="C430" s="160">
        <f t="shared" si="74"/>
        <v>1830</v>
      </c>
      <c r="D430" s="18">
        <f t="shared" si="75"/>
        <v>2</v>
      </c>
      <c r="E430" s="18" t="str">
        <f>VLOOKUP(C430,'Tariff Schedule Lookup Table'!I$7:L$286,2,FALSE)</f>
        <v>T5 2x14W</v>
      </c>
      <c r="F430" s="18" t="str">
        <f>IF(E430 = "BULKHEADS ETC", "SHARED OR NO POLE", VLOOKUP(C430,'Tariff Schedule Lookup Table'!I$7:L$286,3,FALSE))</f>
        <v>STEEL POLE</v>
      </c>
      <c r="G430" s="18">
        <f>IF(E430 = "NO CAPITAL", 1, VLOOKUP(C430,'Tariff Schedule Lookup Table'!I$7:L$286,4,FALSE))</f>
        <v>2</v>
      </c>
      <c r="H430" s="18" t="str">
        <f t="shared" si="66"/>
        <v>2-Unmetered, Funded by Others, CE Maintained</v>
      </c>
      <c r="I430" s="123">
        <f>VLOOKUP(F430,'Maintenance Model'!$A$57:$B$61,2,FALSE)</f>
        <v>9.9616182311111103</v>
      </c>
      <c r="J430" s="123">
        <f>IF(D430=1,VLOOKUP(C430,'Capital Code Schedules'!A$15:F$300,2,FALSE),IF(D430=2,VLOOKUP(C430,'Capital Code Schedules'!A$15:F$300,3,FALSE),0))</f>
        <v>0</v>
      </c>
      <c r="K430" s="123">
        <v>0</v>
      </c>
      <c r="L430" s="123">
        <f>VLOOKUP(LEFT(A430,10),'Streetlight Tariff Schedule'!B$11:G$260,6, FALSE)+I430</f>
        <v>88.372865408700932</v>
      </c>
      <c r="M430" s="161">
        <f t="shared" si="67"/>
        <v>88.372865408700932</v>
      </c>
      <c r="N430" s="405">
        <f t="shared" si="68"/>
        <v>92.055240976659405</v>
      </c>
      <c r="O430" s="405">
        <v>59.132286200689279</v>
      </c>
      <c r="P430" s="406">
        <v>59.132286200689279</v>
      </c>
      <c r="Q430" s="406">
        <v>62.026153012166638</v>
      </c>
      <c r="R430" s="406">
        <v>62.026153012166638</v>
      </c>
      <c r="S430" s="405">
        <f t="shared" si="69"/>
        <v>96.560319738214204</v>
      </c>
      <c r="T430" s="406">
        <v>64.573640621956159</v>
      </c>
      <c r="U430" s="406">
        <v>64.809546932759858</v>
      </c>
      <c r="V430" s="405">
        <f t="shared" si="70"/>
        <v>100.89341785695717</v>
      </c>
      <c r="W430" s="406">
        <v>66.92429594158294</v>
      </c>
      <c r="X430" s="406">
        <v>67.768538174174935</v>
      </c>
      <c r="Y430" s="405">
        <f t="shared" si="71"/>
        <v>105.49988023610184</v>
      </c>
      <c r="Z430" s="406">
        <v>68.857445002743887</v>
      </c>
      <c r="AA430" s="406">
        <v>69.981230469724181</v>
      </c>
      <c r="AB430" s="442">
        <f t="shared" si="72"/>
        <v>107.78993886600485</v>
      </c>
      <c r="AC430" s="438">
        <f t="shared" si="73"/>
        <v>111.01275685044953</v>
      </c>
      <c r="AD430" s="410"/>
      <c r="AE430" s="411"/>
      <c r="AF430" s="411"/>
      <c r="AG430" s="411"/>
    </row>
    <row r="431" spans="1:33" x14ac:dyDescent="0.2">
      <c r="A431" s="36" t="s">
        <v>1724</v>
      </c>
      <c r="B431" s="18" t="str">
        <f>VLOOKUP(LEFT(A431,7),'Tariff Schedule Lookup Table'!$A$8:$G$186,2,FALSE)</f>
        <v>T5 2x14W</v>
      </c>
      <c r="C431" s="160">
        <f t="shared" si="74"/>
        <v>1840</v>
      </c>
      <c r="D431" s="18">
        <f t="shared" si="75"/>
        <v>1</v>
      </c>
      <c r="E431" s="18" t="str">
        <f>VLOOKUP(C431,'Tariff Schedule Lookup Table'!I$7:L$286,2,FALSE)</f>
        <v>T5 2x14W</v>
      </c>
      <c r="F431" s="18" t="str">
        <f>IF(E431 = "BULKHEADS ETC", "SHARED OR NO POLE", VLOOKUP(C431,'Tariff Schedule Lookup Table'!I$7:L$286,3,FALSE))</f>
        <v>STEEL POLE</v>
      </c>
      <c r="G431" s="18">
        <f>IF(E431 = "NO CAPITAL", 1, VLOOKUP(C431,'Tariff Schedule Lookup Table'!I$7:L$286,4,FALSE))</f>
        <v>3</v>
      </c>
      <c r="H431" s="18" t="str">
        <f t="shared" si="66"/>
        <v>1-Unmetered, CE Funded, CE Maintained</v>
      </c>
      <c r="I431" s="123">
        <f>VLOOKUP(F431,'Maintenance Model'!$A$57:$B$61,2,FALSE)</f>
        <v>9.9616182311111103</v>
      </c>
      <c r="J431" s="123" t="e">
        <f>IF(D431=1,VLOOKUP(C431,'Capital Code Schedules'!A$15:F$300,2,FALSE),IF(D431=2,VLOOKUP(C431,'Capital Code Schedules'!A$15:F$300,3,FALSE),0))</f>
        <v>#N/A</v>
      </c>
      <c r="K431" s="123" t="e">
        <v>#N/A</v>
      </c>
      <c r="L431" s="123">
        <f>VLOOKUP(LEFT(A431,10),'Streetlight Tariff Schedule'!B$11:G$260,6, FALSE)+I431</f>
        <v>88.372865408700932</v>
      </c>
      <c r="M431" s="161" t="e">
        <f t="shared" si="67"/>
        <v>#N/A</v>
      </c>
      <c r="N431" s="405" t="e">
        <f t="shared" si="68"/>
        <v>#N/A</v>
      </c>
      <c r="O431" s="405" t="e">
        <v>#N/A</v>
      </c>
      <c r="P431" s="406" t="e">
        <v>#N/A</v>
      </c>
      <c r="Q431" s="406" t="e">
        <v>#N/A</v>
      </c>
      <c r="R431" s="406" t="e">
        <v>#N/A</v>
      </c>
      <c r="S431" s="405" t="e">
        <f t="shared" si="69"/>
        <v>#N/A</v>
      </c>
      <c r="T431" s="406" t="e">
        <v>#N/A</v>
      </c>
      <c r="U431" s="406" t="e">
        <v>#N/A</v>
      </c>
      <c r="V431" s="405" t="e">
        <f t="shared" si="70"/>
        <v>#N/A</v>
      </c>
      <c r="W431" s="406" t="e">
        <v>#N/A</v>
      </c>
      <c r="X431" s="406" t="e">
        <v>#N/A</v>
      </c>
      <c r="Y431" s="405" t="e">
        <f t="shared" si="71"/>
        <v>#N/A</v>
      </c>
      <c r="Z431" s="406" t="e">
        <v>#N/A</v>
      </c>
      <c r="AA431" s="406" t="e">
        <v>#N/A</v>
      </c>
      <c r="AB431" s="442" t="e">
        <f t="shared" si="72"/>
        <v>#N/A</v>
      </c>
      <c r="AC431" s="438" t="e">
        <f t="shared" si="73"/>
        <v>#N/A</v>
      </c>
      <c r="AD431" s="410"/>
      <c r="AE431" s="411"/>
      <c r="AF431" s="411"/>
      <c r="AG431" s="411"/>
    </row>
    <row r="432" spans="1:33" x14ac:dyDescent="0.2">
      <c r="A432" s="36" t="s">
        <v>1725</v>
      </c>
      <c r="B432" s="18" t="str">
        <f>VLOOKUP(LEFT(A432,7),'Tariff Schedule Lookup Table'!$A$8:$G$186,2,FALSE)</f>
        <v>T5 2x14W</v>
      </c>
      <c r="C432" s="160">
        <f t="shared" si="74"/>
        <v>1840</v>
      </c>
      <c r="D432" s="18">
        <f t="shared" si="75"/>
        <v>2</v>
      </c>
      <c r="E432" s="18" t="str">
        <f>VLOOKUP(C432,'Tariff Schedule Lookup Table'!I$7:L$286,2,FALSE)</f>
        <v>T5 2x14W</v>
      </c>
      <c r="F432" s="18" t="str">
        <f>IF(E432 = "BULKHEADS ETC", "SHARED OR NO POLE", VLOOKUP(C432,'Tariff Schedule Lookup Table'!I$7:L$286,3,FALSE))</f>
        <v>STEEL POLE</v>
      </c>
      <c r="G432" s="18">
        <f>IF(E432 = "NO CAPITAL", 1, VLOOKUP(C432,'Tariff Schedule Lookup Table'!I$7:L$286,4,FALSE))</f>
        <v>3</v>
      </c>
      <c r="H432" s="18" t="str">
        <f t="shared" si="66"/>
        <v>2-Unmetered, Funded by Others, CE Maintained</v>
      </c>
      <c r="I432" s="123">
        <f>VLOOKUP(F432,'Maintenance Model'!$A$57:$B$61,2,FALSE)</f>
        <v>9.9616182311111103</v>
      </c>
      <c r="J432" s="123">
        <f>IF(D432=1,VLOOKUP(C432,'Capital Code Schedules'!A$15:F$300,2,FALSE),IF(D432=2,VLOOKUP(C432,'Capital Code Schedules'!A$15:F$300,3,FALSE),0))</f>
        <v>0</v>
      </c>
      <c r="K432" s="123">
        <v>0</v>
      </c>
      <c r="L432" s="123">
        <f>VLOOKUP(LEFT(A432,10),'Streetlight Tariff Schedule'!B$11:G$260,6, FALSE)+I432</f>
        <v>88.372865408700932</v>
      </c>
      <c r="M432" s="161">
        <f t="shared" si="67"/>
        <v>88.372865408700932</v>
      </c>
      <c r="N432" s="405">
        <f t="shared" si="68"/>
        <v>92.055240976659405</v>
      </c>
      <c r="O432" s="405">
        <v>59.132286200689279</v>
      </c>
      <c r="P432" s="406">
        <v>59.132286200689279</v>
      </c>
      <c r="Q432" s="406">
        <v>62.026153012166638</v>
      </c>
      <c r="R432" s="406">
        <v>62.026153012166638</v>
      </c>
      <c r="S432" s="405">
        <f t="shared" si="69"/>
        <v>96.560319738214204</v>
      </c>
      <c r="T432" s="406">
        <v>64.573640621956159</v>
      </c>
      <c r="U432" s="406">
        <v>64.809546932759858</v>
      </c>
      <c r="V432" s="405">
        <f t="shared" si="70"/>
        <v>100.89341785695717</v>
      </c>
      <c r="W432" s="406">
        <v>66.92429594158294</v>
      </c>
      <c r="X432" s="406">
        <v>67.768538174174935</v>
      </c>
      <c r="Y432" s="405">
        <f t="shared" si="71"/>
        <v>105.49988023610184</v>
      </c>
      <c r="Z432" s="406">
        <v>68.857445002743887</v>
      </c>
      <c r="AA432" s="406">
        <v>69.981230469724181</v>
      </c>
      <c r="AB432" s="442">
        <f t="shared" si="72"/>
        <v>107.78993886600485</v>
      </c>
      <c r="AC432" s="438">
        <f t="shared" si="73"/>
        <v>111.01275685044953</v>
      </c>
      <c r="AD432" s="410"/>
      <c r="AE432" s="411"/>
      <c r="AF432" s="411"/>
      <c r="AG432" s="411"/>
    </row>
    <row r="433" spans="1:33" x14ac:dyDescent="0.2">
      <c r="A433" s="36" t="s">
        <v>1726</v>
      </c>
      <c r="B433" s="18" t="str">
        <f>VLOOKUP(LEFT(A433,7),'Tariff Schedule Lookup Table'!$A$8:$G$186,2,FALSE)</f>
        <v>T5 2x14W</v>
      </c>
      <c r="C433" s="160">
        <f t="shared" si="74"/>
        <v>1850</v>
      </c>
      <c r="D433" s="18">
        <f t="shared" si="75"/>
        <v>1</v>
      </c>
      <c r="E433" s="18" t="str">
        <f>VLOOKUP(C433,'Tariff Schedule Lookup Table'!I$7:L$286,2,FALSE)</f>
        <v>T5 2x14W</v>
      </c>
      <c r="F433" s="18" t="str">
        <f>IF(E433 = "BULKHEADS ETC", "SHARED OR NO POLE", VLOOKUP(C433,'Tariff Schedule Lookup Table'!I$7:L$286,3,FALSE))</f>
        <v>STEEL POLE</v>
      </c>
      <c r="G433" s="18">
        <f>IF(E433 = "NO CAPITAL", 1, VLOOKUP(C433,'Tariff Schedule Lookup Table'!I$7:L$286,4,FALSE))</f>
        <v>4</v>
      </c>
      <c r="H433" s="18" t="str">
        <f t="shared" si="66"/>
        <v>1-Unmetered, CE Funded, CE Maintained</v>
      </c>
      <c r="I433" s="123">
        <f>VLOOKUP(F433,'Maintenance Model'!$A$57:$B$61,2,FALSE)</f>
        <v>9.9616182311111103</v>
      </c>
      <c r="J433" s="123" t="e">
        <f>IF(D433=1,VLOOKUP(C433,'Capital Code Schedules'!A$15:F$300,2,FALSE),IF(D433=2,VLOOKUP(C433,'Capital Code Schedules'!A$15:F$300,3,FALSE),0))</f>
        <v>#N/A</v>
      </c>
      <c r="K433" s="123" t="e">
        <v>#N/A</v>
      </c>
      <c r="L433" s="123">
        <f>VLOOKUP(LEFT(A433,10),'Streetlight Tariff Schedule'!B$11:G$260,6, FALSE)+I433</f>
        <v>88.372865408700932</v>
      </c>
      <c r="M433" s="161" t="e">
        <f t="shared" si="67"/>
        <v>#N/A</v>
      </c>
      <c r="N433" s="405" t="e">
        <f t="shared" si="68"/>
        <v>#N/A</v>
      </c>
      <c r="O433" s="405" t="e">
        <v>#N/A</v>
      </c>
      <c r="P433" s="406" t="e">
        <v>#N/A</v>
      </c>
      <c r="Q433" s="406" t="e">
        <v>#N/A</v>
      </c>
      <c r="R433" s="406" t="e">
        <v>#N/A</v>
      </c>
      <c r="S433" s="405" t="e">
        <f t="shared" si="69"/>
        <v>#N/A</v>
      </c>
      <c r="T433" s="406" t="e">
        <v>#N/A</v>
      </c>
      <c r="U433" s="406" t="e">
        <v>#N/A</v>
      </c>
      <c r="V433" s="405" t="e">
        <f t="shared" si="70"/>
        <v>#N/A</v>
      </c>
      <c r="W433" s="406" t="e">
        <v>#N/A</v>
      </c>
      <c r="X433" s="406" t="e">
        <v>#N/A</v>
      </c>
      <c r="Y433" s="405" t="e">
        <f t="shared" si="71"/>
        <v>#N/A</v>
      </c>
      <c r="Z433" s="406" t="e">
        <v>#N/A</v>
      </c>
      <c r="AA433" s="406" t="e">
        <v>#N/A</v>
      </c>
      <c r="AB433" s="442" t="e">
        <f t="shared" si="72"/>
        <v>#N/A</v>
      </c>
      <c r="AC433" s="438" t="e">
        <f t="shared" si="73"/>
        <v>#N/A</v>
      </c>
      <c r="AD433" s="410"/>
      <c r="AE433" s="411"/>
      <c r="AF433" s="411"/>
      <c r="AG433" s="411"/>
    </row>
    <row r="434" spans="1:33" x14ac:dyDescent="0.2">
      <c r="A434" s="36" t="s">
        <v>1727</v>
      </c>
      <c r="B434" s="18" t="str">
        <f>VLOOKUP(LEFT(A434,7),'Tariff Schedule Lookup Table'!$A$8:$G$186,2,FALSE)</f>
        <v>T5 2x14W</v>
      </c>
      <c r="C434" s="160">
        <f t="shared" si="74"/>
        <v>1850</v>
      </c>
      <c r="D434" s="18">
        <f t="shared" si="75"/>
        <v>2</v>
      </c>
      <c r="E434" s="18" t="str">
        <f>VLOOKUP(C434,'Tariff Schedule Lookup Table'!I$7:L$286,2,FALSE)</f>
        <v>T5 2x14W</v>
      </c>
      <c r="F434" s="18" t="str">
        <f>IF(E434 = "BULKHEADS ETC", "SHARED OR NO POLE", VLOOKUP(C434,'Tariff Schedule Lookup Table'!I$7:L$286,3,FALSE))</f>
        <v>STEEL POLE</v>
      </c>
      <c r="G434" s="18">
        <f>IF(E434 = "NO CAPITAL", 1, VLOOKUP(C434,'Tariff Schedule Lookup Table'!I$7:L$286,4,FALSE))</f>
        <v>4</v>
      </c>
      <c r="H434" s="18" t="str">
        <f t="shared" si="66"/>
        <v>2-Unmetered, Funded by Others, CE Maintained</v>
      </c>
      <c r="I434" s="123">
        <f>VLOOKUP(F434,'Maintenance Model'!$A$57:$B$61,2,FALSE)</f>
        <v>9.9616182311111103</v>
      </c>
      <c r="J434" s="123">
        <f>IF(D434=1,VLOOKUP(C434,'Capital Code Schedules'!A$15:F$300,2,FALSE),IF(D434=2,VLOOKUP(C434,'Capital Code Schedules'!A$15:F$300,3,FALSE),0))</f>
        <v>0</v>
      </c>
      <c r="K434" s="123">
        <v>0</v>
      </c>
      <c r="L434" s="123">
        <f>VLOOKUP(LEFT(A434,10),'Streetlight Tariff Schedule'!B$11:G$260,6, FALSE)+I434</f>
        <v>88.372865408700932</v>
      </c>
      <c r="M434" s="161">
        <f t="shared" si="67"/>
        <v>88.372865408700932</v>
      </c>
      <c r="N434" s="405">
        <f t="shared" si="68"/>
        <v>92.055240976659405</v>
      </c>
      <c r="O434" s="405">
        <v>59.132286200689279</v>
      </c>
      <c r="P434" s="406">
        <v>59.132286200689279</v>
      </c>
      <c r="Q434" s="406">
        <v>62.026153012166638</v>
      </c>
      <c r="R434" s="406">
        <v>62.026153012166638</v>
      </c>
      <c r="S434" s="405">
        <f t="shared" si="69"/>
        <v>96.560319738214204</v>
      </c>
      <c r="T434" s="406">
        <v>64.573640621956159</v>
      </c>
      <c r="U434" s="406">
        <v>64.809546932759858</v>
      </c>
      <c r="V434" s="405">
        <f t="shared" si="70"/>
        <v>100.89341785695717</v>
      </c>
      <c r="W434" s="406">
        <v>66.92429594158294</v>
      </c>
      <c r="X434" s="406">
        <v>67.768538174174935</v>
      </c>
      <c r="Y434" s="405">
        <f t="shared" si="71"/>
        <v>105.49988023610184</v>
      </c>
      <c r="Z434" s="406">
        <v>68.857445002743887</v>
      </c>
      <c r="AA434" s="406">
        <v>69.981230469724181</v>
      </c>
      <c r="AB434" s="442">
        <f t="shared" si="72"/>
        <v>107.78993886600485</v>
      </c>
      <c r="AC434" s="438">
        <f t="shared" si="73"/>
        <v>111.01275685044953</v>
      </c>
      <c r="AD434" s="410"/>
      <c r="AE434" s="411"/>
      <c r="AF434" s="411"/>
      <c r="AG434" s="411"/>
    </row>
    <row r="435" spans="1:33" x14ac:dyDescent="0.2">
      <c r="A435" s="36" t="s">
        <v>1728</v>
      </c>
      <c r="B435" s="18" t="str">
        <f>VLOOKUP(LEFT(A435,7),'Tariff Schedule Lookup Table'!$A$8:$G$186,2,FALSE)</f>
        <v>T5 2x24W</v>
      </c>
      <c r="C435" s="160">
        <f t="shared" si="74"/>
        <v>1860</v>
      </c>
      <c r="D435" s="18">
        <f t="shared" si="75"/>
        <v>1</v>
      </c>
      <c r="E435" s="18" t="str">
        <f>VLOOKUP(C435,'Tariff Schedule Lookup Table'!I$7:L$286,2,FALSE)</f>
        <v>T5 2x24W</v>
      </c>
      <c r="F435" s="18" t="str">
        <f>IF(E435 = "BULKHEADS ETC", "SHARED OR NO POLE", VLOOKUP(C435,'Tariff Schedule Lookup Table'!I$7:L$286,3,FALSE))</f>
        <v>SHARED OR NO POLE</v>
      </c>
      <c r="G435" s="18">
        <f>IF(E435 = "NO CAPITAL", 1, VLOOKUP(C435,'Tariff Schedule Lookup Table'!I$7:L$286,4,FALSE))</f>
        <v>1</v>
      </c>
      <c r="H435" s="18" t="str">
        <f t="shared" si="66"/>
        <v>1-Unmetered, CE Funded, CE Maintained</v>
      </c>
      <c r="I435" s="123">
        <f>VLOOKUP(F435,'Maintenance Model'!$A$57:$B$61,2,FALSE)</f>
        <v>0</v>
      </c>
      <c r="J435" s="123" t="e">
        <f>IF(D435=1,VLOOKUP(C435,'Capital Code Schedules'!A$15:F$300,2,FALSE),IF(D435=2,VLOOKUP(C435,'Capital Code Schedules'!A$15:F$300,3,FALSE),0))</f>
        <v>#N/A</v>
      </c>
      <c r="K435" s="123" t="e">
        <v>#N/A</v>
      </c>
      <c r="L435" s="123">
        <f>VLOOKUP(LEFT(A435,10),'Streetlight Tariff Schedule'!B$11:G$260,6, FALSE)+I435</f>
        <v>83.79333726758982</v>
      </c>
      <c r="M435" s="161" t="e">
        <f t="shared" si="67"/>
        <v>#N/A</v>
      </c>
      <c r="N435" s="405" t="e">
        <f t="shared" si="68"/>
        <v>#N/A</v>
      </c>
      <c r="O435" s="405" t="e">
        <v>#N/A</v>
      </c>
      <c r="P435" s="406" t="e">
        <v>#N/A</v>
      </c>
      <c r="Q435" s="406" t="e">
        <v>#N/A</v>
      </c>
      <c r="R435" s="406" t="e">
        <v>#N/A</v>
      </c>
      <c r="S435" s="405" t="e">
        <f t="shared" si="69"/>
        <v>#N/A</v>
      </c>
      <c r="T435" s="406" t="e">
        <v>#N/A</v>
      </c>
      <c r="U435" s="406" t="e">
        <v>#N/A</v>
      </c>
      <c r="V435" s="405" t="e">
        <f t="shared" si="70"/>
        <v>#N/A</v>
      </c>
      <c r="W435" s="406" t="e">
        <v>#N/A</v>
      </c>
      <c r="X435" s="406" t="e">
        <v>#N/A</v>
      </c>
      <c r="Y435" s="405" t="e">
        <f t="shared" si="71"/>
        <v>#N/A</v>
      </c>
      <c r="Z435" s="406" t="e">
        <v>#N/A</v>
      </c>
      <c r="AA435" s="406" t="e">
        <v>#N/A</v>
      </c>
      <c r="AB435" s="442" t="e">
        <f t="shared" si="72"/>
        <v>#N/A</v>
      </c>
      <c r="AC435" s="438" t="e">
        <f t="shared" si="73"/>
        <v>#N/A</v>
      </c>
      <c r="AD435" s="410"/>
      <c r="AE435" s="411"/>
      <c r="AF435" s="411"/>
      <c r="AG435" s="411"/>
    </row>
    <row r="436" spans="1:33" x14ac:dyDescent="0.2">
      <c r="A436" s="36" t="s">
        <v>1729</v>
      </c>
      <c r="B436" s="18" t="str">
        <f>VLOOKUP(LEFT(A436,7),'Tariff Schedule Lookup Table'!$A$8:$G$186,2,FALSE)</f>
        <v>T5 2x24W</v>
      </c>
      <c r="C436" s="160">
        <f t="shared" si="74"/>
        <v>1860</v>
      </c>
      <c r="D436" s="18">
        <f t="shared" si="75"/>
        <v>2</v>
      </c>
      <c r="E436" s="18" t="str">
        <f>VLOOKUP(C436,'Tariff Schedule Lookup Table'!I$7:L$286,2,FALSE)</f>
        <v>T5 2x24W</v>
      </c>
      <c r="F436" s="18" t="str">
        <f>IF(E436 = "BULKHEADS ETC", "SHARED OR NO POLE", VLOOKUP(C436,'Tariff Schedule Lookup Table'!I$7:L$286,3,FALSE))</f>
        <v>SHARED OR NO POLE</v>
      </c>
      <c r="G436" s="18">
        <f>IF(E436 = "NO CAPITAL", 1, VLOOKUP(C436,'Tariff Schedule Lookup Table'!I$7:L$286,4,FALSE))</f>
        <v>1</v>
      </c>
      <c r="H436" s="18" t="str">
        <f t="shared" si="66"/>
        <v>2-Unmetered, Funded by Others, CE Maintained</v>
      </c>
      <c r="I436" s="123">
        <f>VLOOKUP(F436,'Maintenance Model'!$A$57:$B$61,2,FALSE)</f>
        <v>0</v>
      </c>
      <c r="J436" s="123">
        <f>IF(D436=1,VLOOKUP(C436,'Capital Code Schedules'!A$15:F$300,2,FALSE),IF(D436=2,VLOOKUP(C436,'Capital Code Schedules'!A$15:F$300,3,FALSE),0))</f>
        <v>0</v>
      </c>
      <c r="K436" s="123">
        <v>0</v>
      </c>
      <c r="L436" s="123">
        <f>VLOOKUP(LEFT(A436,10),'Streetlight Tariff Schedule'!B$11:G$260,6, FALSE)+I436</f>
        <v>83.79333726758982</v>
      </c>
      <c r="M436" s="161">
        <f t="shared" si="67"/>
        <v>83.79333726758982</v>
      </c>
      <c r="N436" s="405">
        <f t="shared" si="68"/>
        <v>87.284890206208217</v>
      </c>
      <c r="O436" s="405">
        <v>55.222973982106218</v>
      </c>
      <c r="P436" s="406">
        <v>55.222973982106218</v>
      </c>
      <c r="Q436" s="406">
        <v>57.92552350125591</v>
      </c>
      <c r="R436" s="406">
        <v>57.92552350125591</v>
      </c>
      <c r="S436" s="405">
        <f t="shared" si="69"/>
        <v>91.556513428316052</v>
      </c>
      <c r="T436" s="406">
        <v>60.304593397482989</v>
      </c>
      <c r="U436" s="406">
        <v>60.524903635776738</v>
      </c>
      <c r="V436" s="405">
        <f t="shared" si="70"/>
        <v>95.665068134539709</v>
      </c>
      <c r="W436" s="406">
        <v>62.499843841818716</v>
      </c>
      <c r="X436" s="406">
        <v>63.288272124242873</v>
      </c>
      <c r="Y436" s="405">
        <f t="shared" si="71"/>
        <v>100.03282122210825</v>
      </c>
      <c r="Z436" s="406">
        <v>64.305189908529385</v>
      </c>
      <c r="AA436" s="406">
        <v>65.354680459155162</v>
      </c>
      <c r="AB436" s="442">
        <f t="shared" si="72"/>
        <v>102.20420781515996</v>
      </c>
      <c r="AC436" s="438">
        <f t="shared" si="73"/>
        <v>105.26001768478132</v>
      </c>
      <c r="AD436" s="410"/>
      <c r="AE436" s="411"/>
      <c r="AF436" s="411"/>
      <c r="AG436" s="411"/>
    </row>
    <row r="437" spans="1:33" x14ac:dyDescent="0.2">
      <c r="A437" s="36" t="s">
        <v>337</v>
      </c>
      <c r="B437" s="18" t="str">
        <f>VLOOKUP(LEFT(A437,7),'Tariff Schedule Lookup Table'!$A$8:$G$186,2,FALSE)</f>
        <v>T5 2x24W</v>
      </c>
      <c r="C437" s="160">
        <f t="shared" si="74"/>
        <v>1870</v>
      </c>
      <c r="D437" s="18">
        <f t="shared" si="75"/>
        <v>1</v>
      </c>
      <c r="E437" s="18" t="str">
        <f>VLOOKUP(C437,'Tariff Schedule Lookup Table'!I$7:L$286,2,FALSE)</f>
        <v>T5 2x24W</v>
      </c>
      <c r="F437" s="18" t="str">
        <f>IF(E437 = "BULKHEADS ETC", "SHARED OR NO POLE", VLOOKUP(C437,'Tariff Schedule Lookup Table'!I$7:L$286,3,FALSE))</f>
        <v>SHARED OR NO POLE</v>
      </c>
      <c r="G437" s="18">
        <f>IF(E437 = "NO CAPITAL", 1, VLOOKUP(C437,'Tariff Schedule Lookup Table'!I$7:L$286,4,FALSE))</f>
        <v>2</v>
      </c>
      <c r="H437" s="18" t="str">
        <f t="shared" si="66"/>
        <v>1-Unmetered, CE Funded, CE Maintained</v>
      </c>
      <c r="I437" s="123">
        <f>VLOOKUP(F437,'Maintenance Model'!$A$57:$B$61,2,FALSE)</f>
        <v>0</v>
      </c>
      <c r="J437" s="123" t="e">
        <f>IF(D437=1,VLOOKUP(C437,'Capital Code Schedules'!A$15:F$300,2,FALSE),IF(D437=2,VLOOKUP(C437,'Capital Code Schedules'!A$15:F$300,3,FALSE),0))</f>
        <v>#N/A</v>
      </c>
      <c r="K437" s="123" t="e">
        <v>#N/A</v>
      </c>
      <c r="L437" s="123">
        <f>VLOOKUP(LEFT(A437,10),'Streetlight Tariff Schedule'!B$11:G$260,6, FALSE)+I437</f>
        <v>83.79333726758982</v>
      </c>
      <c r="M437" s="161" t="e">
        <f t="shared" si="67"/>
        <v>#N/A</v>
      </c>
      <c r="N437" s="405" t="e">
        <f t="shared" si="68"/>
        <v>#N/A</v>
      </c>
      <c r="O437" s="405" t="e">
        <v>#N/A</v>
      </c>
      <c r="P437" s="406" t="e">
        <v>#N/A</v>
      </c>
      <c r="Q437" s="406" t="e">
        <v>#N/A</v>
      </c>
      <c r="R437" s="406" t="e">
        <v>#N/A</v>
      </c>
      <c r="S437" s="405" t="e">
        <f t="shared" si="69"/>
        <v>#N/A</v>
      </c>
      <c r="T437" s="406" t="e">
        <v>#N/A</v>
      </c>
      <c r="U437" s="406" t="e">
        <v>#N/A</v>
      </c>
      <c r="V437" s="405" t="e">
        <f t="shared" si="70"/>
        <v>#N/A</v>
      </c>
      <c r="W437" s="406" t="e">
        <v>#N/A</v>
      </c>
      <c r="X437" s="406" t="e">
        <v>#N/A</v>
      </c>
      <c r="Y437" s="405" t="e">
        <f t="shared" si="71"/>
        <v>#N/A</v>
      </c>
      <c r="Z437" s="406" t="e">
        <v>#N/A</v>
      </c>
      <c r="AA437" s="406" t="e">
        <v>#N/A</v>
      </c>
      <c r="AB437" s="442" t="e">
        <f t="shared" si="72"/>
        <v>#N/A</v>
      </c>
      <c r="AC437" s="438" t="e">
        <f t="shared" si="73"/>
        <v>#N/A</v>
      </c>
      <c r="AD437" s="410"/>
      <c r="AE437" s="411"/>
      <c r="AF437" s="411"/>
      <c r="AG437" s="411"/>
    </row>
    <row r="438" spans="1:33" x14ac:dyDescent="0.2">
      <c r="A438" s="36" t="s">
        <v>338</v>
      </c>
      <c r="B438" s="18" t="str">
        <f>VLOOKUP(LEFT(A438,7),'Tariff Schedule Lookup Table'!$A$8:$G$186,2,FALSE)</f>
        <v>T5 2x24W</v>
      </c>
      <c r="C438" s="160">
        <f t="shared" si="74"/>
        <v>1870</v>
      </c>
      <c r="D438" s="18">
        <f t="shared" si="75"/>
        <v>2</v>
      </c>
      <c r="E438" s="18" t="str">
        <f>VLOOKUP(C438,'Tariff Schedule Lookup Table'!I$7:L$286,2,FALSE)</f>
        <v>T5 2x24W</v>
      </c>
      <c r="F438" s="18" t="str">
        <f>IF(E438 = "BULKHEADS ETC", "SHARED OR NO POLE", VLOOKUP(C438,'Tariff Schedule Lookup Table'!I$7:L$286,3,FALSE))</f>
        <v>SHARED OR NO POLE</v>
      </c>
      <c r="G438" s="18">
        <f>IF(E438 = "NO CAPITAL", 1, VLOOKUP(C438,'Tariff Schedule Lookup Table'!I$7:L$286,4,FALSE))</f>
        <v>2</v>
      </c>
      <c r="H438" s="18" t="str">
        <f t="shared" si="66"/>
        <v>2-Unmetered, Funded by Others, CE Maintained</v>
      </c>
      <c r="I438" s="123">
        <f>VLOOKUP(F438,'Maintenance Model'!$A$57:$B$61,2,FALSE)</f>
        <v>0</v>
      </c>
      <c r="J438" s="123">
        <f>IF(D438=1,VLOOKUP(C438,'Capital Code Schedules'!A$15:F$300,2,FALSE),IF(D438=2,VLOOKUP(C438,'Capital Code Schedules'!A$15:F$300,3,FALSE),0))</f>
        <v>0</v>
      </c>
      <c r="K438" s="123">
        <v>0</v>
      </c>
      <c r="L438" s="123">
        <f>VLOOKUP(LEFT(A438,10),'Streetlight Tariff Schedule'!B$11:G$260,6, FALSE)+I438</f>
        <v>83.79333726758982</v>
      </c>
      <c r="M438" s="161">
        <f t="shared" si="67"/>
        <v>83.79333726758982</v>
      </c>
      <c r="N438" s="405">
        <f t="shared" si="68"/>
        <v>87.284890206208217</v>
      </c>
      <c r="O438" s="405">
        <v>55.222973982106218</v>
      </c>
      <c r="P438" s="406">
        <v>55.222973982106218</v>
      </c>
      <c r="Q438" s="406">
        <v>57.92552350125591</v>
      </c>
      <c r="R438" s="406">
        <v>57.92552350125591</v>
      </c>
      <c r="S438" s="405">
        <f t="shared" si="69"/>
        <v>91.556513428316052</v>
      </c>
      <c r="T438" s="406">
        <v>60.304593397482989</v>
      </c>
      <c r="U438" s="406">
        <v>60.524903635776738</v>
      </c>
      <c r="V438" s="405">
        <f t="shared" si="70"/>
        <v>95.665068134539709</v>
      </c>
      <c r="W438" s="406">
        <v>62.499843841818716</v>
      </c>
      <c r="X438" s="406">
        <v>63.288272124242873</v>
      </c>
      <c r="Y438" s="405">
        <f t="shared" si="71"/>
        <v>100.03282122210825</v>
      </c>
      <c r="Z438" s="406">
        <v>64.305189908529385</v>
      </c>
      <c r="AA438" s="406">
        <v>65.354680459155162</v>
      </c>
      <c r="AB438" s="442">
        <f t="shared" si="72"/>
        <v>102.20420781515996</v>
      </c>
      <c r="AC438" s="438">
        <f t="shared" si="73"/>
        <v>105.26001768478132</v>
      </c>
      <c r="AD438" s="410"/>
      <c r="AE438" s="411"/>
      <c r="AF438" s="411"/>
      <c r="AG438" s="411"/>
    </row>
    <row r="439" spans="1:33" x14ac:dyDescent="0.2">
      <c r="A439" s="36" t="s">
        <v>339</v>
      </c>
      <c r="B439" s="18" t="str">
        <f>VLOOKUP(LEFT(A439,7),'Tariff Schedule Lookup Table'!$A$8:$G$186,2,FALSE)</f>
        <v>T5 2x24W</v>
      </c>
      <c r="C439" s="160">
        <f t="shared" si="74"/>
        <v>1880</v>
      </c>
      <c r="D439" s="18">
        <f t="shared" si="75"/>
        <v>1</v>
      </c>
      <c r="E439" s="18" t="str">
        <f>VLOOKUP(C439,'Tariff Schedule Lookup Table'!I$7:L$286,2,FALSE)</f>
        <v>T5 2x24W</v>
      </c>
      <c r="F439" s="18" t="str">
        <f>IF(E439 = "BULKHEADS ETC", "SHARED OR NO POLE", VLOOKUP(C439,'Tariff Schedule Lookup Table'!I$7:L$286,3,FALSE))</f>
        <v>SHARED OR NO POLE</v>
      </c>
      <c r="G439" s="18">
        <f>IF(E439 = "NO CAPITAL", 1, VLOOKUP(C439,'Tariff Schedule Lookup Table'!I$7:L$286,4,FALSE))</f>
        <v>3</v>
      </c>
      <c r="H439" s="18" t="str">
        <f t="shared" si="66"/>
        <v>1-Unmetered, CE Funded, CE Maintained</v>
      </c>
      <c r="I439" s="123">
        <f>VLOOKUP(F439,'Maintenance Model'!$A$57:$B$61,2,FALSE)</f>
        <v>0</v>
      </c>
      <c r="J439" s="123" t="e">
        <f>IF(D439=1,VLOOKUP(C439,'Capital Code Schedules'!A$15:F$300,2,FALSE),IF(D439=2,VLOOKUP(C439,'Capital Code Schedules'!A$15:F$300,3,FALSE),0))</f>
        <v>#N/A</v>
      </c>
      <c r="K439" s="123" t="e">
        <v>#N/A</v>
      </c>
      <c r="L439" s="123">
        <f>VLOOKUP(LEFT(A439,10),'Streetlight Tariff Schedule'!B$11:G$260,6, FALSE)+I439</f>
        <v>83.79333726758982</v>
      </c>
      <c r="M439" s="161" t="e">
        <f t="shared" si="67"/>
        <v>#N/A</v>
      </c>
      <c r="N439" s="405" t="e">
        <f t="shared" si="68"/>
        <v>#N/A</v>
      </c>
      <c r="O439" s="405" t="e">
        <v>#N/A</v>
      </c>
      <c r="P439" s="406" t="e">
        <v>#N/A</v>
      </c>
      <c r="Q439" s="406" t="e">
        <v>#N/A</v>
      </c>
      <c r="R439" s="406" t="e">
        <v>#N/A</v>
      </c>
      <c r="S439" s="405" t="e">
        <f t="shared" si="69"/>
        <v>#N/A</v>
      </c>
      <c r="T439" s="406" t="e">
        <v>#N/A</v>
      </c>
      <c r="U439" s="406" t="e">
        <v>#N/A</v>
      </c>
      <c r="V439" s="405" t="e">
        <f t="shared" si="70"/>
        <v>#N/A</v>
      </c>
      <c r="W439" s="406" t="e">
        <v>#N/A</v>
      </c>
      <c r="X439" s="406" t="e">
        <v>#N/A</v>
      </c>
      <c r="Y439" s="405" t="e">
        <f t="shared" si="71"/>
        <v>#N/A</v>
      </c>
      <c r="Z439" s="406" t="e">
        <v>#N/A</v>
      </c>
      <c r="AA439" s="406" t="e">
        <v>#N/A</v>
      </c>
      <c r="AB439" s="442" t="e">
        <f t="shared" si="72"/>
        <v>#N/A</v>
      </c>
      <c r="AC439" s="438" t="e">
        <f t="shared" si="73"/>
        <v>#N/A</v>
      </c>
      <c r="AD439" s="410"/>
      <c r="AE439" s="411"/>
      <c r="AF439" s="411"/>
      <c r="AG439" s="411"/>
    </row>
    <row r="440" spans="1:33" x14ac:dyDescent="0.2">
      <c r="A440" s="36" t="s">
        <v>340</v>
      </c>
      <c r="B440" s="18" t="str">
        <f>VLOOKUP(LEFT(A440,7),'Tariff Schedule Lookup Table'!$A$8:$G$186,2,FALSE)</f>
        <v>T5 2x24W</v>
      </c>
      <c r="C440" s="160">
        <f t="shared" si="74"/>
        <v>1880</v>
      </c>
      <c r="D440" s="18">
        <f t="shared" si="75"/>
        <v>2</v>
      </c>
      <c r="E440" s="18" t="str">
        <f>VLOOKUP(C440,'Tariff Schedule Lookup Table'!I$7:L$286,2,FALSE)</f>
        <v>T5 2x24W</v>
      </c>
      <c r="F440" s="18" t="str">
        <f>IF(E440 = "BULKHEADS ETC", "SHARED OR NO POLE", VLOOKUP(C440,'Tariff Schedule Lookup Table'!I$7:L$286,3,FALSE))</f>
        <v>SHARED OR NO POLE</v>
      </c>
      <c r="G440" s="18">
        <f>IF(E440 = "NO CAPITAL", 1, VLOOKUP(C440,'Tariff Schedule Lookup Table'!I$7:L$286,4,FALSE))</f>
        <v>3</v>
      </c>
      <c r="H440" s="18" t="str">
        <f t="shared" si="66"/>
        <v>2-Unmetered, Funded by Others, CE Maintained</v>
      </c>
      <c r="I440" s="123">
        <f>VLOOKUP(F440,'Maintenance Model'!$A$57:$B$61,2,FALSE)</f>
        <v>0</v>
      </c>
      <c r="J440" s="123">
        <f>IF(D440=1,VLOOKUP(C440,'Capital Code Schedules'!A$15:F$300,2,FALSE),IF(D440=2,VLOOKUP(C440,'Capital Code Schedules'!A$15:F$300,3,FALSE),0))</f>
        <v>0</v>
      </c>
      <c r="K440" s="123">
        <v>0</v>
      </c>
      <c r="L440" s="123">
        <f>VLOOKUP(LEFT(A440,10),'Streetlight Tariff Schedule'!B$11:G$260,6, FALSE)+I440</f>
        <v>83.79333726758982</v>
      </c>
      <c r="M440" s="161">
        <f t="shared" si="67"/>
        <v>83.79333726758982</v>
      </c>
      <c r="N440" s="405">
        <f t="shared" si="68"/>
        <v>87.284890206208217</v>
      </c>
      <c r="O440" s="405">
        <v>55.222973982106218</v>
      </c>
      <c r="P440" s="406">
        <v>55.222973982106218</v>
      </c>
      <c r="Q440" s="406">
        <v>57.92552350125591</v>
      </c>
      <c r="R440" s="406">
        <v>57.92552350125591</v>
      </c>
      <c r="S440" s="405">
        <f t="shared" si="69"/>
        <v>91.556513428316052</v>
      </c>
      <c r="T440" s="406">
        <v>60.304593397482989</v>
      </c>
      <c r="U440" s="406">
        <v>60.524903635776738</v>
      </c>
      <c r="V440" s="405">
        <f t="shared" si="70"/>
        <v>95.665068134539709</v>
      </c>
      <c r="W440" s="406">
        <v>62.499843841818716</v>
      </c>
      <c r="X440" s="406">
        <v>63.288272124242873</v>
      </c>
      <c r="Y440" s="405">
        <f t="shared" si="71"/>
        <v>100.03282122210825</v>
      </c>
      <c r="Z440" s="406">
        <v>64.305189908529385</v>
      </c>
      <c r="AA440" s="406">
        <v>65.354680459155162</v>
      </c>
      <c r="AB440" s="442">
        <f t="shared" si="72"/>
        <v>102.20420781515996</v>
      </c>
      <c r="AC440" s="438">
        <f t="shared" si="73"/>
        <v>105.26001768478132</v>
      </c>
      <c r="AD440" s="410"/>
      <c r="AE440" s="411"/>
      <c r="AF440" s="411"/>
      <c r="AG440" s="411"/>
    </row>
    <row r="441" spans="1:33" x14ac:dyDescent="0.2">
      <c r="A441" s="36" t="s">
        <v>341</v>
      </c>
      <c r="B441" s="18" t="str">
        <f>VLOOKUP(LEFT(A441,7),'Tariff Schedule Lookup Table'!$A$8:$G$186,2,FALSE)</f>
        <v>T5 2x24W</v>
      </c>
      <c r="C441" s="160">
        <f t="shared" si="74"/>
        <v>1890</v>
      </c>
      <c r="D441" s="18">
        <f t="shared" si="75"/>
        <v>1</v>
      </c>
      <c r="E441" s="18" t="str">
        <f>VLOOKUP(C441,'Tariff Schedule Lookup Table'!I$7:L$286,2,FALSE)</f>
        <v>T5 2x24W</v>
      </c>
      <c r="F441" s="18" t="str">
        <f>IF(E441 = "BULKHEADS ETC", "SHARED OR NO POLE", VLOOKUP(C441,'Tariff Schedule Lookup Table'!I$7:L$286,3,FALSE))</f>
        <v>SHARED OR NO POLE</v>
      </c>
      <c r="G441" s="18">
        <f>IF(E441 = "NO CAPITAL", 1, VLOOKUP(C441,'Tariff Schedule Lookup Table'!I$7:L$286,4,FALSE))</f>
        <v>4</v>
      </c>
      <c r="H441" s="18" t="str">
        <f t="shared" si="66"/>
        <v>1-Unmetered, CE Funded, CE Maintained</v>
      </c>
      <c r="I441" s="123">
        <f>VLOOKUP(F441,'Maintenance Model'!$A$57:$B$61,2,FALSE)</f>
        <v>0</v>
      </c>
      <c r="J441" s="123" t="e">
        <f>IF(D441=1,VLOOKUP(C441,'Capital Code Schedules'!A$15:F$300,2,FALSE),IF(D441=2,VLOOKUP(C441,'Capital Code Schedules'!A$15:F$300,3,FALSE),0))</f>
        <v>#N/A</v>
      </c>
      <c r="K441" s="123" t="e">
        <v>#N/A</v>
      </c>
      <c r="L441" s="123">
        <f>VLOOKUP(LEFT(A441,10),'Streetlight Tariff Schedule'!B$11:G$260,6, FALSE)+I441</f>
        <v>83.79333726758982</v>
      </c>
      <c r="M441" s="161" t="e">
        <f t="shared" si="67"/>
        <v>#N/A</v>
      </c>
      <c r="N441" s="405" t="e">
        <f t="shared" si="68"/>
        <v>#N/A</v>
      </c>
      <c r="O441" s="405" t="e">
        <v>#N/A</v>
      </c>
      <c r="P441" s="406" t="e">
        <v>#N/A</v>
      </c>
      <c r="Q441" s="406" t="e">
        <v>#N/A</v>
      </c>
      <c r="R441" s="406" t="e">
        <v>#N/A</v>
      </c>
      <c r="S441" s="405" t="e">
        <f t="shared" si="69"/>
        <v>#N/A</v>
      </c>
      <c r="T441" s="406" t="e">
        <v>#N/A</v>
      </c>
      <c r="U441" s="406" t="e">
        <v>#N/A</v>
      </c>
      <c r="V441" s="405" t="e">
        <f t="shared" si="70"/>
        <v>#N/A</v>
      </c>
      <c r="W441" s="406" t="e">
        <v>#N/A</v>
      </c>
      <c r="X441" s="406" t="e">
        <v>#N/A</v>
      </c>
      <c r="Y441" s="405" t="e">
        <f t="shared" si="71"/>
        <v>#N/A</v>
      </c>
      <c r="Z441" s="406" t="e">
        <v>#N/A</v>
      </c>
      <c r="AA441" s="406" t="e">
        <v>#N/A</v>
      </c>
      <c r="AB441" s="442" t="e">
        <f t="shared" si="72"/>
        <v>#N/A</v>
      </c>
      <c r="AC441" s="438" t="e">
        <f t="shared" si="73"/>
        <v>#N/A</v>
      </c>
      <c r="AD441" s="410"/>
      <c r="AE441" s="411"/>
      <c r="AF441" s="411"/>
      <c r="AG441" s="411"/>
    </row>
    <row r="442" spans="1:33" x14ac:dyDescent="0.2">
      <c r="A442" s="36" t="s">
        <v>342</v>
      </c>
      <c r="B442" s="18" t="str">
        <f>VLOOKUP(LEFT(A442,7),'Tariff Schedule Lookup Table'!$A$8:$G$186,2,FALSE)</f>
        <v>T5 2x24W</v>
      </c>
      <c r="C442" s="160">
        <f t="shared" si="74"/>
        <v>1900</v>
      </c>
      <c r="D442" s="18">
        <f t="shared" si="75"/>
        <v>2</v>
      </c>
      <c r="E442" s="18" t="str">
        <f>VLOOKUP(C442,'Tariff Schedule Lookup Table'!I$7:L$286,2,FALSE)</f>
        <v>T5 2x24W</v>
      </c>
      <c r="F442" s="18" t="str">
        <f>IF(E442 = "BULKHEADS ETC", "SHARED OR NO POLE", VLOOKUP(C442,'Tariff Schedule Lookup Table'!I$7:L$286,3,FALSE))</f>
        <v>WOOD POLE</v>
      </c>
      <c r="G442" s="18">
        <f>IF(E442 = "NO CAPITAL", 1, VLOOKUP(C442,'Tariff Schedule Lookup Table'!I$7:L$286,4,FALSE))</f>
        <v>1</v>
      </c>
      <c r="H442" s="18" t="str">
        <f t="shared" si="66"/>
        <v>2-Unmetered, Funded by Others, CE Maintained</v>
      </c>
      <c r="I442" s="123">
        <f>VLOOKUP(F442,'Maintenance Model'!$A$57:$B$61,2,FALSE)</f>
        <v>10.731618231111112</v>
      </c>
      <c r="J442" s="123">
        <f>IF(D442=1,VLOOKUP(C442,'Capital Code Schedules'!A$15:F$300,2,FALSE),IF(D442=2,VLOOKUP(C442,'Capital Code Schedules'!A$15:F$300,3,FALSE),0))</f>
        <v>0</v>
      </c>
      <c r="K442" s="123">
        <v>0</v>
      </c>
      <c r="L442" s="123">
        <f>VLOOKUP(LEFT(A442,10),'Streetlight Tariff Schedule'!B$11:G$260,6, FALSE)+I442</f>
        <v>94.524955498700933</v>
      </c>
      <c r="M442" s="161">
        <f t="shared" si="67"/>
        <v>94.524955498700933</v>
      </c>
      <c r="N442" s="405">
        <f t="shared" si="68"/>
        <v>98.463680186205607</v>
      </c>
      <c r="O442" s="405">
        <v>65.619174057530387</v>
      </c>
      <c r="P442" s="406">
        <v>65.619174057530387</v>
      </c>
      <c r="Q442" s="406">
        <v>68.83050178054728</v>
      </c>
      <c r="R442" s="406">
        <v>68.83050178054728</v>
      </c>
      <c r="S442" s="405">
        <f t="shared" si="69"/>
        <v>103.28238067175288</v>
      </c>
      <c r="T442" s="406">
        <v>71.657452057910845</v>
      </c>
      <c r="U442" s="406">
        <v>71.91923759445109</v>
      </c>
      <c r="V442" s="405">
        <f t="shared" si="70"/>
        <v>107.91712805661426</v>
      </c>
      <c r="W442" s="406">
        <v>74.265977289699563</v>
      </c>
      <c r="X442" s="406">
        <v>75.20283398113807</v>
      </c>
      <c r="Y442" s="405">
        <f t="shared" si="71"/>
        <v>112.84426999527793</v>
      </c>
      <c r="Z442" s="406">
        <v>76.411195289439178</v>
      </c>
      <c r="AA442" s="406">
        <v>77.658261467648984</v>
      </c>
      <c r="AB442" s="442">
        <f t="shared" si="72"/>
        <v>115.29375139525168</v>
      </c>
      <c r="AC442" s="438">
        <f t="shared" si="73"/>
        <v>118.74092633012772</v>
      </c>
      <c r="AD442" s="410"/>
      <c r="AE442" s="411"/>
      <c r="AF442" s="411"/>
      <c r="AG442" s="411"/>
    </row>
    <row r="443" spans="1:33" x14ac:dyDescent="0.2">
      <c r="A443" s="36" t="s">
        <v>343</v>
      </c>
      <c r="B443" s="18" t="str">
        <f>VLOOKUP(LEFT(A443,7),'Tariff Schedule Lookup Table'!$A$8:$G$186,2,FALSE)</f>
        <v>T5 2x24W</v>
      </c>
      <c r="C443" s="160">
        <f t="shared" si="74"/>
        <v>1910</v>
      </c>
      <c r="D443" s="18">
        <f t="shared" si="75"/>
        <v>1</v>
      </c>
      <c r="E443" s="18" t="str">
        <f>VLOOKUP(C443,'Tariff Schedule Lookup Table'!I$7:L$286,2,FALSE)</f>
        <v>T5 2x24W</v>
      </c>
      <c r="F443" s="18" t="str">
        <f>IF(E443 = "BULKHEADS ETC", "SHARED OR NO POLE", VLOOKUP(C443,'Tariff Schedule Lookup Table'!I$7:L$286,3,FALSE))</f>
        <v>WOOD POLE</v>
      </c>
      <c r="G443" s="18">
        <f>IF(E443 = "NO CAPITAL", 1, VLOOKUP(C443,'Tariff Schedule Lookup Table'!I$7:L$286,4,FALSE))</f>
        <v>2</v>
      </c>
      <c r="H443" s="18" t="str">
        <f t="shared" si="66"/>
        <v>1-Unmetered, CE Funded, CE Maintained</v>
      </c>
      <c r="I443" s="123">
        <f>VLOOKUP(F443,'Maintenance Model'!$A$57:$B$61,2,FALSE)</f>
        <v>10.731618231111112</v>
      </c>
      <c r="J443" s="123" t="e">
        <f>IF(D443=1,VLOOKUP(C443,'Capital Code Schedules'!A$15:F$300,2,FALSE),IF(D443=2,VLOOKUP(C443,'Capital Code Schedules'!A$15:F$300,3,FALSE),0))</f>
        <v>#N/A</v>
      </c>
      <c r="K443" s="123" t="e">
        <v>#N/A</v>
      </c>
      <c r="L443" s="123">
        <f>VLOOKUP(LEFT(A443,10),'Streetlight Tariff Schedule'!B$11:G$260,6, FALSE)+I443</f>
        <v>94.524955498700933</v>
      </c>
      <c r="M443" s="161" t="e">
        <f t="shared" si="67"/>
        <v>#N/A</v>
      </c>
      <c r="N443" s="405" t="e">
        <f t="shared" si="68"/>
        <v>#N/A</v>
      </c>
      <c r="O443" s="405" t="e">
        <v>#N/A</v>
      </c>
      <c r="P443" s="406" t="e">
        <v>#N/A</v>
      </c>
      <c r="Q443" s="406" t="e">
        <v>#N/A</v>
      </c>
      <c r="R443" s="406" t="e">
        <v>#N/A</v>
      </c>
      <c r="S443" s="405" t="e">
        <f t="shared" si="69"/>
        <v>#N/A</v>
      </c>
      <c r="T443" s="406" t="e">
        <v>#N/A</v>
      </c>
      <c r="U443" s="406" t="e">
        <v>#N/A</v>
      </c>
      <c r="V443" s="405" t="e">
        <f t="shared" si="70"/>
        <v>#N/A</v>
      </c>
      <c r="W443" s="406" t="e">
        <v>#N/A</v>
      </c>
      <c r="X443" s="406" t="e">
        <v>#N/A</v>
      </c>
      <c r="Y443" s="405" t="e">
        <f t="shared" si="71"/>
        <v>#N/A</v>
      </c>
      <c r="Z443" s="406" t="e">
        <v>#N/A</v>
      </c>
      <c r="AA443" s="406" t="e">
        <v>#N/A</v>
      </c>
      <c r="AB443" s="442" t="e">
        <f t="shared" si="72"/>
        <v>#N/A</v>
      </c>
      <c r="AC443" s="438" t="e">
        <f t="shared" si="73"/>
        <v>#N/A</v>
      </c>
      <c r="AD443" s="410"/>
      <c r="AE443" s="411"/>
      <c r="AF443" s="411"/>
      <c r="AG443" s="411"/>
    </row>
    <row r="444" spans="1:33" x14ac:dyDescent="0.2">
      <c r="A444" s="36" t="s">
        <v>344</v>
      </c>
      <c r="B444" s="18" t="str">
        <f>VLOOKUP(LEFT(A444,7),'Tariff Schedule Lookup Table'!$A$8:$G$186,2,FALSE)</f>
        <v>T5 2x24W</v>
      </c>
      <c r="C444" s="160">
        <f t="shared" si="74"/>
        <v>1910</v>
      </c>
      <c r="D444" s="18">
        <f t="shared" si="75"/>
        <v>2</v>
      </c>
      <c r="E444" s="18" t="str">
        <f>VLOOKUP(C444,'Tariff Schedule Lookup Table'!I$7:L$286,2,FALSE)</f>
        <v>T5 2x24W</v>
      </c>
      <c r="F444" s="18" t="str">
        <f>IF(E444 = "BULKHEADS ETC", "SHARED OR NO POLE", VLOOKUP(C444,'Tariff Schedule Lookup Table'!I$7:L$286,3,FALSE))</f>
        <v>WOOD POLE</v>
      </c>
      <c r="G444" s="18">
        <f>IF(E444 = "NO CAPITAL", 1, VLOOKUP(C444,'Tariff Schedule Lookup Table'!I$7:L$286,4,FALSE))</f>
        <v>2</v>
      </c>
      <c r="H444" s="18" t="str">
        <f t="shared" si="66"/>
        <v>2-Unmetered, Funded by Others, CE Maintained</v>
      </c>
      <c r="I444" s="123">
        <f>VLOOKUP(F444,'Maintenance Model'!$A$57:$B$61,2,FALSE)</f>
        <v>10.731618231111112</v>
      </c>
      <c r="J444" s="123">
        <f>IF(D444=1,VLOOKUP(C444,'Capital Code Schedules'!A$15:F$300,2,FALSE),IF(D444=2,VLOOKUP(C444,'Capital Code Schedules'!A$15:F$300,3,FALSE),0))</f>
        <v>0</v>
      </c>
      <c r="K444" s="123">
        <v>0</v>
      </c>
      <c r="L444" s="123">
        <f>VLOOKUP(LEFT(A444,10),'Streetlight Tariff Schedule'!B$11:G$260,6, FALSE)+I444</f>
        <v>94.524955498700933</v>
      </c>
      <c r="M444" s="161">
        <f t="shared" si="67"/>
        <v>94.524955498700933</v>
      </c>
      <c r="N444" s="405">
        <f t="shared" si="68"/>
        <v>98.463680186205607</v>
      </c>
      <c r="O444" s="405">
        <v>65.619174057530387</v>
      </c>
      <c r="P444" s="406">
        <v>65.619174057530387</v>
      </c>
      <c r="Q444" s="406">
        <v>68.83050178054728</v>
      </c>
      <c r="R444" s="406">
        <v>68.83050178054728</v>
      </c>
      <c r="S444" s="405">
        <f t="shared" si="69"/>
        <v>103.28238067175288</v>
      </c>
      <c r="T444" s="406">
        <v>71.657452057910845</v>
      </c>
      <c r="U444" s="406">
        <v>71.91923759445109</v>
      </c>
      <c r="V444" s="405">
        <f t="shared" si="70"/>
        <v>107.91712805661426</v>
      </c>
      <c r="W444" s="406">
        <v>74.265977289699563</v>
      </c>
      <c r="X444" s="406">
        <v>75.20283398113807</v>
      </c>
      <c r="Y444" s="405">
        <f t="shared" si="71"/>
        <v>112.84426999527793</v>
      </c>
      <c r="Z444" s="406">
        <v>76.411195289439178</v>
      </c>
      <c r="AA444" s="406">
        <v>77.658261467648984</v>
      </c>
      <c r="AB444" s="442">
        <f t="shared" si="72"/>
        <v>115.29375139525168</v>
      </c>
      <c r="AC444" s="438">
        <f t="shared" si="73"/>
        <v>118.74092633012772</v>
      </c>
      <c r="AD444" s="410"/>
      <c r="AE444" s="411"/>
      <c r="AF444" s="411"/>
      <c r="AG444" s="411"/>
    </row>
    <row r="445" spans="1:33" x14ac:dyDescent="0.2">
      <c r="A445" s="36" t="s">
        <v>345</v>
      </c>
      <c r="B445" s="18" t="str">
        <f>VLOOKUP(LEFT(A445,7),'Tariff Schedule Lookup Table'!$A$8:$G$186,2,FALSE)</f>
        <v>T5 2x24W</v>
      </c>
      <c r="C445" s="160">
        <f t="shared" si="74"/>
        <v>1920</v>
      </c>
      <c r="D445" s="18">
        <f t="shared" si="75"/>
        <v>1</v>
      </c>
      <c r="E445" s="18" t="str">
        <f>VLOOKUP(C445,'Tariff Schedule Lookup Table'!I$7:L$286,2,FALSE)</f>
        <v>T5 2x24W</v>
      </c>
      <c r="F445" s="18" t="str">
        <f>IF(E445 = "BULKHEADS ETC", "SHARED OR NO POLE", VLOOKUP(C445,'Tariff Schedule Lookup Table'!I$7:L$286,3,FALSE))</f>
        <v>WOOD POLE</v>
      </c>
      <c r="G445" s="18">
        <f>IF(E445 = "NO CAPITAL", 1, VLOOKUP(C445,'Tariff Schedule Lookup Table'!I$7:L$286,4,FALSE))</f>
        <v>3</v>
      </c>
      <c r="H445" s="18" t="str">
        <f t="shared" si="66"/>
        <v>1-Unmetered, CE Funded, CE Maintained</v>
      </c>
      <c r="I445" s="123">
        <f>VLOOKUP(F445,'Maintenance Model'!$A$57:$B$61,2,FALSE)</f>
        <v>10.731618231111112</v>
      </c>
      <c r="J445" s="123" t="e">
        <f>IF(D445=1,VLOOKUP(C445,'Capital Code Schedules'!A$15:F$300,2,FALSE),IF(D445=2,VLOOKUP(C445,'Capital Code Schedules'!A$15:F$300,3,FALSE),0))</f>
        <v>#N/A</v>
      </c>
      <c r="K445" s="123" t="e">
        <v>#N/A</v>
      </c>
      <c r="L445" s="123">
        <f>VLOOKUP(LEFT(A445,10),'Streetlight Tariff Schedule'!B$11:G$260,6, FALSE)+I445</f>
        <v>94.524955498700933</v>
      </c>
      <c r="M445" s="161" t="e">
        <f t="shared" si="67"/>
        <v>#N/A</v>
      </c>
      <c r="N445" s="405" t="e">
        <f t="shared" si="68"/>
        <v>#N/A</v>
      </c>
      <c r="O445" s="405" t="e">
        <v>#N/A</v>
      </c>
      <c r="P445" s="406" t="e">
        <v>#N/A</v>
      </c>
      <c r="Q445" s="406" t="e">
        <v>#N/A</v>
      </c>
      <c r="R445" s="406" t="e">
        <v>#N/A</v>
      </c>
      <c r="S445" s="405" t="e">
        <f t="shared" si="69"/>
        <v>#N/A</v>
      </c>
      <c r="T445" s="406" t="e">
        <v>#N/A</v>
      </c>
      <c r="U445" s="406" t="e">
        <v>#N/A</v>
      </c>
      <c r="V445" s="405" t="e">
        <f t="shared" si="70"/>
        <v>#N/A</v>
      </c>
      <c r="W445" s="406" t="e">
        <v>#N/A</v>
      </c>
      <c r="X445" s="406" t="e">
        <v>#N/A</v>
      </c>
      <c r="Y445" s="405" t="e">
        <f t="shared" si="71"/>
        <v>#N/A</v>
      </c>
      <c r="Z445" s="406" t="e">
        <v>#N/A</v>
      </c>
      <c r="AA445" s="406" t="e">
        <v>#N/A</v>
      </c>
      <c r="AB445" s="442" t="e">
        <f t="shared" si="72"/>
        <v>#N/A</v>
      </c>
      <c r="AC445" s="438" t="e">
        <f t="shared" si="73"/>
        <v>#N/A</v>
      </c>
      <c r="AD445" s="410"/>
      <c r="AE445" s="411"/>
      <c r="AF445" s="411"/>
      <c r="AG445" s="411"/>
    </row>
    <row r="446" spans="1:33" x14ac:dyDescent="0.2">
      <c r="A446" s="36" t="s">
        <v>346</v>
      </c>
      <c r="B446" s="18" t="str">
        <f>VLOOKUP(LEFT(A446,7),'Tariff Schedule Lookup Table'!$A$8:$G$186,2,FALSE)</f>
        <v>T5 2x24W</v>
      </c>
      <c r="C446" s="160">
        <f t="shared" si="74"/>
        <v>1920</v>
      </c>
      <c r="D446" s="18">
        <f t="shared" si="75"/>
        <v>2</v>
      </c>
      <c r="E446" s="18" t="str">
        <f>VLOOKUP(C446,'Tariff Schedule Lookup Table'!I$7:L$286,2,FALSE)</f>
        <v>T5 2x24W</v>
      </c>
      <c r="F446" s="18" t="str">
        <f>IF(E446 = "BULKHEADS ETC", "SHARED OR NO POLE", VLOOKUP(C446,'Tariff Schedule Lookup Table'!I$7:L$286,3,FALSE))</f>
        <v>WOOD POLE</v>
      </c>
      <c r="G446" s="18">
        <f>IF(E446 = "NO CAPITAL", 1, VLOOKUP(C446,'Tariff Schedule Lookup Table'!I$7:L$286,4,FALSE))</f>
        <v>3</v>
      </c>
      <c r="H446" s="18" t="str">
        <f t="shared" si="66"/>
        <v>2-Unmetered, Funded by Others, CE Maintained</v>
      </c>
      <c r="I446" s="123">
        <f>VLOOKUP(F446,'Maintenance Model'!$A$57:$B$61,2,FALSE)</f>
        <v>10.731618231111112</v>
      </c>
      <c r="J446" s="123">
        <f>IF(D446=1,VLOOKUP(C446,'Capital Code Schedules'!A$15:F$300,2,FALSE),IF(D446=2,VLOOKUP(C446,'Capital Code Schedules'!A$15:F$300,3,FALSE),0))</f>
        <v>0</v>
      </c>
      <c r="K446" s="123">
        <v>0</v>
      </c>
      <c r="L446" s="123">
        <f>VLOOKUP(LEFT(A446,10),'Streetlight Tariff Schedule'!B$11:G$260,6, FALSE)+I446</f>
        <v>94.524955498700933</v>
      </c>
      <c r="M446" s="161">
        <f t="shared" si="67"/>
        <v>94.524955498700933</v>
      </c>
      <c r="N446" s="405">
        <f t="shared" si="68"/>
        <v>98.463680186205607</v>
      </c>
      <c r="O446" s="405">
        <v>65.619174057530387</v>
      </c>
      <c r="P446" s="406">
        <v>65.619174057530387</v>
      </c>
      <c r="Q446" s="406">
        <v>68.83050178054728</v>
      </c>
      <c r="R446" s="406">
        <v>68.83050178054728</v>
      </c>
      <c r="S446" s="405">
        <f t="shared" si="69"/>
        <v>103.28238067175288</v>
      </c>
      <c r="T446" s="406">
        <v>71.657452057910845</v>
      </c>
      <c r="U446" s="406">
        <v>71.91923759445109</v>
      </c>
      <c r="V446" s="405">
        <f t="shared" si="70"/>
        <v>107.91712805661426</v>
      </c>
      <c r="W446" s="406">
        <v>74.265977289699563</v>
      </c>
      <c r="X446" s="406">
        <v>75.20283398113807</v>
      </c>
      <c r="Y446" s="405">
        <f t="shared" si="71"/>
        <v>112.84426999527793</v>
      </c>
      <c r="Z446" s="406">
        <v>76.411195289439178</v>
      </c>
      <c r="AA446" s="406">
        <v>77.658261467648984</v>
      </c>
      <c r="AB446" s="442">
        <f t="shared" si="72"/>
        <v>115.29375139525168</v>
      </c>
      <c r="AC446" s="438">
        <f t="shared" si="73"/>
        <v>118.74092633012772</v>
      </c>
      <c r="AD446" s="410"/>
      <c r="AE446" s="411"/>
      <c r="AF446" s="411"/>
      <c r="AG446" s="411"/>
    </row>
    <row r="447" spans="1:33" x14ac:dyDescent="0.2">
      <c r="A447" s="36" t="s">
        <v>347</v>
      </c>
      <c r="B447" s="18" t="str">
        <f>VLOOKUP(LEFT(A447,7),'Tariff Schedule Lookup Table'!$A$8:$G$186,2,FALSE)</f>
        <v>T5 2x24W</v>
      </c>
      <c r="C447" s="160">
        <f t="shared" si="74"/>
        <v>1930</v>
      </c>
      <c r="D447" s="18">
        <f t="shared" si="75"/>
        <v>1</v>
      </c>
      <c r="E447" s="18" t="str">
        <f>VLOOKUP(C447,'Tariff Schedule Lookup Table'!I$7:L$286,2,FALSE)</f>
        <v>T5 2x24W</v>
      </c>
      <c r="F447" s="18" t="str">
        <f>IF(E447 = "BULKHEADS ETC", "SHARED OR NO POLE", VLOOKUP(C447,'Tariff Schedule Lookup Table'!I$7:L$286,3,FALSE))</f>
        <v>WOOD POLE</v>
      </c>
      <c r="G447" s="18">
        <f>IF(E447 = "NO CAPITAL", 1, VLOOKUP(C447,'Tariff Schedule Lookup Table'!I$7:L$286,4,FALSE))</f>
        <v>4</v>
      </c>
      <c r="H447" s="18" t="str">
        <f t="shared" si="66"/>
        <v>1-Unmetered, CE Funded, CE Maintained</v>
      </c>
      <c r="I447" s="123">
        <f>VLOOKUP(F447,'Maintenance Model'!$A$57:$B$61,2,FALSE)</f>
        <v>10.731618231111112</v>
      </c>
      <c r="J447" s="123" t="e">
        <f>IF(D447=1,VLOOKUP(C447,'Capital Code Schedules'!A$15:F$300,2,FALSE),IF(D447=2,VLOOKUP(C447,'Capital Code Schedules'!A$15:F$300,3,FALSE),0))</f>
        <v>#N/A</v>
      </c>
      <c r="K447" s="123" t="e">
        <v>#N/A</v>
      </c>
      <c r="L447" s="123">
        <f>VLOOKUP(LEFT(A447,10),'Streetlight Tariff Schedule'!B$11:G$260,6, FALSE)+I447</f>
        <v>94.524955498700933</v>
      </c>
      <c r="M447" s="161" t="e">
        <f t="shared" si="67"/>
        <v>#N/A</v>
      </c>
      <c r="N447" s="405" t="e">
        <f t="shared" si="68"/>
        <v>#N/A</v>
      </c>
      <c r="O447" s="405" t="e">
        <v>#N/A</v>
      </c>
      <c r="P447" s="406" t="e">
        <v>#N/A</v>
      </c>
      <c r="Q447" s="406" t="e">
        <v>#N/A</v>
      </c>
      <c r="R447" s="406" t="e">
        <v>#N/A</v>
      </c>
      <c r="S447" s="405" t="e">
        <f t="shared" si="69"/>
        <v>#N/A</v>
      </c>
      <c r="T447" s="406" t="e">
        <v>#N/A</v>
      </c>
      <c r="U447" s="406" t="e">
        <v>#N/A</v>
      </c>
      <c r="V447" s="405" t="e">
        <f t="shared" si="70"/>
        <v>#N/A</v>
      </c>
      <c r="W447" s="406" t="e">
        <v>#N/A</v>
      </c>
      <c r="X447" s="406" t="e">
        <v>#N/A</v>
      </c>
      <c r="Y447" s="405" t="e">
        <f t="shared" si="71"/>
        <v>#N/A</v>
      </c>
      <c r="Z447" s="406" t="e">
        <v>#N/A</v>
      </c>
      <c r="AA447" s="406" t="e">
        <v>#N/A</v>
      </c>
      <c r="AB447" s="442" t="e">
        <f t="shared" si="72"/>
        <v>#N/A</v>
      </c>
      <c r="AC447" s="438" t="e">
        <f t="shared" si="73"/>
        <v>#N/A</v>
      </c>
      <c r="AD447" s="410"/>
      <c r="AE447" s="411"/>
      <c r="AF447" s="411"/>
      <c r="AG447" s="411"/>
    </row>
    <row r="448" spans="1:33" x14ac:dyDescent="0.2">
      <c r="A448" s="36" t="s">
        <v>348</v>
      </c>
      <c r="B448" s="18" t="str">
        <f>VLOOKUP(LEFT(A448,7),'Tariff Schedule Lookup Table'!$A$8:$G$186,2,FALSE)</f>
        <v>T5 2x24W</v>
      </c>
      <c r="C448" s="160">
        <f t="shared" si="74"/>
        <v>1930</v>
      </c>
      <c r="D448" s="18">
        <f t="shared" si="75"/>
        <v>2</v>
      </c>
      <c r="E448" s="18" t="str">
        <f>VLOOKUP(C448,'Tariff Schedule Lookup Table'!I$7:L$286,2,FALSE)</f>
        <v>T5 2x24W</v>
      </c>
      <c r="F448" s="18" t="str">
        <f>IF(E448 = "BULKHEADS ETC", "SHARED OR NO POLE", VLOOKUP(C448,'Tariff Schedule Lookup Table'!I$7:L$286,3,FALSE))</f>
        <v>WOOD POLE</v>
      </c>
      <c r="G448" s="18">
        <f>IF(E448 = "NO CAPITAL", 1, VLOOKUP(C448,'Tariff Schedule Lookup Table'!I$7:L$286,4,FALSE))</f>
        <v>4</v>
      </c>
      <c r="H448" s="18" t="str">
        <f t="shared" si="66"/>
        <v>2-Unmetered, Funded by Others, CE Maintained</v>
      </c>
      <c r="I448" s="123">
        <f>VLOOKUP(F448,'Maintenance Model'!$A$57:$B$61,2,FALSE)</f>
        <v>10.731618231111112</v>
      </c>
      <c r="J448" s="123">
        <f>IF(D448=1,VLOOKUP(C448,'Capital Code Schedules'!A$15:F$300,2,FALSE),IF(D448=2,VLOOKUP(C448,'Capital Code Schedules'!A$15:F$300,3,FALSE),0))</f>
        <v>0</v>
      </c>
      <c r="K448" s="123">
        <v>0</v>
      </c>
      <c r="L448" s="123">
        <f>VLOOKUP(LEFT(A448,10),'Streetlight Tariff Schedule'!B$11:G$260,6, FALSE)+I448</f>
        <v>94.524955498700933</v>
      </c>
      <c r="M448" s="161">
        <f t="shared" si="67"/>
        <v>94.524955498700933</v>
      </c>
      <c r="N448" s="405">
        <f t="shared" si="68"/>
        <v>98.463680186205607</v>
      </c>
      <c r="O448" s="405">
        <v>65.619174057530387</v>
      </c>
      <c r="P448" s="406">
        <v>65.619174057530387</v>
      </c>
      <c r="Q448" s="406">
        <v>68.83050178054728</v>
      </c>
      <c r="R448" s="406">
        <v>68.83050178054728</v>
      </c>
      <c r="S448" s="405">
        <f t="shared" si="69"/>
        <v>103.28238067175288</v>
      </c>
      <c r="T448" s="406">
        <v>71.657452057910845</v>
      </c>
      <c r="U448" s="406">
        <v>71.91923759445109</v>
      </c>
      <c r="V448" s="405">
        <f t="shared" si="70"/>
        <v>107.91712805661426</v>
      </c>
      <c r="W448" s="406">
        <v>74.265977289699563</v>
      </c>
      <c r="X448" s="406">
        <v>75.20283398113807</v>
      </c>
      <c r="Y448" s="405">
        <f t="shared" si="71"/>
        <v>112.84426999527793</v>
      </c>
      <c r="Z448" s="406">
        <v>76.411195289439178</v>
      </c>
      <c r="AA448" s="406">
        <v>77.658261467648984</v>
      </c>
      <c r="AB448" s="442">
        <f t="shared" si="72"/>
        <v>115.29375139525168</v>
      </c>
      <c r="AC448" s="438">
        <f t="shared" si="73"/>
        <v>118.74092633012772</v>
      </c>
      <c r="AD448" s="410"/>
      <c r="AE448" s="411"/>
      <c r="AF448" s="411"/>
      <c r="AG448" s="411"/>
    </row>
    <row r="449" spans="1:33" x14ac:dyDescent="0.2">
      <c r="A449" s="36" t="s">
        <v>349</v>
      </c>
      <c r="B449" s="18" t="str">
        <f>VLOOKUP(LEFT(A449,7),'Tariff Schedule Lookup Table'!$A$8:$G$186,2,FALSE)</f>
        <v>T5 2x24W</v>
      </c>
      <c r="C449" s="160">
        <f t="shared" ref="C449:C486" si="76">1*MID(A449,12,4)</f>
        <v>1940</v>
      </c>
      <c r="D449" s="18">
        <f t="shared" ref="D449:D486" si="77">1*(MID(A449,17,3))</f>
        <v>1</v>
      </c>
      <c r="E449" s="18" t="str">
        <f>VLOOKUP(C449,'Tariff Schedule Lookup Table'!I$7:L$286,2,FALSE)</f>
        <v>T5 2x24W</v>
      </c>
      <c r="F449" s="18" t="str">
        <f>IF(E449 = "BULKHEADS ETC", "SHARED OR NO POLE", VLOOKUP(C449,'Tariff Schedule Lookup Table'!I$7:L$286,3,FALSE))</f>
        <v>STEEL POLE</v>
      </c>
      <c r="G449" s="18">
        <f>IF(E449 = "NO CAPITAL", 1, VLOOKUP(C449,'Tariff Schedule Lookup Table'!I$7:L$286,4,FALSE))</f>
        <v>1</v>
      </c>
      <c r="H449" s="18" t="str">
        <f t="shared" si="66"/>
        <v>1-Unmetered, CE Funded, CE Maintained</v>
      </c>
      <c r="I449" s="123">
        <f>VLOOKUP(F449,'Maintenance Model'!$A$57:$B$61,2,FALSE)</f>
        <v>9.9616182311111103</v>
      </c>
      <c r="J449" s="123" t="e">
        <f>IF(D449=1,VLOOKUP(C449,'Capital Code Schedules'!A$15:F$300,2,FALSE),IF(D449=2,VLOOKUP(C449,'Capital Code Schedules'!A$15:F$300,3,FALSE),0))</f>
        <v>#N/A</v>
      </c>
      <c r="K449" s="123" t="e">
        <v>#N/A</v>
      </c>
      <c r="L449" s="123">
        <f>VLOOKUP(LEFT(A449,10),'Streetlight Tariff Schedule'!B$11:G$260,6, FALSE)+I449</f>
        <v>93.754955498700923</v>
      </c>
      <c r="M449" s="161" t="e">
        <f t="shared" si="67"/>
        <v>#N/A</v>
      </c>
      <c r="N449" s="405" t="e">
        <f t="shared" si="68"/>
        <v>#N/A</v>
      </c>
      <c r="O449" s="405" t="e">
        <v>#N/A</v>
      </c>
      <c r="P449" s="406" t="e">
        <v>#N/A</v>
      </c>
      <c r="Q449" s="406" t="e">
        <v>#N/A</v>
      </c>
      <c r="R449" s="406" t="e">
        <v>#N/A</v>
      </c>
      <c r="S449" s="405" t="e">
        <f t="shared" si="69"/>
        <v>#N/A</v>
      </c>
      <c r="T449" s="406" t="e">
        <v>#N/A</v>
      </c>
      <c r="U449" s="406" t="e">
        <v>#N/A</v>
      </c>
      <c r="V449" s="405" t="e">
        <f t="shared" si="70"/>
        <v>#N/A</v>
      </c>
      <c r="W449" s="406" t="e">
        <v>#N/A</v>
      </c>
      <c r="X449" s="406" t="e">
        <v>#N/A</v>
      </c>
      <c r="Y449" s="405" t="e">
        <f t="shared" si="71"/>
        <v>#N/A</v>
      </c>
      <c r="Z449" s="406" t="e">
        <v>#N/A</v>
      </c>
      <c r="AA449" s="406" t="e">
        <v>#N/A</v>
      </c>
      <c r="AB449" s="442" t="e">
        <f t="shared" si="72"/>
        <v>#N/A</v>
      </c>
      <c r="AC449" s="438" t="e">
        <f t="shared" si="73"/>
        <v>#N/A</v>
      </c>
      <c r="AD449" s="410"/>
      <c r="AE449" s="411"/>
      <c r="AF449" s="411"/>
      <c r="AG449" s="411"/>
    </row>
    <row r="450" spans="1:33" x14ac:dyDescent="0.2">
      <c r="A450" s="36" t="s">
        <v>350</v>
      </c>
      <c r="B450" s="18" t="str">
        <f>VLOOKUP(LEFT(A450,7),'Tariff Schedule Lookup Table'!$A$8:$G$186,2,FALSE)</f>
        <v>T5 2x24W</v>
      </c>
      <c r="C450" s="160">
        <f t="shared" si="76"/>
        <v>1940</v>
      </c>
      <c r="D450" s="18">
        <f t="shared" si="77"/>
        <v>2</v>
      </c>
      <c r="E450" s="18" t="str">
        <f>VLOOKUP(C450,'Tariff Schedule Lookup Table'!I$7:L$286,2,FALSE)</f>
        <v>T5 2x24W</v>
      </c>
      <c r="F450" s="18" t="str">
        <f>IF(E450 = "BULKHEADS ETC", "SHARED OR NO POLE", VLOOKUP(C450,'Tariff Schedule Lookup Table'!I$7:L$286,3,FALSE))</f>
        <v>STEEL POLE</v>
      </c>
      <c r="G450" s="18">
        <f>IF(E450 = "NO CAPITAL", 1, VLOOKUP(C450,'Tariff Schedule Lookup Table'!I$7:L$286,4,FALSE))</f>
        <v>1</v>
      </c>
      <c r="H450" s="18" t="str">
        <f t="shared" si="66"/>
        <v>2-Unmetered, Funded by Others, CE Maintained</v>
      </c>
      <c r="I450" s="123">
        <f>VLOOKUP(F450,'Maintenance Model'!$A$57:$B$61,2,FALSE)</f>
        <v>9.9616182311111103</v>
      </c>
      <c r="J450" s="123">
        <f>IF(D450=1,VLOOKUP(C450,'Capital Code Schedules'!A$15:F$300,2,FALSE),IF(D450=2,VLOOKUP(C450,'Capital Code Schedules'!A$15:F$300,3,FALSE),0))</f>
        <v>0</v>
      </c>
      <c r="K450" s="123">
        <v>0</v>
      </c>
      <c r="L450" s="123">
        <f>VLOOKUP(LEFT(A450,10),'Streetlight Tariff Schedule'!B$11:G$260,6, FALSE)+I450</f>
        <v>93.754955498700923</v>
      </c>
      <c r="M450" s="161">
        <f t="shared" si="67"/>
        <v>93.754955498700923</v>
      </c>
      <c r="N450" s="405">
        <f t="shared" si="68"/>
        <v>97.661595346880603</v>
      </c>
      <c r="O450" s="405">
        <v>64.817089218205382</v>
      </c>
      <c r="P450" s="406">
        <v>64.817089218205382</v>
      </c>
      <c r="Q450" s="406">
        <v>67.989163821722826</v>
      </c>
      <c r="R450" s="406">
        <v>67.989163821722826</v>
      </c>
      <c r="S450" s="405">
        <f t="shared" si="69"/>
        <v>102.44104271292839</v>
      </c>
      <c r="T450" s="406">
        <v>70.781559352069749</v>
      </c>
      <c r="U450" s="406">
        <v>71.040144997525857</v>
      </c>
      <c r="V450" s="405">
        <f t="shared" si="70"/>
        <v>107.03803545968904</v>
      </c>
      <c r="W450" s="406">
        <v>73.358199718322382</v>
      </c>
      <c r="X450" s="406">
        <v>74.283604900966139</v>
      </c>
      <c r="Y450" s="405">
        <f t="shared" si="71"/>
        <v>111.92504091510598</v>
      </c>
      <c r="Z450" s="406">
        <v>75.477196009859284</v>
      </c>
      <c r="AA450" s="406">
        <v>76.709018886251542</v>
      </c>
      <c r="AB450" s="442">
        <f t="shared" si="72"/>
        <v>114.3545688470455</v>
      </c>
      <c r="AC450" s="438">
        <f t="shared" si="73"/>
        <v>117.77366310538643</v>
      </c>
      <c r="AD450" s="410"/>
      <c r="AE450" s="411"/>
      <c r="AF450" s="411"/>
      <c r="AG450" s="411"/>
    </row>
    <row r="451" spans="1:33" x14ac:dyDescent="0.2">
      <c r="A451" s="36" t="s">
        <v>351</v>
      </c>
      <c r="B451" s="18" t="str">
        <f>VLOOKUP(LEFT(A451,7),'Tariff Schedule Lookup Table'!$A$8:$G$186,2,FALSE)</f>
        <v>T5 2x24W</v>
      </c>
      <c r="C451" s="160">
        <f t="shared" si="76"/>
        <v>1950</v>
      </c>
      <c r="D451" s="18">
        <f t="shared" si="77"/>
        <v>1</v>
      </c>
      <c r="E451" s="18" t="str">
        <f>VLOOKUP(C451,'Tariff Schedule Lookup Table'!I$7:L$286,2,FALSE)</f>
        <v>T5 2x24W</v>
      </c>
      <c r="F451" s="18" t="str">
        <f>IF(E451 = "BULKHEADS ETC", "SHARED OR NO POLE", VLOOKUP(C451,'Tariff Schedule Lookup Table'!I$7:L$286,3,FALSE))</f>
        <v>STEEL POLE</v>
      </c>
      <c r="G451" s="18">
        <f>IF(E451 = "NO CAPITAL", 1, VLOOKUP(C451,'Tariff Schedule Lookup Table'!I$7:L$286,4,FALSE))</f>
        <v>2</v>
      </c>
      <c r="H451" s="18" t="str">
        <f t="shared" si="66"/>
        <v>1-Unmetered, CE Funded, CE Maintained</v>
      </c>
      <c r="I451" s="123">
        <f>VLOOKUP(F451,'Maintenance Model'!$A$57:$B$61,2,FALSE)</f>
        <v>9.9616182311111103</v>
      </c>
      <c r="J451" s="123" t="e">
        <f>IF(D451=1,VLOOKUP(C451,'Capital Code Schedules'!A$15:F$300,2,FALSE),IF(D451=2,VLOOKUP(C451,'Capital Code Schedules'!A$15:F$300,3,FALSE),0))</f>
        <v>#N/A</v>
      </c>
      <c r="K451" s="123" t="e">
        <v>#N/A</v>
      </c>
      <c r="L451" s="123">
        <f>VLOOKUP(LEFT(A451,10),'Streetlight Tariff Schedule'!B$11:G$260,6, FALSE)+I451</f>
        <v>93.754955498700923</v>
      </c>
      <c r="M451" s="161" t="e">
        <f t="shared" si="67"/>
        <v>#N/A</v>
      </c>
      <c r="N451" s="405" t="e">
        <f t="shared" si="68"/>
        <v>#N/A</v>
      </c>
      <c r="O451" s="405" t="e">
        <v>#N/A</v>
      </c>
      <c r="P451" s="406" t="e">
        <v>#N/A</v>
      </c>
      <c r="Q451" s="406" t="e">
        <v>#N/A</v>
      </c>
      <c r="R451" s="406" t="e">
        <v>#N/A</v>
      </c>
      <c r="S451" s="405" t="e">
        <f t="shared" si="69"/>
        <v>#N/A</v>
      </c>
      <c r="T451" s="406" t="e">
        <v>#N/A</v>
      </c>
      <c r="U451" s="406" t="e">
        <v>#N/A</v>
      </c>
      <c r="V451" s="405" t="e">
        <f t="shared" si="70"/>
        <v>#N/A</v>
      </c>
      <c r="W451" s="406" t="e">
        <v>#N/A</v>
      </c>
      <c r="X451" s="406" t="e">
        <v>#N/A</v>
      </c>
      <c r="Y451" s="405" t="e">
        <f t="shared" si="71"/>
        <v>#N/A</v>
      </c>
      <c r="Z451" s="406" t="e">
        <v>#N/A</v>
      </c>
      <c r="AA451" s="406" t="e">
        <v>#N/A</v>
      </c>
      <c r="AB451" s="442" t="e">
        <f t="shared" si="72"/>
        <v>#N/A</v>
      </c>
      <c r="AC451" s="438" t="e">
        <f t="shared" si="73"/>
        <v>#N/A</v>
      </c>
      <c r="AD451" s="410"/>
      <c r="AE451" s="411"/>
      <c r="AF451" s="411"/>
      <c r="AG451" s="411"/>
    </row>
    <row r="452" spans="1:33" x14ac:dyDescent="0.2">
      <c r="A452" s="36" t="s">
        <v>352</v>
      </c>
      <c r="B452" s="18" t="str">
        <f>VLOOKUP(LEFT(A452,7),'Tariff Schedule Lookup Table'!$A$8:$G$186,2,FALSE)</f>
        <v>T5 2x24W</v>
      </c>
      <c r="C452" s="160">
        <f t="shared" si="76"/>
        <v>1950</v>
      </c>
      <c r="D452" s="18">
        <f t="shared" si="77"/>
        <v>2</v>
      </c>
      <c r="E452" s="18" t="str">
        <f>VLOOKUP(C452,'Tariff Schedule Lookup Table'!I$7:L$286,2,FALSE)</f>
        <v>T5 2x24W</v>
      </c>
      <c r="F452" s="18" t="str">
        <f>IF(E452 = "BULKHEADS ETC", "SHARED OR NO POLE", VLOOKUP(C452,'Tariff Schedule Lookup Table'!I$7:L$286,3,FALSE))</f>
        <v>STEEL POLE</v>
      </c>
      <c r="G452" s="18">
        <f>IF(E452 = "NO CAPITAL", 1, VLOOKUP(C452,'Tariff Schedule Lookup Table'!I$7:L$286,4,FALSE))</f>
        <v>2</v>
      </c>
      <c r="H452" s="18" t="str">
        <f t="shared" si="66"/>
        <v>2-Unmetered, Funded by Others, CE Maintained</v>
      </c>
      <c r="I452" s="123">
        <f>VLOOKUP(F452,'Maintenance Model'!$A$57:$B$61,2,FALSE)</f>
        <v>9.9616182311111103</v>
      </c>
      <c r="J452" s="123">
        <f>IF(D452=1,VLOOKUP(C452,'Capital Code Schedules'!A$15:F$300,2,FALSE),IF(D452=2,VLOOKUP(C452,'Capital Code Schedules'!A$15:F$300,3,FALSE),0))</f>
        <v>0</v>
      </c>
      <c r="K452" s="123">
        <v>0</v>
      </c>
      <c r="L452" s="123">
        <f>VLOOKUP(LEFT(A452,10),'Streetlight Tariff Schedule'!B$11:G$260,6, FALSE)+I452</f>
        <v>93.754955498700923</v>
      </c>
      <c r="M452" s="161">
        <f t="shared" si="67"/>
        <v>93.754955498700923</v>
      </c>
      <c r="N452" s="405">
        <f t="shared" si="68"/>
        <v>97.661595346880603</v>
      </c>
      <c r="O452" s="405">
        <v>64.817089218205382</v>
      </c>
      <c r="P452" s="406">
        <v>64.817089218205382</v>
      </c>
      <c r="Q452" s="406">
        <v>67.989163821722826</v>
      </c>
      <c r="R452" s="406">
        <v>67.989163821722826</v>
      </c>
      <c r="S452" s="405">
        <f t="shared" si="69"/>
        <v>102.44104271292839</v>
      </c>
      <c r="T452" s="406">
        <v>70.781559352069749</v>
      </c>
      <c r="U452" s="406">
        <v>71.040144997525857</v>
      </c>
      <c r="V452" s="405">
        <f t="shared" si="70"/>
        <v>107.03803545968904</v>
      </c>
      <c r="W452" s="406">
        <v>73.358199718322382</v>
      </c>
      <c r="X452" s="406">
        <v>74.283604900966139</v>
      </c>
      <c r="Y452" s="405">
        <f t="shared" si="71"/>
        <v>111.92504091510598</v>
      </c>
      <c r="Z452" s="406">
        <v>75.477196009859284</v>
      </c>
      <c r="AA452" s="406">
        <v>76.709018886251542</v>
      </c>
      <c r="AB452" s="442">
        <f t="shared" si="72"/>
        <v>114.3545688470455</v>
      </c>
      <c r="AC452" s="438">
        <f t="shared" si="73"/>
        <v>117.77366310538643</v>
      </c>
      <c r="AD452" s="410"/>
      <c r="AE452" s="411"/>
      <c r="AF452" s="411"/>
      <c r="AG452" s="411"/>
    </row>
    <row r="453" spans="1:33" x14ac:dyDescent="0.2">
      <c r="A453" s="36" t="s">
        <v>353</v>
      </c>
      <c r="B453" s="18" t="str">
        <f>VLOOKUP(LEFT(A453,7),'Tariff Schedule Lookup Table'!$A$8:$G$186,2,FALSE)</f>
        <v>T5 2x24W</v>
      </c>
      <c r="C453" s="160">
        <f t="shared" si="76"/>
        <v>1960</v>
      </c>
      <c r="D453" s="18">
        <f t="shared" si="77"/>
        <v>1</v>
      </c>
      <c r="E453" s="18" t="str">
        <f>VLOOKUP(C453,'Tariff Schedule Lookup Table'!I$7:L$286,2,FALSE)</f>
        <v>T5 2x24W</v>
      </c>
      <c r="F453" s="18" t="str">
        <f>IF(E453 = "BULKHEADS ETC", "SHARED OR NO POLE", VLOOKUP(C453,'Tariff Schedule Lookup Table'!I$7:L$286,3,FALSE))</f>
        <v>STEEL POLE</v>
      </c>
      <c r="G453" s="18">
        <f>IF(E453 = "NO CAPITAL", 1, VLOOKUP(C453,'Tariff Schedule Lookup Table'!I$7:L$286,4,FALSE))</f>
        <v>3</v>
      </c>
      <c r="H453" s="18" t="str">
        <f t="shared" si="66"/>
        <v>1-Unmetered, CE Funded, CE Maintained</v>
      </c>
      <c r="I453" s="123">
        <f>VLOOKUP(F453,'Maintenance Model'!$A$57:$B$61,2,FALSE)</f>
        <v>9.9616182311111103</v>
      </c>
      <c r="J453" s="123" t="e">
        <f>IF(D453=1,VLOOKUP(C453,'Capital Code Schedules'!A$15:F$300,2,FALSE),IF(D453=2,VLOOKUP(C453,'Capital Code Schedules'!A$15:F$300,3,FALSE),0))</f>
        <v>#N/A</v>
      </c>
      <c r="K453" s="123" t="e">
        <v>#N/A</v>
      </c>
      <c r="L453" s="123">
        <f>VLOOKUP(LEFT(A453,10),'Streetlight Tariff Schedule'!B$11:G$260,6, FALSE)+I453</f>
        <v>93.754955498700923</v>
      </c>
      <c r="M453" s="161" t="e">
        <f t="shared" si="67"/>
        <v>#N/A</v>
      </c>
      <c r="N453" s="405" t="e">
        <f t="shared" si="68"/>
        <v>#N/A</v>
      </c>
      <c r="O453" s="405" t="e">
        <v>#N/A</v>
      </c>
      <c r="P453" s="406" t="e">
        <v>#N/A</v>
      </c>
      <c r="Q453" s="406" t="e">
        <v>#N/A</v>
      </c>
      <c r="R453" s="406" t="e">
        <v>#N/A</v>
      </c>
      <c r="S453" s="405" t="e">
        <f t="shared" si="69"/>
        <v>#N/A</v>
      </c>
      <c r="T453" s="406" t="e">
        <v>#N/A</v>
      </c>
      <c r="U453" s="406" t="e">
        <v>#N/A</v>
      </c>
      <c r="V453" s="405" t="e">
        <f t="shared" si="70"/>
        <v>#N/A</v>
      </c>
      <c r="W453" s="406" t="e">
        <v>#N/A</v>
      </c>
      <c r="X453" s="406" t="e">
        <v>#N/A</v>
      </c>
      <c r="Y453" s="405" t="e">
        <f t="shared" si="71"/>
        <v>#N/A</v>
      </c>
      <c r="Z453" s="406" t="e">
        <v>#N/A</v>
      </c>
      <c r="AA453" s="406" t="e">
        <v>#N/A</v>
      </c>
      <c r="AB453" s="442" t="e">
        <f t="shared" si="72"/>
        <v>#N/A</v>
      </c>
      <c r="AC453" s="438" t="e">
        <f t="shared" si="73"/>
        <v>#N/A</v>
      </c>
      <c r="AD453" s="410"/>
      <c r="AE453" s="411"/>
      <c r="AF453" s="411"/>
      <c r="AG453" s="411"/>
    </row>
    <row r="454" spans="1:33" x14ac:dyDescent="0.2">
      <c r="A454" s="36" t="s">
        <v>354</v>
      </c>
      <c r="B454" s="18" t="str">
        <f>VLOOKUP(LEFT(A454,7),'Tariff Schedule Lookup Table'!$A$8:$G$186,2,FALSE)</f>
        <v>T5 2x24W</v>
      </c>
      <c r="C454" s="160">
        <f t="shared" si="76"/>
        <v>1960</v>
      </c>
      <c r="D454" s="18">
        <f t="shared" si="77"/>
        <v>2</v>
      </c>
      <c r="E454" s="18" t="str">
        <f>VLOOKUP(C454,'Tariff Schedule Lookup Table'!I$7:L$286,2,FALSE)</f>
        <v>T5 2x24W</v>
      </c>
      <c r="F454" s="18" t="str">
        <f>IF(E454 = "BULKHEADS ETC", "SHARED OR NO POLE", VLOOKUP(C454,'Tariff Schedule Lookup Table'!I$7:L$286,3,FALSE))</f>
        <v>STEEL POLE</v>
      </c>
      <c r="G454" s="18">
        <f>IF(E454 = "NO CAPITAL", 1, VLOOKUP(C454,'Tariff Schedule Lookup Table'!I$7:L$286,4,FALSE))</f>
        <v>3</v>
      </c>
      <c r="H454" s="18" t="str">
        <f t="shared" si="66"/>
        <v>2-Unmetered, Funded by Others, CE Maintained</v>
      </c>
      <c r="I454" s="123">
        <f>VLOOKUP(F454,'Maintenance Model'!$A$57:$B$61,2,FALSE)</f>
        <v>9.9616182311111103</v>
      </c>
      <c r="J454" s="123">
        <f>IF(D454=1,VLOOKUP(C454,'Capital Code Schedules'!A$15:F$300,2,FALSE),IF(D454=2,VLOOKUP(C454,'Capital Code Schedules'!A$15:F$300,3,FALSE),0))</f>
        <v>0</v>
      </c>
      <c r="K454" s="123">
        <v>0</v>
      </c>
      <c r="L454" s="123">
        <f>VLOOKUP(LEFT(A454,10),'Streetlight Tariff Schedule'!B$11:G$260,6, FALSE)+I454</f>
        <v>93.754955498700923</v>
      </c>
      <c r="M454" s="161">
        <f t="shared" si="67"/>
        <v>93.754955498700923</v>
      </c>
      <c r="N454" s="405">
        <f t="shared" si="68"/>
        <v>97.661595346880603</v>
      </c>
      <c r="O454" s="405">
        <v>64.817089218205382</v>
      </c>
      <c r="P454" s="406">
        <v>64.817089218205382</v>
      </c>
      <c r="Q454" s="406">
        <v>67.989163821722826</v>
      </c>
      <c r="R454" s="406">
        <v>67.989163821722826</v>
      </c>
      <c r="S454" s="405">
        <f t="shared" si="69"/>
        <v>102.44104271292839</v>
      </c>
      <c r="T454" s="406">
        <v>70.781559352069749</v>
      </c>
      <c r="U454" s="406">
        <v>71.040144997525857</v>
      </c>
      <c r="V454" s="405">
        <f t="shared" si="70"/>
        <v>107.03803545968904</v>
      </c>
      <c r="W454" s="406">
        <v>73.358199718322382</v>
      </c>
      <c r="X454" s="406">
        <v>74.283604900966139</v>
      </c>
      <c r="Y454" s="405">
        <f t="shared" si="71"/>
        <v>111.92504091510598</v>
      </c>
      <c r="Z454" s="406">
        <v>75.477196009859284</v>
      </c>
      <c r="AA454" s="406">
        <v>76.709018886251542</v>
      </c>
      <c r="AB454" s="442">
        <f t="shared" si="72"/>
        <v>114.3545688470455</v>
      </c>
      <c r="AC454" s="438">
        <f t="shared" si="73"/>
        <v>117.77366310538643</v>
      </c>
      <c r="AD454" s="410"/>
      <c r="AE454" s="411"/>
      <c r="AF454" s="411"/>
      <c r="AG454" s="411"/>
    </row>
    <row r="455" spans="1:33" x14ac:dyDescent="0.2">
      <c r="A455" s="36" t="s">
        <v>355</v>
      </c>
      <c r="B455" s="18" t="str">
        <f>VLOOKUP(LEFT(A455,7),'Tariff Schedule Lookup Table'!$A$8:$G$186,2,FALSE)</f>
        <v>T5 2x24W</v>
      </c>
      <c r="C455" s="160">
        <f t="shared" si="76"/>
        <v>1970</v>
      </c>
      <c r="D455" s="18">
        <f t="shared" si="77"/>
        <v>1</v>
      </c>
      <c r="E455" s="18" t="str">
        <f>VLOOKUP(C455,'Tariff Schedule Lookup Table'!I$7:L$286,2,FALSE)</f>
        <v>T5 2x24W</v>
      </c>
      <c r="F455" s="18" t="str">
        <f>IF(E455 = "BULKHEADS ETC", "SHARED OR NO POLE", VLOOKUP(C455,'Tariff Schedule Lookup Table'!I$7:L$286,3,FALSE))</f>
        <v>STEEL POLE</v>
      </c>
      <c r="G455" s="18">
        <f>IF(E455 = "NO CAPITAL", 1, VLOOKUP(C455,'Tariff Schedule Lookup Table'!I$7:L$286,4,FALSE))</f>
        <v>4</v>
      </c>
      <c r="H455" s="18" t="str">
        <f t="shared" si="66"/>
        <v>1-Unmetered, CE Funded, CE Maintained</v>
      </c>
      <c r="I455" s="123">
        <f>VLOOKUP(F455,'Maintenance Model'!$A$57:$B$61,2,FALSE)</f>
        <v>9.9616182311111103</v>
      </c>
      <c r="J455" s="123" t="e">
        <f>IF(D455=1,VLOOKUP(C455,'Capital Code Schedules'!A$15:F$300,2,FALSE),IF(D455=2,VLOOKUP(C455,'Capital Code Schedules'!A$15:F$300,3,FALSE),0))</f>
        <v>#N/A</v>
      </c>
      <c r="K455" s="123" t="e">
        <v>#N/A</v>
      </c>
      <c r="L455" s="123">
        <f>VLOOKUP(LEFT(A455,10),'Streetlight Tariff Schedule'!B$11:G$260,6, FALSE)+I455</f>
        <v>93.754955498700923</v>
      </c>
      <c r="M455" s="161" t="e">
        <f t="shared" si="67"/>
        <v>#N/A</v>
      </c>
      <c r="N455" s="405" t="e">
        <f t="shared" si="68"/>
        <v>#N/A</v>
      </c>
      <c r="O455" s="405" t="e">
        <v>#N/A</v>
      </c>
      <c r="P455" s="406" t="e">
        <v>#N/A</v>
      </c>
      <c r="Q455" s="406" t="e">
        <v>#N/A</v>
      </c>
      <c r="R455" s="406" t="e">
        <v>#N/A</v>
      </c>
      <c r="S455" s="405" t="e">
        <f t="shared" si="69"/>
        <v>#N/A</v>
      </c>
      <c r="T455" s="406" t="e">
        <v>#N/A</v>
      </c>
      <c r="U455" s="406" t="e">
        <v>#N/A</v>
      </c>
      <c r="V455" s="405" t="e">
        <f t="shared" si="70"/>
        <v>#N/A</v>
      </c>
      <c r="W455" s="406" t="e">
        <v>#N/A</v>
      </c>
      <c r="X455" s="406" t="e">
        <v>#N/A</v>
      </c>
      <c r="Y455" s="405" t="e">
        <f t="shared" si="71"/>
        <v>#N/A</v>
      </c>
      <c r="Z455" s="406" t="e">
        <v>#N/A</v>
      </c>
      <c r="AA455" s="406" t="e">
        <v>#N/A</v>
      </c>
      <c r="AB455" s="442" t="e">
        <f t="shared" si="72"/>
        <v>#N/A</v>
      </c>
      <c r="AC455" s="438" t="e">
        <f t="shared" si="73"/>
        <v>#N/A</v>
      </c>
      <c r="AD455" s="410"/>
      <c r="AE455" s="411"/>
      <c r="AF455" s="411"/>
      <c r="AG455" s="411"/>
    </row>
    <row r="456" spans="1:33" x14ac:dyDescent="0.2">
      <c r="A456" s="36" t="s">
        <v>356</v>
      </c>
      <c r="B456" s="18" t="str">
        <f>VLOOKUP(LEFT(A456,7),'Tariff Schedule Lookup Table'!$A$8:$G$186,2,FALSE)</f>
        <v>T5 2x24W</v>
      </c>
      <c r="C456" s="160">
        <f t="shared" si="76"/>
        <v>1970</v>
      </c>
      <c r="D456" s="18">
        <f t="shared" si="77"/>
        <v>2</v>
      </c>
      <c r="E456" s="18" t="str">
        <f>VLOOKUP(C456,'Tariff Schedule Lookup Table'!I$7:L$286,2,FALSE)</f>
        <v>T5 2x24W</v>
      </c>
      <c r="F456" s="18" t="str">
        <f>IF(E456 = "BULKHEADS ETC", "SHARED OR NO POLE", VLOOKUP(C456,'Tariff Schedule Lookup Table'!I$7:L$286,3,FALSE))</f>
        <v>STEEL POLE</v>
      </c>
      <c r="G456" s="18">
        <f>IF(E456 = "NO CAPITAL", 1, VLOOKUP(C456,'Tariff Schedule Lookup Table'!I$7:L$286,4,FALSE))</f>
        <v>4</v>
      </c>
      <c r="H456" s="18" t="str">
        <f t="shared" si="66"/>
        <v>2-Unmetered, Funded by Others, CE Maintained</v>
      </c>
      <c r="I456" s="123">
        <f>VLOOKUP(F456,'Maintenance Model'!$A$57:$B$61,2,FALSE)</f>
        <v>9.9616182311111103</v>
      </c>
      <c r="J456" s="123">
        <f>IF(D456=1,VLOOKUP(C456,'Capital Code Schedules'!A$15:F$300,2,FALSE),IF(D456=2,VLOOKUP(C456,'Capital Code Schedules'!A$15:F$300,3,FALSE),0))</f>
        <v>0</v>
      </c>
      <c r="K456" s="123">
        <v>0</v>
      </c>
      <c r="L456" s="123">
        <f>VLOOKUP(LEFT(A456,10),'Streetlight Tariff Schedule'!B$11:G$260,6, FALSE)+I456</f>
        <v>93.754955498700923</v>
      </c>
      <c r="M456" s="161">
        <f t="shared" si="67"/>
        <v>93.754955498700923</v>
      </c>
      <c r="N456" s="405">
        <f t="shared" si="68"/>
        <v>97.661595346880603</v>
      </c>
      <c r="O456" s="405">
        <v>64.817089218205382</v>
      </c>
      <c r="P456" s="406">
        <v>64.817089218205382</v>
      </c>
      <c r="Q456" s="406">
        <v>67.989163821722826</v>
      </c>
      <c r="R456" s="406">
        <v>67.989163821722826</v>
      </c>
      <c r="S456" s="405">
        <f t="shared" si="69"/>
        <v>102.44104271292839</v>
      </c>
      <c r="T456" s="406">
        <v>70.781559352069749</v>
      </c>
      <c r="U456" s="406">
        <v>71.040144997525857</v>
      </c>
      <c r="V456" s="405">
        <f t="shared" si="70"/>
        <v>107.03803545968904</v>
      </c>
      <c r="W456" s="406">
        <v>73.358199718322382</v>
      </c>
      <c r="X456" s="406">
        <v>74.283604900966139</v>
      </c>
      <c r="Y456" s="405">
        <f t="shared" si="71"/>
        <v>111.92504091510598</v>
      </c>
      <c r="Z456" s="406">
        <v>75.477196009859284</v>
      </c>
      <c r="AA456" s="406">
        <v>76.709018886251542</v>
      </c>
      <c r="AB456" s="442">
        <f t="shared" si="72"/>
        <v>114.3545688470455</v>
      </c>
      <c r="AC456" s="438">
        <f t="shared" si="73"/>
        <v>117.77366310538643</v>
      </c>
      <c r="AD456" s="410"/>
      <c r="AE456" s="411"/>
      <c r="AF456" s="411"/>
      <c r="AG456" s="411"/>
    </row>
    <row r="457" spans="1:33" x14ac:dyDescent="0.2">
      <c r="A457" s="36" t="s">
        <v>362</v>
      </c>
      <c r="B457" s="18" t="str">
        <f>VLOOKUP(LEFT(A457,7),'Tariff Schedule Lookup Table'!$A$8:$G$186,2,FALSE)</f>
        <v>Fluorescent 9</v>
      </c>
      <c r="C457" s="160">
        <f t="shared" si="76"/>
        <v>10</v>
      </c>
      <c r="D457" s="18">
        <f t="shared" si="77"/>
        <v>2</v>
      </c>
      <c r="E457" s="18" t="str">
        <f>VLOOKUP(C457,'Tariff Schedule Lookup Table'!I$7:L$286,2,FALSE)</f>
        <v>MERCURY VAPOUR 80W</v>
      </c>
      <c r="F457" s="18" t="str">
        <f>IF(E457 = "BULKHEADS ETC", "SHARED OR NO POLE", VLOOKUP(C457,'Tariff Schedule Lookup Table'!I$7:L$286,3,FALSE))</f>
        <v>SHARED OR NO POLE</v>
      </c>
      <c r="G457" s="18">
        <f>IF(E457 = "NO CAPITAL", 1, VLOOKUP(C457,'Tariff Schedule Lookup Table'!I$7:L$286,4,FALSE))</f>
        <v>1</v>
      </c>
      <c r="H457" s="18" t="str">
        <f t="shared" si="66"/>
        <v>2-Unmetered, Funded by Others, CE Maintained</v>
      </c>
      <c r="I457" s="123">
        <f>VLOOKUP(F457,'Maintenance Model'!$A$57:$B$61,2,FALSE)</f>
        <v>0</v>
      </c>
      <c r="J457" s="123">
        <f>IF(D457=1,VLOOKUP(C457,'Capital Code Schedules'!A$15:F$300,2,FALSE),IF(D457=2,VLOOKUP(C457,'Capital Code Schedules'!A$15:F$300,3,FALSE),0))</f>
        <v>0</v>
      </c>
      <c r="K457" s="123">
        <v>0</v>
      </c>
      <c r="L457" s="123">
        <f>VLOOKUP(LEFT(A457,10),'Streetlight Tariff Schedule'!B$11:H$260,7, FALSE)+I457</f>
        <v>26.876862542540042</v>
      </c>
      <c r="M457" s="161">
        <f t="shared" si="67"/>
        <v>26.876862542540042</v>
      </c>
      <c r="N457" s="405">
        <f t="shared" si="68"/>
        <v>27.996784381809533</v>
      </c>
      <c r="O457" s="405">
        <v>36.372140884353854</v>
      </c>
      <c r="P457" s="406">
        <v>36.372140884353854</v>
      </c>
      <c r="Q457" s="406">
        <v>38.152152078414254</v>
      </c>
      <c r="R457" s="406">
        <v>38.152152078414254</v>
      </c>
      <c r="S457" s="405">
        <f t="shared" si="69"/>
        <v>29.36691515733267</v>
      </c>
      <c r="T457" s="406">
        <v>39.719106177397329</v>
      </c>
      <c r="U457" s="406">
        <v>39.864211637093902</v>
      </c>
      <c r="V457" s="405">
        <f t="shared" si="70"/>
        <v>30.684741415225258</v>
      </c>
      <c r="W457" s="406">
        <v>41.164989161962623</v>
      </c>
      <c r="X457" s="406">
        <v>41.684280726644246</v>
      </c>
      <c r="Y457" s="405">
        <f t="shared" si="71"/>
        <v>32.085706016735884</v>
      </c>
      <c r="Z457" s="406">
        <v>42.354064953221013</v>
      </c>
      <c r="AA457" s="406">
        <v>43.045302954573991</v>
      </c>
      <c r="AB457" s="442">
        <f t="shared" si="72"/>
        <v>32.782182143492783</v>
      </c>
      <c r="AC457" s="438">
        <f t="shared" si="73"/>
        <v>33.762338615357251</v>
      </c>
      <c r="AD457" s="410"/>
      <c r="AE457" s="411"/>
      <c r="AF457" s="411"/>
      <c r="AG457" s="411"/>
    </row>
    <row r="458" spans="1:33" x14ac:dyDescent="0.2">
      <c r="A458" s="36" t="s">
        <v>363</v>
      </c>
      <c r="B458" s="18" t="str">
        <f>VLOOKUP(LEFT(A458,7),'Tariff Schedule Lookup Table'!$A$8:$G$186,2,FALSE)</f>
        <v>Fluorescent 9</v>
      </c>
      <c r="C458" s="160">
        <f t="shared" si="76"/>
        <v>110</v>
      </c>
      <c r="D458" s="18">
        <f t="shared" si="77"/>
        <v>1</v>
      </c>
      <c r="E458" s="18" t="str">
        <f>VLOOKUP(C458,'Tariff Schedule Lookup Table'!I$7:L$286,2,FALSE)</f>
        <v>BULKHEADS ETC</v>
      </c>
      <c r="F458" s="18" t="str">
        <f>IF(E458 = "BULKHEADS ETC", "SHARED OR NO POLE", VLOOKUP(C458,'Tariff Schedule Lookup Table'!I$7:L$286,3,FALSE))</f>
        <v>SHARED OR NO POLE</v>
      </c>
      <c r="G458" s="18">
        <f>IF(E458 = "NO CAPITAL", 1, VLOOKUP(C458,'Tariff Schedule Lookup Table'!I$7:L$286,4,FALSE))</f>
        <v>1</v>
      </c>
      <c r="H458" s="18" t="str">
        <f t="shared" si="66"/>
        <v>1-Unmetered, CE Funded, CE Maintained</v>
      </c>
      <c r="I458" s="123">
        <f>VLOOKUP(F458,'Maintenance Model'!$A$57:$B$61,2,FALSE)</f>
        <v>0</v>
      </c>
      <c r="J458" s="123">
        <f>IF(D458=1,VLOOKUP(C458,'Capital Code Schedules'!A$15:F$300,2,FALSE),IF(D458=2,VLOOKUP(C458,'Capital Code Schedules'!A$15:F$300,3,FALSE),0))</f>
        <v>8.1913367400317085</v>
      </c>
      <c r="K458" s="123">
        <v>10.390471279118792</v>
      </c>
      <c r="L458" s="123">
        <f>VLOOKUP(LEFT(A458,10),'Streetlight Tariff Schedule'!B$11:H$260,7, FALSE)+I458</f>
        <v>26.876862542540042</v>
      </c>
      <c r="M458" s="161">
        <f t="shared" si="67"/>
        <v>37.267333821658838</v>
      </c>
      <c r="N458" s="405">
        <f t="shared" si="68"/>
        <v>36.390856706157031</v>
      </c>
      <c r="O458" s="405">
        <v>47.491154533021685</v>
      </c>
      <c r="P458" s="406">
        <v>47.019776327630836</v>
      </c>
      <c r="Q458" s="406">
        <v>49.063316498912343</v>
      </c>
      <c r="R458" s="406">
        <v>49.546361314886617</v>
      </c>
      <c r="S458" s="405">
        <f t="shared" si="69"/>
        <v>37.968740771707765</v>
      </c>
      <c r="T458" s="406">
        <v>50.90032191730274</v>
      </c>
      <c r="U458" s="406">
        <v>51.583155836805723</v>
      </c>
      <c r="V458" s="405">
        <f t="shared" si="70"/>
        <v>39.531719059610047</v>
      </c>
      <c r="W458" s="406">
        <v>52.622939991430698</v>
      </c>
      <c r="X458" s="406">
        <v>53.800497134726299</v>
      </c>
      <c r="Y458" s="405">
        <f t="shared" si="71"/>
        <v>41.232596203265317</v>
      </c>
      <c r="Z458" s="406">
        <v>54.095600065718422</v>
      </c>
      <c r="AA458" s="406">
        <v>55.506831530286377</v>
      </c>
      <c r="AB458" s="442">
        <f t="shared" si="72"/>
        <v>42.090057597305133</v>
      </c>
      <c r="AC458" s="438">
        <f t="shared" si="73"/>
        <v>43.341073244875545</v>
      </c>
      <c r="AD458" s="410"/>
      <c r="AE458" s="411"/>
      <c r="AF458" s="411"/>
      <c r="AG458" s="411"/>
    </row>
    <row r="459" spans="1:33" x14ac:dyDescent="0.2">
      <c r="A459" s="36" t="s">
        <v>364</v>
      </c>
      <c r="B459" s="18" t="str">
        <f>VLOOKUP(LEFT(A459,7),'Tariff Schedule Lookup Table'!$A$8:$G$186,2,FALSE)</f>
        <v>Fluorescent 11</v>
      </c>
      <c r="C459" s="160">
        <f t="shared" si="76"/>
        <v>10</v>
      </c>
      <c r="D459" s="18">
        <f t="shared" si="77"/>
        <v>1</v>
      </c>
      <c r="E459" s="18" t="str">
        <f>VLOOKUP(C459,'Tariff Schedule Lookup Table'!I$7:L$286,2,FALSE)</f>
        <v>MERCURY VAPOUR 80W</v>
      </c>
      <c r="F459" s="18" t="str">
        <f>IF(E459 = "BULKHEADS ETC", "SHARED OR NO POLE", VLOOKUP(C459,'Tariff Schedule Lookup Table'!I$7:L$286,3,FALSE))</f>
        <v>SHARED OR NO POLE</v>
      </c>
      <c r="G459" s="18">
        <f>IF(E459 = "NO CAPITAL", 1, VLOOKUP(C459,'Tariff Schedule Lookup Table'!I$7:L$286,4,FALSE))</f>
        <v>1</v>
      </c>
      <c r="H459" s="18" t="str">
        <f t="shared" si="66"/>
        <v>1-Unmetered, CE Funded, CE Maintained</v>
      </c>
      <c r="I459" s="123">
        <f>VLOOKUP(F459,'Maintenance Model'!$A$57:$B$61,2,FALSE)</f>
        <v>0</v>
      </c>
      <c r="J459" s="123">
        <f>IF(D459=1,VLOOKUP(C459,'Capital Code Schedules'!A$15:F$300,2,FALSE),IF(D459=2,VLOOKUP(C459,'Capital Code Schedules'!A$15:F$300,3,FALSE),0))</f>
        <v>17.255027166785979</v>
      </c>
      <c r="K459" s="123">
        <v>21.887497717034414</v>
      </c>
      <c r="L459" s="123">
        <f>VLOOKUP(LEFT(A459,10),'Streetlight Tariff Schedule'!B$11:H$260,7, FALSE)+I459</f>
        <v>26.876862542540042</v>
      </c>
      <c r="M459" s="161">
        <f t="shared" si="67"/>
        <v>48.76436025957446</v>
      </c>
      <c r="N459" s="405">
        <f t="shared" si="68"/>
        <v>45.678873470973464</v>
      </c>
      <c r="O459" s="405">
        <v>59.794310997077709</v>
      </c>
      <c r="P459" s="406">
        <v>58.801354169884874</v>
      </c>
      <c r="Q459" s="406">
        <v>61.136488392762168</v>
      </c>
      <c r="R459" s="406">
        <v>62.154020901428019</v>
      </c>
      <c r="S459" s="405">
        <f t="shared" si="69"/>
        <v>47.486635951453401</v>
      </c>
      <c r="T459" s="406">
        <v>63.272304815525345</v>
      </c>
      <c r="U459" s="406">
        <v>64.550133721563554</v>
      </c>
      <c r="V459" s="405">
        <f t="shared" si="70"/>
        <v>49.320874251978431</v>
      </c>
      <c r="W459" s="406">
        <v>65.30112946638431</v>
      </c>
      <c r="X459" s="406">
        <v>67.207055569777424</v>
      </c>
      <c r="Y459" s="405">
        <f t="shared" si="71"/>
        <v>51.353603756654991</v>
      </c>
      <c r="Z459" s="406">
        <v>67.087574730177138</v>
      </c>
      <c r="AA459" s="406">
        <v>69.295476880736459</v>
      </c>
      <c r="AB459" s="442">
        <f t="shared" si="72"/>
        <v>52.389194883634467</v>
      </c>
      <c r="AC459" s="438">
        <f t="shared" si="73"/>
        <v>53.939915426237064</v>
      </c>
      <c r="AD459" s="410"/>
      <c r="AE459" s="411"/>
      <c r="AF459" s="411"/>
      <c r="AG459" s="411"/>
    </row>
    <row r="460" spans="1:33" x14ac:dyDescent="0.2">
      <c r="A460" s="36" t="s">
        <v>365</v>
      </c>
      <c r="B460" s="18" t="str">
        <f>VLOOKUP(LEFT(A460,7),'Tariff Schedule Lookup Table'!$A$8:$G$186,2,FALSE)</f>
        <v>Fluorescent 13</v>
      </c>
      <c r="C460" s="160">
        <f t="shared" si="76"/>
        <v>110</v>
      </c>
      <c r="D460" s="18">
        <f t="shared" si="77"/>
        <v>2</v>
      </c>
      <c r="E460" s="18" t="str">
        <f>VLOOKUP(C460,'Tariff Schedule Lookup Table'!I$7:L$286,2,FALSE)</f>
        <v>BULKHEADS ETC</v>
      </c>
      <c r="F460" s="18" t="str">
        <f>IF(E460 = "BULKHEADS ETC", "SHARED OR NO POLE", VLOOKUP(C460,'Tariff Schedule Lookup Table'!I$7:L$286,3,FALSE))</f>
        <v>SHARED OR NO POLE</v>
      </c>
      <c r="G460" s="18">
        <f>IF(E460 = "NO CAPITAL", 1, VLOOKUP(C460,'Tariff Schedule Lookup Table'!I$7:L$286,4,FALSE))</f>
        <v>1</v>
      </c>
      <c r="H460" s="18" t="str">
        <f t="shared" si="66"/>
        <v>2-Unmetered, Funded by Others, CE Maintained</v>
      </c>
      <c r="I460" s="123">
        <f>VLOOKUP(F460,'Maintenance Model'!$A$57:$B$61,2,FALSE)</f>
        <v>0</v>
      </c>
      <c r="J460" s="123">
        <f>IF(D460=1,VLOOKUP(C460,'Capital Code Schedules'!A$15:F$300,2,FALSE),IF(D460=2,VLOOKUP(C460,'Capital Code Schedules'!A$15:F$300,3,FALSE),0))</f>
        <v>0</v>
      </c>
      <c r="K460" s="123">
        <v>0</v>
      </c>
      <c r="L460" s="123">
        <f>VLOOKUP(LEFT(A460,10),'Streetlight Tariff Schedule'!B$11:H$260,7, FALSE)+I460</f>
        <v>26.876862542540042</v>
      </c>
      <c r="M460" s="161">
        <f t="shared" si="67"/>
        <v>26.876862542540042</v>
      </c>
      <c r="N460" s="405">
        <f t="shared" si="68"/>
        <v>27.996784381809533</v>
      </c>
      <c r="O460" s="405">
        <v>36.372140884353854</v>
      </c>
      <c r="P460" s="406">
        <v>36.372140884353854</v>
      </c>
      <c r="Q460" s="406">
        <v>38.152152078414254</v>
      </c>
      <c r="R460" s="406">
        <v>38.152152078414254</v>
      </c>
      <c r="S460" s="405">
        <f t="shared" si="69"/>
        <v>29.36691515733267</v>
      </c>
      <c r="T460" s="406">
        <v>39.719106177397329</v>
      </c>
      <c r="U460" s="406">
        <v>39.864211637093902</v>
      </c>
      <c r="V460" s="405">
        <f t="shared" si="70"/>
        <v>30.684741415225258</v>
      </c>
      <c r="W460" s="406">
        <v>41.164989161962623</v>
      </c>
      <c r="X460" s="406">
        <v>41.684280726644246</v>
      </c>
      <c r="Y460" s="405">
        <f t="shared" si="71"/>
        <v>32.085706016735884</v>
      </c>
      <c r="Z460" s="406">
        <v>42.354064953221013</v>
      </c>
      <c r="AA460" s="406">
        <v>43.045302954573991</v>
      </c>
      <c r="AB460" s="442">
        <f t="shared" si="72"/>
        <v>32.782182143492783</v>
      </c>
      <c r="AC460" s="438">
        <f t="shared" si="73"/>
        <v>33.762338615357251</v>
      </c>
      <c r="AD460" s="410"/>
      <c r="AE460" s="411"/>
      <c r="AF460" s="411"/>
      <c r="AG460" s="411"/>
    </row>
    <row r="461" spans="1:33" x14ac:dyDescent="0.2">
      <c r="A461" s="36" t="s">
        <v>366</v>
      </c>
      <c r="B461" s="18" t="str">
        <f>VLOOKUP(LEFT(A461,7),'Tariff Schedule Lookup Table'!$A$8:$G$186,2,FALSE)</f>
        <v>Fluorescent 15</v>
      </c>
      <c r="C461" s="160">
        <f t="shared" si="76"/>
        <v>10</v>
      </c>
      <c r="D461" s="18">
        <f t="shared" si="77"/>
        <v>2</v>
      </c>
      <c r="E461" s="18" t="str">
        <f>VLOOKUP(C461,'Tariff Schedule Lookup Table'!I$7:L$286,2,FALSE)</f>
        <v>MERCURY VAPOUR 80W</v>
      </c>
      <c r="F461" s="18" t="str">
        <f>IF(E461 = "BULKHEADS ETC", "SHARED OR NO POLE", VLOOKUP(C461,'Tariff Schedule Lookup Table'!I$7:L$286,3,FALSE))</f>
        <v>SHARED OR NO POLE</v>
      </c>
      <c r="G461" s="18">
        <f>IF(E461 = "NO CAPITAL", 1, VLOOKUP(C461,'Tariff Schedule Lookup Table'!I$7:L$286,4,FALSE))</f>
        <v>1</v>
      </c>
      <c r="H461" s="18" t="str">
        <f t="shared" si="66"/>
        <v>2-Unmetered, Funded by Others, CE Maintained</v>
      </c>
      <c r="I461" s="123">
        <f>VLOOKUP(F461,'Maintenance Model'!$A$57:$B$61,2,FALSE)</f>
        <v>0</v>
      </c>
      <c r="J461" s="123">
        <f>IF(D461=1,VLOOKUP(C461,'Capital Code Schedules'!A$15:F$300,2,FALSE),IF(D461=2,VLOOKUP(C461,'Capital Code Schedules'!A$15:F$300,3,FALSE),0))</f>
        <v>0</v>
      </c>
      <c r="K461" s="123">
        <v>0</v>
      </c>
      <c r="L461" s="123">
        <f>VLOOKUP(LEFT(A461,10),'Streetlight Tariff Schedule'!B$11:H$260,7, FALSE)+I461</f>
        <v>26.876862542540042</v>
      </c>
      <c r="M461" s="161">
        <f t="shared" si="67"/>
        <v>26.876862542540042</v>
      </c>
      <c r="N461" s="405">
        <f t="shared" si="68"/>
        <v>27.996784381809533</v>
      </c>
      <c r="O461" s="405">
        <v>36.372140884353854</v>
      </c>
      <c r="P461" s="406">
        <v>36.372140884353854</v>
      </c>
      <c r="Q461" s="406">
        <v>38.152152078414254</v>
      </c>
      <c r="R461" s="406">
        <v>38.152152078414254</v>
      </c>
      <c r="S461" s="405">
        <f t="shared" si="69"/>
        <v>29.36691515733267</v>
      </c>
      <c r="T461" s="406">
        <v>39.719106177397329</v>
      </c>
      <c r="U461" s="406">
        <v>39.864211637093902</v>
      </c>
      <c r="V461" s="405">
        <f t="shared" si="70"/>
        <v>30.684741415225258</v>
      </c>
      <c r="W461" s="406">
        <v>41.164989161962623</v>
      </c>
      <c r="X461" s="406">
        <v>41.684280726644246</v>
      </c>
      <c r="Y461" s="405">
        <f t="shared" si="71"/>
        <v>32.085706016735884</v>
      </c>
      <c r="Z461" s="406">
        <v>42.354064953221013</v>
      </c>
      <c r="AA461" s="406">
        <v>43.045302954573991</v>
      </c>
      <c r="AB461" s="442">
        <f t="shared" si="72"/>
        <v>32.782182143492783</v>
      </c>
      <c r="AC461" s="438">
        <f t="shared" si="73"/>
        <v>33.762338615357251</v>
      </c>
      <c r="AD461" s="410"/>
      <c r="AE461" s="411"/>
      <c r="AF461" s="411"/>
      <c r="AG461" s="411"/>
    </row>
    <row r="462" spans="1:33" x14ac:dyDescent="0.2">
      <c r="A462" s="36" t="s">
        <v>367</v>
      </c>
      <c r="B462" s="18" t="str">
        <f>VLOOKUP(LEFT(A462,7),'Tariff Schedule Lookup Table'!$A$8:$G$186,2,FALSE)</f>
        <v>Fluorescent 20</v>
      </c>
      <c r="C462" s="160">
        <f t="shared" si="76"/>
        <v>10</v>
      </c>
      <c r="D462" s="18">
        <f t="shared" si="77"/>
        <v>1</v>
      </c>
      <c r="E462" s="18" t="str">
        <f>VLOOKUP(C462,'Tariff Schedule Lookup Table'!I$7:L$286,2,FALSE)</f>
        <v>MERCURY VAPOUR 80W</v>
      </c>
      <c r="F462" s="18" t="str">
        <f>IF(E462 = "BULKHEADS ETC", "SHARED OR NO POLE", VLOOKUP(C462,'Tariff Schedule Lookup Table'!I$7:L$286,3,FALSE))</f>
        <v>SHARED OR NO POLE</v>
      </c>
      <c r="G462" s="18">
        <f>IF(E462 = "NO CAPITAL", 1, VLOOKUP(C462,'Tariff Schedule Lookup Table'!I$7:L$286,4,FALSE))</f>
        <v>1</v>
      </c>
      <c r="H462" s="18" t="str">
        <f t="shared" si="66"/>
        <v>1-Unmetered, CE Funded, CE Maintained</v>
      </c>
      <c r="I462" s="123">
        <f>VLOOKUP(F462,'Maintenance Model'!$A$57:$B$61,2,FALSE)</f>
        <v>0</v>
      </c>
      <c r="J462" s="123">
        <f>IF(D462=1,VLOOKUP(C462,'Capital Code Schedules'!A$15:F$300,2,FALSE),IF(D462=2,VLOOKUP(C462,'Capital Code Schedules'!A$15:F$300,3,FALSE),0))</f>
        <v>17.255027166785979</v>
      </c>
      <c r="K462" s="123">
        <v>21.887497717034414</v>
      </c>
      <c r="L462" s="123">
        <f>VLOOKUP(LEFT(A462,10),'Streetlight Tariff Schedule'!B$11:H$260,7, FALSE)+I462</f>
        <v>26.876862542540042</v>
      </c>
      <c r="M462" s="161">
        <f t="shared" si="67"/>
        <v>48.76436025957446</v>
      </c>
      <c r="N462" s="405">
        <f t="shared" si="68"/>
        <v>45.678873470973464</v>
      </c>
      <c r="O462" s="405">
        <v>59.794310997077709</v>
      </c>
      <c r="P462" s="406">
        <v>58.801354169884874</v>
      </c>
      <c r="Q462" s="406">
        <v>61.136488392762168</v>
      </c>
      <c r="R462" s="406">
        <v>62.154020901428019</v>
      </c>
      <c r="S462" s="405">
        <f t="shared" si="69"/>
        <v>47.486635951453401</v>
      </c>
      <c r="T462" s="406">
        <v>63.272304815525345</v>
      </c>
      <c r="U462" s="406">
        <v>64.550133721563554</v>
      </c>
      <c r="V462" s="405">
        <f t="shared" si="70"/>
        <v>49.320874251978431</v>
      </c>
      <c r="W462" s="406">
        <v>65.30112946638431</v>
      </c>
      <c r="X462" s="406">
        <v>67.207055569777424</v>
      </c>
      <c r="Y462" s="405">
        <f t="shared" si="71"/>
        <v>51.353603756654991</v>
      </c>
      <c r="Z462" s="406">
        <v>67.087574730177138</v>
      </c>
      <c r="AA462" s="406">
        <v>69.295476880736459</v>
      </c>
      <c r="AB462" s="442">
        <f t="shared" si="72"/>
        <v>52.389194883634467</v>
      </c>
      <c r="AC462" s="438">
        <f t="shared" si="73"/>
        <v>53.939915426237064</v>
      </c>
      <c r="AD462" s="410"/>
      <c r="AE462" s="411"/>
      <c r="AF462" s="411"/>
      <c r="AG462" s="411"/>
    </row>
    <row r="463" spans="1:33" x14ac:dyDescent="0.2">
      <c r="A463" s="36" t="s">
        <v>368</v>
      </c>
      <c r="B463" s="18" t="str">
        <f>VLOOKUP(LEFT(A463,7),'Tariff Schedule Lookup Table'!$A$8:$G$186,2,FALSE)</f>
        <v>Fluorescent 20</v>
      </c>
      <c r="C463" s="160">
        <f t="shared" si="76"/>
        <v>10</v>
      </c>
      <c r="D463" s="18">
        <f t="shared" si="77"/>
        <v>2</v>
      </c>
      <c r="E463" s="18" t="str">
        <f>VLOOKUP(C463,'Tariff Schedule Lookup Table'!I$7:L$286,2,FALSE)</f>
        <v>MERCURY VAPOUR 80W</v>
      </c>
      <c r="F463" s="18" t="str">
        <f>IF(E463 = "BULKHEADS ETC", "SHARED OR NO POLE", VLOOKUP(C463,'Tariff Schedule Lookup Table'!I$7:L$286,3,FALSE))</f>
        <v>SHARED OR NO POLE</v>
      </c>
      <c r="G463" s="18">
        <f>IF(E463 = "NO CAPITAL", 1, VLOOKUP(C463,'Tariff Schedule Lookup Table'!I$7:L$286,4,FALSE))</f>
        <v>1</v>
      </c>
      <c r="H463" s="18" t="str">
        <f t="shared" si="66"/>
        <v>2-Unmetered, Funded by Others, CE Maintained</v>
      </c>
      <c r="I463" s="123">
        <f>VLOOKUP(F463,'Maintenance Model'!$A$57:$B$61,2,FALSE)</f>
        <v>0</v>
      </c>
      <c r="J463" s="123">
        <f>IF(D463=1,VLOOKUP(C463,'Capital Code Schedules'!A$15:F$300,2,FALSE),IF(D463=2,VLOOKUP(C463,'Capital Code Schedules'!A$15:F$300,3,FALSE),0))</f>
        <v>0</v>
      </c>
      <c r="K463" s="123">
        <v>0</v>
      </c>
      <c r="L463" s="123">
        <f>VLOOKUP(LEFT(A463,10),'Streetlight Tariff Schedule'!B$11:H$260,7, FALSE)+I463</f>
        <v>26.876862542540042</v>
      </c>
      <c r="M463" s="161">
        <f t="shared" si="67"/>
        <v>26.876862542540042</v>
      </c>
      <c r="N463" s="405">
        <f t="shared" si="68"/>
        <v>27.996784381809533</v>
      </c>
      <c r="O463" s="405">
        <v>36.372140884353854</v>
      </c>
      <c r="P463" s="406">
        <v>36.372140884353854</v>
      </c>
      <c r="Q463" s="406">
        <v>38.152152078414254</v>
      </c>
      <c r="R463" s="406">
        <v>38.152152078414254</v>
      </c>
      <c r="S463" s="405">
        <f t="shared" si="69"/>
        <v>29.36691515733267</v>
      </c>
      <c r="T463" s="406">
        <v>39.719106177397329</v>
      </c>
      <c r="U463" s="406">
        <v>39.864211637093902</v>
      </c>
      <c r="V463" s="405">
        <f t="shared" si="70"/>
        <v>30.684741415225258</v>
      </c>
      <c r="W463" s="406">
        <v>41.164989161962623</v>
      </c>
      <c r="X463" s="406">
        <v>41.684280726644246</v>
      </c>
      <c r="Y463" s="405">
        <f t="shared" si="71"/>
        <v>32.085706016735884</v>
      </c>
      <c r="Z463" s="406">
        <v>42.354064953221013</v>
      </c>
      <c r="AA463" s="406">
        <v>43.045302954573991</v>
      </c>
      <c r="AB463" s="442">
        <f t="shared" si="72"/>
        <v>32.782182143492783</v>
      </c>
      <c r="AC463" s="438">
        <f t="shared" si="73"/>
        <v>33.762338615357251</v>
      </c>
      <c r="AD463" s="410"/>
      <c r="AE463" s="411"/>
      <c r="AF463" s="411"/>
      <c r="AG463" s="411"/>
    </row>
    <row r="464" spans="1:33" x14ac:dyDescent="0.2">
      <c r="A464" s="36" t="s">
        <v>369</v>
      </c>
      <c r="B464" s="18" t="str">
        <f>VLOOKUP(LEFT(A464,7),'Tariff Schedule Lookup Table'!$A$8:$G$186,2,FALSE)</f>
        <v>Fluorescent 20</v>
      </c>
      <c r="C464" s="160">
        <f t="shared" si="76"/>
        <v>110</v>
      </c>
      <c r="D464" s="18">
        <f t="shared" si="77"/>
        <v>2</v>
      </c>
      <c r="E464" s="18" t="str">
        <f>VLOOKUP(C464,'Tariff Schedule Lookup Table'!I$7:L$286,2,FALSE)</f>
        <v>BULKHEADS ETC</v>
      </c>
      <c r="F464" s="18" t="str">
        <f>IF(E464 = "BULKHEADS ETC", "SHARED OR NO POLE", VLOOKUP(C464,'Tariff Schedule Lookup Table'!I$7:L$286,3,FALSE))</f>
        <v>SHARED OR NO POLE</v>
      </c>
      <c r="G464" s="18">
        <f>IF(E464 = "NO CAPITAL", 1, VLOOKUP(C464,'Tariff Schedule Lookup Table'!I$7:L$286,4,FALSE))</f>
        <v>1</v>
      </c>
      <c r="H464" s="18" t="str">
        <f t="shared" si="66"/>
        <v>2-Unmetered, Funded by Others, CE Maintained</v>
      </c>
      <c r="I464" s="123">
        <f>VLOOKUP(F464,'Maintenance Model'!$A$57:$B$61,2,FALSE)</f>
        <v>0</v>
      </c>
      <c r="J464" s="123">
        <f>IF(D464=1,VLOOKUP(C464,'Capital Code Schedules'!A$15:F$300,2,FALSE),IF(D464=2,VLOOKUP(C464,'Capital Code Schedules'!A$15:F$300,3,FALSE),0))</f>
        <v>0</v>
      </c>
      <c r="K464" s="123">
        <v>0</v>
      </c>
      <c r="L464" s="123">
        <f>VLOOKUP(LEFT(A464,10),'Streetlight Tariff Schedule'!B$11:H$260,7, FALSE)+I464</f>
        <v>26.876862542540042</v>
      </c>
      <c r="M464" s="161">
        <f t="shared" si="67"/>
        <v>26.876862542540042</v>
      </c>
      <c r="N464" s="405">
        <f t="shared" si="68"/>
        <v>27.996784381809533</v>
      </c>
      <c r="O464" s="405">
        <v>36.372140884353854</v>
      </c>
      <c r="P464" s="406">
        <v>36.372140884353854</v>
      </c>
      <c r="Q464" s="406">
        <v>38.152152078414254</v>
      </c>
      <c r="R464" s="406">
        <v>38.152152078414254</v>
      </c>
      <c r="S464" s="405">
        <f t="shared" si="69"/>
        <v>29.36691515733267</v>
      </c>
      <c r="T464" s="406">
        <v>39.719106177397329</v>
      </c>
      <c r="U464" s="406">
        <v>39.864211637093902</v>
      </c>
      <c r="V464" s="405">
        <f t="shared" si="70"/>
        <v>30.684741415225258</v>
      </c>
      <c r="W464" s="406">
        <v>41.164989161962623</v>
      </c>
      <c r="X464" s="406">
        <v>41.684280726644246</v>
      </c>
      <c r="Y464" s="405">
        <f t="shared" si="71"/>
        <v>32.085706016735884</v>
      </c>
      <c r="Z464" s="406">
        <v>42.354064953221013</v>
      </c>
      <c r="AA464" s="406">
        <v>43.045302954573991</v>
      </c>
      <c r="AB464" s="442">
        <f t="shared" si="72"/>
        <v>32.782182143492783</v>
      </c>
      <c r="AC464" s="438">
        <f t="shared" si="73"/>
        <v>33.762338615357251</v>
      </c>
      <c r="AD464" s="410"/>
      <c r="AE464" s="411"/>
      <c r="AF464" s="411"/>
      <c r="AG464" s="411"/>
    </row>
    <row r="465" spans="1:33" x14ac:dyDescent="0.2">
      <c r="A465" s="36" t="s">
        <v>370</v>
      </c>
      <c r="B465" s="18" t="str">
        <f>VLOOKUP(LEFT(A465,7),'Tariff Schedule Lookup Table'!$A$8:$G$186,2,FALSE)</f>
        <v>Fluorescent Twin 20</v>
      </c>
      <c r="C465" s="160">
        <f t="shared" si="76"/>
        <v>10</v>
      </c>
      <c r="D465" s="18">
        <f t="shared" si="77"/>
        <v>1</v>
      </c>
      <c r="E465" s="18" t="str">
        <f>VLOOKUP(C465,'Tariff Schedule Lookup Table'!I$7:L$286,2,FALSE)</f>
        <v>MERCURY VAPOUR 80W</v>
      </c>
      <c r="F465" s="18" t="str">
        <f>IF(E465 = "BULKHEADS ETC", "SHARED OR NO POLE", VLOOKUP(C465,'Tariff Schedule Lookup Table'!I$7:L$286,3,FALSE))</f>
        <v>SHARED OR NO POLE</v>
      </c>
      <c r="G465" s="18">
        <f>IF(E465 = "NO CAPITAL", 1, VLOOKUP(C465,'Tariff Schedule Lookup Table'!I$7:L$286,4,FALSE))</f>
        <v>1</v>
      </c>
      <c r="H465" s="18" t="str">
        <f t="shared" si="66"/>
        <v>1-Unmetered, CE Funded, CE Maintained</v>
      </c>
      <c r="I465" s="123">
        <f>VLOOKUP(F465,'Maintenance Model'!$A$57:$B$61,2,FALSE)</f>
        <v>0</v>
      </c>
      <c r="J465" s="123">
        <f>IF(D465=1,VLOOKUP(C465,'Capital Code Schedules'!A$15:F$300,2,FALSE),IF(D465=2,VLOOKUP(C465,'Capital Code Schedules'!A$15:F$300,3,FALSE),0))</f>
        <v>17.255027166785979</v>
      </c>
      <c r="K465" s="123">
        <v>21.887497717034414</v>
      </c>
      <c r="L465" s="123">
        <f>VLOOKUP(LEFT(A465,10),'Streetlight Tariff Schedule'!B$11:H$260,7, FALSE)+I465</f>
        <v>31.86425264764004</v>
      </c>
      <c r="M465" s="161">
        <f t="shared" si="67"/>
        <v>53.75175036467445</v>
      </c>
      <c r="N465" s="405">
        <f t="shared" si="68"/>
        <v>50.874081251623117</v>
      </c>
      <c r="O465" s="405">
        <v>65.477291147108687</v>
      </c>
      <c r="P465" s="406">
        <v>64.48433431991586</v>
      </c>
      <c r="Q465" s="406">
        <v>67.097587125772407</v>
      </c>
      <c r="R465" s="406">
        <v>68.115119634438258</v>
      </c>
      <c r="S465" s="405">
        <f t="shared" si="69"/>
        <v>52.936091290266567</v>
      </c>
      <c r="T465" s="406">
        <v>69.478232937843302</v>
      </c>
      <c r="U465" s="406">
        <v>70.778733906264065</v>
      </c>
      <c r="V465" s="405">
        <f t="shared" si="70"/>
        <v>55.014871290123189</v>
      </c>
      <c r="W465" s="406">
        <v>71.732970171815751</v>
      </c>
      <c r="X465" s="406">
        <v>73.720033199855322</v>
      </c>
      <c r="Y465" s="405">
        <f t="shared" si="71"/>
        <v>57.307570014797449</v>
      </c>
      <c r="Z465" s="406">
        <v>73.705203072912894</v>
      </c>
      <c r="AA465" s="406">
        <v>76.021107990016162</v>
      </c>
      <c r="AB465" s="442">
        <f t="shared" si="72"/>
        <v>58.472402348317594</v>
      </c>
      <c r="AC465" s="438">
        <f t="shared" si="73"/>
        <v>60.205005083512027</v>
      </c>
      <c r="AD465" s="410"/>
      <c r="AE465" s="411"/>
      <c r="AF465" s="411"/>
      <c r="AG465" s="411"/>
    </row>
    <row r="466" spans="1:33" x14ac:dyDescent="0.2">
      <c r="A466" s="36" t="s">
        <v>371</v>
      </c>
      <c r="B466" s="18" t="str">
        <f>VLOOKUP(LEFT(A466,7),'Tariff Schedule Lookup Table'!$A$8:$G$186,2,FALSE)</f>
        <v>Fluorescent Twin 20</v>
      </c>
      <c r="C466" s="160">
        <f t="shared" si="76"/>
        <v>10</v>
      </c>
      <c r="D466" s="18">
        <f t="shared" si="77"/>
        <v>2</v>
      </c>
      <c r="E466" s="18" t="str">
        <f>VLOOKUP(C466,'Tariff Schedule Lookup Table'!I$7:L$286,2,FALSE)</f>
        <v>MERCURY VAPOUR 80W</v>
      </c>
      <c r="F466" s="18" t="str">
        <f>IF(E466 = "BULKHEADS ETC", "SHARED OR NO POLE", VLOOKUP(C466,'Tariff Schedule Lookup Table'!I$7:L$286,3,FALSE))</f>
        <v>SHARED OR NO POLE</v>
      </c>
      <c r="G466" s="18">
        <f>IF(E466 = "NO CAPITAL", 1, VLOOKUP(C466,'Tariff Schedule Lookup Table'!I$7:L$286,4,FALSE))</f>
        <v>1</v>
      </c>
      <c r="H466" s="18" t="str">
        <f t="shared" ref="H466:H529" si="78">VLOOKUP(D466,A$11:B$15, 2, FALSE)</f>
        <v>2-Unmetered, Funded by Others, CE Maintained</v>
      </c>
      <c r="I466" s="123">
        <f>VLOOKUP(F466,'Maintenance Model'!$A$57:$B$61,2,FALSE)</f>
        <v>0</v>
      </c>
      <c r="J466" s="123">
        <f>IF(D466=1,VLOOKUP(C466,'Capital Code Schedules'!A$15:F$300,2,FALSE),IF(D466=2,VLOOKUP(C466,'Capital Code Schedules'!A$15:F$300,3,FALSE),0))</f>
        <v>0</v>
      </c>
      <c r="K466" s="123">
        <v>0</v>
      </c>
      <c r="L466" s="123">
        <f>VLOOKUP(LEFT(A466,10),'Streetlight Tariff Schedule'!B$11:H$260,7, FALSE)+I466</f>
        <v>31.86425264764004</v>
      </c>
      <c r="M466" s="161">
        <f t="shared" si="67"/>
        <v>31.86425264764004</v>
      </c>
      <c r="N466" s="405">
        <f t="shared" si="68"/>
        <v>33.191992162459179</v>
      </c>
      <c r="O466" s="405">
        <v>42.055121034384847</v>
      </c>
      <c r="P466" s="406">
        <v>42.055121034384847</v>
      </c>
      <c r="Q466" s="406">
        <v>44.1132508114245</v>
      </c>
      <c r="R466" s="406">
        <v>44.1132508114245</v>
      </c>
      <c r="S466" s="405">
        <f t="shared" si="69"/>
        <v>34.816370496145822</v>
      </c>
      <c r="T466" s="406">
        <v>45.925034299715279</v>
      </c>
      <c r="U466" s="406">
        <v>46.092811821794406</v>
      </c>
      <c r="V466" s="405">
        <f t="shared" si="70"/>
        <v>36.378738453370005</v>
      </c>
      <c r="W466" s="406">
        <v>47.596829867394064</v>
      </c>
      <c r="X466" s="406">
        <v>48.197258356722145</v>
      </c>
      <c r="Y466" s="405">
        <f t="shared" si="71"/>
        <v>38.039672274878335</v>
      </c>
      <c r="Z466" s="406">
        <v>48.971693295956776</v>
      </c>
      <c r="AA466" s="406">
        <v>49.770934063853694</v>
      </c>
      <c r="AB466" s="442">
        <f t="shared" si="72"/>
        <v>38.865389608175903</v>
      </c>
      <c r="AC466" s="438">
        <f t="shared" si="73"/>
        <v>40.027428272632214</v>
      </c>
      <c r="AD466" s="410"/>
      <c r="AE466" s="411"/>
      <c r="AF466" s="411"/>
      <c r="AG466" s="411"/>
    </row>
    <row r="467" spans="1:33" x14ac:dyDescent="0.2">
      <c r="A467" s="36" t="s">
        <v>372</v>
      </c>
      <c r="B467" s="18" t="str">
        <f>VLOOKUP(LEFT(A467,7),'Tariff Schedule Lookup Table'!$A$8:$G$186,2,FALSE)</f>
        <v>Fluorescent Twin 20</v>
      </c>
      <c r="C467" s="160">
        <f t="shared" si="76"/>
        <v>740</v>
      </c>
      <c r="D467" s="18">
        <f t="shared" si="77"/>
        <v>2</v>
      </c>
      <c r="E467" s="18" t="str">
        <f>VLOOKUP(C467,'Tariff Schedule Lookup Table'!I$7:L$286,2,FALSE)</f>
        <v>MERCURY VAPOUR 80W</v>
      </c>
      <c r="F467" s="18" t="str">
        <f>IF(E467 = "BULKHEADS ETC", "SHARED OR NO POLE", VLOOKUP(C467,'Tariff Schedule Lookup Table'!I$7:L$286,3,FALSE))</f>
        <v>SHARED OR NO POLE</v>
      </c>
      <c r="G467" s="18">
        <f>IF(E467 = "NO CAPITAL", 1, VLOOKUP(C467,'Tariff Schedule Lookup Table'!I$7:L$286,4,FALSE))</f>
        <v>2</v>
      </c>
      <c r="H467" s="18" t="str">
        <f t="shared" si="78"/>
        <v>2-Unmetered, Funded by Others, CE Maintained</v>
      </c>
      <c r="I467" s="123">
        <f>VLOOKUP(F467,'Maintenance Model'!$A$57:$B$61,2,FALSE)</f>
        <v>0</v>
      </c>
      <c r="J467" s="123">
        <f>IF(D467=1,VLOOKUP(C467,'Capital Code Schedules'!A$15:F$300,2,FALSE),IF(D467=2,VLOOKUP(C467,'Capital Code Schedules'!A$15:F$300,3,FALSE),0))</f>
        <v>0</v>
      </c>
      <c r="K467" s="123">
        <v>0</v>
      </c>
      <c r="L467" s="123">
        <f>VLOOKUP(LEFT(A467,10),'Streetlight Tariff Schedule'!B$11:H$260,7, FALSE)+I467</f>
        <v>31.86425264764004</v>
      </c>
      <c r="M467" s="161">
        <f t="shared" ref="M467:M530" si="79">IF(VLOOKUP(D467,A$11:D$15,3,FALSE)="Y",IF(VLOOKUP(D467,A$11:D$15,4,FALSE)="Y",K467+L467,K467),IF(VLOOKUP(D467,A$11:D$15,4,FALSE)="Y",L467,0))</f>
        <v>31.86425264764004</v>
      </c>
      <c r="N467" s="405">
        <f t="shared" ref="N467:N530" si="80">($J467+$L467+$L467*$M$10*$M$14)*(1+$M$12)</f>
        <v>33.191992162459179</v>
      </c>
      <c r="O467" s="405">
        <v>42.055121034384847</v>
      </c>
      <c r="P467" s="406">
        <v>42.055121034384847</v>
      </c>
      <c r="Q467" s="406">
        <v>44.1132508114245</v>
      </c>
      <c r="R467" s="406">
        <v>44.1132508114245</v>
      </c>
      <c r="S467" s="405">
        <f t="shared" ref="S467:S530" si="81">($J467+$L467+$L467*$N$10*$N$14)*(1+$N$12)</f>
        <v>34.816370496145822</v>
      </c>
      <c r="T467" s="406">
        <v>45.925034299715279</v>
      </c>
      <c r="U467" s="406">
        <v>46.092811821794406</v>
      </c>
      <c r="V467" s="405">
        <f t="shared" ref="V467:V530" si="82">($J467+$L467+$L467*$O$10*$O$14)*(1+$O$12)</f>
        <v>36.378738453370005</v>
      </c>
      <c r="W467" s="406">
        <v>47.596829867394064</v>
      </c>
      <c r="X467" s="406">
        <v>48.197258356722145</v>
      </c>
      <c r="Y467" s="405">
        <f t="shared" ref="Y467:Y530" si="83">($J467+$L467+$L467*$P$10*$P$14)*(1+$P$12)</f>
        <v>38.039672274878335</v>
      </c>
      <c r="Z467" s="406">
        <v>48.971693295956776</v>
      </c>
      <c r="AA467" s="406">
        <v>49.770934063853694</v>
      </c>
      <c r="AB467" s="442">
        <f t="shared" ref="AB467:AB530" si="84">($J467+$L467+$L467*$Q$10*$Q$14)*(1+$Q$12)</f>
        <v>38.865389608175903</v>
      </c>
      <c r="AC467" s="438">
        <f t="shared" ref="AC467:AC530" si="85">($J467+$L467+$L467*$R$10*$R$14)*(1+$R$12)</f>
        <v>40.027428272632214</v>
      </c>
      <c r="AD467" s="410"/>
      <c r="AE467" s="411"/>
      <c r="AF467" s="411"/>
      <c r="AG467" s="411"/>
    </row>
    <row r="468" spans="1:33" x14ac:dyDescent="0.2">
      <c r="A468" s="36" t="s">
        <v>373</v>
      </c>
      <c r="B468" s="18" t="str">
        <f>VLOOKUP(LEFT(A468,7),'Tariff Schedule Lookup Table'!$A$8:$G$186,2,FALSE)</f>
        <v>Fluorescent Twin 20</v>
      </c>
      <c r="C468" s="160">
        <f t="shared" si="76"/>
        <v>990</v>
      </c>
      <c r="D468" s="18">
        <f t="shared" si="77"/>
        <v>1</v>
      </c>
      <c r="E468" s="18" t="str">
        <f>VLOOKUP(C468,'Tariff Schedule Lookup Table'!I$7:L$286,2,FALSE)</f>
        <v>MERCURY VAPOUR 80W</v>
      </c>
      <c r="F468" s="18" t="str">
        <f>IF(E468 = "BULKHEADS ETC", "SHARED OR NO POLE", VLOOKUP(C468,'Tariff Schedule Lookup Table'!I$7:L$286,3,FALSE))</f>
        <v>STEEL POLE</v>
      </c>
      <c r="G468" s="18">
        <f>IF(E468 = "NO CAPITAL", 1, VLOOKUP(C468,'Tariff Schedule Lookup Table'!I$7:L$286,4,FALSE))</f>
        <v>1</v>
      </c>
      <c r="H468" s="18" t="str">
        <f t="shared" si="78"/>
        <v>1-Unmetered, CE Funded, CE Maintained</v>
      </c>
      <c r="I468" s="123">
        <f>VLOOKUP(F468,'Maintenance Model'!$A$57:$B$61,2,FALSE)</f>
        <v>9.9616182311111103</v>
      </c>
      <c r="J468" s="123">
        <f>IF(D468=1,VLOOKUP(C468,'Capital Code Schedules'!A$15:F$300,2,FALSE),IF(D468=2,VLOOKUP(C468,'Capital Code Schedules'!A$15:F$300,3,FALSE),0))</f>
        <v>86.253661186307269</v>
      </c>
      <c r="K468" s="123">
        <v>109.41024862221688</v>
      </c>
      <c r="L468" s="123">
        <f>VLOOKUP(LEFT(A468,10),'Streetlight Tariff Schedule'!B$11:H$260,7, FALSE)+I468</f>
        <v>41.825870878751147</v>
      </c>
      <c r="M468" s="161">
        <f t="shared" si="79"/>
        <v>151.23611950096802</v>
      </c>
      <c r="N468" s="405">
        <f t="shared" si="80"/>
        <v>131.95713660379994</v>
      </c>
      <c r="O468" s="405">
        <v>168.73093690319521</v>
      </c>
      <c r="P468" s="406">
        <v>163.76738854610076</v>
      </c>
      <c r="Q468" s="406">
        <v>169.0699676763297</v>
      </c>
      <c r="R468" s="406">
        <v>174.15636385526221</v>
      </c>
      <c r="S468" s="405">
        <f t="shared" si="81"/>
        <v>136.27695295411809</v>
      </c>
      <c r="T468" s="406">
        <v>174.13868044321515</v>
      </c>
      <c r="U468" s="406">
        <v>180.00694087953042</v>
      </c>
      <c r="V468" s="405">
        <f t="shared" si="82"/>
        <v>140.90917646732001</v>
      </c>
      <c r="W468" s="406">
        <v>179.10584876748646</v>
      </c>
      <c r="X468" s="406">
        <v>186.77470112232623</v>
      </c>
      <c r="Y468" s="405">
        <f t="shared" si="83"/>
        <v>146.24740091302704</v>
      </c>
      <c r="Z468" s="406">
        <v>183.78046633070917</v>
      </c>
      <c r="AA468" s="406">
        <v>192.34347261451404</v>
      </c>
      <c r="AB468" s="442">
        <f t="shared" si="84"/>
        <v>149.02641254264711</v>
      </c>
      <c r="AC468" s="438">
        <f t="shared" si="85"/>
        <v>153.40384585718823</v>
      </c>
      <c r="AD468" s="410"/>
      <c r="AE468" s="411"/>
      <c r="AF468" s="411"/>
      <c r="AG468" s="411"/>
    </row>
    <row r="469" spans="1:33" x14ac:dyDescent="0.2">
      <c r="A469" s="36" t="s">
        <v>374</v>
      </c>
      <c r="B469" s="18" t="str">
        <f>VLOOKUP(LEFT(A469,7),'Tariff Schedule Lookup Table'!$A$8:$G$186,2,FALSE)</f>
        <v>Fluorescent 3x20</v>
      </c>
      <c r="C469" s="160">
        <f t="shared" si="76"/>
        <v>10</v>
      </c>
      <c r="D469" s="18">
        <f t="shared" si="77"/>
        <v>1</v>
      </c>
      <c r="E469" s="18" t="str">
        <f>VLOOKUP(C469,'Tariff Schedule Lookup Table'!I$7:L$286,2,FALSE)</f>
        <v>MERCURY VAPOUR 80W</v>
      </c>
      <c r="F469" s="18" t="str">
        <f>IF(E469 = "BULKHEADS ETC", "SHARED OR NO POLE", VLOOKUP(C469,'Tariff Schedule Lookup Table'!I$7:L$286,3,FALSE))</f>
        <v>SHARED OR NO POLE</v>
      </c>
      <c r="G469" s="18">
        <f>IF(E469 = "NO CAPITAL", 1, VLOOKUP(C469,'Tariff Schedule Lookup Table'!I$7:L$286,4,FALSE))</f>
        <v>1</v>
      </c>
      <c r="H469" s="18" t="str">
        <f t="shared" si="78"/>
        <v>1-Unmetered, CE Funded, CE Maintained</v>
      </c>
      <c r="I469" s="123">
        <f>VLOOKUP(F469,'Maintenance Model'!$A$57:$B$61,2,FALSE)</f>
        <v>0</v>
      </c>
      <c r="J469" s="123">
        <f>IF(D469=1,VLOOKUP(C469,'Capital Code Schedules'!A$15:F$300,2,FALSE),IF(D469=2,VLOOKUP(C469,'Capital Code Schedules'!A$15:F$300,3,FALSE),0))</f>
        <v>17.255027166785979</v>
      </c>
      <c r="K469" s="123">
        <v>21.887497717034414</v>
      </c>
      <c r="L469" s="123">
        <f>VLOOKUP(LEFT(A469,10),'Streetlight Tariff Schedule'!B$11:H$260,7, FALSE)+I469</f>
        <v>36.851642752740041</v>
      </c>
      <c r="M469" s="161">
        <f t="shared" si="79"/>
        <v>58.739140469774455</v>
      </c>
      <c r="N469" s="405">
        <f t="shared" si="80"/>
        <v>56.069289032272756</v>
      </c>
      <c r="O469" s="405">
        <v>71.160271297139687</v>
      </c>
      <c r="P469" s="406">
        <v>70.167314469946874</v>
      </c>
      <c r="Q469" s="406">
        <v>73.058685858782667</v>
      </c>
      <c r="R469" s="406">
        <v>74.076218367448504</v>
      </c>
      <c r="S469" s="405">
        <f t="shared" si="81"/>
        <v>58.38554662907972</v>
      </c>
      <c r="T469" s="406">
        <v>75.684161060161287</v>
      </c>
      <c r="U469" s="406">
        <v>77.007334090964562</v>
      </c>
      <c r="V469" s="405">
        <f t="shared" si="82"/>
        <v>60.708868328267933</v>
      </c>
      <c r="W469" s="406">
        <v>78.16481087724722</v>
      </c>
      <c r="X469" s="406">
        <v>80.233010829933235</v>
      </c>
      <c r="Y469" s="405">
        <f t="shared" si="83"/>
        <v>63.2615362729399</v>
      </c>
      <c r="Z469" s="406">
        <v>80.322831415648665</v>
      </c>
      <c r="AA469" s="406">
        <v>82.746739099295866</v>
      </c>
      <c r="AB469" s="442">
        <f t="shared" si="84"/>
        <v>64.555609813000714</v>
      </c>
      <c r="AC469" s="438">
        <f t="shared" si="85"/>
        <v>66.470094740786976</v>
      </c>
      <c r="AD469" s="410"/>
      <c r="AE469" s="411"/>
      <c r="AF469" s="411"/>
      <c r="AG469" s="411"/>
    </row>
    <row r="470" spans="1:33" x14ac:dyDescent="0.2">
      <c r="A470" s="36" t="s">
        <v>375</v>
      </c>
      <c r="B470" s="18" t="str">
        <f>VLOOKUP(LEFT(A470,7),'Tariff Schedule Lookup Table'!$A$8:$G$186,2,FALSE)</f>
        <v>Fluorescent 3x20</v>
      </c>
      <c r="C470" s="160">
        <f t="shared" si="76"/>
        <v>10</v>
      </c>
      <c r="D470" s="18">
        <f t="shared" si="77"/>
        <v>2</v>
      </c>
      <c r="E470" s="18" t="str">
        <f>VLOOKUP(C470,'Tariff Schedule Lookup Table'!I$7:L$286,2,FALSE)</f>
        <v>MERCURY VAPOUR 80W</v>
      </c>
      <c r="F470" s="18" t="str">
        <f>IF(E470 = "BULKHEADS ETC", "SHARED OR NO POLE", VLOOKUP(C470,'Tariff Schedule Lookup Table'!I$7:L$286,3,FALSE))</f>
        <v>SHARED OR NO POLE</v>
      </c>
      <c r="G470" s="18">
        <f>IF(E470 = "NO CAPITAL", 1, VLOOKUP(C470,'Tariff Schedule Lookup Table'!I$7:L$286,4,FALSE))</f>
        <v>1</v>
      </c>
      <c r="H470" s="18" t="str">
        <f t="shared" si="78"/>
        <v>2-Unmetered, Funded by Others, CE Maintained</v>
      </c>
      <c r="I470" s="123">
        <f>VLOOKUP(F470,'Maintenance Model'!$A$57:$B$61,2,FALSE)</f>
        <v>0</v>
      </c>
      <c r="J470" s="123">
        <f>IF(D470=1,VLOOKUP(C470,'Capital Code Schedules'!A$15:F$300,2,FALSE),IF(D470=2,VLOOKUP(C470,'Capital Code Schedules'!A$15:F$300,3,FALSE),0))</f>
        <v>0</v>
      </c>
      <c r="K470" s="123">
        <v>0</v>
      </c>
      <c r="L470" s="123">
        <f>VLOOKUP(LEFT(A470,10),'Streetlight Tariff Schedule'!B$11:H$260,7, FALSE)+I470</f>
        <v>36.851642752740041</v>
      </c>
      <c r="M470" s="161">
        <f t="shared" si="79"/>
        <v>36.851642752740041</v>
      </c>
      <c r="N470" s="405">
        <f t="shared" si="80"/>
        <v>38.387199943108826</v>
      </c>
      <c r="O470" s="405">
        <v>47.738101184415839</v>
      </c>
      <c r="P470" s="406">
        <v>47.738101184415839</v>
      </c>
      <c r="Q470" s="406">
        <v>50.074349544434753</v>
      </c>
      <c r="R470" s="406">
        <v>50.074349544434753</v>
      </c>
      <c r="S470" s="405">
        <f t="shared" si="81"/>
        <v>40.265825834958974</v>
      </c>
      <c r="T470" s="406">
        <v>52.130962422033242</v>
      </c>
      <c r="U470" s="406">
        <v>52.32141200649491</v>
      </c>
      <c r="V470" s="405">
        <f t="shared" si="82"/>
        <v>42.072735491514756</v>
      </c>
      <c r="W470" s="406">
        <v>54.028670572825519</v>
      </c>
      <c r="X470" s="406">
        <v>54.710235986800058</v>
      </c>
      <c r="Y470" s="405">
        <f t="shared" si="83"/>
        <v>43.993638533020786</v>
      </c>
      <c r="Z470" s="406">
        <v>55.589321638692546</v>
      </c>
      <c r="AA470" s="406">
        <v>56.496565173133398</v>
      </c>
      <c r="AB470" s="442">
        <f t="shared" si="84"/>
        <v>44.948597072859023</v>
      </c>
      <c r="AC470" s="438">
        <f t="shared" si="85"/>
        <v>46.29251792990717</v>
      </c>
      <c r="AD470" s="410"/>
      <c r="AE470" s="411"/>
      <c r="AF470" s="411"/>
      <c r="AG470" s="411"/>
    </row>
    <row r="471" spans="1:33" x14ac:dyDescent="0.2">
      <c r="A471" s="36" t="s">
        <v>376</v>
      </c>
      <c r="B471" s="18" t="str">
        <f>VLOOKUP(LEFT(A471,7),'Tariff Schedule Lookup Table'!$A$8:$G$186,2,FALSE)</f>
        <v>Fluorescent 4x20</v>
      </c>
      <c r="C471" s="160">
        <f t="shared" si="76"/>
        <v>10</v>
      </c>
      <c r="D471" s="18">
        <f t="shared" si="77"/>
        <v>1</v>
      </c>
      <c r="E471" s="18" t="str">
        <f>VLOOKUP(C471,'Tariff Schedule Lookup Table'!I$7:L$286,2,FALSE)</f>
        <v>MERCURY VAPOUR 80W</v>
      </c>
      <c r="F471" s="18" t="str">
        <f>IF(E471 = "BULKHEADS ETC", "SHARED OR NO POLE", VLOOKUP(C471,'Tariff Schedule Lookup Table'!I$7:L$286,3,FALSE))</f>
        <v>SHARED OR NO POLE</v>
      </c>
      <c r="G471" s="18">
        <f>IF(E471 = "NO CAPITAL", 1, VLOOKUP(C471,'Tariff Schedule Lookup Table'!I$7:L$286,4,FALSE))</f>
        <v>1</v>
      </c>
      <c r="H471" s="18" t="str">
        <f t="shared" si="78"/>
        <v>1-Unmetered, CE Funded, CE Maintained</v>
      </c>
      <c r="I471" s="123">
        <f>VLOOKUP(F471,'Maintenance Model'!$A$57:$B$61,2,FALSE)</f>
        <v>0</v>
      </c>
      <c r="J471" s="123">
        <f>IF(D471=1,VLOOKUP(C471,'Capital Code Schedules'!A$15:F$300,2,FALSE),IF(D471=2,VLOOKUP(C471,'Capital Code Schedules'!A$15:F$300,3,FALSE),0))</f>
        <v>17.255027166785979</v>
      </c>
      <c r="K471" s="123">
        <v>21.887497717034414</v>
      </c>
      <c r="L471" s="123">
        <f>VLOOKUP(LEFT(A471,10),'Streetlight Tariff Schedule'!B$11:H$260,7, FALSE)+I471</f>
        <v>41.839032857840039</v>
      </c>
      <c r="M471" s="161">
        <f t="shared" si="79"/>
        <v>63.726530574874452</v>
      </c>
      <c r="N471" s="405">
        <f t="shared" si="80"/>
        <v>61.26449681292241</v>
      </c>
      <c r="O471" s="405">
        <v>76.843251447170672</v>
      </c>
      <c r="P471" s="406">
        <v>75.850294619977859</v>
      </c>
      <c r="Q471" s="406">
        <v>79.019784591792913</v>
      </c>
      <c r="R471" s="406">
        <v>80.037317100458765</v>
      </c>
      <c r="S471" s="405">
        <f t="shared" si="81"/>
        <v>63.835001967892879</v>
      </c>
      <c r="T471" s="406">
        <v>81.890089182479244</v>
      </c>
      <c r="U471" s="406">
        <v>83.235934275665073</v>
      </c>
      <c r="V471" s="405">
        <f t="shared" si="82"/>
        <v>66.402865366412698</v>
      </c>
      <c r="W471" s="406">
        <v>84.59665158267866</v>
      </c>
      <c r="X471" s="406">
        <v>86.745988460011148</v>
      </c>
      <c r="Y471" s="405">
        <f t="shared" si="83"/>
        <v>69.215502531082336</v>
      </c>
      <c r="Z471" s="406">
        <v>86.940459758384435</v>
      </c>
      <c r="AA471" s="406">
        <v>89.472370208575569</v>
      </c>
      <c r="AB471" s="442">
        <f t="shared" si="84"/>
        <v>70.638817277683842</v>
      </c>
      <c r="AC471" s="438">
        <f t="shared" si="85"/>
        <v>72.735184398061932</v>
      </c>
      <c r="AD471" s="410"/>
      <c r="AE471" s="411"/>
      <c r="AF471" s="411"/>
      <c r="AG471" s="411"/>
    </row>
    <row r="472" spans="1:33" x14ac:dyDescent="0.2">
      <c r="A472" s="36" t="s">
        <v>377</v>
      </c>
      <c r="B472" s="18" t="str">
        <f>VLOOKUP(LEFT(A472,7),'Tariff Schedule Lookup Table'!$A$8:$G$186,2,FALSE)</f>
        <v>Fluorescent 4x20</v>
      </c>
      <c r="C472" s="160">
        <f t="shared" si="76"/>
        <v>10</v>
      </c>
      <c r="D472" s="18">
        <f t="shared" si="77"/>
        <v>2</v>
      </c>
      <c r="E472" s="18" t="str">
        <f>VLOOKUP(C472,'Tariff Schedule Lookup Table'!I$7:L$286,2,FALSE)</f>
        <v>MERCURY VAPOUR 80W</v>
      </c>
      <c r="F472" s="18" t="str">
        <f>IF(E472 = "BULKHEADS ETC", "SHARED OR NO POLE", VLOOKUP(C472,'Tariff Schedule Lookup Table'!I$7:L$286,3,FALSE))</f>
        <v>SHARED OR NO POLE</v>
      </c>
      <c r="G472" s="18">
        <f>IF(E472 = "NO CAPITAL", 1, VLOOKUP(C472,'Tariff Schedule Lookup Table'!I$7:L$286,4,FALSE))</f>
        <v>1</v>
      </c>
      <c r="H472" s="18" t="str">
        <f t="shared" si="78"/>
        <v>2-Unmetered, Funded by Others, CE Maintained</v>
      </c>
      <c r="I472" s="123">
        <f>VLOOKUP(F472,'Maintenance Model'!$A$57:$B$61,2,FALSE)</f>
        <v>0</v>
      </c>
      <c r="J472" s="123">
        <f>IF(D472=1,VLOOKUP(C472,'Capital Code Schedules'!A$15:F$300,2,FALSE),IF(D472=2,VLOOKUP(C472,'Capital Code Schedules'!A$15:F$300,3,FALSE),0))</f>
        <v>0</v>
      </c>
      <c r="K472" s="123">
        <v>0</v>
      </c>
      <c r="L472" s="123">
        <f>VLOOKUP(LEFT(A472,10),'Streetlight Tariff Schedule'!B$11:H$260,7, FALSE)+I472</f>
        <v>41.839032857840039</v>
      </c>
      <c r="M472" s="161">
        <f t="shared" si="79"/>
        <v>41.839032857840039</v>
      </c>
      <c r="N472" s="405">
        <f t="shared" si="80"/>
        <v>43.582407723758479</v>
      </c>
      <c r="O472" s="405">
        <v>53.421081334446839</v>
      </c>
      <c r="P472" s="406">
        <v>53.421081334446839</v>
      </c>
      <c r="Q472" s="406">
        <v>56.035448277444999</v>
      </c>
      <c r="R472" s="406">
        <v>56.035448277444999</v>
      </c>
      <c r="S472" s="405">
        <f t="shared" si="81"/>
        <v>45.715281173772134</v>
      </c>
      <c r="T472" s="406">
        <v>58.336890544351213</v>
      </c>
      <c r="U472" s="406">
        <v>58.550012191195421</v>
      </c>
      <c r="V472" s="405">
        <f t="shared" si="82"/>
        <v>47.766732529659514</v>
      </c>
      <c r="W472" s="406">
        <v>60.460511278256966</v>
      </c>
      <c r="X472" s="406">
        <v>61.22321361687797</v>
      </c>
      <c r="Y472" s="405">
        <f t="shared" si="83"/>
        <v>49.947604791163229</v>
      </c>
      <c r="Z472" s="406">
        <v>62.206949981428316</v>
      </c>
      <c r="AA472" s="406">
        <v>63.222196282413108</v>
      </c>
      <c r="AB472" s="442">
        <f t="shared" si="84"/>
        <v>51.031804537542143</v>
      </c>
      <c r="AC472" s="438">
        <f t="shared" si="85"/>
        <v>52.557607587182126</v>
      </c>
      <c r="AD472" s="410"/>
      <c r="AE472" s="411"/>
      <c r="AF472" s="411"/>
      <c r="AG472" s="411"/>
    </row>
    <row r="473" spans="1:33" x14ac:dyDescent="0.2">
      <c r="A473" s="36" t="s">
        <v>378</v>
      </c>
      <c r="B473" s="18" t="str">
        <f>VLOOKUP(LEFT(A473,7),'Tariff Schedule Lookup Table'!$A$8:$G$186,2,FALSE)</f>
        <v>Fluorescent 4x20</v>
      </c>
      <c r="C473" s="160">
        <f t="shared" si="76"/>
        <v>990</v>
      </c>
      <c r="D473" s="18">
        <f t="shared" si="77"/>
        <v>1</v>
      </c>
      <c r="E473" s="18" t="str">
        <f>VLOOKUP(C473,'Tariff Schedule Lookup Table'!I$7:L$286,2,FALSE)</f>
        <v>MERCURY VAPOUR 80W</v>
      </c>
      <c r="F473" s="18" t="str">
        <f>IF(E473 = "BULKHEADS ETC", "SHARED OR NO POLE", VLOOKUP(C473,'Tariff Schedule Lookup Table'!I$7:L$286,3,FALSE))</f>
        <v>STEEL POLE</v>
      </c>
      <c r="G473" s="18">
        <f>IF(E473 = "NO CAPITAL", 1, VLOOKUP(C473,'Tariff Schedule Lookup Table'!I$7:L$286,4,FALSE))</f>
        <v>1</v>
      </c>
      <c r="H473" s="18" t="str">
        <f t="shared" si="78"/>
        <v>1-Unmetered, CE Funded, CE Maintained</v>
      </c>
      <c r="I473" s="123">
        <f>VLOOKUP(F473,'Maintenance Model'!$A$57:$B$61,2,FALSE)</f>
        <v>9.9616182311111103</v>
      </c>
      <c r="J473" s="123">
        <f>IF(D473=1,VLOOKUP(C473,'Capital Code Schedules'!A$15:F$300,2,FALSE),IF(D473=2,VLOOKUP(C473,'Capital Code Schedules'!A$15:F$300,3,FALSE),0))</f>
        <v>86.253661186307269</v>
      </c>
      <c r="K473" s="123">
        <v>109.41024862221688</v>
      </c>
      <c r="L473" s="123">
        <f>VLOOKUP(LEFT(A473,10),'Streetlight Tariff Schedule'!B$11:H$260,7, FALSE)+I473</f>
        <v>51.800651088951149</v>
      </c>
      <c r="M473" s="161">
        <f t="shared" si="79"/>
        <v>161.21089971116803</v>
      </c>
      <c r="N473" s="405">
        <f t="shared" si="80"/>
        <v>142.34755216509924</v>
      </c>
      <c r="O473" s="405">
        <v>180.09689720325721</v>
      </c>
      <c r="P473" s="406">
        <v>175.13334884616276</v>
      </c>
      <c r="Q473" s="406">
        <v>180.99216514235019</v>
      </c>
      <c r="R473" s="406">
        <v>186.07856132128273</v>
      </c>
      <c r="S473" s="405">
        <f t="shared" si="81"/>
        <v>147.17586363174442</v>
      </c>
      <c r="T473" s="406">
        <v>186.55053668785109</v>
      </c>
      <c r="U473" s="406">
        <v>192.46414124893144</v>
      </c>
      <c r="V473" s="405">
        <f t="shared" si="82"/>
        <v>152.29717054360952</v>
      </c>
      <c r="W473" s="406">
        <v>191.96953017834934</v>
      </c>
      <c r="X473" s="406">
        <v>199.80065638248206</v>
      </c>
      <c r="Y473" s="405">
        <f t="shared" si="83"/>
        <v>158.15533342931198</v>
      </c>
      <c r="Z473" s="406">
        <v>197.01572301618071</v>
      </c>
      <c r="AA473" s="406">
        <v>205.79473483307345</v>
      </c>
      <c r="AB473" s="442">
        <f t="shared" si="84"/>
        <v>161.19282747201336</v>
      </c>
      <c r="AC473" s="438">
        <f t="shared" si="85"/>
        <v>165.93402517173814</v>
      </c>
      <c r="AD473" s="410"/>
      <c r="AE473" s="411"/>
      <c r="AF473" s="411"/>
      <c r="AG473" s="411"/>
    </row>
    <row r="474" spans="1:33" x14ac:dyDescent="0.2">
      <c r="A474" s="36" t="s">
        <v>379</v>
      </c>
      <c r="B474" s="18" t="str">
        <f>VLOOKUP(LEFT(A474,7),'Tariff Schedule Lookup Table'!$A$8:$G$186,2,FALSE)</f>
        <v>Fluorescent 26</v>
      </c>
      <c r="C474" s="160">
        <f t="shared" si="76"/>
        <v>10</v>
      </c>
      <c r="D474" s="18">
        <f t="shared" si="77"/>
        <v>1</v>
      </c>
      <c r="E474" s="18" t="str">
        <f>VLOOKUP(C474,'Tariff Schedule Lookup Table'!I$7:L$286,2,FALSE)</f>
        <v>MERCURY VAPOUR 80W</v>
      </c>
      <c r="F474" s="18" t="str">
        <f>IF(E474 = "BULKHEADS ETC", "SHARED OR NO POLE", VLOOKUP(C474,'Tariff Schedule Lookup Table'!I$7:L$286,3,FALSE))</f>
        <v>SHARED OR NO POLE</v>
      </c>
      <c r="G474" s="18">
        <f>IF(E474 = "NO CAPITAL", 1, VLOOKUP(C474,'Tariff Schedule Lookup Table'!I$7:L$286,4,FALSE))</f>
        <v>1</v>
      </c>
      <c r="H474" s="18" t="str">
        <f t="shared" si="78"/>
        <v>1-Unmetered, CE Funded, CE Maintained</v>
      </c>
      <c r="I474" s="123">
        <f>VLOOKUP(F474,'Maintenance Model'!$A$57:$B$61,2,FALSE)</f>
        <v>0</v>
      </c>
      <c r="J474" s="123">
        <f>IF(D474=1,VLOOKUP(C474,'Capital Code Schedules'!A$15:F$300,2,FALSE),IF(D474=2,VLOOKUP(C474,'Capital Code Schedules'!A$15:F$300,3,FALSE),0))</f>
        <v>17.255027166785979</v>
      </c>
      <c r="K474" s="123">
        <v>21.887497717034414</v>
      </c>
      <c r="L474" s="123">
        <f>VLOOKUP(LEFT(A474,10),'Streetlight Tariff Schedule'!B$11:H$260,7, FALSE)+I474</f>
        <v>26.876862542540042</v>
      </c>
      <c r="M474" s="161">
        <f t="shared" si="79"/>
        <v>48.76436025957446</v>
      </c>
      <c r="N474" s="405">
        <f t="shared" si="80"/>
        <v>45.678873470973464</v>
      </c>
      <c r="O474" s="405">
        <v>59.794310997077709</v>
      </c>
      <c r="P474" s="406">
        <v>58.801354169884874</v>
      </c>
      <c r="Q474" s="406">
        <v>61.136488392762168</v>
      </c>
      <c r="R474" s="406">
        <v>62.154020901428019</v>
      </c>
      <c r="S474" s="405">
        <f t="shared" si="81"/>
        <v>47.486635951453401</v>
      </c>
      <c r="T474" s="406">
        <v>63.272304815525345</v>
      </c>
      <c r="U474" s="406">
        <v>64.550133721563554</v>
      </c>
      <c r="V474" s="405">
        <f t="shared" si="82"/>
        <v>49.320874251978431</v>
      </c>
      <c r="W474" s="406">
        <v>65.30112946638431</v>
      </c>
      <c r="X474" s="406">
        <v>67.207055569777424</v>
      </c>
      <c r="Y474" s="405">
        <f t="shared" si="83"/>
        <v>51.353603756654991</v>
      </c>
      <c r="Z474" s="406">
        <v>67.087574730177138</v>
      </c>
      <c r="AA474" s="406">
        <v>69.295476880736459</v>
      </c>
      <c r="AB474" s="442">
        <f t="shared" si="84"/>
        <v>52.389194883634467</v>
      </c>
      <c r="AC474" s="438">
        <f t="shared" si="85"/>
        <v>53.939915426237064</v>
      </c>
      <c r="AD474" s="410"/>
      <c r="AE474" s="411"/>
      <c r="AF474" s="411"/>
      <c r="AG474" s="411"/>
    </row>
    <row r="475" spans="1:33" x14ac:dyDescent="0.2">
      <c r="A475" s="36" t="s">
        <v>380</v>
      </c>
      <c r="B475" s="18" t="str">
        <f>VLOOKUP(LEFT(A475,7),'Tariff Schedule Lookup Table'!$A$8:$G$186,2,FALSE)</f>
        <v>Fluorescent 26</v>
      </c>
      <c r="C475" s="160">
        <f t="shared" si="76"/>
        <v>10</v>
      </c>
      <c r="D475" s="18">
        <f t="shared" si="77"/>
        <v>2</v>
      </c>
      <c r="E475" s="18" t="str">
        <f>VLOOKUP(C475,'Tariff Schedule Lookup Table'!I$7:L$286,2,FALSE)</f>
        <v>MERCURY VAPOUR 80W</v>
      </c>
      <c r="F475" s="18" t="str">
        <f>IF(E475 = "BULKHEADS ETC", "SHARED OR NO POLE", VLOOKUP(C475,'Tariff Schedule Lookup Table'!I$7:L$286,3,FALSE))</f>
        <v>SHARED OR NO POLE</v>
      </c>
      <c r="G475" s="18">
        <f>IF(E475 = "NO CAPITAL", 1, VLOOKUP(C475,'Tariff Schedule Lookup Table'!I$7:L$286,4,FALSE))</f>
        <v>1</v>
      </c>
      <c r="H475" s="18" t="str">
        <f t="shared" si="78"/>
        <v>2-Unmetered, Funded by Others, CE Maintained</v>
      </c>
      <c r="I475" s="123">
        <f>VLOOKUP(F475,'Maintenance Model'!$A$57:$B$61,2,FALSE)</f>
        <v>0</v>
      </c>
      <c r="J475" s="123">
        <f>IF(D475=1,VLOOKUP(C475,'Capital Code Schedules'!A$15:F$300,2,FALSE),IF(D475=2,VLOOKUP(C475,'Capital Code Schedules'!A$15:F$300,3,FALSE),0))</f>
        <v>0</v>
      </c>
      <c r="K475" s="123">
        <v>0</v>
      </c>
      <c r="L475" s="123">
        <f>VLOOKUP(LEFT(A475,10),'Streetlight Tariff Schedule'!B$11:H$260,7, FALSE)+I475</f>
        <v>26.876862542540042</v>
      </c>
      <c r="M475" s="161">
        <f t="shared" si="79"/>
        <v>26.876862542540042</v>
      </c>
      <c r="N475" s="405">
        <f t="shared" si="80"/>
        <v>27.996784381809533</v>
      </c>
      <c r="O475" s="405">
        <v>36.372140884353854</v>
      </c>
      <c r="P475" s="406">
        <v>36.372140884353854</v>
      </c>
      <c r="Q475" s="406">
        <v>38.152152078414254</v>
      </c>
      <c r="R475" s="406">
        <v>38.152152078414254</v>
      </c>
      <c r="S475" s="405">
        <f t="shared" si="81"/>
        <v>29.36691515733267</v>
      </c>
      <c r="T475" s="406">
        <v>39.719106177397329</v>
      </c>
      <c r="U475" s="406">
        <v>39.864211637093902</v>
      </c>
      <c r="V475" s="405">
        <f t="shared" si="82"/>
        <v>30.684741415225258</v>
      </c>
      <c r="W475" s="406">
        <v>41.164989161962623</v>
      </c>
      <c r="X475" s="406">
        <v>41.684280726644246</v>
      </c>
      <c r="Y475" s="405">
        <f t="shared" si="83"/>
        <v>32.085706016735884</v>
      </c>
      <c r="Z475" s="406">
        <v>42.354064953221013</v>
      </c>
      <c r="AA475" s="406">
        <v>43.045302954573991</v>
      </c>
      <c r="AB475" s="442">
        <f t="shared" si="84"/>
        <v>32.782182143492783</v>
      </c>
      <c r="AC475" s="438">
        <f t="shared" si="85"/>
        <v>33.762338615357251</v>
      </c>
      <c r="AD475" s="410"/>
      <c r="AE475" s="411"/>
      <c r="AF475" s="411"/>
      <c r="AG475" s="411"/>
    </row>
    <row r="476" spans="1:33" x14ac:dyDescent="0.2">
      <c r="A476" s="36" t="s">
        <v>381</v>
      </c>
      <c r="B476" s="18" t="str">
        <f>VLOOKUP(LEFT(A476,7),'Tariff Schedule Lookup Table'!$A$8:$G$186,2,FALSE)</f>
        <v>Fluorescent 2x26</v>
      </c>
      <c r="C476" s="160">
        <f t="shared" si="76"/>
        <v>10</v>
      </c>
      <c r="D476" s="18">
        <f t="shared" si="77"/>
        <v>2</v>
      </c>
      <c r="E476" s="18" t="str">
        <f>VLOOKUP(C476,'Tariff Schedule Lookup Table'!I$7:L$286,2,FALSE)</f>
        <v>MERCURY VAPOUR 80W</v>
      </c>
      <c r="F476" s="18" t="str">
        <f>IF(E476 = "BULKHEADS ETC", "SHARED OR NO POLE", VLOOKUP(C476,'Tariff Schedule Lookup Table'!I$7:L$286,3,FALSE))</f>
        <v>SHARED OR NO POLE</v>
      </c>
      <c r="G476" s="18">
        <f>IF(E476 = "NO CAPITAL", 1, VLOOKUP(C476,'Tariff Schedule Lookup Table'!I$7:L$286,4,FALSE))</f>
        <v>1</v>
      </c>
      <c r="H476" s="18" t="str">
        <f t="shared" si="78"/>
        <v>2-Unmetered, Funded by Others, CE Maintained</v>
      </c>
      <c r="I476" s="123">
        <f>VLOOKUP(F476,'Maintenance Model'!$A$57:$B$61,2,FALSE)</f>
        <v>0</v>
      </c>
      <c r="J476" s="123">
        <f>IF(D476=1,VLOOKUP(C476,'Capital Code Schedules'!A$15:F$300,2,FALSE),IF(D476=2,VLOOKUP(C476,'Capital Code Schedules'!A$15:F$300,3,FALSE),0))</f>
        <v>0</v>
      </c>
      <c r="K476" s="123">
        <v>0</v>
      </c>
      <c r="L476" s="123">
        <f>VLOOKUP(LEFT(A476,10),'Streetlight Tariff Schedule'!B$11:H$260,7, FALSE)+I476</f>
        <v>31.86425264764004</v>
      </c>
      <c r="M476" s="161">
        <f t="shared" si="79"/>
        <v>31.86425264764004</v>
      </c>
      <c r="N476" s="405">
        <f t="shared" si="80"/>
        <v>33.191992162459179</v>
      </c>
      <c r="O476" s="405">
        <v>42.055121034384847</v>
      </c>
      <c r="P476" s="406">
        <v>42.055121034384847</v>
      </c>
      <c r="Q476" s="406">
        <v>44.1132508114245</v>
      </c>
      <c r="R476" s="406">
        <v>44.1132508114245</v>
      </c>
      <c r="S476" s="405">
        <f t="shared" si="81"/>
        <v>34.816370496145822</v>
      </c>
      <c r="T476" s="406">
        <v>45.925034299715279</v>
      </c>
      <c r="U476" s="406">
        <v>46.092811821794406</v>
      </c>
      <c r="V476" s="405">
        <f t="shared" si="82"/>
        <v>36.378738453370005</v>
      </c>
      <c r="W476" s="406">
        <v>47.596829867394064</v>
      </c>
      <c r="X476" s="406">
        <v>48.197258356722145</v>
      </c>
      <c r="Y476" s="405">
        <f t="shared" si="83"/>
        <v>38.039672274878335</v>
      </c>
      <c r="Z476" s="406">
        <v>48.971693295956776</v>
      </c>
      <c r="AA476" s="406">
        <v>49.770934063853694</v>
      </c>
      <c r="AB476" s="442">
        <f t="shared" si="84"/>
        <v>38.865389608175903</v>
      </c>
      <c r="AC476" s="438">
        <f t="shared" si="85"/>
        <v>40.027428272632214</v>
      </c>
      <c r="AD476" s="410"/>
      <c r="AE476" s="411"/>
      <c r="AF476" s="411"/>
      <c r="AG476" s="411"/>
    </row>
    <row r="477" spans="1:33" x14ac:dyDescent="0.2">
      <c r="A477" s="36" t="s">
        <v>382</v>
      </c>
      <c r="B477" s="18" t="str">
        <f>VLOOKUP(LEFT(A477,7),'Tariff Schedule Lookup Table'!$A$8:$G$186,2,FALSE)</f>
        <v>Fluorescent 40</v>
      </c>
      <c r="C477" s="160">
        <f t="shared" si="76"/>
        <v>10</v>
      </c>
      <c r="D477" s="18">
        <f t="shared" si="77"/>
        <v>1</v>
      </c>
      <c r="E477" s="18" t="str">
        <f>VLOOKUP(C477,'Tariff Schedule Lookup Table'!I$7:L$286,2,FALSE)</f>
        <v>MERCURY VAPOUR 80W</v>
      </c>
      <c r="F477" s="18" t="str">
        <f>IF(E477 = "BULKHEADS ETC", "SHARED OR NO POLE", VLOOKUP(C477,'Tariff Schedule Lookup Table'!I$7:L$286,3,FALSE))</f>
        <v>SHARED OR NO POLE</v>
      </c>
      <c r="G477" s="18">
        <f>IF(E477 = "NO CAPITAL", 1, VLOOKUP(C477,'Tariff Schedule Lookup Table'!I$7:L$286,4,FALSE))</f>
        <v>1</v>
      </c>
      <c r="H477" s="18" t="str">
        <f t="shared" si="78"/>
        <v>1-Unmetered, CE Funded, CE Maintained</v>
      </c>
      <c r="I477" s="123">
        <f>VLOOKUP(F477,'Maintenance Model'!$A$57:$B$61,2,FALSE)</f>
        <v>0</v>
      </c>
      <c r="J477" s="123">
        <f>IF(D477=1,VLOOKUP(C477,'Capital Code Schedules'!A$15:F$300,2,FALSE),IF(D477=2,VLOOKUP(C477,'Capital Code Schedules'!A$15:F$300,3,FALSE),0))</f>
        <v>17.255027166785979</v>
      </c>
      <c r="K477" s="123">
        <v>21.887497717034414</v>
      </c>
      <c r="L477" s="123">
        <f>VLOOKUP(LEFT(A477,10),'Streetlight Tariff Schedule'!B$11:H$260,7, FALSE)+I477</f>
        <v>25.940433004400706</v>
      </c>
      <c r="M477" s="161">
        <f t="shared" si="79"/>
        <v>47.827930721435123</v>
      </c>
      <c r="N477" s="405">
        <f t="shared" si="80"/>
        <v>44.703424203911553</v>
      </c>
      <c r="O477" s="405">
        <v>58.590464816601475</v>
      </c>
      <c r="P477" s="406">
        <v>57.597507989408641</v>
      </c>
      <c r="Q477" s="406">
        <v>59.873727349837019</v>
      </c>
      <c r="R477" s="406">
        <v>60.89125985850287</v>
      </c>
      <c r="S477" s="405">
        <f t="shared" si="81"/>
        <v>46.46344930703642</v>
      </c>
      <c r="T477" s="406">
        <v>61.957680680102008</v>
      </c>
      <c r="U477" s="406">
        <v>63.230706881400415</v>
      </c>
      <c r="V477" s="405">
        <f t="shared" si="82"/>
        <v>48.251772596757156</v>
      </c>
      <c r="W477" s="406">
        <v>63.938649453741121</v>
      </c>
      <c r="X477" s="406">
        <v>65.827388029771384</v>
      </c>
      <c r="Y477" s="405">
        <f t="shared" si="83"/>
        <v>50.235690428097001</v>
      </c>
      <c r="Z477" s="406">
        <v>65.685738652292841</v>
      </c>
      <c r="AA477" s="406">
        <v>67.870762187310277</v>
      </c>
      <c r="AB477" s="442">
        <f t="shared" si="84"/>
        <v>51.247015299419893</v>
      </c>
      <c r="AC477" s="438">
        <f t="shared" si="85"/>
        <v>52.763585744673911</v>
      </c>
      <c r="AD477" s="410"/>
      <c r="AE477" s="411"/>
      <c r="AF477" s="411"/>
      <c r="AG477" s="411"/>
    </row>
    <row r="478" spans="1:33" x14ac:dyDescent="0.2">
      <c r="A478" s="36" t="s">
        <v>383</v>
      </c>
      <c r="B478" s="18" t="str">
        <f>VLOOKUP(LEFT(A478,7),'Tariff Schedule Lookup Table'!$A$8:$G$186,2,FALSE)</f>
        <v>Fluorescent 40</v>
      </c>
      <c r="C478" s="160">
        <f t="shared" si="76"/>
        <v>10</v>
      </c>
      <c r="D478" s="18">
        <f t="shared" si="77"/>
        <v>2</v>
      </c>
      <c r="E478" s="18" t="str">
        <f>VLOOKUP(C478,'Tariff Schedule Lookup Table'!I$7:L$286,2,FALSE)</f>
        <v>MERCURY VAPOUR 80W</v>
      </c>
      <c r="F478" s="18" t="str">
        <f>IF(E478 = "BULKHEADS ETC", "SHARED OR NO POLE", VLOOKUP(C478,'Tariff Schedule Lookup Table'!I$7:L$286,3,FALSE))</f>
        <v>SHARED OR NO POLE</v>
      </c>
      <c r="G478" s="18">
        <f>IF(E478 = "NO CAPITAL", 1, VLOOKUP(C478,'Tariff Schedule Lookup Table'!I$7:L$286,4,FALSE))</f>
        <v>1</v>
      </c>
      <c r="H478" s="18" t="str">
        <f t="shared" si="78"/>
        <v>2-Unmetered, Funded by Others, CE Maintained</v>
      </c>
      <c r="I478" s="123">
        <f>VLOOKUP(F478,'Maintenance Model'!$A$57:$B$61,2,FALSE)</f>
        <v>0</v>
      </c>
      <c r="J478" s="123">
        <f>IF(D478=1,VLOOKUP(C478,'Capital Code Schedules'!A$15:F$300,2,FALSE),IF(D478=2,VLOOKUP(C478,'Capital Code Schedules'!A$15:F$300,3,FALSE),0))</f>
        <v>0</v>
      </c>
      <c r="K478" s="123">
        <v>0</v>
      </c>
      <c r="L478" s="123">
        <f>VLOOKUP(LEFT(A478,10),'Streetlight Tariff Schedule'!B$11:H$260,7, FALSE)+I478</f>
        <v>25.940433004400706</v>
      </c>
      <c r="M478" s="161">
        <f t="shared" si="79"/>
        <v>25.940433004400706</v>
      </c>
      <c r="N478" s="405">
        <f t="shared" si="80"/>
        <v>27.021335114747622</v>
      </c>
      <c r="O478" s="405">
        <v>35.168294703877628</v>
      </c>
      <c r="P478" s="406">
        <v>35.168294703877628</v>
      </c>
      <c r="Q478" s="406">
        <v>36.889391035489098</v>
      </c>
      <c r="R478" s="406">
        <v>36.889391035489098</v>
      </c>
      <c r="S478" s="405">
        <f t="shared" si="81"/>
        <v>28.343728512915682</v>
      </c>
      <c r="T478" s="406">
        <v>38.404482041973985</v>
      </c>
      <c r="U478" s="406">
        <v>38.544784796930763</v>
      </c>
      <c r="V478" s="405">
        <f t="shared" si="82"/>
        <v>29.61563976000398</v>
      </c>
      <c r="W478" s="406">
        <v>39.802509149319427</v>
      </c>
      <c r="X478" s="406">
        <v>40.3046131866382</v>
      </c>
      <c r="Y478" s="405">
        <f t="shared" si="83"/>
        <v>30.967792688177894</v>
      </c>
      <c r="Z478" s="406">
        <v>40.952228875336722</v>
      </c>
      <c r="AA478" s="406">
        <v>41.620588261147809</v>
      </c>
      <c r="AB478" s="442">
        <f t="shared" si="84"/>
        <v>31.640002559278212</v>
      </c>
      <c r="AC478" s="438">
        <f t="shared" si="85"/>
        <v>32.586008933794091</v>
      </c>
      <c r="AD478" s="410"/>
      <c r="AE478" s="411"/>
      <c r="AF478" s="411"/>
      <c r="AG478" s="411"/>
    </row>
    <row r="479" spans="1:33" x14ac:dyDescent="0.2">
      <c r="A479" s="36" t="s">
        <v>384</v>
      </c>
      <c r="B479" s="18" t="str">
        <f>VLOOKUP(LEFT(A479,7),'Tariff Schedule Lookup Table'!$A$8:$G$186,2,FALSE)</f>
        <v>Fluorescent 40</v>
      </c>
      <c r="C479" s="160">
        <f t="shared" si="76"/>
        <v>110</v>
      </c>
      <c r="D479" s="18">
        <f t="shared" si="77"/>
        <v>1</v>
      </c>
      <c r="E479" s="18" t="str">
        <f>VLOOKUP(C479,'Tariff Schedule Lookup Table'!I$7:L$286,2,FALSE)</f>
        <v>BULKHEADS ETC</v>
      </c>
      <c r="F479" s="18" t="str">
        <f>IF(E479 = "BULKHEADS ETC", "SHARED OR NO POLE", VLOOKUP(C479,'Tariff Schedule Lookup Table'!I$7:L$286,3,FALSE))</f>
        <v>SHARED OR NO POLE</v>
      </c>
      <c r="G479" s="18">
        <f>IF(E479 = "NO CAPITAL", 1, VLOOKUP(C479,'Tariff Schedule Lookup Table'!I$7:L$286,4,FALSE))</f>
        <v>1</v>
      </c>
      <c r="H479" s="18" t="str">
        <f t="shared" si="78"/>
        <v>1-Unmetered, CE Funded, CE Maintained</v>
      </c>
      <c r="I479" s="123">
        <f>VLOOKUP(F479,'Maintenance Model'!$A$57:$B$61,2,FALSE)</f>
        <v>0</v>
      </c>
      <c r="J479" s="123">
        <f>IF(D479=1,VLOOKUP(C479,'Capital Code Schedules'!A$15:F$300,2,FALSE),IF(D479=2,VLOOKUP(C479,'Capital Code Schedules'!A$15:F$300,3,FALSE),0))</f>
        <v>8.1913367400317085</v>
      </c>
      <c r="K479" s="123">
        <v>10.390471279118792</v>
      </c>
      <c r="L479" s="123">
        <f>VLOOKUP(LEFT(A479,10),'Streetlight Tariff Schedule'!B$11:H$260,7, FALSE)+I479</f>
        <v>25.940433004400706</v>
      </c>
      <c r="M479" s="161">
        <f t="shared" si="79"/>
        <v>36.330904283519502</v>
      </c>
      <c r="N479" s="405">
        <f t="shared" si="80"/>
        <v>35.415407439095119</v>
      </c>
      <c r="O479" s="405">
        <v>46.287308352545459</v>
      </c>
      <c r="P479" s="406">
        <v>45.81593014715461</v>
      </c>
      <c r="Q479" s="406">
        <v>47.800555455987194</v>
      </c>
      <c r="R479" s="406">
        <v>48.283600271961461</v>
      </c>
      <c r="S479" s="405">
        <f t="shared" si="81"/>
        <v>36.945554127290784</v>
      </c>
      <c r="T479" s="406">
        <v>49.585697781879404</v>
      </c>
      <c r="U479" s="406">
        <v>50.263728996642584</v>
      </c>
      <c r="V479" s="405">
        <f t="shared" si="82"/>
        <v>38.462617404388766</v>
      </c>
      <c r="W479" s="406">
        <v>51.260459978787502</v>
      </c>
      <c r="X479" s="406">
        <v>52.420829594720253</v>
      </c>
      <c r="Y479" s="405">
        <f t="shared" si="83"/>
        <v>40.11468287470732</v>
      </c>
      <c r="Z479" s="406">
        <v>52.693763987834132</v>
      </c>
      <c r="AA479" s="406">
        <v>54.082116836860202</v>
      </c>
      <c r="AB479" s="442">
        <f t="shared" si="84"/>
        <v>40.947878013090559</v>
      </c>
      <c r="AC479" s="438">
        <f t="shared" si="85"/>
        <v>42.164743563312385</v>
      </c>
      <c r="AD479" s="410"/>
      <c r="AE479" s="411"/>
      <c r="AF479" s="411"/>
      <c r="AG479" s="411"/>
    </row>
    <row r="480" spans="1:33" s="373" customFormat="1" x14ac:dyDescent="0.2">
      <c r="A480" s="369" t="s">
        <v>385</v>
      </c>
      <c r="B480" s="370" t="str">
        <f>VLOOKUP(LEFT(A480,7),'Tariff Schedule Lookup Table'!$A$8:$G$186,2,FALSE)</f>
        <v>Fluorescent 40</v>
      </c>
      <c r="C480" s="371">
        <f t="shared" si="76"/>
        <v>110</v>
      </c>
      <c r="D480" s="370">
        <f t="shared" si="77"/>
        <v>2</v>
      </c>
      <c r="E480" s="370" t="str">
        <f>VLOOKUP(C480,'Tariff Schedule Lookup Table'!I$7:L$286,2,FALSE)</f>
        <v>BULKHEADS ETC</v>
      </c>
      <c r="F480" s="370" t="str">
        <f>IF(E480 = "BULKHEADS ETC", "SHARED OR NO POLE", VLOOKUP(C480,'Tariff Schedule Lookup Table'!I$7:L$286,3,FALSE))</f>
        <v>SHARED OR NO POLE</v>
      </c>
      <c r="G480" s="370">
        <f>IF(E480 = "NO CAPITAL", 1, VLOOKUP(C480,'Tariff Schedule Lookup Table'!I$7:L$286,4,FALSE))</f>
        <v>1</v>
      </c>
      <c r="H480" s="370" t="str">
        <f t="shared" si="78"/>
        <v>2-Unmetered, Funded by Others, CE Maintained</v>
      </c>
      <c r="I480" s="372">
        <f>VLOOKUP(F480,'Maintenance Model'!$A$57:$B$61,2,FALSE)</f>
        <v>0</v>
      </c>
      <c r="J480" s="372">
        <f>IF(D480=1,VLOOKUP(C480,'Capital Code Schedules'!A$15:F$300,2,FALSE),IF(D480=2,VLOOKUP(C480,'Capital Code Schedules'!A$15:F$300,3,FALSE),0))</f>
        <v>0</v>
      </c>
      <c r="K480" s="123">
        <v>0</v>
      </c>
      <c r="L480" s="372">
        <f>VLOOKUP(LEFT(A480,10),'Streetlight Tariff Schedule'!B$11:H$260,7, FALSE)+I480</f>
        <v>25.940433004400706</v>
      </c>
      <c r="M480" s="161">
        <f t="shared" si="79"/>
        <v>25.940433004400706</v>
      </c>
      <c r="N480" s="405">
        <f t="shared" si="80"/>
        <v>27.021335114747622</v>
      </c>
      <c r="O480" s="405">
        <v>35.168294703877628</v>
      </c>
      <c r="P480" s="406">
        <v>35.168294703877628</v>
      </c>
      <c r="Q480" s="406">
        <v>36.889391035489098</v>
      </c>
      <c r="R480" s="406">
        <v>36.889391035489098</v>
      </c>
      <c r="S480" s="405">
        <f t="shared" si="81"/>
        <v>28.343728512915682</v>
      </c>
      <c r="T480" s="406">
        <v>38.404482041973985</v>
      </c>
      <c r="U480" s="406">
        <v>38.544784796930763</v>
      </c>
      <c r="V480" s="405">
        <f t="shared" si="82"/>
        <v>29.61563976000398</v>
      </c>
      <c r="W480" s="406">
        <v>39.802509149319427</v>
      </c>
      <c r="X480" s="406">
        <v>40.3046131866382</v>
      </c>
      <c r="Y480" s="405">
        <f t="shared" si="83"/>
        <v>30.967792688177894</v>
      </c>
      <c r="Z480" s="406">
        <v>40.952228875336722</v>
      </c>
      <c r="AA480" s="406">
        <v>41.620588261147809</v>
      </c>
      <c r="AB480" s="442">
        <f t="shared" si="84"/>
        <v>31.640002559278212</v>
      </c>
      <c r="AC480" s="438">
        <f t="shared" si="85"/>
        <v>32.586008933794091</v>
      </c>
      <c r="AD480" s="410"/>
      <c r="AE480" s="411"/>
      <c r="AF480" s="411"/>
      <c r="AG480" s="411"/>
    </row>
    <row r="481" spans="1:33" x14ac:dyDescent="0.2">
      <c r="A481" s="36" t="s">
        <v>386</v>
      </c>
      <c r="B481" s="18" t="str">
        <f>VLOOKUP(LEFT(A481,7),'Tariff Schedule Lookup Table'!$A$8:$G$186,2,FALSE)</f>
        <v>Fluorescent 40</v>
      </c>
      <c r="C481" s="160">
        <f t="shared" si="76"/>
        <v>740</v>
      </c>
      <c r="D481" s="18">
        <f t="shared" si="77"/>
        <v>1</v>
      </c>
      <c r="E481" s="18" t="str">
        <f>VLOOKUP(C481,'Tariff Schedule Lookup Table'!I$7:L$286,2,FALSE)</f>
        <v>MERCURY VAPOUR 80W</v>
      </c>
      <c r="F481" s="18" t="str">
        <f>IF(E481 = "BULKHEADS ETC", "SHARED OR NO POLE", VLOOKUP(C481,'Tariff Schedule Lookup Table'!I$7:L$286,3,FALSE))</f>
        <v>SHARED OR NO POLE</v>
      </c>
      <c r="G481" s="18">
        <f>IF(E481 = "NO CAPITAL", 1, VLOOKUP(C481,'Tariff Schedule Lookup Table'!I$7:L$286,4,FALSE))</f>
        <v>2</v>
      </c>
      <c r="H481" s="18" t="str">
        <f t="shared" si="78"/>
        <v>1-Unmetered, CE Funded, CE Maintained</v>
      </c>
      <c r="I481" s="123">
        <f>VLOOKUP(F481,'Maintenance Model'!$A$57:$B$61,2,FALSE)</f>
        <v>0</v>
      </c>
      <c r="J481" s="123">
        <f>IF(D481=1,VLOOKUP(C481,'Capital Code Schedules'!A$15:F$300,2,FALSE),IF(D481=2,VLOOKUP(C481,'Capital Code Schedules'!A$15:F$300,3,FALSE),0))</f>
        <v>23.919781035330548</v>
      </c>
      <c r="K481" s="123">
        <v>30.34154323503618</v>
      </c>
      <c r="L481" s="123">
        <f>VLOOKUP(LEFT(A481,10),'Streetlight Tariff Schedule'!B$11:H$260,7, FALSE)+I481</f>
        <v>25.940433004400706</v>
      </c>
      <c r="M481" s="161">
        <f t="shared" si="79"/>
        <v>56.281976239436887</v>
      </c>
      <c r="N481" s="405">
        <f t="shared" si="80"/>
        <v>51.533130730702602</v>
      </c>
      <c r="O481" s="405">
        <v>67.637277514118765</v>
      </c>
      <c r="P481" s="406">
        <v>66.260791133980945</v>
      </c>
      <c r="Q481" s="406">
        <v>68.751426752237492</v>
      </c>
      <c r="R481" s="406">
        <v>70.161981170283724</v>
      </c>
      <c r="S481" s="405">
        <f t="shared" si="81"/>
        <v>53.462191070365549</v>
      </c>
      <c r="T481" s="406">
        <v>71.0551031427119</v>
      </c>
      <c r="U481" s="406">
        <v>72.765643750567023</v>
      </c>
      <c r="V481" s="405">
        <f t="shared" si="82"/>
        <v>55.449978500341167</v>
      </c>
      <c r="W481" s="406">
        <v>73.261233122300595</v>
      </c>
      <c r="X481" s="406">
        <v>75.685559258802726</v>
      </c>
      <c r="Y481" s="405">
        <f t="shared" si="83"/>
        <v>57.677915511812508</v>
      </c>
      <c r="Z481" s="406">
        <v>75.239056266649172</v>
      </c>
      <c r="AA481" s="406">
        <v>78.00989129636902</v>
      </c>
      <c r="AB481" s="442">
        <f t="shared" si="84"/>
        <v>58.820223544608794</v>
      </c>
      <c r="AC481" s="438">
        <f t="shared" si="85"/>
        <v>60.557174349797805</v>
      </c>
      <c r="AD481" s="410"/>
      <c r="AE481" s="411"/>
      <c r="AF481" s="411"/>
      <c r="AG481" s="411"/>
    </row>
    <row r="482" spans="1:33" x14ac:dyDescent="0.2">
      <c r="A482" s="36" t="s">
        <v>387</v>
      </c>
      <c r="B482" s="18" t="str">
        <f>VLOOKUP(LEFT(A482,7),'Tariff Schedule Lookup Table'!$A$8:$G$186,2,FALSE)</f>
        <v>Fluorescent 40</v>
      </c>
      <c r="C482" s="160">
        <f t="shared" si="76"/>
        <v>740</v>
      </c>
      <c r="D482" s="18">
        <f t="shared" si="77"/>
        <v>2</v>
      </c>
      <c r="E482" s="18" t="str">
        <f>VLOOKUP(C482,'Tariff Schedule Lookup Table'!I$7:L$286,2,FALSE)</f>
        <v>MERCURY VAPOUR 80W</v>
      </c>
      <c r="F482" s="18" t="str">
        <f>IF(E482 = "BULKHEADS ETC", "SHARED OR NO POLE", VLOOKUP(C482,'Tariff Schedule Lookup Table'!I$7:L$286,3,FALSE))</f>
        <v>SHARED OR NO POLE</v>
      </c>
      <c r="G482" s="18">
        <f>IF(E482 = "NO CAPITAL", 1, VLOOKUP(C482,'Tariff Schedule Lookup Table'!I$7:L$286,4,FALSE))</f>
        <v>2</v>
      </c>
      <c r="H482" s="18" t="str">
        <f t="shared" si="78"/>
        <v>2-Unmetered, Funded by Others, CE Maintained</v>
      </c>
      <c r="I482" s="123">
        <f>VLOOKUP(F482,'Maintenance Model'!$A$57:$B$61,2,FALSE)</f>
        <v>0</v>
      </c>
      <c r="J482" s="123">
        <f>IF(D482=1,VLOOKUP(C482,'Capital Code Schedules'!A$15:F$300,2,FALSE),IF(D482=2,VLOOKUP(C482,'Capital Code Schedules'!A$15:F$300,3,FALSE),0))</f>
        <v>0</v>
      </c>
      <c r="K482" s="123">
        <v>0</v>
      </c>
      <c r="L482" s="123">
        <f>VLOOKUP(LEFT(A482,10),'Streetlight Tariff Schedule'!B$11:H$260,7, FALSE)+I482</f>
        <v>25.940433004400706</v>
      </c>
      <c r="M482" s="161">
        <f t="shared" si="79"/>
        <v>25.940433004400706</v>
      </c>
      <c r="N482" s="405">
        <f t="shared" si="80"/>
        <v>27.021335114747622</v>
      </c>
      <c r="O482" s="405">
        <v>35.168294703877628</v>
      </c>
      <c r="P482" s="406">
        <v>35.168294703877628</v>
      </c>
      <c r="Q482" s="406">
        <v>36.889391035489098</v>
      </c>
      <c r="R482" s="406">
        <v>36.889391035489098</v>
      </c>
      <c r="S482" s="405">
        <f t="shared" si="81"/>
        <v>28.343728512915682</v>
      </c>
      <c r="T482" s="406">
        <v>38.404482041973985</v>
      </c>
      <c r="U482" s="406">
        <v>38.544784796930763</v>
      </c>
      <c r="V482" s="405">
        <f t="shared" si="82"/>
        <v>29.61563976000398</v>
      </c>
      <c r="W482" s="406">
        <v>39.802509149319427</v>
      </c>
      <c r="X482" s="406">
        <v>40.3046131866382</v>
      </c>
      <c r="Y482" s="405">
        <f t="shared" si="83"/>
        <v>30.967792688177894</v>
      </c>
      <c r="Z482" s="406">
        <v>40.952228875336722</v>
      </c>
      <c r="AA482" s="406">
        <v>41.620588261147809</v>
      </c>
      <c r="AB482" s="442">
        <f t="shared" si="84"/>
        <v>31.640002559278212</v>
      </c>
      <c r="AC482" s="438">
        <f t="shared" si="85"/>
        <v>32.586008933794091</v>
      </c>
      <c r="AD482" s="410"/>
      <c r="AE482" s="411"/>
      <c r="AF482" s="411"/>
      <c r="AG482" s="411"/>
    </row>
    <row r="483" spans="1:33" x14ac:dyDescent="0.2">
      <c r="A483" s="36" t="s">
        <v>388</v>
      </c>
      <c r="B483" s="18" t="str">
        <f>VLOOKUP(LEFT(A483,7),'Tariff Schedule Lookup Table'!$A$8:$G$186,2,FALSE)</f>
        <v>Fluorescent 40</v>
      </c>
      <c r="C483" s="160">
        <f t="shared" si="76"/>
        <v>810</v>
      </c>
      <c r="D483" s="18">
        <f t="shared" si="77"/>
        <v>1</v>
      </c>
      <c r="E483" s="18" t="str">
        <f>VLOOKUP(C483,'Tariff Schedule Lookup Table'!I$7:L$286,2,FALSE)</f>
        <v>MERCURY VAPOUR 80W</v>
      </c>
      <c r="F483" s="18" t="str">
        <f>IF(E483 = "BULKHEADS ETC", "SHARED OR NO POLE", VLOOKUP(C483,'Tariff Schedule Lookup Table'!I$7:L$286,3,FALSE))</f>
        <v>WOOD POLE</v>
      </c>
      <c r="G483" s="18">
        <f>IF(E483 = "NO CAPITAL", 1, VLOOKUP(C483,'Tariff Schedule Lookup Table'!I$7:L$286,4,FALSE))</f>
        <v>1</v>
      </c>
      <c r="H483" s="18" t="str">
        <f t="shared" si="78"/>
        <v>1-Unmetered, CE Funded, CE Maintained</v>
      </c>
      <c r="I483" s="123">
        <f>VLOOKUP(F483,'Maintenance Model'!$A$57:$B$61,2,FALSE)</f>
        <v>10.731618231111112</v>
      </c>
      <c r="J483" s="123">
        <f>IF(D483=1,VLOOKUP(C483,'Capital Code Schedules'!A$15:F$300,2,FALSE),IF(D483=2,VLOOKUP(C483,'Capital Code Schedules'!A$15:F$300,3,FALSE),0))</f>
        <v>51.156145528662286</v>
      </c>
      <c r="K483" s="123">
        <v>64.890075665956445</v>
      </c>
      <c r="L483" s="123">
        <f>VLOOKUP(LEFT(A483,10),'Streetlight Tariff Schedule'!B$11:H$260,7, FALSE)+I483</f>
        <v>36.672051235511816</v>
      </c>
      <c r="M483" s="161">
        <f t="shared" si="79"/>
        <v>101.56212690146826</v>
      </c>
      <c r="N483" s="405">
        <f t="shared" si="80"/>
        <v>90.622385225241686</v>
      </c>
      <c r="O483" s="405">
        <v>115.00442850423762</v>
      </c>
      <c r="P483" s="406">
        <v>112.06059981799066</v>
      </c>
      <c r="Q483" s="406">
        <v>115.9362529531769</v>
      </c>
      <c r="R483" s="406">
        <v>118.95294139940847</v>
      </c>
      <c r="S483" s="405">
        <f t="shared" si="81"/>
        <v>93.789306825078967</v>
      </c>
      <c r="T483" s="406">
        <v>119.58573596084858</v>
      </c>
      <c r="U483" s="406">
        <v>123.125710144645</v>
      </c>
      <c r="V483" s="405">
        <f t="shared" si="82"/>
        <v>97.118422516263692</v>
      </c>
      <c r="W483" s="406">
        <v>123.12529063829359</v>
      </c>
      <c r="X483" s="406">
        <v>127.88679188066175</v>
      </c>
      <c r="Y483" s="405">
        <f t="shared" si="83"/>
        <v>100.9029637996116</v>
      </c>
      <c r="Z483" s="406">
        <v>126.38590933635686</v>
      </c>
      <c r="AA483" s="406">
        <v>131.74831318662814</v>
      </c>
      <c r="AB483" s="442">
        <f t="shared" si="84"/>
        <v>102.85864599078741</v>
      </c>
      <c r="AC483" s="438">
        <f t="shared" si="85"/>
        <v>105.88757423623423</v>
      </c>
      <c r="AD483" s="410"/>
      <c r="AE483" s="411"/>
      <c r="AF483" s="411"/>
      <c r="AG483" s="411"/>
    </row>
    <row r="484" spans="1:33" x14ac:dyDescent="0.2">
      <c r="A484" s="36" t="s">
        <v>389</v>
      </c>
      <c r="B484" s="18" t="str">
        <f>VLOOKUP(LEFT(A484,7),'Tariff Schedule Lookup Table'!$A$8:$G$186,2,FALSE)</f>
        <v>Fluorescent 40</v>
      </c>
      <c r="C484" s="160">
        <f t="shared" si="76"/>
        <v>810</v>
      </c>
      <c r="D484" s="18">
        <f t="shared" si="77"/>
        <v>2</v>
      </c>
      <c r="E484" s="18" t="str">
        <f>VLOOKUP(C484,'Tariff Schedule Lookup Table'!I$7:L$286,2,FALSE)</f>
        <v>MERCURY VAPOUR 80W</v>
      </c>
      <c r="F484" s="18" t="str">
        <f>IF(E484 = "BULKHEADS ETC", "SHARED OR NO POLE", VLOOKUP(C484,'Tariff Schedule Lookup Table'!I$7:L$286,3,FALSE))</f>
        <v>WOOD POLE</v>
      </c>
      <c r="G484" s="18">
        <f>IF(E484 = "NO CAPITAL", 1, VLOOKUP(C484,'Tariff Schedule Lookup Table'!I$7:L$286,4,FALSE))</f>
        <v>1</v>
      </c>
      <c r="H484" s="18" t="str">
        <f t="shared" si="78"/>
        <v>2-Unmetered, Funded by Others, CE Maintained</v>
      </c>
      <c r="I484" s="123">
        <f>VLOOKUP(F484,'Maintenance Model'!$A$57:$B$61,2,FALSE)</f>
        <v>10.731618231111112</v>
      </c>
      <c r="J484" s="123">
        <f>IF(D484=1,VLOOKUP(C484,'Capital Code Schedules'!A$15:F$300,2,FALSE),IF(D484=2,VLOOKUP(C484,'Capital Code Schedules'!A$15:F$300,3,FALSE),0))</f>
        <v>0</v>
      </c>
      <c r="K484" s="123">
        <v>0</v>
      </c>
      <c r="L484" s="123">
        <f>VLOOKUP(LEFT(A484,10),'Streetlight Tariff Schedule'!B$11:H$260,7, FALSE)+I484</f>
        <v>36.672051235511816</v>
      </c>
      <c r="M484" s="161">
        <f t="shared" si="79"/>
        <v>36.672051235511816</v>
      </c>
      <c r="N484" s="405">
        <f t="shared" si="80"/>
        <v>38.200125094745019</v>
      </c>
      <c r="O484" s="405">
        <v>45.564494779301789</v>
      </c>
      <c r="P484" s="406">
        <v>45.564494779301789</v>
      </c>
      <c r="Q484" s="406">
        <v>47.794369314780475</v>
      </c>
      <c r="R484" s="406">
        <v>47.794369314780475</v>
      </c>
      <c r="S484" s="405">
        <f t="shared" si="81"/>
        <v>40.069595756352506</v>
      </c>
      <c r="T484" s="406">
        <v>49.757340702401834</v>
      </c>
      <c r="U484" s="406">
        <v>49.939118755605101</v>
      </c>
      <c r="V484" s="405">
        <f t="shared" si="82"/>
        <v>41.867699682078523</v>
      </c>
      <c r="W484" s="406">
        <v>51.568642597200295</v>
      </c>
      <c r="X484" s="406">
        <v>52.219175043533404</v>
      </c>
      <c r="Y484" s="405">
        <f t="shared" si="83"/>
        <v>43.77924146134756</v>
      </c>
      <c r="Z484" s="406">
        <v>53.058234256246507</v>
      </c>
      <c r="AA484" s="406">
        <v>53.924169269641645</v>
      </c>
      <c r="AB484" s="442">
        <f t="shared" si="84"/>
        <v>44.729546139369916</v>
      </c>
      <c r="AC484" s="438">
        <f t="shared" si="85"/>
        <v>46.06691757914048</v>
      </c>
      <c r="AD484" s="410"/>
      <c r="AE484" s="411"/>
      <c r="AF484" s="411"/>
      <c r="AG484" s="411"/>
    </row>
    <row r="485" spans="1:33" x14ac:dyDescent="0.2">
      <c r="A485" s="36" t="s">
        <v>390</v>
      </c>
      <c r="B485" s="18" t="str">
        <f>VLOOKUP(LEFT(A485,7),'Tariff Schedule Lookup Table'!$A$8:$G$186,2,FALSE)</f>
        <v>Fluorescent 40</v>
      </c>
      <c r="C485" s="160">
        <f t="shared" si="76"/>
        <v>820</v>
      </c>
      <c r="D485" s="18">
        <f t="shared" si="77"/>
        <v>2</v>
      </c>
      <c r="E485" s="18" t="str">
        <f>VLOOKUP(C485,'Tariff Schedule Lookup Table'!I$7:L$286,2,FALSE)</f>
        <v>MERCURY VAPOUR 80W</v>
      </c>
      <c r="F485" s="18" t="str">
        <f>IF(E485 = "BULKHEADS ETC", "SHARED OR NO POLE", VLOOKUP(C485,'Tariff Schedule Lookup Table'!I$7:L$286,3,FALSE))</f>
        <v>SHARED OR NO POLE</v>
      </c>
      <c r="G485" s="18">
        <f>IF(E485 = "NO CAPITAL", 1, VLOOKUP(C485,'Tariff Schedule Lookup Table'!I$7:L$286,4,FALSE))</f>
        <v>3</v>
      </c>
      <c r="H485" s="18" t="str">
        <f t="shared" si="78"/>
        <v>2-Unmetered, Funded by Others, CE Maintained</v>
      </c>
      <c r="I485" s="123">
        <f>VLOOKUP(F485,'Maintenance Model'!$A$57:$B$61,2,FALSE)</f>
        <v>0</v>
      </c>
      <c r="J485" s="123">
        <f>IF(D485=1,VLOOKUP(C485,'Capital Code Schedules'!A$15:F$300,2,FALSE),IF(D485=2,VLOOKUP(C485,'Capital Code Schedules'!A$15:F$300,3,FALSE),0))</f>
        <v>0</v>
      </c>
      <c r="K485" s="123">
        <v>0</v>
      </c>
      <c r="L485" s="123">
        <f>VLOOKUP(LEFT(A485,10),'Streetlight Tariff Schedule'!B$11:H$260,7, FALSE)+I485</f>
        <v>25.940433004400706</v>
      </c>
      <c r="M485" s="161">
        <f t="shared" si="79"/>
        <v>25.940433004400706</v>
      </c>
      <c r="N485" s="405">
        <f t="shared" si="80"/>
        <v>27.021335114747622</v>
      </c>
      <c r="O485" s="405">
        <v>35.168294703877628</v>
      </c>
      <c r="P485" s="406">
        <v>35.168294703877628</v>
      </c>
      <c r="Q485" s="406">
        <v>36.889391035489098</v>
      </c>
      <c r="R485" s="406">
        <v>36.889391035489098</v>
      </c>
      <c r="S485" s="405">
        <f t="shared" si="81"/>
        <v>28.343728512915682</v>
      </c>
      <c r="T485" s="406">
        <v>38.404482041973985</v>
      </c>
      <c r="U485" s="406">
        <v>38.544784796930763</v>
      </c>
      <c r="V485" s="405">
        <f t="shared" si="82"/>
        <v>29.61563976000398</v>
      </c>
      <c r="W485" s="406">
        <v>39.802509149319427</v>
      </c>
      <c r="X485" s="406">
        <v>40.3046131866382</v>
      </c>
      <c r="Y485" s="405">
        <f t="shared" si="83"/>
        <v>30.967792688177894</v>
      </c>
      <c r="Z485" s="406">
        <v>40.952228875336722</v>
      </c>
      <c r="AA485" s="406">
        <v>41.620588261147809</v>
      </c>
      <c r="AB485" s="442">
        <f t="shared" si="84"/>
        <v>31.640002559278212</v>
      </c>
      <c r="AC485" s="438">
        <f t="shared" si="85"/>
        <v>32.586008933794091</v>
      </c>
      <c r="AD485" s="410"/>
      <c r="AE485" s="411"/>
      <c r="AF485" s="411"/>
      <c r="AG485" s="411"/>
    </row>
    <row r="486" spans="1:33" x14ac:dyDescent="0.2">
      <c r="A486" s="36" t="s">
        <v>391</v>
      </c>
      <c r="B486" s="18" t="str">
        <f>VLOOKUP(LEFT(A486,7),'Tariff Schedule Lookup Table'!$A$8:$G$186,2,FALSE)</f>
        <v>Fluorescent 40</v>
      </c>
      <c r="C486" s="160">
        <f t="shared" si="76"/>
        <v>990</v>
      </c>
      <c r="D486" s="18">
        <f t="shared" si="77"/>
        <v>1</v>
      </c>
      <c r="E486" s="18" t="str">
        <f>VLOOKUP(C486,'Tariff Schedule Lookup Table'!I$7:L$286,2,FALSE)</f>
        <v>MERCURY VAPOUR 80W</v>
      </c>
      <c r="F486" s="18" t="str">
        <f>IF(E486 = "BULKHEADS ETC", "SHARED OR NO POLE", VLOOKUP(C486,'Tariff Schedule Lookup Table'!I$7:L$286,3,FALSE))</f>
        <v>STEEL POLE</v>
      </c>
      <c r="G486" s="18">
        <f>IF(E486 = "NO CAPITAL", 1, VLOOKUP(C486,'Tariff Schedule Lookup Table'!I$7:L$286,4,FALSE))</f>
        <v>1</v>
      </c>
      <c r="H486" s="18" t="str">
        <f t="shared" si="78"/>
        <v>1-Unmetered, CE Funded, CE Maintained</v>
      </c>
      <c r="I486" s="123">
        <f>VLOOKUP(F486,'Maintenance Model'!$A$57:$B$61,2,FALSE)</f>
        <v>9.9616182311111103</v>
      </c>
      <c r="J486" s="123">
        <f>IF(D486=1,VLOOKUP(C486,'Capital Code Schedules'!A$15:F$300,2,FALSE),IF(D486=2,VLOOKUP(C486,'Capital Code Schedules'!A$15:F$300,3,FALSE),0))</f>
        <v>86.253661186307269</v>
      </c>
      <c r="K486" s="123">
        <v>109.41024862221688</v>
      </c>
      <c r="L486" s="123">
        <f>VLOOKUP(LEFT(A486,10),'Streetlight Tariff Schedule'!B$11:H$260,7, FALSE)+I486</f>
        <v>35.90205123551182</v>
      </c>
      <c r="M486" s="161">
        <f t="shared" si="79"/>
        <v>145.3122998577287</v>
      </c>
      <c r="N486" s="405">
        <f t="shared" si="80"/>
        <v>125.78647955608841</v>
      </c>
      <c r="O486" s="405">
        <v>161.84411057268801</v>
      </c>
      <c r="P486" s="406">
        <v>156.88056221559356</v>
      </c>
      <c r="Q486" s="406">
        <v>161.84610790039429</v>
      </c>
      <c r="R486" s="406">
        <v>166.93250407932683</v>
      </c>
      <c r="S486" s="405">
        <f t="shared" si="81"/>
        <v>129.80431097088797</v>
      </c>
      <c r="T486" s="406">
        <v>166.61812818547386</v>
      </c>
      <c r="U486" s="406">
        <v>172.45891385466678</v>
      </c>
      <c r="V486" s="405">
        <f t="shared" si="82"/>
        <v>134.146077773954</v>
      </c>
      <c r="W486" s="406">
        <v>171.31152804941181</v>
      </c>
      <c r="X486" s="406">
        <v>178.8820559522423</v>
      </c>
      <c r="Y486" s="405">
        <f t="shared" si="83"/>
        <v>139.17552132632665</v>
      </c>
      <c r="Z486" s="406">
        <v>175.76100191008913</v>
      </c>
      <c r="AA486" s="406">
        <v>184.19312681180816</v>
      </c>
      <c r="AB486" s="442">
        <f t="shared" si="84"/>
        <v>141.80102549374945</v>
      </c>
      <c r="AC486" s="438">
        <f t="shared" si="85"/>
        <v>145.96242651835016</v>
      </c>
      <c r="AD486" s="410"/>
      <c r="AE486" s="411"/>
      <c r="AF486" s="411"/>
      <c r="AG486" s="411"/>
    </row>
    <row r="487" spans="1:33" x14ac:dyDescent="0.2">
      <c r="A487" s="36" t="s">
        <v>392</v>
      </c>
      <c r="B487" s="18" t="str">
        <f>VLOOKUP(LEFT(A487,7),'Tariff Schedule Lookup Table'!$A$8:$G$186,2,FALSE)</f>
        <v>Fluorescent 40</v>
      </c>
      <c r="C487" s="160">
        <f>1*MID(A487,12,4)</f>
        <v>990</v>
      </c>
      <c r="D487" s="18">
        <f>1*(MID(A487,17,3))</f>
        <v>2</v>
      </c>
      <c r="E487" s="18" t="str">
        <f>VLOOKUP(C487,'Tariff Schedule Lookup Table'!I$7:L$286,2,FALSE)</f>
        <v>MERCURY VAPOUR 80W</v>
      </c>
      <c r="F487" s="18" t="str">
        <f>IF(E487 = "BULKHEADS ETC", "SHARED OR NO POLE", VLOOKUP(C487,'Tariff Schedule Lookup Table'!I$7:L$286,3,FALSE))</f>
        <v>STEEL POLE</v>
      </c>
      <c r="G487" s="18">
        <f>IF(E487 = "NO CAPITAL", 1, VLOOKUP(C487,'Tariff Schedule Lookup Table'!I$7:L$286,4,FALSE))</f>
        <v>1</v>
      </c>
      <c r="H487" s="18" t="str">
        <f t="shared" si="78"/>
        <v>2-Unmetered, Funded by Others, CE Maintained</v>
      </c>
      <c r="I487" s="123">
        <f>VLOOKUP(F487,'Maintenance Model'!$A$57:$B$61,2,FALSE)</f>
        <v>9.9616182311111103</v>
      </c>
      <c r="J487" s="123">
        <f>IF(D487=1,VLOOKUP(C487,'Capital Code Schedules'!A$15:F$300,2,FALSE),IF(D487=2,VLOOKUP(C487,'Capital Code Schedules'!A$15:F$300,3,FALSE),0))</f>
        <v>0</v>
      </c>
      <c r="K487" s="123">
        <v>0</v>
      </c>
      <c r="L487" s="123">
        <f>VLOOKUP(LEFT(A487,10),'Streetlight Tariff Schedule'!B$11:H$260,7, FALSE)+I487</f>
        <v>35.90205123551182</v>
      </c>
      <c r="M487" s="161">
        <f t="shared" si="79"/>
        <v>35.90205123551182</v>
      </c>
      <c r="N487" s="405">
        <f t="shared" si="80"/>
        <v>37.398040255420021</v>
      </c>
      <c r="O487" s="405">
        <v>44.762409939976784</v>
      </c>
      <c r="P487" s="406">
        <v>44.762409939976784</v>
      </c>
      <c r="Q487" s="406">
        <v>46.953031355956014</v>
      </c>
      <c r="R487" s="406">
        <v>46.953031355956014</v>
      </c>
      <c r="S487" s="405">
        <f t="shared" si="81"/>
        <v>39.228257797528059</v>
      </c>
      <c r="T487" s="406">
        <v>48.881447996560738</v>
      </c>
      <c r="U487" s="406">
        <v>49.060026158679896</v>
      </c>
      <c r="V487" s="405">
        <f t="shared" si="82"/>
        <v>40.988607085153319</v>
      </c>
      <c r="W487" s="406">
        <v>50.660865025823085</v>
      </c>
      <c r="X487" s="406">
        <v>51.299945963361466</v>
      </c>
      <c r="Y487" s="405">
        <f t="shared" si="83"/>
        <v>42.860012381175629</v>
      </c>
      <c r="Z487" s="406">
        <v>52.124234976666614</v>
      </c>
      <c r="AA487" s="406">
        <v>52.974926688244203</v>
      </c>
      <c r="AB487" s="442">
        <f t="shared" si="84"/>
        <v>43.790363591163754</v>
      </c>
      <c r="AC487" s="438">
        <f t="shared" si="85"/>
        <v>45.099654354399213</v>
      </c>
      <c r="AD487" s="410"/>
      <c r="AE487" s="411"/>
      <c r="AF487" s="411"/>
      <c r="AG487" s="411"/>
    </row>
    <row r="488" spans="1:33" x14ac:dyDescent="0.2">
      <c r="A488" s="36" t="s">
        <v>393</v>
      </c>
      <c r="B488" s="18" t="str">
        <f>VLOOKUP(LEFT(A488,7),'Tariff Schedule Lookup Table'!$A$8:$G$186,2,FALSE)</f>
        <v>Fluorescent 2x40</v>
      </c>
      <c r="C488" s="160">
        <f>1*MID(A488,12,4)</f>
        <v>10</v>
      </c>
      <c r="D488" s="18">
        <f>1*(MID(A488,17,3))</f>
        <v>1</v>
      </c>
      <c r="E488" s="18" t="str">
        <f>VLOOKUP(C488,'Tariff Schedule Lookup Table'!I$7:L$286,2,FALSE)</f>
        <v>MERCURY VAPOUR 80W</v>
      </c>
      <c r="F488" s="18" t="str">
        <f>IF(E488 = "BULKHEADS ETC", "SHARED OR NO POLE", VLOOKUP(C488,'Tariff Schedule Lookup Table'!I$7:L$286,3,FALSE))</f>
        <v>SHARED OR NO POLE</v>
      </c>
      <c r="G488" s="18">
        <f>IF(E488 = "NO CAPITAL", 1, VLOOKUP(C488,'Tariff Schedule Lookup Table'!I$7:L$286,4,FALSE))</f>
        <v>1</v>
      </c>
      <c r="H488" s="18" t="str">
        <f t="shared" si="78"/>
        <v>1-Unmetered, CE Funded, CE Maintained</v>
      </c>
      <c r="I488" s="123">
        <f>VLOOKUP(F488,'Maintenance Model'!$A$57:$B$61,2,FALSE)</f>
        <v>0</v>
      </c>
      <c r="J488" s="123">
        <f>IF(D488=1,VLOOKUP(C488,'Capital Code Schedules'!A$15:F$300,2,FALSE),IF(D488=2,VLOOKUP(C488,'Capital Code Schedules'!A$15:F$300,3,FALSE),0))</f>
        <v>17.255027166785979</v>
      </c>
      <c r="K488" s="123">
        <v>21.887497717034414</v>
      </c>
      <c r="L488" s="123">
        <f>VLOOKUP(LEFT(A488,10),'Streetlight Tariff Schedule'!B$11:H$260,7, FALSE)+I488</f>
        <v>29.991879471217374</v>
      </c>
      <c r="M488" s="161">
        <f t="shared" si="79"/>
        <v>51.879377188251787</v>
      </c>
      <c r="N488" s="405">
        <f t="shared" si="80"/>
        <v>48.923688864132963</v>
      </c>
      <c r="O488" s="405">
        <v>63.071859707067993</v>
      </c>
      <c r="P488" s="406">
        <v>62.078902879875166</v>
      </c>
      <c r="Q488" s="406">
        <v>64.57443660773103</v>
      </c>
      <c r="R488" s="406">
        <v>65.591969116396882</v>
      </c>
      <c r="S488" s="405">
        <f t="shared" si="81"/>
        <v>50.890248918306682</v>
      </c>
      <c r="T488" s="406">
        <v>66.851453637905948</v>
      </c>
      <c r="U488" s="406">
        <v>68.142358216716701</v>
      </c>
      <c r="V488" s="405">
        <f t="shared" si="82"/>
        <v>52.877222721195253</v>
      </c>
      <c r="W488" s="406">
        <v>69.010568994663316</v>
      </c>
      <c r="X488" s="406">
        <v>70.963289247549653</v>
      </c>
      <c r="Y488" s="405">
        <f t="shared" si="83"/>
        <v>55.072323426873275</v>
      </c>
      <c r="Z488" s="406">
        <v>70.904163679165549</v>
      </c>
      <c r="AA488" s="406">
        <v>73.174354333083372</v>
      </c>
      <c r="AB488" s="442">
        <f t="shared" si="84"/>
        <v>56.18863584049226</v>
      </c>
      <c r="AC488" s="438">
        <f t="shared" si="85"/>
        <v>57.852956100985217</v>
      </c>
      <c r="AD488" s="410"/>
      <c r="AE488" s="411"/>
      <c r="AF488" s="411"/>
      <c r="AG488" s="411"/>
    </row>
    <row r="489" spans="1:33" x14ac:dyDescent="0.2">
      <c r="A489" s="36" t="s">
        <v>394</v>
      </c>
      <c r="B489" s="18" t="str">
        <f>VLOOKUP(LEFT(A489,7),'Tariff Schedule Lookup Table'!$A$8:$G$186,2,FALSE)</f>
        <v>Fluorescent 2x40</v>
      </c>
      <c r="C489" s="160">
        <f>1*MID(A489,12,4)</f>
        <v>10</v>
      </c>
      <c r="D489" s="18">
        <f>1*(MID(A489,17,3))</f>
        <v>2</v>
      </c>
      <c r="E489" s="18" t="str">
        <f>VLOOKUP(C489,'Tariff Schedule Lookup Table'!I$7:L$286,2,FALSE)</f>
        <v>MERCURY VAPOUR 80W</v>
      </c>
      <c r="F489" s="18" t="str">
        <f>IF(E489 = "BULKHEADS ETC", "SHARED OR NO POLE", VLOOKUP(C489,'Tariff Schedule Lookup Table'!I$7:L$286,3,FALSE))</f>
        <v>SHARED OR NO POLE</v>
      </c>
      <c r="G489" s="18">
        <f>IF(E489 = "NO CAPITAL", 1, VLOOKUP(C489,'Tariff Schedule Lookup Table'!I$7:L$286,4,FALSE))</f>
        <v>1</v>
      </c>
      <c r="H489" s="18" t="str">
        <f t="shared" si="78"/>
        <v>2-Unmetered, Funded by Others, CE Maintained</v>
      </c>
      <c r="I489" s="123">
        <f>VLOOKUP(F489,'Maintenance Model'!$A$57:$B$61,2,FALSE)</f>
        <v>0</v>
      </c>
      <c r="J489" s="123">
        <f>IF(D489=1,VLOOKUP(C489,'Capital Code Schedules'!A$15:F$300,2,FALSE),IF(D489=2,VLOOKUP(C489,'Capital Code Schedules'!A$15:F$300,3,FALSE),0))</f>
        <v>0</v>
      </c>
      <c r="K489" s="123">
        <v>0</v>
      </c>
      <c r="L489" s="123">
        <f>VLOOKUP(LEFT(A489,10),'Streetlight Tariff Schedule'!B$11:H$260,7, FALSE)+I489</f>
        <v>29.991879471217374</v>
      </c>
      <c r="M489" s="161">
        <f t="shared" si="79"/>
        <v>29.991879471217374</v>
      </c>
      <c r="N489" s="405">
        <f t="shared" si="80"/>
        <v>31.241599774969032</v>
      </c>
      <c r="O489" s="405">
        <v>39.649689594344146</v>
      </c>
      <c r="P489" s="406">
        <v>39.649689594344146</v>
      </c>
      <c r="Q489" s="406">
        <v>41.590100293383117</v>
      </c>
      <c r="R489" s="406">
        <v>41.590100293383117</v>
      </c>
      <c r="S489" s="405">
        <f t="shared" si="81"/>
        <v>32.770528124185937</v>
      </c>
      <c r="T489" s="406">
        <v>43.298254999777917</v>
      </c>
      <c r="U489" s="406">
        <v>43.456436132247049</v>
      </c>
      <c r="V489" s="405">
        <f t="shared" si="82"/>
        <v>34.241089884442069</v>
      </c>
      <c r="W489" s="406">
        <v>44.874428690241622</v>
      </c>
      <c r="X489" s="406">
        <v>45.440514404416469</v>
      </c>
      <c r="Y489" s="405">
        <f t="shared" si="83"/>
        <v>35.804425686954161</v>
      </c>
      <c r="Z489" s="406">
        <v>46.170653902209423</v>
      </c>
      <c r="AA489" s="406">
        <v>46.924180406920897</v>
      </c>
      <c r="AB489" s="442">
        <f t="shared" si="84"/>
        <v>36.581623100350569</v>
      </c>
      <c r="AC489" s="438">
        <f t="shared" si="85"/>
        <v>37.675379290105397</v>
      </c>
      <c r="AD489" s="410"/>
      <c r="AE489" s="411"/>
      <c r="AF489" s="411"/>
      <c r="AG489" s="411"/>
    </row>
    <row r="490" spans="1:33" x14ac:dyDescent="0.2">
      <c r="A490" s="36" t="s">
        <v>395</v>
      </c>
      <c r="B490" s="18" t="str">
        <f>VLOOKUP(LEFT(A490,7),'Tariff Schedule Lookup Table'!$A$8:$G$186,2,FALSE)</f>
        <v>Fluorescent 2x40</v>
      </c>
      <c r="C490" s="160">
        <f>1*MID(A490,12,4)</f>
        <v>990</v>
      </c>
      <c r="D490" s="18">
        <f>1*(MID(A490,17,3))</f>
        <v>1</v>
      </c>
      <c r="E490" s="18" t="str">
        <f>VLOOKUP(C490,'Tariff Schedule Lookup Table'!I$7:L$286,2,FALSE)</f>
        <v>MERCURY VAPOUR 80W</v>
      </c>
      <c r="F490" s="18" t="str">
        <f>IF(E490 = "BULKHEADS ETC", "SHARED OR NO POLE", VLOOKUP(C490,'Tariff Schedule Lookup Table'!I$7:L$286,3,FALSE))</f>
        <v>STEEL POLE</v>
      </c>
      <c r="G490" s="18">
        <f>IF(E490 = "NO CAPITAL", 1, VLOOKUP(C490,'Tariff Schedule Lookup Table'!I$7:L$286,4,FALSE))</f>
        <v>1</v>
      </c>
      <c r="H490" s="18" t="str">
        <f t="shared" si="78"/>
        <v>1-Unmetered, CE Funded, CE Maintained</v>
      </c>
      <c r="I490" s="123">
        <f>VLOOKUP(F490,'Maintenance Model'!$A$57:$B$61,2,FALSE)</f>
        <v>9.9616182311111103</v>
      </c>
      <c r="J490" s="123">
        <f>IF(D490=1,VLOOKUP(C490,'Capital Code Schedules'!A$15:F$300,2,FALSE),IF(D490=2,VLOOKUP(C490,'Capital Code Schedules'!A$15:F$300,3,FALSE),0))</f>
        <v>86.253661186307269</v>
      </c>
      <c r="K490" s="123">
        <v>109.41024862221688</v>
      </c>
      <c r="L490" s="123">
        <f>VLOOKUP(LEFT(A490,10),'Streetlight Tariff Schedule'!B$11:H$260,7, FALSE)+I490</f>
        <v>39.953497702328484</v>
      </c>
      <c r="M490" s="161">
        <f t="shared" si="79"/>
        <v>149.36374632454536</v>
      </c>
      <c r="N490" s="405">
        <f t="shared" si="80"/>
        <v>130.00674421630981</v>
      </c>
      <c r="O490" s="405">
        <v>166.32550546315457</v>
      </c>
      <c r="P490" s="406">
        <v>161.36195710606009</v>
      </c>
      <c r="Q490" s="406">
        <v>166.54681715828829</v>
      </c>
      <c r="R490" s="406">
        <v>171.63321333722087</v>
      </c>
      <c r="S490" s="405">
        <f t="shared" si="81"/>
        <v>134.23111058215821</v>
      </c>
      <c r="T490" s="406">
        <v>171.51190114327778</v>
      </c>
      <c r="U490" s="406">
        <v>177.3705651899831</v>
      </c>
      <c r="V490" s="405">
        <f t="shared" si="82"/>
        <v>138.77152789839209</v>
      </c>
      <c r="W490" s="406">
        <v>176.38344759033399</v>
      </c>
      <c r="X490" s="406">
        <v>184.01795717002059</v>
      </c>
      <c r="Y490" s="405">
        <f t="shared" si="83"/>
        <v>144.0121543251029</v>
      </c>
      <c r="Z490" s="406">
        <v>180.97942693696183</v>
      </c>
      <c r="AA490" s="406">
        <v>189.49671895758127</v>
      </c>
      <c r="AB490" s="442">
        <f t="shared" si="84"/>
        <v>146.74264603482177</v>
      </c>
      <c r="AC490" s="438">
        <f t="shared" si="85"/>
        <v>151.05179687466142</v>
      </c>
      <c r="AD490" s="410"/>
      <c r="AE490" s="411"/>
      <c r="AF490" s="411"/>
      <c r="AG490" s="411"/>
    </row>
    <row r="491" spans="1:33" x14ac:dyDescent="0.2">
      <c r="A491" s="36" t="s">
        <v>396</v>
      </c>
      <c r="B491" s="18" t="str">
        <f>VLOOKUP(LEFT(A491,7),'Tariff Schedule Lookup Table'!$A$8:$G$186,2,FALSE)</f>
        <v>Fluorescent 3x40</v>
      </c>
      <c r="C491" s="160">
        <f t="shared" ref="C491:C543" si="86">1*MID(A491,12,4)</f>
        <v>10</v>
      </c>
      <c r="D491" s="18">
        <f t="shared" ref="D491:D543" si="87">1*(MID(A491,17,3))</f>
        <v>1</v>
      </c>
      <c r="E491" s="18" t="str">
        <f>VLOOKUP(C491,'Tariff Schedule Lookup Table'!I$7:L$286,2,FALSE)</f>
        <v>MERCURY VAPOUR 80W</v>
      </c>
      <c r="F491" s="18" t="str">
        <f>IF(E491 = "BULKHEADS ETC", "SHARED OR NO POLE", VLOOKUP(C491,'Tariff Schedule Lookup Table'!I$7:L$286,3,FALSE))</f>
        <v>SHARED OR NO POLE</v>
      </c>
      <c r="G491" s="18">
        <f>IF(E491 = "NO CAPITAL", 1, VLOOKUP(C491,'Tariff Schedule Lookup Table'!I$7:L$286,4,FALSE))</f>
        <v>1</v>
      </c>
      <c r="H491" s="18" t="str">
        <f t="shared" si="78"/>
        <v>1-Unmetered, CE Funded, CE Maintained</v>
      </c>
      <c r="I491" s="123">
        <f>VLOOKUP(F491,'Maintenance Model'!$A$57:$B$61,2,FALSE)</f>
        <v>0</v>
      </c>
      <c r="J491" s="123">
        <f>IF(D491=1,VLOOKUP(C491,'Capital Code Schedules'!A$15:F$300,2,FALSE),IF(D491=2,VLOOKUP(C491,'Capital Code Schedules'!A$15:F$300,3,FALSE),0))</f>
        <v>17.255027166785979</v>
      </c>
      <c r="K491" s="123">
        <v>21.887497717034414</v>
      </c>
      <c r="L491" s="123">
        <f>VLOOKUP(LEFT(A491,10),'Streetlight Tariff Schedule'!B$11:H$260,7, FALSE)+I491</f>
        <v>34.043325938034037</v>
      </c>
      <c r="M491" s="161">
        <f t="shared" si="79"/>
        <v>55.930823655068451</v>
      </c>
      <c r="N491" s="405">
        <f t="shared" si="80"/>
        <v>53.143953524354366</v>
      </c>
      <c r="O491" s="405">
        <v>67.553254597534519</v>
      </c>
      <c r="P491" s="406">
        <v>66.560297770341677</v>
      </c>
      <c r="Q491" s="406">
        <v>69.275145865625035</v>
      </c>
      <c r="R491" s="406">
        <v>70.292678374290887</v>
      </c>
      <c r="S491" s="405">
        <f t="shared" si="81"/>
        <v>55.317048529576923</v>
      </c>
      <c r="T491" s="406">
        <v>71.745226595709866</v>
      </c>
      <c r="U491" s="406">
        <v>73.054009552032994</v>
      </c>
      <c r="V491" s="405">
        <f t="shared" si="82"/>
        <v>57.502672845633349</v>
      </c>
      <c r="W491" s="406">
        <v>74.082488535585497</v>
      </c>
      <c r="X491" s="406">
        <v>76.099190465327922</v>
      </c>
      <c r="Y491" s="405">
        <f t="shared" si="83"/>
        <v>59.908956425649528</v>
      </c>
      <c r="Z491" s="406">
        <v>76.122588706038243</v>
      </c>
      <c r="AA491" s="406">
        <v>78.477946478856467</v>
      </c>
      <c r="AB491" s="442">
        <f t="shared" si="84"/>
        <v>61.130256381564621</v>
      </c>
      <c r="AC491" s="438">
        <f t="shared" si="85"/>
        <v>62.942326457296517</v>
      </c>
      <c r="AD491" s="410"/>
      <c r="AE491" s="411"/>
      <c r="AF491" s="411"/>
      <c r="AG491" s="411"/>
    </row>
    <row r="492" spans="1:33" x14ac:dyDescent="0.2">
      <c r="A492" s="36" t="s">
        <v>397</v>
      </c>
      <c r="B492" s="18" t="str">
        <f>VLOOKUP(LEFT(A492,7),'Tariff Schedule Lookup Table'!$A$8:$G$186,2,FALSE)</f>
        <v>Fluorescent 3x40</v>
      </c>
      <c r="C492" s="160">
        <f t="shared" si="86"/>
        <v>10</v>
      </c>
      <c r="D492" s="18">
        <f t="shared" si="87"/>
        <v>2</v>
      </c>
      <c r="E492" s="18" t="str">
        <f>VLOOKUP(C492,'Tariff Schedule Lookup Table'!I$7:L$286,2,FALSE)</f>
        <v>MERCURY VAPOUR 80W</v>
      </c>
      <c r="F492" s="18" t="str">
        <f>IF(E492 = "BULKHEADS ETC", "SHARED OR NO POLE", VLOOKUP(C492,'Tariff Schedule Lookup Table'!I$7:L$286,3,FALSE))</f>
        <v>SHARED OR NO POLE</v>
      </c>
      <c r="G492" s="18">
        <f>IF(E492 = "NO CAPITAL", 1, VLOOKUP(C492,'Tariff Schedule Lookup Table'!I$7:L$286,4,FALSE))</f>
        <v>1</v>
      </c>
      <c r="H492" s="18" t="str">
        <f t="shared" si="78"/>
        <v>2-Unmetered, Funded by Others, CE Maintained</v>
      </c>
      <c r="I492" s="123">
        <f>VLOOKUP(F492,'Maintenance Model'!$A$57:$B$61,2,FALSE)</f>
        <v>0</v>
      </c>
      <c r="J492" s="123">
        <f>IF(D492=1,VLOOKUP(C492,'Capital Code Schedules'!A$15:F$300,2,FALSE),IF(D492=2,VLOOKUP(C492,'Capital Code Schedules'!A$15:F$300,3,FALSE),0))</f>
        <v>0</v>
      </c>
      <c r="K492" s="123">
        <v>0</v>
      </c>
      <c r="L492" s="123">
        <f>VLOOKUP(LEFT(A492,10),'Streetlight Tariff Schedule'!B$11:H$260,7, FALSE)+I492</f>
        <v>34.043325938034037</v>
      </c>
      <c r="M492" s="161">
        <f t="shared" si="79"/>
        <v>34.043325938034037</v>
      </c>
      <c r="N492" s="405">
        <f t="shared" si="80"/>
        <v>35.461864435190435</v>
      </c>
      <c r="O492" s="405">
        <v>44.131084484810671</v>
      </c>
      <c r="P492" s="406">
        <v>44.131084484810671</v>
      </c>
      <c r="Q492" s="406">
        <v>46.290809551277128</v>
      </c>
      <c r="R492" s="406">
        <v>46.290809551277128</v>
      </c>
      <c r="S492" s="405">
        <f t="shared" si="81"/>
        <v>37.197327735456184</v>
      </c>
      <c r="T492" s="406">
        <v>48.192027957581857</v>
      </c>
      <c r="U492" s="406">
        <v>48.368087467563342</v>
      </c>
      <c r="V492" s="405">
        <f t="shared" si="82"/>
        <v>38.866540008880165</v>
      </c>
      <c r="W492" s="406">
        <v>49.946348231163803</v>
      </c>
      <c r="X492" s="406">
        <v>50.576415622194737</v>
      </c>
      <c r="Y492" s="405">
        <f t="shared" si="83"/>
        <v>40.641058685730414</v>
      </c>
      <c r="Z492" s="406">
        <v>51.389078929082125</v>
      </c>
      <c r="AA492" s="406">
        <v>52.227772552693992</v>
      </c>
      <c r="AB492" s="442">
        <f t="shared" si="84"/>
        <v>41.52324364142293</v>
      </c>
      <c r="AC492" s="438">
        <f t="shared" si="85"/>
        <v>42.764749646416703</v>
      </c>
      <c r="AD492" s="410"/>
      <c r="AE492" s="411"/>
      <c r="AF492" s="411"/>
      <c r="AG492" s="411"/>
    </row>
    <row r="493" spans="1:33" x14ac:dyDescent="0.2">
      <c r="A493" s="36" t="s">
        <v>398</v>
      </c>
      <c r="B493" s="18" t="str">
        <f>VLOOKUP(LEFT(A493,7),'Tariff Schedule Lookup Table'!$A$8:$G$186,2,FALSE)</f>
        <v>Fluorescent 3x40</v>
      </c>
      <c r="C493" s="160">
        <f t="shared" si="86"/>
        <v>810</v>
      </c>
      <c r="D493" s="18">
        <f t="shared" si="87"/>
        <v>2</v>
      </c>
      <c r="E493" s="18" t="str">
        <f>VLOOKUP(C493,'Tariff Schedule Lookup Table'!I$7:L$286,2,FALSE)</f>
        <v>MERCURY VAPOUR 80W</v>
      </c>
      <c r="F493" s="18" t="str">
        <f>IF(E493 = "BULKHEADS ETC", "SHARED OR NO POLE", VLOOKUP(C493,'Tariff Schedule Lookup Table'!I$7:L$286,3,FALSE))</f>
        <v>WOOD POLE</v>
      </c>
      <c r="G493" s="18">
        <f>IF(E493 = "NO CAPITAL", 1, VLOOKUP(C493,'Tariff Schedule Lookup Table'!I$7:L$286,4,FALSE))</f>
        <v>1</v>
      </c>
      <c r="H493" s="18" t="str">
        <f t="shared" si="78"/>
        <v>2-Unmetered, Funded by Others, CE Maintained</v>
      </c>
      <c r="I493" s="123">
        <f>VLOOKUP(F493,'Maintenance Model'!$A$57:$B$61,2,FALSE)</f>
        <v>10.731618231111112</v>
      </c>
      <c r="J493" s="123">
        <f>IF(D493=1,VLOOKUP(C493,'Capital Code Schedules'!A$15:F$300,2,FALSE),IF(D493=2,VLOOKUP(C493,'Capital Code Schedules'!A$15:F$300,3,FALSE),0))</f>
        <v>0</v>
      </c>
      <c r="K493" s="123">
        <v>0</v>
      </c>
      <c r="L493" s="123">
        <f>VLOOKUP(LEFT(A493,10),'Streetlight Tariff Schedule'!B$11:H$260,7, FALSE)+I493</f>
        <v>44.774944169145151</v>
      </c>
      <c r="M493" s="161">
        <f t="shared" si="79"/>
        <v>44.774944169145151</v>
      </c>
      <c r="N493" s="405">
        <f t="shared" si="80"/>
        <v>46.640654415187839</v>
      </c>
      <c r="O493" s="405">
        <v>54.52728456023484</v>
      </c>
      <c r="P493" s="406">
        <v>54.52728456023484</v>
      </c>
      <c r="Q493" s="406">
        <v>57.195787830568499</v>
      </c>
      <c r="R493" s="406">
        <v>57.195787830568499</v>
      </c>
      <c r="S493" s="405">
        <f t="shared" si="81"/>
        <v>48.923194978893008</v>
      </c>
      <c r="T493" s="406">
        <v>59.544886618009706</v>
      </c>
      <c r="U493" s="406">
        <v>59.762421426237687</v>
      </c>
      <c r="V493" s="405">
        <f t="shared" si="82"/>
        <v>51.118599930954716</v>
      </c>
      <c r="W493" s="406">
        <v>61.712481679044664</v>
      </c>
      <c r="X493" s="406">
        <v>62.490977479089942</v>
      </c>
      <c r="Y493" s="405">
        <f t="shared" si="83"/>
        <v>53.452507458900087</v>
      </c>
      <c r="Z493" s="406">
        <v>63.49508430999191</v>
      </c>
      <c r="AA493" s="406">
        <v>64.531353561187828</v>
      </c>
      <c r="AB493" s="442">
        <f t="shared" si="84"/>
        <v>54.612787221514637</v>
      </c>
      <c r="AC493" s="438">
        <f t="shared" si="85"/>
        <v>56.2456582917631</v>
      </c>
      <c r="AD493" s="410"/>
      <c r="AE493" s="411"/>
      <c r="AF493" s="411"/>
      <c r="AG493" s="411"/>
    </row>
    <row r="494" spans="1:33" x14ac:dyDescent="0.2">
      <c r="A494" s="36" t="s">
        <v>399</v>
      </c>
      <c r="B494" s="18" t="str">
        <f>VLOOKUP(LEFT(A494,7),'Tariff Schedule Lookup Table'!$A$8:$G$186,2,FALSE)</f>
        <v>Fluorescent 4x40</v>
      </c>
      <c r="C494" s="160">
        <f t="shared" si="86"/>
        <v>10</v>
      </c>
      <c r="D494" s="18">
        <f t="shared" si="87"/>
        <v>1</v>
      </c>
      <c r="E494" s="18" t="str">
        <f>VLOOKUP(C494,'Tariff Schedule Lookup Table'!I$7:L$286,2,FALSE)</f>
        <v>MERCURY VAPOUR 80W</v>
      </c>
      <c r="F494" s="18" t="str">
        <f>IF(E494 = "BULKHEADS ETC", "SHARED OR NO POLE", VLOOKUP(C494,'Tariff Schedule Lookup Table'!I$7:L$286,3,FALSE))</f>
        <v>SHARED OR NO POLE</v>
      </c>
      <c r="G494" s="18">
        <f>IF(E494 = "NO CAPITAL", 1, VLOOKUP(C494,'Tariff Schedule Lookup Table'!I$7:L$286,4,FALSE))</f>
        <v>1</v>
      </c>
      <c r="H494" s="18" t="str">
        <f t="shared" si="78"/>
        <v>1-Unmetered, CE Funded, CE Maintained</v>
      </c>
      <c r="I494" s="123">
        <f>VLOOKUP(F494,'Maintenance Model'!$A$57:$B$61,2,FALSE)</f>
        <v>0</v>
      </c>
      <c r="J494" s="123">
        <f>IF(D494=1,VLOOKUP(C494,'Capital Code Schedules'!A$15:F$300,2,FALSE),IF(D494=2,VLOOKUP(C494,'Capital Code Schedules'!A$15:F$300,3,FALSE),0))</f>
        <v>17.255027166785979</v>
      </c>
      <c r="K494" s="123">
        <v>21.887497717034414</v>
      </c>
      <c r="L494" s="123">
        <f>VLOOKUP(LEFT(A494,10),'Streetlight Tariff Schedule'!B$11:H$260,7, FALSE)+I494</f>
        <v>38.094772404850701</v>
      </c>
      <c r="M494" s="161">
        <f t="shared" si="79"/>
        <v>59.982270121885115</v>
      </c>
      <c r="N494" s="405">
        <f t="shared" si="80"/>
        <v>57.364218184575776</v>
      </c>
      <c r="O494" s="405">
        <v>72.034649488001037</v>
      </c>
      <c r="P494" s="406">
        <v>71.041692660808224</v>
      </c>
      <c r="Q494" s="406">
        <v>73.975855123519054</v>
      </c>
      <c r="R494" s="406">
        <v>74.993387632184891</v>
      </c>
      <c r="S494" s="405">
        <f t="shared" si="81"/>
        <v>59.743848140847177</v>
      </c>
      <c r="T494" s="406">
        <v>76.638999553513813</v>
      </c>
      <c r="U494" s="406">
        <v>77.965660887349287</v>
      </c>
      <c r="V494" s="405">
        <f t="shared" si="82"/>
        <v>62.128122970071438</v>
      </c>
      <c r="W494" s="406">
        <v>79.154408076507693</v>
      </c>
      <c r="X494" s="406">
        <v>81.235091683106177</v>
      </c>
      <c r="Y494" s="405">
        <f t="shared" si="83"/>
        <v>64.745589424425788</v>
      </c>
      <c r="Z494" s="406">
        <v>81.341013732910952</v>
      </c>
      <c r="AA494" s="406">
        <v>83.781538624629547</v>
      </c>
      <c r="AB494" s="442">
        <f t="shared" si="84"/>
        <v>66.071876922636989</v>
      </c>
      <c r="AC494" s="438">
        <f t="shared" si="85"/>
        <v>68.031696813607823</v>
      </c>
      <c r="AD494" s="410"/>
      <c r="AE494" s="411"/>
      <c r="AF494" s="411"/>
      <c r="AG494" s="411"/>
    </row>
    <row r="495" spans="1:33" x14ac:dyDescent="0.2">
      <c r="A495" s="36" t="s">
        <v>400</v>
      </c>
      <c r="B495" s="18" t="str">
        <f>VLOOKUP(LEFT(A495,7),'Tariff Schedule Lookup Table'!$A$8:$G$186,2,FALSE)</f>
        <v>Fluorescent 4x40</v>
      </c>
      <c r="C495" s="160">
        <f t="shared" si="86"/>
        <v>10</v>
      </c>
      <c r="D495" s="18">
        <f t="shared" si="87"/>
        <v>2</v>
      </c>
      <c r="E495" s="18" t="str">
        <f>VLOOKUP(C495,'Tariff Schedule Lookup Table'!I$7:L$286,2,FALSE)</f>
        <v>MERCURY VAPOUR 80W</v>
      </c>
      <c r="F495" s="18" t="str">
        <f>IF(E495 = "BULKHEADS ETC", "SHARED OR NO POLE", VLOOKUP(C495,'Tariff Schedule Lookup Table'!I$7:L$286,3,FALSE))</f>
        <v>SHARED OR NO POLE</v>
      </c>
      <c r="G495" s="18">
        <f>IF(E495 = "NO CAPITAL", 1, VLOOKUP(C495,'Tariff Schedule Lookup Table'!I$7:L$286,4,FALSE))</f>
        <v>1</v>
      </c>
      <c r="H495" s="18" t="str">
        <f t="shared" si="78"/>
        <v>2-Unmetered, Funded by Others, CE Maintained</v>
      </c>
      <c r="I495" s="123">
        <f>VLOOKUP(F495,'Maintenance Model'!$A$57:$B$61,2,FALSE)</f>
        <v>0</v>
      </c>
      <c r="J495" s="123">
        <f>IF(D495=1,VLOOKUP(C495,'Capital Code Schedules'!A$15:F$300,2,FALSE),IF(D495=2,VLOOKUP(C495,'Capital Code Schedules'!A$15:F$300,3,FALSE),0))</f>
        <v>0</v>
      </c>
      <c r="K495" s="123">
        <v>0</v>
      </c>
      <c r="L495" s="123">
        <f>VLOOKUP(LEFT(A495,10),'Streetlight Tariff Schedule'!B$11:H$260,7, FALSE)+I495</f>
        <v>38.094772404850701</v>
      </c>
      <c r="M495" s="161">
        <f t="shared" si="79"/>
        <v>38.094772404850701</v>
      </c>
      <c r="N495" s="405">
        <f t="shared" si="80"/>
        <v>39.682129095411845</v>
      </c>
      <c r="O495" s="405">
        <v>48.612479375277196</v>
      </c>
      <c r="P495" s="406">
        <v>48.612479375277196</v>
      </c>
      <c r="Q495" s="406">
        <v>50.99151880917114</v>
      </c>
      <c r="R495" s="406">
        <v>50.99151880917114</v>
      </c>
      <c r="S495" s="405">
        <f t="shared" si="81"/>
        <v>41.624127346726439</v>
      </c>
      <c r="T495" s="406">
        <v>53.085800915385782</v>
      </c>
      <c r="U495" s="406">
        <v>53.279738802879628</v>
      </c>
      <c r="V495" s="405">
        <f t="shared" si="82"/>
        <v>43.491990133318254</v>
      </c>
      <c r="W495" s="406">
        <v>55.018267772085999</v>
      </c>
      <c r="X495" s="406">
        <v>55.712316839973006</v>
      </c>
      <c r="Y495" s="405">
        <f t="shared" si="83"/>
        <v>45.477691684506681</v>
      </c>
      <c r="Z495" s="406">
        <v>56.607503955954833</v>
      </c>
      <c r="AA495" s="406">
        <v>57.53136469846708</v>
      </c>
      <c r="AB495" s="442">
        <f t="shared" si="84"/>
        <v>46.46486418249529</v>
      </c>
      <c r="AC495" s="438">
        <f t="shared" si="85"/>
        <v>47.85412000272801</v>
      </c>
      <c r="AD495" s="410"/>
      <c r="AE495" s="411"/>
      <c r="AF495" s="411"/>
      <c r="AG495" s="411"/>
    </row>
    <row r="496" spans="1:33" x14ac:dyDescent="0.2">
      <c r="A496" s="36" t="s">
        <v>401</v>
      </c>
      <c r="B496" s="18" t="str">
        <f>VLOOKUP(LEFT(A496,7),'Tariff Schedule Lookup Table'!$A$8:$G$186,2,FALSE)</f>
        <v>Fluorescent 4x40</v>
      </c>
      <c r="C496" s="160">
        <f t="shared" si="86"/>
        <v>810</v>
      </c>
      <c r="D496" s="18">
        <f t="shared" si="87"/>
        <v>2</v>
      </c>
      <c r="E496" s="18" t="str">
        <f>VLOOKUP(C496,'Tariff Schedule Lookup Table'!I$7:L$286,2,FALSE)</f>
        <v>MERCURY VAPOUR 80W</v>
      </c>
      <c r="F496" s="18" t="str">
        <f>IF(E496 = "BULKHEADS ETC", "SHARED OR NO POLE", VLOOKUP(C496,'Tariff Schedule Lookup Table'!I$7:L$286,3,FALSE))</f>
        <v>WOOD POLE</v>
      </c>
      <c r="G496" s="18">
        <f>IF(E496 = "NO CAPITAL", 1, VLOOKUP(C496,'Tariff Schedule Lookup Table'!I$7:L$286,4,FALSE))</f>
        <v>1</v>
      </c>
      <c r="H496" s="18" t="str">
        <f t="shared" si="78"/>
        <v>2-Unmetered, Funded by Others, CE Maintained</v>
      </c>
      <c r="I496" s="123">
        <f>VLOOKUP(F496,'Maintenance Model'!$A$57:$B$61,2,FALSE)</f>
        <v>10.731618231111112</v>
      </c>
      <c r="J496" s="123">
        <f>IF(D496=1,VLOOKUP(C496,'Capital Code Schedules'!A$15:F$300,2,FALSE),IF(D496=2,VLOOKUP(C496,'Capital Code Schedules'!A$15:F$300,3,FALSE),0))</f>
        <v>0</v>
      </c>
      <c r="K496" s="123">
        <v>0</v>
      </c>
      <c r="L496" s="123">
        <f>VLOOKUP(LEFT(A496,10),'Streetlight Tariff Schedule'!B$11:H$260,7, FALSE)+I496</f>
        <v>48.826390635961815</v>
      </c>
      <c r="M496" s="161">
        <f t="shared" si="79"/>
        <v>48.826390635961815</v>
      </c>
      <c r="N496" s="405">
        <f t="shared" si="80"/>
        <v>50.860919075409242</v>
      </c>
      <c r="O496" s="405">
        <v>59.008679450701365</v>
      </c>
      <c r="P496" s="406">
        <v>59.008679450701365</v>
      </c>
      <c r="Q496" s="406">
        <v>61.89649708846251</v>
      </c>
      <c r="R496" s="406">
        <v>61.89649708846251</v>
      </c>
      <c r="S496" s="405">
        <f t="shared" si="81"/>
        <v>53.349994590163263</v>
      </c>
      <c r="T496" s="406">
        <v>64.438659575813631</v>
      </c>
      <c r="U496" s="406">
        <v>64.674072761553973</v>
      </c>
      <c r="V496" s="405">
        <f t="shared" si="82"/>
        <v>55.744050055392812</v>
      </c>
      <c r="W496" s="406">
        <v>66.784401219966853</v>
      </c>
      <c r="X496" s="406">
        <v>67.626878696868218</v>
      </c>
      <c r="Y496" s="405">
        <f t="shared" si="83"/>
        <v>58.289140457676346</v>
      </c>
      <c r="Z496" s="406">
        <v>68.713509336864604</v>
      </c>
      <c r="AA496" s="406">
        <v>69.834945706960923</v>
      </c>
      <c r="AB496" s="442">
        <f t="shared" si="84"/>
        <v>59.554407762586997</v>
      </c>
      <c r="AC496" s="438">
        <f t="shared" si="85"/>
        <v>61.335028648074406</v>
      </c>
      <c r="AD496" s="410"/>
      <c r="AE496" s="411"/>
      <c r="AF496" s="411"/>
      <c r="AG496" s="411"/>
    </row>
    <row r="497" spans="1:33" x14ac:dyDescent="0.2">
      <c r="A497" s="36" t="s">
        <v>402</v>
      </c>
      <c r="B497" s="18" t="str">
        <f>VLOOKUP(LEFT(A497,7),'Tariff Schedule Lookup Table'!$A$8:$G$186,2,FALSE)</f>
        <v>Fluorescent 4x40</v>
      </c>
      <c r="C497" s="160">
        <f t="shared" si="86"/>
        <v>990</v>
      </c>
      <c r="D497" s="18">
        <f t="shared" si="87"/>
        <v>1</v>
      </c>
      <c r="E497" s="18" t="str">
        <f>VLOOKUP(C497,'Tariff Schedule Lookup Table'!I$7:L$286,2,FALSE)</f>
        <v>MERCURY VAPOUR 80W</v>
      </c>
      <c r="F497" s="18" t="str">
        <f>IF(E497 = "BULKHEADS ETC", "SHARED OR NO POLE", VLOOKUP(C497,'Tariff Schedule Lookup Table'!I$7:L$286,3,FALSE))</f>
        <v>STEEL POLE</v>
      </c>
      <c r="G497" s="18">
        <f>IF(E497 = "NO CAPITAL", 1, VLOOKUP(C497,'Tariff Schedule Lookup Table'!I$7:L$286,4,FALSE))</f>
        <v>1</v>
      </c>
      <c r="H497" s="18" t="str">
        <f t="shared" si="78"/>
        <v>1-Unmetered, CE Funded, CE Maintained</v>
      </c>
      <c r="I497" s="123">
        <f>VLOOKUP(F497,'Maintenance Model'!$A$57:$B$61,2,FALSE)</f>
        <v>9.9616182311111103</v>
      </c>
      <c r="J497" s="123">
        <f>IF(D497=1,VLOOKUP(C497,'Capital Code Schedules'!A$15:F$300,2,FALSE),IF(D497=2,VLOOKUP(C497,'Capital Code Schedules'!A$15:F$300,3,FALSE),0))</f>
        <v>86.253661186307269</v>
      </c>
      <c r="K497" s="123">
        <v>109.41024862221688</v>
      </c>
      <c r="L497" s="123">
        <f>VLOOKUP(LEFT(A497,10),'Streetlight Tariff Schedule'!B$11:H$260,7, FALSE)+I497</f>
        <v>48.056390635961812</v>
      </c>
      <c r="M497" s="161">
        <f t="shared" si="79"/>
        <v>157.4666392581787</v>
      </c>
      <c r="N497" s="405">
        <f t="shared" si="80"/>
        <v>138.44727353675262</v>
      </c>
      <c r="O497" s="405">
        <v>175.28829524408758</v>
      </c>
      <c r="P497" s="406">
        <v>170.32474688699313</v>
      </c>
      <c r="Q497" s="406">
        <v>175.94823567407633</v>
      </c>
      <c r="R497" s="406">
        <v>181.03463185300888</v>
      </c>
      <c r="S497" s="405">
        <f t="shared" si="81"/>
        <v>143.08470980469875</v>
      </c>
      <c r="T497" s="406">
        <v>181.29944705888565</v>
      </c>
      <c r="U497" s="406">
        <v>187.19386786061565</v>
      </c>
      <c r="V497" s="405">
        <f t="shared" si="82"/>
        <v>148.02242814726827</v>
      </c>
      <c r="W497" s="406">
        <v>186.52728667217841</v>
      </c>
      <c r="X497" s="406">
        <v>194.28975960557713</v>
      </c>
      <c r="Y497" s="405">
        <f t="shared" si="83"/>
        <v>153.68542032265543</v>
      </c>
      <c r="Z497" s="406">
        <v>191.41627699070725</v>
      </c>
      <c r="AA497" s="406">
        <v>200.10390324912743</v>
      </c>
      <c r="AB497" s="442">
        <f t="shared" si="84"/>
        <v>156.62588711696651</v>
      </c>
      <c r="AC497" s="438">
        <f t="shared" si="85"/>
        <v>161.23053758728406</v>
      </c>
      <c r="AD497" s="410"/>
      <c r="AE497" s="411"/>
      <c r="AF497" s="411"/>
      <c r="AG497" s="411"/>
    </row>
    <row r="498" spans="1:33" x14ac:dyDescent="0.2">
      <c r="A498" s="36" t="s">
        <v>403</v>
      </c>
      <c r="B498" s="18" t="str">
        <f>VLOOKUP(LEFT(A498,7),'Tariff Schedule Lookup Table'!$A$8:$G$186,2,FALSE)</f>
        <v>Fluorescent 4x40</v>
      </c>
      <c r="C498" s="160">
        <f t="shared" si="86"/>
        <v>990</v>
      </c>
      <c r="D498" s="18">
        <f t="shared" si="87"/>
        <v>2</v>
      </c>
      <c r="E498" s="18" t="str">
        <f>VLOOKUP(C498,'Tariff Schedule Lookup Table'!I$7:L$286,2,FALSE)</f>
        <v>MERCURY VAPOUR 80W</v>
      </c>
      <c r="F498" s="18" t="str">
        <f>IF(E498 = "BULKHEADS ETC", "SHARED OR NO POLE", VLOOKUP(C498,'Tariff Schedule Lookup Table'!I$7:L$286,3,FALSE))</f>
        <v>STEEL POLE</v>
      </c>
      <c r="G498" s="18">
        <f>IF(E498 = "NO CAPITAL", 1, VLOOKUP(C498,'Tariff Schedule Lookup Table'!I$7:L$286,4,FALSE))</f>
        <v>1</v>
      </c>
      <c r="H498" s="18" t="str">
        <f t="shared" si="78"/>
        <v>2-Unmetered, Funded by Others, CE Maintained</v>
      </c>
      <c r="I498" s="123">
        <f>VLOOKUP(F498,'Maintenance Model'!$A$57:$B$61,2,FALSE)</f>
        <v>9.9616182311111103</v>
      </c>
      <c r="J498" s="123">
        <f>IF(D498=1,VLOOKUP(C498,'Capital Code Schedules'!A$15:F$300,2,FALSE),IF(D498=2,VLOOKUP(C498,'Capital Code Schedules'!A$15:F$300,3,FALSE),0))</f>
        <v>0</v>
      </c>
      <c r="K498" s="123">
        <v>0</v>
      </c>
      <c r="L498" s="123">
        <f>VLOOKUP(LEFT(A498,10),'Streetlight Tariff Schedule'!B$11:H$260,7, FALSE)+I498</f>
        <v>48.056390635961812</v>
      </c>
      <c r="M498" s="161">
        <f t="shared" si="79"/>
        <v>48.056390635961812</v>
      </c>
      <c r="N498" s="405">
        <f t="shared" si="80"/>
        <v>50.058834236084238</v>
      </c>
      <c r="O498" s="405">
        <v>58.20659461137636</v>
      </c>
      <c r="P498" s="406">
        <v>58.20659461137636</v>
      </c>
      <c r="Q498" s="406">
        <v>61.055159129638056</v>
      </c>
      <c r="R498" s="406">
        <v>61.055159129638056</v>
      </c>
      <c r="S498" s="405">
        <f t="shared" si="81"/>
        <v>52.508656631338802</v>
      </c>
      <c r="T498" s="406">
        <v>63.562766869972535</v>
      </c>
      <c r="U498" s="406">
        <v>63.794980164628761</v>
      </c>
      <c r="V498" s="405">
        <f t="shared" si="82"/>
        <v>54.864957458467593</v>
      </c>
      <c r="W498" s="406">
        <v>65.876623648589657</v>
      </c>
      <c r="X498" s="406">
        <v>66.707649616696273</v>
      </c>
      <c r="Y498" s="405">
        <f t="shared" si="83"/>
        <v>57.369911377504408</v>
      </c>
      <c r="Z498" s="406">
        <v>67.77951005728471</v>
      </c>
      <c r="AA498" s="406">
        <v>68.885703125563467</v>
      </c>
      <c r="AB498" s="442">
        <f t="shared" si="84"/>
        <v>58.615225214380835</v>
      </c>
      <c r="AC498" s="438">
        <f t="shared" si="85"/>
        <v>60.367765423333125</v>
      </c>
      <c r="AD498" s="410"/>
      <c r="AE498" s="411"/>
      <c r="AF498" s="411"/>
      <c r="AG498" s="411"/>
    </row>
    <row r="499" spans="1:33" x14ac:dyDescent="0.2">
      <c r="A499" s="36" t="s">
        <v>404</v>
      </c>
      <c r="B499" s="18" t="str">
        <f>VLOOKUP(LEFT(A499,7),'Tariff Schedule Lookup Table'!$A$8:$G$186,2,FALSE)</f>
        <v>Fluorescent 6x40</v>
      </c>
      <c r="C499" s="160">
        <f t="shared" si="86"/>
        <v>10</v>
      </c>
      <c r="D499" s="18">
        <f t="shared" si="87"/>
        <v>2</v>
      </c>
      <c r="E499" s="18" t="str">
        <f>VLOOKUP(C499,'Tariff Schedule Lookup Table'!I$7:L$286,2,FALSE)</f>
        <v>MERCURY VAPOUR 80W</v>
      </c>
      <c r="F499" s="18" t="str">
        <f>IF(E499 = "BULKHEADS ETC", "SHARED OR NO POLE", VLOOKUP(C499,'Tariff Schedule Lookup Table'!I$7:L$286,3,FALSE))</f>
        <v>SHARED OR NO POLE</v>
      </c>
      <c r="G499" s="18">
        <f>IF(E499 = "NO CAPITAL", 1, VLOOKUP(C499,'Tariff Schedule Lookup Table'!I$7:L$286,4,FALSE))</f>
        <v>1</v>
      </c>
      <c r="H499" s="18" t="str">
        <f t="shared" si="78"/>
        <v>2-Unmetered, Funded by Others, CE Maintained</v>
      </c>
      <c r="I499" s="123">
        <f>VLOOKUP(F499,'Maintenance Model'!$A$57:$B$61,2,FALSE)</f>
        <v>0</v>
      </c>
      <c r="J499" s="123">
        <f>IF(D499=1,VLOOKUP(C499,'Capital Code Schedules'!A$15:F$300,2,FALSE),IF(D499=2,VLOOKUP(C499,'Capital Code Schedules'!A$15:F$300,3,FALSE),0))</f>
        <v>0</v>
      </c>
      <c r="K499" s="123">
        <v>0</v>
      </c>
      <c r="L499" s="123">
        <f>VLOOKUP(LEFT(A499,10),'Streetlight Tariff Schedule'!B$11:H$260,7, FALSE)+I499</f>
        <v>46.197665338484036</v>
      </c>
      <c r="M499" s="161">
        <f t="shared" si="79"/>
        <v>46.197665338484036</v>
      </c>
      <c r="N499" s="405">
        <f t="shared" si="80"/>
        <v>48.122658415854666</v>
      </c>
      <c r="O499" s="405">
        <v>57.575269156210247</v>
      </c>
      <c r="P499" s="406">
        <v>57.575269156210247</v>
      </c>
      <c r="Q499" s="406">
        <v>60.392937324959163</v>
      </c>
      <c r="R499" s="406">
        <v>60.392937324959163</v>
      </c>
      <c r="S499" s="405">
        <f t="shared" si="81"/>
        <v>50.477726569266942</v>
      </c>
      <c r="T499" s="406">
        <v>62.873346830993654</v>
      </c>
      <c r="U499" s="406">
        <v>63.103041473512206</v>
      </c>
      <c r="V499" s="405">
        <f t="shared" si="82"/>
        <v>52.742890382194453</v>
      </c>
      <c r="W499" s="406">
        <v>65.162106853930368</v>
      </c>
      <c r="X499" s="406">
        <v>65.984119275529551</v>
      </c>
      <c r="Y499" s="405">
        <f t="shared" si="83"/>
        <v>55.150957682059207</v>
      </c>
      <c r="Z499" s="406">
        <v>67.044354009700228</v>
      </c>
      <c r="AA499" s="406">
        <v>68.138548990013277</v>
      </c>
      <c r="AB499" s="442">
        <f t="shared" si="84"/>
        <v>56.348105264640012</v>
      </c>
      <c r="AC499" s="438">
        <f t="shared" si="85"/>
        <v>58.032860715350623</v>
      </c>
      <c r="AD499" s="410"/>
      <c r="AE499" s="411"/>
      <c r="AF499" s="411"/>
      <c r="AG499" s="411"/>
    </row>
    <row r="500" spans="1:33" x14ac:dyDescent="0.2">
      <c r="A500" s="36" t="s">
        <v>405</v>
      </c>
      <c r="B500" s="18" t="str">
        <f>VLOOKUP(LEFT(A500,7),'Tariff Schedule Lookup Table'!$A$8:$G$186,2,FALSE)</f>
        <v>Fluorescent 58</v>
      </c>
      <c r="C500" s="160">
        <f t="shared" si="86"/>
        <v>10</v>
      </c>
      <c r="D500" s="18">
        <f t="shared" si="87"/>
        <v>1</v>
      </c>
      <c r="E500" s="18" t="str">
        <f>VLOOKUP(C500,'Tariff Schedule Lookup Table'!I$7:L$286,2,FALSE)</f>
        <v>MERCURY VAPOUR 80W</v>
      </c>
      <c r="F500" s="18" t="str">
        <f>IF(E500 = "BULKHEADS ETC", "SHARED OR NO POLE", VLOOKUP(C500,'Tariff Schedule Lookup Table'!I$7:L$286,3,FALSE))</f>
        <v>SHARED OR NO POLE</v>
      </c>
      <c r="G500" s="18">
        <f>IF(E500 = "NO CAPITAL", 1, VLOOKUP(C500,'Tariff Schedule Lookup Table'!I$7:L$286,4,FALSE))</f>
        <v>1</v>
      </c>
      <c r="H500" s="18" t="str">
        <f t="shared" si="78"/>
        <v>1-Unmetered, CE Funded, CE Maintained</v>
      </c>
      <c r="I500" s="123">
        <f>VLOOKUP(F500,'Maintenance Model'!$A$57:$B$61,2,FALSE)</f>
        <v>0</v>
      </c>
      <c r="J500" s="123">
        <f>IF(D500=1,VLOOKUP(C500,'Capital Code Schedules'!A$15:F$300,2,FALSE),IF(D500=2,VLOOKUP(C500,'Capital Code Schedules'!A$15:F$300,3,FALSE),0))</f>
        <v>17.255027166785979</v>
      </c>
      <c r="K500" s="123">
        <v>21.887497717034414</v>
      </c>
      <c r="L500" s="123">
        <f>VLOOKUP(LEFT(A500,10),'Streetlight Tariff Schedule'!B$11:H$260,7, FALSE)+I500</f>
        <v>25.940433004400706</v>
      </c>
      <c r="M500" s="161">
        <f t="shared" si="79"/>
        <v>47.827930721435123</v>
      </c>
      <c r="N500" s="405">
        <f t="shared" si="80"/>
        <v>44.703424203911553</v>
      </c>
      <c r="O500" s="405">
        <v>58.590464816601475</v>
      </c>
      <c r="P500" s="406">
        <v>57.597507989408641</v>
      </c>
      <c r="Q500" s="406">
        <v>59.873727349837019</v>
      </c>
      <c r="R500" s="406">
        <v>60.89125985850287</v>
      </c>
      <c r="S500" s="405">
        <f t="shared" si="81"/>
        <v>46.46344930703642</v>
      </c>
      <c r="T500" s="406">
        <v>61.957680680102008</v>
      </c>
      <c r="U500" s="406">
        <v>63.230706881400415</v>
      </c>
      <c r="V500" s="405">
        <f t="shared" si="82"/>
        <v>48.251772596757156</v>
      </c>
      <c r="W500" s="406">
        <v>63.938649453741121</v>
      </c>
      <c r="X500" s="406">
        <v>65.827388029771384</v>
      </c>
      <c r="Y500" s="405">
        <f t="shared" si="83"/>
        <v>50.235690428097001</v>
      </c>
      <c r="Z500" s="406">
        <v>65.685738652292841</v>
      </c>
      <c r="AA500" s="406">
        <v>67.870762187310277</v>
      </c>
      <c r="AB500" s="442">
        <f t="shared" si="84"/>
        <v>51.247015299419893</v>
      </c>
      <c r="AC500" s="438">
        <f t="shared" si="85"/>
        <v>52.763585744673911</v>
      </c>
      <c r="AD500" s="410"/>
      <c r="AE500" s="411"/>
      <c r="AF500" s="411"/>
      <c r="AG500" s="411"/>
    </row>
    <row r="501" spans="1:33" x14ac:dyDescent="0.2">
      <c r="A501" s="36" t="s">
        <v>406</v>
      </c>
      <c r="B501" s="18" t="str">
        <f>VLOOKUP(LEFT(A501,7),'Tariff Schedule Lookup Table'!$A$8:$G$186,2,FALSE)</f>
        <v>Fluorescent 2x58</v>
      </c>
      <c r="C501" s="160">
        <f t="shared" si="86"/>
        <v>10</v>
      </c>
      <c r="D501" s="18">
        <f t="shared" si="87"/>
        <v>1</v>
      </c>
      <c r="E501" s="18" t="str">
        <f>VLOOKUP(C501,'Tariff Schedule Lookup Table'!I$7:L$286,2,FALSE)</f>
        <v>MERCURY VAPOUR 80W</v>
      </c>
      <c r="F501" s="18" t="str">
        <f>IF(E501 = "BULKHEADS ETC", "SHARED OR NO POLE", VLOOKUP(C501,'Tariff Schedule Lookup Table'!I$7:L$286,3,FALSE))</f>
        <v>SHARED OR NO POLE</v>
      </c>
      <c r="G501" s="18">
        <f>IF(E501 = "NO CAPITAL", 1, VLOOKUP(C501,'Tariff Schedule Lookup Table'!I$7:L$286,4,FALSE))</f>
        <v>1</v>
      </c>
      <c r="H501" s="18" t="str">
        <f t="shared" si="78"/>
        <v>1-Unmetered, CE Funded, CE Maintained</v>
      </c>
      <c r="I501" s="123">
        <f>VLOOKUP(F501,'Maintenance Model'!$A$57:$B$61,2,FALSE)</f>
        <v>0</v>
      </c>
      <c r="J501" s="123">
        <f>IF(D501=1,VLOOKUP(C501,'Capital Code Schedules'!A$15:F$300,2,FALSE),IF(D501=2,VLOOKUP(C501,'Capital Code Schedules'!A$15:F$300,3,FALSE),0))</f>
        <v>17.255027166785979</v>
      </c>
      <c r="K501" s="123">
        <v>21.887497717034414</v>
      </c>
      <c r="L501" s="123">
        <f>VLOOKUP(LEFT(A501,10),'Streetlight Tariff Schedule'!B$11:H$260,7, FALSE)+I501</f>
        <v>29.991879471217374</v>
      </c>
      <c r="M501" s="161">
        <f t="shared" si="79"/>
        <v>51.879377188251787</v>
      </c>
      <c r="N501" s="405">
        <f t="shared" si="80"/>
        <v>48.923688864132963</v>
      </c>
      <c r="O501" s="405">
        <v>63.071859707067993</v>
      </c>
      <c r="P501" s="406">
        <v>62.078902879875166</v>
      </c>
      <c r="Q501" s="406">
        <v>64.57443660773103</v>
      </c>
      <c r="R501" s="406">
        <v>65.591969116396882</v>
      </c>
      <c r="S501" s="405">
        <f t="shared" si="81"/>
        <v>50.890248918306682</v>
      </c>
      <c r="T501" s="406">
        <v>66.851453637905948</v>
      </c>
      <c r="U501" s="406">
        <v>68.142358216716701</v>
      </c>
      <c r="V501" s="405">
        <f t="shared" si="82"/>
        <v>52.877222721195253</v>
      </c>
      <c r="W501" s="406">
        <v>69.010568994663316</v>
      </c>
      <c r="X501" s="406">
        <v>70.963289247549653</v>
      </c>
      <c r="Y501" s="405">
        <f t="shared" si="83"/>
        <v>55.072323426873275</v>
      </c>
      <c r="Z501" s="406">
        <v>70.904163679165549</v>
      </c>
      <c r="AA501" s="406">
        <v>73.174354333083372</v>
      </c>
      <c r="AB501" s="442">
        <f t="shared" si="84"/>
        <v>56.18863584049226</v>
      </c>
      <c r="AC501" s="438">
        <f t="shared" si="85"/>
        <v>57.852956100985217</v>
      </c>
      <c r="AD501" s="410"/>
      <c r="AE501" s="411"/>
      <c r="AF501" s="411"/>
      <c r="AG501" s="411"/>
    </row>
    <row r="502" spans="1:33" x14ac:dyDescent="0.2">
      <c r="A502" s="36" t="s">
        <v>407</v>
      </c>
      <c r="B502" s="18" t="str">
        <f>VLOOKUP(LEFT(A502,7),'Tariff Schedule Lookup Table'!$A$8:$G$186,2,FALSE)</f>
        <v>Fluorescent 2x58</v>
      </c>
      <c r="C502" s="160">
        <f t="shared" si="86"/>
        <v>10</v>
      </c>
      <c r="D502" s="18">
        <f t="shared" si="87"/>
        <v>2</v>
      </c>
      <c r="E502" s="18" t="str">
        <f>VLOOKUP(C502,'Tariff Schedule Lookup Table'!I$7:L$286,2,FALSE)</f>
        <v>MERCURY VAPOUR 80W</v>
      </c>
      <c r="F502" s="18" t="str">
        <f>IF(E502 = "BULKHEADS ETC", "SHARED OR NO POLE", VLOOKUP(C502,'Tariff Schedule Lookup Table'!I$7:L$286,3,FALSE))</f>
        <v>SHARED OR NO POLE</v>
      </c>
      <c r="G502" s="18">
        <f>IF(E502 = "NO CAPITAL", 1, VLOOKUP(C502,'Tariff Schedule Lookup Table'!I$7:L$286,4,FALSE))</f>
        <v>1</v>
      </c>
      <c r="H502" s="18" t="str">
        <f t="shared" si="78"/>
        <v>2-Unmetered, Funded by Others, CE Maintained</v>
      </c>
      <c r="I502" s="123">
        <f>VLOOKUP(F502,'Maintenance Model'!$A$57:$B$61,2,FALSE)</f>
        <v>0</v>
      </c>
      <c r="J502" s="123">
        <f>IF(D502=1,VLOOKUP(C502,'Capital Code Schedules'!A$15:F$300,2,FALSE),IF(D502=2,VLOOKUP(C502,'Capital Code Schedules'!A$15:F$300,3,FALSE),0))</f>
        <v>0</v>
      </c>
      <c r="K502" s="123">
        <v>0</v>
      </c>
      <c r="L502" s="123">
        <f>VLOOKUP(LEFT(A502,10),'Streetlight Tariff Schedule'!B$11:H$260,7, FALSE)+I502</f>
        <v>29.991879471217374</v>
      </c>
      <c r="M502" s="161">
        <f t="shared" si="79"/>
        <v>29.991879471217374</v>
      </c>
      <c r="N502" s="405">
        <f t="shared" si="80"/>
        <v>31.241599774969032</v>
      </c>
      <c r="O502" s="405">
        <v>39.649689594344146</v>
      </c>
      <c r="P502" s="406">
        <v>39.649689594344146</v>
      </c>
      <c r="Q502" s="406">
        <v>41.590100293383117</v>
      </c>
      <c r="R502" s="406">
        <v>41.590100293383117</v>
      </c>
      <c r="S502" s="405">
        <f t="shared" si="81"/>
        <v>32.770528124185937</v>
      </c>
      <c r="T502" s="406">
        <v>43.298254999777917</v>
      </c>
      <c r="U502" s="406">
        <v>43.456436132247049</v>
      </c>
      <c r="V502" s="405">
        <f t="shared" si="82"/>
        <v>34.241089884442069</v>
      </c>
      <c r="W502" s="406">
        <v>44.874428690241622</v>
      </c>
      <c r="X502" s="406">
        <v>45.440514404416469</v>
      </c>
      <c r="Y502" s="405">
        <f t="shared" si="83"/>
        <v>35.804425686954161</v>
      </c>
      <c r="Z502" s="406">
        <v>46.170653902209423</v>
      </c>
      <c r="AA502" s="406">
        <v>46.924180406920897</v>
      </c>
      <c r="AB502" s="442">
        <f t="shared" si="84"/>
        <v>36.581623100350569</v>
      </c>
      <c r="AC502" s="438">
        <f t="shared" si="85"/>
        <v>37.675379290105397</v>
      </c>
      <c r="AD502" s="410"/>
      <c r="AE502" s="411"/>
      <c r="AF502" s="411"/>
      <c r="AG502" s="411"/>
    </row>
    <row r="503" spans="1:33" x14ac:dyDescent="0.2">
      <c r="A503" s="36" t="s">
        <v>408</v>
      </c>
      <c r="B503" s="18" t="str">
        <f>VLOOKUP(LEFT(A503,7),'Tariff Schedule Lookup Table'!$A$8:$G$186,2,FALSE)</f>
        <v>Fluorescent 4x58</v>
      </c>
      <c r="C503" s="160">
        <f t="shared" si="86"/>
        <v>10</v>
      </c>
      <c r="D503" s="18">
        <f t="shared" si="87"/>
        <v>2</v>
      </c>
      <c r="E503" s="18" t="str">
        <f>VLOOKUP(C503,'Tariff Schedule Lookup Table'!I$7:L$286,2,FALSE)</f>
        <v>MERCURY VAPOUR 80W</v>
      </c>
      <c r="F503" s="18" t="str">
        <f>IF(E503 = "BULKHEADS ETC", "SHARED OR NO POLE", VLOOKUP(C503,'Tariff Schedule Lookup Table'!I$7:L$286,3,FALSE))</f>
        <v>SHARED OR NO POLE</v>
      </c>
      <c r="G503" s="18">
        <f>IF(E503 = "NO CAPITAL", 1, VLOOKUP(C503,'Tariff Schedule Lookup Table'!I$7:L$286,4,FALSE))</f>
        <v>1</v>
      </c>
      <c r="H503" s="18" t="str">
        <f t="shared" si="78"/>
        <v>2-Unmetered, Funded by Others, CE Maintained</v>
      </c>
      <c r="I503" s="123">
        <f>VLOOKUP(F503,'Maintenance Model'!$A$57:$B$61,2,FALSE)</f>
        <v>0</v>
      </c>
      <c r="J503" s="123">
        <f>IF(D503=1,VLOOKUP(C503,'Capital Code Schedules'!A$15:F$300,2,FALSE),IF(D503=2,VLOOKUP(C503,'Capital Code Schedules'!A$15:F$300,3,FALSE),0))</f>
        <v>0</v>
      </c>
      <c r="K503" s="123">
        <v>0</v>
      </c>
      <c r="L503" s="123">
        <f>VLOOKUP(LEFT(A503,10),'Streetlight Tariff Schedule'!B$11:H$260,7, FALSE)+I503</f>
        <v>38.094772404850701</v>
      </c>
      <c r="M503" s="161">
        <f t="shared" si="79"/>
        <v>38.094772404850701</v>
      </c>
      <c r="N503" s="405">
        <f t="shared" si="80"/>
        <v>39.682129095411845</v>
      </c>
      <c r="O503" s="405">
        <v>48.612479375277196</v>
      </c>
      <c r="P503" s="406">
        <v>48.612479375277196</v>
      </c>
      <c r="Q503" s="406">
        <v>50.99151880917114</v>
      </c>
      <c r="R503" s="406">
        <v>50.99151880917114</v>
      </c>
      <c r="S503" s="405">
        <f t="shared" si="81"/>
        <v>41.624127346726439</v>
      </c>
      <c r="T503" s="406">
        <v>53.085800915385782</v>
      </c>
      <c r="U503" s="406">
        <v>53.279738802879628</v>
      </c>
      <c r="V503" s="405">
        <f t="shared" si="82"/>
        <v>43.491990133318254</v>
      </c>
      <c r="W503" s="406">
        <v>55.018267772085999</v>
      </c>
      <c r="X503" s="406">
        <v>55.712316839973006</v>
      </c>
      <c r="Y503" s="405">
        <f t="shared" si="83"/>
        <v>45.477691684506681</v>
      </c>
      <c r="Z503" s="406">
        <v>56.607503955954833</v>
      </c>
      <c r="AA503" s="406">
        <v>57.53136469846708</v>
      </c>
      <c r="AB503" s="442">
        <f t="shared" si="84"/>
        <v>46.46486418249529</v>
      </c>
      <c r="AC503" s="438">
        <f t="shared" si="85"/>
        <v>47.85412000272801</v>
      </c>
      <c r="AD503" s="410"/>
      <c r="AE503" s="411"/>
      <c r="AF503" s="411"/>
      <c r="AG503" s="411"/>
    </row>
    <row r="504" spans="1:33" x14ac:dyDescent="0.2">
      <c r="A504" s="36" t="s">
        <v>409</v>
      </c>
      <c r="B504" s="18" t="str">
        <f>VLOOKUP(LEFT(A504,7),'Tariff Schedule Lookup Table'!$A$8:$G$186,2,FALSE)</f>
        <v>Fluorescent 80</v>
      </c>
      <c r="C504" s="160">
        <f t="shared" si="86"/>
        <v>10</v>
      </c>
      <c r="D504" s="18">
        <f t="shared" si="87"/>
        <v>1</v>
      </c>
      <c r="E504" s="18" t="str">
        <f>VLOOKUP(C504,'Tariff Schedule Lookup Table'!I$7:L$286,2,FALSE)</f>
        <v>MERCURY VAPOUR 80W</v>
      </c>
      <c r="F504" s="18" t="str">
        <f>IF(E504 = "BULKHEADS ETC", "SHARED OR NO POLE", VLOOKUP(C504,'Tariff Schedule Lookup Table'!I$7:L$286,3,FALSE))</f>
        <v>SHARED OR NO POLE</v>
      </c>
      <c r="G504" s="18">
        <f>IF(E504 = "NO CAPITAL", 1, VLOOKUP(C504,'Tariff Schedule Lookup Table'!I$7:L$286,4,FALSE))</f>
        <v>1</v>
      </c>
      <c r="H504" s="18" t="str">
        <f t="shared" si="78"/>
        <v>1-Unmetered, CE Funded, CE Maintained</v>
      </c>
      <c r="I504" s="123">
        <f>VLOOKUP(F504,'Maintenance Model'!$A$57:$B$61,2,FALSE)</f>
        <v>0</v>
      </c>
      <c r="J504" s="123">
        <f>IF(D504=1,VLOOKUP(C504,'Capital Code Schedules'!A$15:F$300,2,FALSE),IF(D504=2,VLOOKUP(C504,'Capital Code Schedules'!A$15:F$300,3,FALSE),0))</f>
        <v>17.255027166785979</v>
      </c>
      <c r="K504" s="123">
        <v>21.887497717034414</v>
      </c>
      <c r="L504" s="123">
        <f>VLOOKUP(LEFT(A504,10),'Streetlight Tariff Schedule'!B$11:H$260,7, FALSE)+I504</f>
        <v>25.940433004400706</v>
      </c>
      <c r="M504" s="161">
        <f t="shared" si="79"/>
        <v>47.827930721435123</v>
      </c>
      <c r="N504" s="405">
        <f t="shared" si="80"/>
        <v>44.703424203911553</v>
      </c>
      <c r="O504" s="405">
        <v>58.590464816601475</v>
      </c>
      <c r="P504" s="406">
        <v>57.597507989408641</v>
      </c>
      <c r="Q504" s="406">
        <v>59.873727349837019</v>
      </c>
      <c r="R504" s="406">
        <v>60.89125985850287</v>
      </c>
      <c r="S504" s="405">
        <f t="shared" si="81"/>
        <v>46.46344930703642</v>
      </c>
      <c r="T504" s="406">
        <v>61.957680680102008</v>
      </c>
      <c r="U504" s="406">
        <v>63.230706881400415</v>
      </c>
      <c r="V504" s="405">
        <f t="shared" si="82"/>
        <v>48.251772596757156</v>
      </c>
      <c r="W504" s="406">
        <v>63.938649453741121</v>
      </c>
      <c r="X504" s="406">
        <v>65.827388029771384</v>
      </c>
      <c r="Y504" s="405">
        <f t="shared" si="83"/>
        <v>50.235690428097001</v>
      </c>
      <c r="Z504" s="406">
        <v>65.685738652292841</v>
      </c>
      <c r="AA504" s="406">
        <v>67.870762187310277</v>
      </c>
      <c r="AB504" s="442">
        <f t="shared" si="84"/>
        <v>51.247015299419893</v>
      </c>
      <c r="AC504" s="438">
        <f t="shared" si="85"/>
        <v>52.763585744673911</v>
      </c>
      <c r="AD504" s="410"/>
      <c r="AE504" s="411"/>
      <c r="AF504" s="411"/>
      <c r="AG504" s="411"/>
    </row>
    <row r="505" spans="1:33" x14ac:dyDescent="0.2">
      <c r="A505" s="36" t="s">
        <v>410</v>
      </c>
      <c r="B505" s="18" t="str">
        <f>VLOOKUP(LEFT(A505,7),'Tariff Schedule Lookup Table'!$A$8:$G$186,2,FALSE)</f>
        <v>Fluorescent 80</v>
      </c>
      <c r="C505" s="160">
        <f t="shared" si="86"/>
        <v>10</v>
      </c>
      <c r="D505" s="18">
        <f t="shared" si="87"/>
        <v>2</v>
      </c>
      <c r="E505" s="18" t="str">
        <f>VLOOKUP(C505,'Tariff Schedule Lookup Table'!I$7:L$286,2,FALSE)</f>
        <v>MERCURY VAPOUR 80W</v>
      </c>
      <c r="F505" s="18" t="str">
        <f>IF(E505 = "BULKHEADS ETC", "SHARED OR NO POLE", VLOOKUP(C505,'Tariff Schedule Lookup Table'!I$7:L$286,3,FALSE))</f>
        <v>SHARED OR NO POLE</v>
      </c>
      <c r="G505" s="18">
        <f>IF(E505 = "NO CAPITAL", 1, VLOOKUP(C505,'Tariff Schedule Lookup Table'!I$7:L$286,4,FALSE))</f>
        <v>1</v>
      </c>
      <c r="H505" s="18" t="str">
        <f t="shared" si="78"/>
        <v>2-Unmetered, Funded by Others, CE Maintained</v>
      </c>
      <c r="I505" s="123">
        <f>VLOOKUP(F505,'Maintenance Model'!$A$57:$B$61,2,FALSE)</f>
        <v>0</v>
      </c>
      <c r="J505" s="123">
        <f>IF(D505=1,VLOOKUP(C505,'Capital Code Schedules'!A$15:F$300,2,FALSE),IF(D505=2,VLOOKUP(C505,'Capital Code Schedules'!A$15:F$300,3,FALSE),0))</f>
        <v>0</v>
      </c>
      <c r="K505" s="123">
        <v>0</v>
      </c>
      <c r="L505" s="123">
        <f>VLOOKUP(LEFT(A505,10),'Streetlight Tariff Schedule'!B$11:H$260,7, FALSE)+I505</f>
        <v>25.940433004400706</v>
      </c>
      <c r="M505" s="161">
        <f t="shared" si="79"/>
        <v>25.940433004400706</v>
      </c>
      <c r="N505" s="405">
        <f t="shared" si="80"/>
        <v>27.021335114747622</v>
      </c>
      <c r="O505" s="405">
        <v>35.168294703877628</v>
      </c>
      <c r="P505" s="406">
        <v>35.168294703877628</v>
      </c>
      <c r="Q505" s="406">
        <v>36.889391035489098</v>
      </c>
      <c r="R505" s="406">
        <v>36.889391035489098</v>
      </c>
      <c r="S505" s="405">
        <f t="shared" si="81"/>
        <v>28.343728512915682</v>
      </c>
      <c r="T505" s="406">
        <v>38.404482041973985</v>
      </c>
      <c r="U505" s="406">
        <v>38.544784796930763</v>
      </c>
      <c r="V505" s="405">
        <f t="shared" si="82"/>
        <v>29.61563976000398</v>
      </c>
      <c r="W505" s="406">
        <v>39.802509149319427</v>
      </c>
      <c r="X505" s="406">
        <v>40.3046131866382</v>
      </c>
      <c r="Y505" s="405">
        <f t="shared" si="83"/>
        <v>30.967792688177894</v>
      </c>
      <c r="Z505" s="406">
        <v>40.952228875336722</v>
      </c>
      <c r="AA505" s="406">
        <v>41.620588261147809</v>
      </c>
      <c r="AB505" s="442">
        <f t="shared" si="84"/>
        <v>31.640002559278212</v>
      </c>
      <c r="AC505" s="438">
        <f t="shared" si="85"/>
        <v>32.586008933794091</v>
      </c>
      <c r="AD505" s="410"/>
      <c r="AE505" s="411"/>
      <c r="AF505" s="411"/>
      <c r="AG505" s="411"/>
    </row>
    <row r="506" spans="1:33" x14ac:dyDescent="0.2">
      <c r="A506" s="36" t="s">
        <v>411</v>
      </c>
      <c r="B506" s="18" t="str">
        <f>VLOOKUP(LEFT(A506,7),'Tariff Schedule Lookup Table'!$A$8:$G$186,2,FALSE)</f>
        <v>Fluorescent 80</v>
      </c>
      <c r="C506" s="160">
        <f t="shared" si="86"/>
        <v>990</v>
      </c>
      <c r="D506" s="18">
        <f t="shared" si="87"/>
        <v>1</v>
      </c>
      <c r="E506" s="18" t="str">
        <f>VLOOKUP(C506,'Tariff Schedule Lookup Table'!I$7:L$286,2,FALSE)</f>
        <v>MERCURY VAPOUR 80W</v>
      </c>
      <c r="F506" s="18" t="str">
        <f>IF(E506 = "BULKHEADS ETC", "SHARED OR NO POLE", VLOOKUP(C506,'Tariff Schedule Lookup Table'!I$7:L$286,3,FALSE))</f>
        <v>STEEL POLE</v>
      </c>
      <c r="G506" s="18">
        <f>IF(E506 = "NO CAPITAL", 1, VLOOKUP(C506,'Tariff Schedule Lookup Table'!I$7:L$286,4,FALSE))</f>
        <v>1</v>
      </c>
      <c r="H506" s="18" t="str">
        <f t="shared" si="78"/>
        <v>1-Unmetered, CE Funded, CE Maintained</v>
      </c>
      <c r="I506" s="123">
        <f>VLOOKUP(F506,'Maintenance Model'!$A$57:$B$61,2,FALSE)</f>
        <v>9.9616182311111103</v>
      </c>
      <c r="J506" s="123">
        <f>IF(D506=1,VLOOKUP(C506,'Capital Code Schedules'!A$15:F$300,2,FALSE),IF(D506=2,VLOOKUP(C506,'Capital Code Schedules'!A$15:F$300,3,FALSE),0))</f>
        <v>86.253661186307269</v>
      </c>
      <c r="K506" s="123">
        <v>109.41024862221688</v>
      </c>
      <c r="L506" s="123">
        <f>VLOOKUP(LEFT(A506,10),'Streetlight Tariff Schedule'!B$11:H$260,7, FALSE)+I506</f>
        <v>35.90205123551182</v>
      </c>
      <c r="M506" s="161">
        <f t="shared" si="79"/>
        <v>145.3122998577287</v>
      </c>
      <c r="N506" s="405">
        <f t="shared" si="80"/>
        <v>125.78647955608841</v>
      </c>
      <c r="O506" s="405">
        <v>161.84411057268801</v>
      </c>
      <c r="P506" s="406">
        <v>156.88056221559356</v>
      </c>
      <c r="Q506" s="406">
        <v>161.84610790039429</v>
      </c>
      <c r="R506" s="406">
        <v>166.93250407932683</v>
      </c>
      <c r="S506" s="405">
        <f t="shared" si="81"/>
        <v>129.80431097088797</v>
      </c>
      <c r="T506" s="406">
        <v>166.61812818547386</v>
      </c>
      <c r="U506" s="406">
        <v>172.45891385466678</v>
      </c>
      <c r="V506" s="405">
        <f t="shared" si="82"/>
        <v>134.146077773954</v>
      </c>
      <c r="W506" s="406">
        <v>171.31152804941181</v>
      </c>
      <c r="X506" s="406">
        <v>178.8820559522423</v>
      </c>
      <c r="Y506" s="405">
        <f t="shared" si="83"/>
        <v>139.17552132632665</v>
      </c>
      <c r="Z506" s="406">
        <v>175.76100191008913</v>
      </c>
      <c r="AA506" s="406">
        <v>184.19312681180816</v>
      </c>
      <c r="AB506" s="442">
        <f t="shared" si="84"/>
        <v>141.80102549374945</v>
      </c>
      <c r="AC506" s="438">
        <f t="shared" si="85"/>
        <v>145.96242651835016</v>
      </c>
      <c r="AD506" s="410"/>
      <c r="AE506" s="411"/>
      <c r="AF506" s="411"/>
      <c r="AG506" s="411"/>
    </row>
    <row r="507" spans="1:33" x14ac:dyDescent="0.2">
      <c r="A507" s="36" t="s">
        <v>412</v>
      </c>
      <c r="B507" s="18" t="str">
        <f>VLOOKUP(LEFT(A507,7),'Tariff Schedule Lookup Table'!$A$8:$G$186,2,FALSE)</f>
        <v>Fluorescent 80</v>
      </c>
      <c r="C507" s="160">
        <f t="shared" si="86"/>
        <v>990</v>
      </c>
      <c r="D507" s="18">
        <f t="shared" si="87"/>
        <v>2</v>
      </c>
      <c r="E507" s="18" t="str">
        <f>VLOOKUP(C507,'Tariff Schedule Lookup Table'!I$7:L$286,2,FALSE)</f>
        <v>MERCURY VAPOUR 80W</v>
      </c>
      <c r="F507" s="18" t="str">
        <f>IF(E507 = "BULKHEADS ETC", "SHARED OR NO POLE", VLOOKUP(C507,'Tariff Schedule Lookup Table'!I$7:L$286,3,FALSE))</f>
        <v>STEEL POLE</v>
      </c>
      <c r="G507" s="18">
        <f>IF(E507 = "NO CAPITAL", 1, VLOOKUP(C507,'Tariff Schedule Lookup Table'!I$7:L$286,4,FALSE))</f>
        <v>1</v>
      </c>
      <c r="H507" s="18" t="str">
        <f t="shared" si="78"/>
        <v>2-Unmetered, Funded by Others, CE Maintained</v>
      </c>
      <c r="I507" s="123">
        <f>VLOOKUP(F507,'Maintenance Model'!$A$57:$B$61,2,FALSE)</f>
        <v>9.9616182311111103</v>
      </c>
      <c r="J507" s="123">
        <f>IF(D507=1,VLOOKUP(C507,'Capital Code Schedules'!A$15:F$300,2,FALSE),IF(D507=2,VLOOKUP(C507,'Capital Code Schedules'!A$15:F$300,3,FALSE),0))</f>
        <v>0</v>
      </c>
      <c r="K507" s="123">
        <v>0</v>
      </c>
      <c r="L507" s="123">
        <f>VLOOKUP(LEFT(A507,10),'Streetlight Tariff Schedule'!B$11:H$260,7, FALSE)+I507</f>
        <v>35.90205123551182</v>
      </c>
      <c r="M507" s="161">
        <f t="shared" si="79"/>
        <v>35.90205123551182</v>
      </c>
      <c r="N507" s="405">
        <f t="shared" si="80"/>
        <v>37.398040255420021</v>
      </c>
      <c r="O507" s="405">
        <v>44.762409939976784</v>
      </c>
      <c r="P507" s="406">
        <v>44.762409939976784</v>
      </c>
      <c r="Q507" s="406">
        <v>46.953031355956014</v>
      </c>
      <c r="R507" s="406">
        <v>46.953031355956014</v>
      </c>
      <c r="S507" s="405">
        <f t="shared" si="81"/>
        <v>39.228257797528059</v>
      </c>
      <c r="T507" s="406">
        <v>48.881447996560738</v>
      </c>
      <c r="U507" s="406">
        <v>49.060026158679896</v>
      </c>
      <c r="V507" s="405">
        <f t="shared" si="82"/>
        <v>40.988607085153319</v>
      </c>
      <c r="W507" s="406">
        <v>50.660865025823085</v>
      </c>
      <c r="X507" s="406">
        <v>51.299945963361466</v>
      </c>
      <c r="Y507" s="405">
        <f t="shared" si="83"/>
        <v>42.860012381175629</v>
      </c>
      <c r="Z507" s="406">
        <v>52.124234976666614</v>
      </c>
      <c r="AA507" s="406">
        <v>52.974926688244203</v>
      </c>
      <c r="AB507" s="442">
        <f t="shared" si="84"/>
        <v>43.790363591163754</v>
      </c>
      <c r="AC507" s="438">
        <f t="shared" si="85"/>
        <v>45.099654354399213</v>
      </c>
      <c r="AD507" s="410"/>
      <c r="AE507" s="411"/>
      <c r="AF507" s="411"/>
      <c r="AG507" s="411"/>
    </row>
    <row r="508" spans="1:33" x14ac:dyDescent="0.2">
      <c r="A508" s="36" t="s">
        <v>413</v>
      </c>
      <c r="B508" s="18" t="str">
        <f>VLOOKUP(LEFT(A508,7),'Tariff Schedule Lookup Table'!$A$8:$G$186,2,FALSE)</f>
        <v>Fluorescent 80</v>
      </c>
      <c r="C508" s="160">
        <f t="shared" si="86"/>
        <v>1000</v>
      </c>
      <c r="D508" s="18">
        <f t="shared" si="87"/>
        <v>2</v>
      </c>
      <c r="E508" s="18" t="str">
        <f>VLOOKUP(C508,'Tariff Schedule Lookup Table'!I$7:L$286,2,FALSE)</f>
        <v>MERCURY VAPOUR 80W</v>
      </c>
      <c r="F508" s="18" t="str">
        <f>IF(E508 = "BULKHEADS ETC", "SHARED OR NO POLE", VLOOKUP(C508,'Tariff Schedule Lookup Table'!I$7:L$286,3,FALSE))</f>
        <v>STEEL POLE</v>
      </c>
      <c r="G508" s="18">
        <f>IF(E508 = "NO CAPITAL", 1, VLOOKUP(C508,'Tariff Schedule Lookup Table'!I$7:L$286,4,FALSE))</f>
        <v>2</v>
      </c>
      <c r="H508" s="18" t="str">
        <f t="shared" si="78"/>
        <v>2-Unmetered, Funded by Others, CE Maintained</v>
      </c>
      <c r="I508" s="123">
        <f>VLOOKUP(F508,'Maintenance Model'!$A$57:$B$61,2,FALSE)</f>
        <v>9.9616182311111103</v>
      </c>
      <c r="J508" s="123">
        <f>IF(D508=1,VLOOKUP(C508,'Capital Code Schedules'!A$15:F$300,2,FALSE),IF(D508=2,VLOOKUP(C508,'Capital Code Schedules'!A$15:F$300,3,FALSE),0))</f>
        <v>0</v>
      </c>
      <c r="K508" s="123">
        <v>0</v>
      </c>
      <c r="L508" s="123">
        <f>VLOOKUP(LEFT(A508,10),'Streetlight Tariff Schedule'!B$11:H$260,7, FALSE)+I508</f>
        <v>35.90205123551182</v>
      </c>
      <c r="M508" s="161">
        <f t="shared" si="79"/>
        <v>35.90205123551182</v>
      </c>
      <c r="N508" s="405">
        <f t="shared" si="80"/>
        <v>37.398040255420021</v>
      </c>
      <c r="O508" s="405">
        <v>44.762409939976784</v>
      </c>
      <c r="P508" s="406">
        <v>44.762409939976784</v>
      </c>
      <c r="Q508" s="406">
        <v>46.953031355956014</v>
      </c>
      <c r="R508" s="406">
        <v>46.953031355956014</v>
      </c>
      <c r="S508" s="405">
        <f t="shared" si="81"/>
        <v>39.228257797528059</v>
      </c>
      <c r="T508" s="406">
        <v>48.881447996560738</v>
      </c>
      <c r="U508" s="406">
        <v>49.060026158679896</v>
      </c>
      <c r="V508" s="405">
        <f t="shared" si="82"/>
        <v>40.988607085153319</v>
      </c>
      <c r="W508" s="406">
        <v>50.660865025823085</v>
      </c>
      <c r="X508" s="406">
        <v>51.299945963361466</v>
      </c>
      <c r="Y508" s="405">
        <f t="shared" si="83"/>
        <v>42.860012381175629</v>
      </c>
      <c r="Z508" s="406">
        <v>52.124234976666614</v>
      </c>
      <c r="AA508" s="406">
        <v>52.974926688244203</v>
      </c>
      <c r="AB508" s="442">
        <f t="shared" si="84"/>
        <v>43.790363591163754</v>
      </c>
      <c r="AC508" s="438">
        <f t="shared" si="85"/>
        <v>45.099654354399213</v>
      </c>
      <c r="AD508" s="410"/>
      <c r="AE508" s="411"/>
      <c r="AF508" s="411"/>
      <c r="AG508" s="411"/>
    </row>
    <row r="509" spans="1:33" x14ac:dyDescent="0.2">
      <c r="A509" s="36" t="s">
        <v>414</v>
      </c>
      <c r="B509" s="18" t="str">
        <f>VLOOKUP(LEFT(A509,7),'Tariff Schedule Lookup Table'!$A$8:$G$186,2,FALSE)</f>
        <v>Fluorescent 80</v>
      </c>
      <c r="C509" s="160">
        <f t="shared" si="86"/>
        <v>1260</v>
      </c>
      <c r="D509" s="18">
        <f t="shared" si="87"/>
        <v>2</v>
      </c>
      <c r="E509" s="18" t="str">
        <f>VLOOKUP(C509,'Tariff Schedule Lookup Table'!I$7:L$286,2,FALSE)</f>
        <v>MERCURY VAPOUR 80W</v>
      </c>
      <c r="F509" s="18" t="str">
        <f>IF(E509 = "BULKHEADS ETC", "SHARED OR NO POLE", VLOOKUP(C509,'Tariff Schedule Lookup Table'!I$7:L$286,3,FALSE))</f>
        <v>WOOD POLE</v>
      </c>
      <c r="G509" s="18">
        <f>IF(E509 = "NO CAPITAL", 1, VLOOKUP(C509,'Tariff Schedule Lookup Table'!I$7:L$286,4,FALSE))</f>
        <v>2</v>
      </c>
      <c r="H509" s="18" t="str">
        <f t="shared" si="78"/>
        <v>2-Unmetered, Funded by Others, CE Maintained</v>
      </c>
      <c r="I509" s="123">
        <f>VLOOKUP(F509,'Maintenance Model'!$A$57:$B$61,2,FALSE)</f>
        <v>10.731618231111112</v>
      </c>
      <c r="J509" s="123">
        <f>IF(D509=1,VLOOKUP(C509,'Capital Code Schedules'!A$15:F$300,2,FALSE),IF(D509=2,VLOOKUP(C509,'Capital Code Schedules'!A$15:F$300,3,FALSE),0))</f>
        <v>0</v>
      </c>
      <c r="K509" s="123">
        <v>0</v>
      </c>
      <c r="L509" s="123">
        <f>VLOOKUP(LEFT(A509,10),'Streetlight Tariff Schedule'!B$11:H$260,7, FALSE)+I509</f>
        <v>36.672051235511816</v>
      </c>
      <c r="M509" s="161">
        <f t="shared" si="79"/>
        <v>36.672051235511816</v>
      </c>
      <c r="N509" s="405">
        <f t="shared" si="80"/>
        <v>38.200125094745019</v>
      </c>
      <c r="O509" s="405">
        <v>45.564494779301789</v>
      </c>
      <c r="P509" s="406">
        <v>45.564494779301789</v>
      </c>
      <c r="Q509" s="406">
        <v>47.794369314780475</v>
      </c>
      <c r="R509" s="406">
        <v>47.794369314780475</v>
      </c>
      <c r="S509" s="405">
        <f t="shared" si="81"/>
        <v>40.069595756352506</v>
      </c>
      <c r="T509" s="406">
        <v>49.757340702401834</v>
      </c>
      <c r="U509" s="406">
        <v>49.939118755605101</v>
      </c>
      <c r="V509" s="405">
        <f t="shared" si="82"/>
        <v>41.867699682078523</v>
      </c>
      <c r="W509" s="406">
        <v>51.568642597200295</v>
      </c>
      <c r="X509" s="406">
        <v>52.219175043533404</v>
      </c>
      <c r="Y509" s="405">
        <f t="shared" si="83"/>
        <v>43.77924146134756</v>
      </c>
      <c r="Z509" s="406">
        <v>53.058234256246507</v>
      </c>
      <c r="AA509" s="406">
        <v>53.924169269641645</v>
      </c>
      <c r="AB509" s="442">
        <f t="shared" si="84"/>
        <v>44.729546139369916</v>
      </c>
      <c r="AC509" s="438">
        <f t="shared" si="85"/>
        <v>46.06691757914048</v>
      </c>
      <c r="AD509" s="410"/>
      <c r="AE509" s="411"/>
      <c r="AF509" s="411"/>
      <c r="AG509" s="411"/>
    </row>
    <row r="510" spans="1:33" x14ac:dyDescent="0.2">
      <c r="A510" s="36" t="s">
        <v>415</v>
      </c>
      <c r="B510" s="18" t="str">
        <f>VLOOKUP(LEFT(A510,7),'Tariff Schedule Lookup Table'!$A$8:$G$186,2,FALSE)</f>
        <v>Fluorescent 2x80</v>
      </c>
      <c r="C510" s="160">
        <f t="shared" si="86"/>
        <v>10</v>
      </c>
      <c r="D510" s="18">
        <f t="shared" si="87"/>
        <v>1</v>
      </c>
      <c r="E510" s="18" t="str">
        <f>VLOOKUP(C510,'Tariff Schedule Lookup Table'!I$7:L$286,2,FALSE)</f>
        <v>MERCURY VAPOUR 80W</v>
      </c>
      <c r="F510" s="18" t="str">
        <f>IF(E510 = "BULKHEADS ETC", "SHARED OR NO POLE", VLOOKUP(C510,'Tariff Schedule Lookup Table'!I$7:L$286,3,FALSE))</f>
        <v>SHARED OR NO POLE</v>
      </c>
      <c r="G510" s="18">
        <f>IF(E510 = "NO CAPITAL", 1, VLOOKUP(C510,'Tariff Schedule Lookup Table'!I$7:L$286,4,FALSE))</f>
        <v>1</v>
      </c>
      <c r="H510" s="18" t="str">
        <f t="shared" si="78"/>
        <v>1-Unmetered, CE Funded, CE Maintained</v>
      </c>
      <c r="I510" s="123">
        <f>VLOOKUP(F510,'Maintenance Model'!$A$57:$B$61,2,FALSE)</f>
        <v>0</v>
      </c>
      <c r="J510" s="123">
        <f>IF(D510=1,VLOOKUP(C510,'Capital Code Schedules'!A$15:F$300,2,FALSE),IF(D510=2,VLOOKUP(C510,'Capital Code Schedules'!A$15:F$300,3,FALSE),0))</f>
        <v>17.255027166785979</v>
      </c>
      <c r="K510" s="123">
        <v>21.887497717034414</v>
      </c>
      <c r="L510" s="123">
        <f>VLOOKUP(LEFT(A510,10),'Streetlight Tariff Schedule'!B$11:H$260,7, FALSE)+I510</f>
        <v>29.991879471217374</v>
      </c>
      <c r="M510" s="161">
        <f t="shared" si="79"/>
        <v>51.879377188251787</v>
      </c>
      <c r="N510" s="405">
        <f t="shared" si="80"/>
        <v>48.923688864132963</v>
      </c>
      <c r="O510" s="405">
        <v>63.071859707067993</v>
      </c>
      <c r="P510" s="406">
        <v>62.078902879875166</v>
      </c>
      <c r="Q510" s="406">
        <v>64.57443660773103</v>
      </c>
      <c r="R510" s="406">
        <v>65.591969116396882</v>
      </c>
      <c r="S510" s="405">
        <f t="shared" si="81"/>
        <v>50.890248918306682</v>
      </c>
      <c r="T510" s="406">
        <v>66.851453637905948</v>
      </c>
      <c r="U510" s="406">
        <v>68.142358216716701</v>
      </c>
      <c r="V510" s="405">
        <f t="shared" si="82"/>
        <v>52.877222721195253</v>
      </c>
      <c r="W510" s="406">
        <v>69.010568994663316</v>
      </c>
      <c r="X510" s="406">
        <v>70.963289247549653</v>
      </c>
      <c r="Y510" s="405">
        <f t="shared" si="83"/>
        <v>55.072323426873275</v>
      </c>
      <c r="Z510" s="406">
        <v>70.904163679165549</v>
      </c>
      <c r="AA510" s="406">
        <v>73.174354333083372</v>
      </c>
      <c r="AB510" s="442">
        <f t="shared" si="84"/>
        <v>56.18863584049226</v>
      </c>
      <c r="AC510" s="438">
        <f t="shared" si="85"/>
        <v>57.852956100985217</v>
      </c>
      <c r="AD510" s="410"/>
      <c r="AE510" s="411"/>
      <c r="AF510" s="411"/>
      <c r="AG510" s="411"/>
    </row>
    <row r="511" spans="1:33" x14ac:dyDescent="0.2">
      <c r="A511" s="36" t="s">
        <v>416</v>
      </c>
      <c r="B511" s="18" t="str">
        <f>VLOOKUP(LEFT(A511,7),'Tariff Schedule Lookup Table'!$A$8:$G$186,2,FALSE)</f>
        <v>Fluorescent 2x80</v>
      </c>
      <c r="C511" s="160">
        <f t="shared" si="86"/>
        <v>10</v>
      </c>
      <c r="D511" s="18">
        <f t="shared" si="87"/>
        <v>2</v>
      </c>
      <c r="E511" s="18" t="str">
        <f>VLOOKUP(C511,'Tariff Schedule Lookup Table'!I$7:L$286,2,FALSE)</f>
        <v>MERCURY VAPOUR 80W</v>
      </c>
      <c r="F511" s="18" t="str">
        <f>IF(E511 = "BULKHEADS ETC", "SHARED OR NO POLE", VLOOKUP(C511,'Tariff Schedule Lookup Table'!I$7:L$286,3,FALSE))</f>
        <v>SHARED OR NO POLE</v>
      </c>
      <c r="G511" s="18">
        <f>IF(E511 = "NO CAPITAL", 1, VLOOKUP(C511,'Tariff Schedule Lookup Table'!I$7:L$286,4,FALSE))</f>
        <v>1</v>
      </c>
      <c r="H511" s="18" t="str">
        <f t="shared" si="78"/>
        <v>2-Unmetered, Funded by Others, CE Maintained</v>
      </c>
      <c r="I511" s="123">
        <f>VLOOKUP(F511,'Maintenance Model'!$A$57:$B$61,2,FALSE)</f>
        <v>0</v>
      </c>
      <c r="J511" s="123">
        <f>IF(D511=1,VLOOKUP(C511,'Capital Code Schedules'!A$15:F$300,2,FALSE),IF(D511=2,VLOOKUP(C511,'Capital Code Schedules'!A$15:F$300,3,FALSE),0))</f>
        <v>0</v>
      </c>
      <c r="K511" s="123">
        <v>0</v>
      </c>
      <c r="L511" s="123">
        <f>VLOOKUP(LEFT(A511,10),'Streetlight Tariff Schedule'!B$11:H$260,7, FALSE)+I511</f>
        <v>29.991879471217374</v>
      </c>
      <c r="M511" s="161">
        <f t="shared" si="79"/>
        <v>29.991879471217374</v>
      </c>
      <c r="N511" s="405">
        <f t="shared" si="80"/>
        <v>31.241599774969032</v>
      </c>
      <c r="O511" s="405">
        <v>39.649689594344146</v>
      </c>
      <c r="P511" s="406">
        <v>39.649689594344146</v>
      </c>
      <c r="Q511" s="406">
        <v>41.590100293383117</v>
      </c>
      <c r="R511" s="406">
        <v>41.590100293383117</v>
      </c>
      <c r="S511" s="405">
        <f t="shared" si="81"/>
        <v>32.770528124185937</v>
      </c>
      <c r="T511" s="406">
        <v>43.298254999777917</v>
      </c>
      <c r="U511" s="406">
        <v>43.456436132247049</v>
      </c>
      <c r="V511" s="405">
        <f t="shared" si="82"/>
        <v>34.241089884442069</v>
      </c>
      <c r="W511" s="406">
        <v>44.874428690241622</v>
      </c>
      <c r="X511" s="406">
        <v>45.440514404416469</v>
      </c>
      <c r="Y511" s="405">
        <f t="shared" si="83"/>
        <v>35.804425686954161</v>
      </c>
      <c r="Z511" s="406">
        <v>46.170653902209423</v>
      </c>
      <c r="AA511" s="406">
        <v>46.924180406920897</v>
      </c>
      <c r="AB511" s="442">
        <f t="shared" si="84"/>
        <v>36.581623100350569</v>
      </c>
      <c r="AC511" s="438">
        <f t="shared" si="85"/>
        <v>37.675379290105397</v>
      </c>
      <c r="AD511" s="410"/>
      <c r="AE511" s="411"/>
      <c r="AF511" s="411"/>
      <c r="AG511" s="411"/>
    </row>
    <row r="512" spans="1:33" x14ac:dyDescent="0.2">
      <c r="A512" s="36" t="s">
        <v>417</v>
      </c>
      <c r="B512" s="18" t="str">
        <f>VLOOKUP(LEFT(A512,7),'Tariff Schedule Lookup Table'!$A$8:$G$186,2,FALSE)</f>
        <v>Fluorescent 3x80</v>
      </c>
      <c r="C512" s="160">
        <f t="shared" si="86"/>
        <v>10</v>
      </c>
      <c r="D512" s="18">
        <f t="shared" si="87"/>
        <v>2</v>
      </c>
      <c r="E512" s="18" t="str">
        <f>VLOOKUP(C512,'Tariff Schedule Lookup Table'!I$7:L$286,2,FALSE)</f>
        <v>MERCURY VAPOUR 80W</v>
      </c>
      <c r="F512" s="18" t="str">
        <f>IF(E512 = "BULKHEADS ETC", "SHARED OR NO POLE", VLOOKUP(C512,'Tariff Schedule Lookup Table'!I$7:L$286,3,FALSE))</f>
        <v>SHARED OR NO POLE</v>
      </c>
      <c r="G512" s="18">
        <f>IF(E512 = "NO CAPITAL", 1, VLOOKUP(C512,'Tariff Schedule Lookup Table'!I$7:L$286,4,FALSE))</f>
        <v>1</v>
      </c>
      <c r="H512" s="18" t="str">
        <f t="shared" si="78"/>
        <v>2-Unmetered, Funded by Others, CE Maintained</v>
      </c>
      <c r="I512" s="123">
        <f>VLOOKUP(F512,'Maintenance Model'!$A$57:$B$61,2,FALSE)</f>
        <v>0</v>
      </c>
      <c r="J512" s="123">
        <f>IF(D512=1,VLOOKUP(C512,'Capital Code Schedules'!A$15:F$300,2,FALSE),IF(D512=2,VLOOKUP(C512,'Capital Code Schedules'!A$15:F$300,3,FALSE),0))</f>
        <v>0</v>
      </c>
      <c r="K512" s="123">
        <v>0</v>
      </c>
      <c r="L512" s="123">
        <f>VLOOKUP(LEFT(A512,10),'Streetlight Tariff Schedule'!B$11:H$260,7, FALSE)+I512</f>
        <v>34.043325938034037</v>
      </c>
      <c r="M512" s="161">
        <f t="shared" si="79"/>
        <v>34.043325938034037</v>
      </c>
      <c r="N512" s="405">
        <f t="shared" si="80"/>
        <v>35.461864435190435</v>
      </c>
      <c r="O512" s="405">
        <v>44.131084484810671</v>
      </c>
      <c r="P512" s="406">
        <v>44.131084484810671</v>
      </c>
      <c r="Q512" s="406">
        <v>46.290809551277128</v>
      </c>
      <c r="R512" s="406">
        <v>46.290809551277128</v>
      </c>
      <c r="S512" s="405">
        <f t="shared" si="81"/>
        <v>37.197327735456184</v>
      </c>
      <c r="T512" s="406">
        <v>48.192027957581857</v>
      </c>
      <c r="U512" s="406">
        <v>48.368087467563342</v>
      </c>
      <c r="V512" s="405">
        <f t="shared" si="82"/>
        <v>38.866540008880165</v>
      </c>
      <c r="W512" s="406">
        <v>49.946348231163803</v>
      </c>
      <c r="X512" s="406">
        <v>50.576415622194737</v>
      </c>
      <c r="Y512" s="405">
        <f t="shared" si="83"/>
        <v>40.641058685730414</v>
      </c>
      <c r="Z512" s="406">
        <v>51.389078929082125</v>
      </c>
      <c r="AA512" s="406">
        <v>52.227772552693992</v>
      </c>
      <c r="AB512" s="442">
        <f t="shared" si="84"/>
        <v>41.52324364142293</v>
      </c>
      <c r="AC512" s="438">
        <f t="shared" si="85"/>
        <v>42.764749646416703</v>
      </c>
      <c r="AD512" s="410"/>
      <c r="AE512" s="411"/>
      <c r="AF512" s="411"/>
      <c r="AG512" s="411"/>
    </row>
    <row r="513" spans="1:33" x14ac:dyDescent="0.2">
      <c r="A513" s="36" t="s">
        <v>418</v>
      </c>
      <c r="B513" s="18" t="str">
        <f>VLOOKUP(LEFT(A513,7),'Tariff Schedule Lookup Table'!$A$8:$G$186,2,FALSE)</f>
        <v>Fluorescent 4x80</v>
      </c>
      <c r="C513" s="160">
        <f t="shared" si="86"/>
        <v>10</v>
      </c>
      <c r="D513" s="18">
        <f t="shared" si="87"/>
        <v>2</v>
      </c>
      <c r="E513" s="18" t="str">
        <f>VLOOKUP(C513,'Tariff Schedule Lookup Table'!I$7:L$286,2,FALSE)</f>
        <v>MERCURY VAPOUR 80W</v>
      </c>
      <c r="F513" s="18" t="str">
        <f>IF(E513 = "BULKHEADS ETC", "SHARED OR NO POLE", VLOOKUP(C513,'Tariff Schedule Lookup Table'!I$7:L$286,3,FALSE))</f>
        <v>SHARED OR NO POLE</v>
      </c>
      <c r="G513" s="18">
        <f>IF(E513 = "NO CAPITAL", 1, VLOOKUP(C513,'Tariff Schedule Lookup Table'!I$7:L$286,4,FALSE))</f>
        <v>1</v>
      </c>
      <c r="H513" s="18" t="str">
        <f t="shared" si="78"/>
        <v>2-Unmetered, Funded by Others, CE Maintained</v>
      </c>
      <c r="I513" s="123">
        <f>VLOOKUP(F513,'Maintenance Model'!$A$57:$B$61,2,FALSE)</f>
        <v>0</v>
      </c>
      <c r="J513" s="123">
        <f>IF(D513=1,VLOOKUP(C513,'Capital Code Schedules'!A$15:F$300,2,FALSE),IF(D513=2,VLOOKUP(C513,'Capital Code Schedules'!A$15:F$300,3,FALSE),0))</f>
        <v>0</v>
      </c>
      <c r="K513" s="123">
        <v>0</v>
      </c>
      <c r="L513" s="123">
        <f>VLOOKUP(LEFT(A513,10),'Streetlight Tariff Schedule'!B$11:H$260,7, FALSE)+I513</f>
        <v>38.094772404850701</v>
      </c>
      <c r="M513" s="161">
        <f t="shared" si="79"/>
        <v>38.094772404850701</v>
      </c>
      <c r="N513" s="405">
        <f t="shared" si="80"/>
        <v>39.682129095411845</v>
      </c>
      <c r="O513" s="405">
        <v>48.612479375277196</v>
      </c>
      <c r="P513" s="406">
        <v>48.612479375277196</v>
      </c>
      <c r="Q513" s="406">
        <v>50.99151880917114</v>
      </c>
      <c r="R513" s="406">
        <v>50.99151880917114</v>
      </c>
      <c r="S513" s="405">
        <f t="shared" si="81"/>
        <v>41.624127346726439</v>
      </c>
      <c r="T513" s="406">
        <v>53.085800915385782</v>
      </c>
      <c r="U513" s="406">
        <v>53.279738802879628</v>
      </c>
      <c r="V513" s="405">
        <f t="shared" si="82"/>
        <v>43.491990133318254</v>
      </c>
      <c r="W513" s="406">
        <v>55.018267772085999</v>
      </c>
      <c r="X513" s="406">
        <v>55.712316839973006</v>
      </c>
      <c r="Y513" s="405">
        <f t="shared" si="83"/>
        <v>45.477691684506681</v>
      </c>
      <c r="Z513" s="406">
        <v>56.607503955954833</v>
      </c>
      <c r="AA513" s="406">
        <v>57.53136469846708</v>
      </c>
      <c r="AB513" s="442">
        <f t="shared" si="84"/>
        <v>46.46486418249529</v>
      </c>
      <c r="AC513" s="438">
        <f t="shared" si="85"/>
        <v>47.85412000272801</v>
      </c>
      <c r="AD513" s="410"/>
      <c r="AE513" s="411"/>
      <c r="AF513" s="411"/>
      <c r="AG513" s="411"/>
    </row>
    <row r="514" spans="1:33" x14ac:dyDescent="0.2">
      <c r="A514" s="36" t="s">
        <v>419</v>
      </c>
      <c r="B514" s="18" t="str">
        <f>VLOOKUP(LEFT(A514,7),'Tariff Schedule Lookup Table'!$A$8:$G$186,2,FALSE)</f>
        <v>Fluorescent 2x125</v>
      </c>
      <c r="C514" s="160">
        <f t="shared" si="86"/>
        <v>10</v>
      </c>
      <c r="D514" s="18">
        <f t="shared" si="87"/>
        <v>2</v>
      </c>
      <c r="E514" s="18" t="str">
        <f>VLOOKUP(C514,'Tariff Schedule Lookup Table'!I$7:L$286,2,FALSE)</f>
        <v>MERCURY VAPOUR 80W</v>
      </c>
      <c r="F514" s="18" t="str">
        <f>IF(E514 = "BULKHEADS ETC", "SHARED OR NO POLE", VLOOKUP(C514,'Tariff Schedule Lookup Table'!I$7:L$286,3,FALSE))</f>
        <v>SHARED OR NO POLE</v>
      </c>
      <c r="G514" s="18">
        <f>IF(E514 = "NO CAPITAL", 1, VLOOKUP(C514,'Tariff Schedule Lookup Table'!I$7:L$286,4,FALSE))</f>
        <v>1</v>
      </c>
      <c r="H514" s="18" t="str">
        <f t="shared" si="78"/>
        <v>2-Unmetered, Funded by Others, CE Maintained</v>
      </c>
      <c r="I514" s="123">
        <f>VLOOKUP(F514,'Maintenance Model'!$A$57:$B$61,2,FALSE)</f>
        <v>0</v>
      </c>
      <c r="J514" s="123">
        <f>IF(D514=1,VLOOKUP(C514,'Capital Code Schedules'!A$15:F$300,2,FALSE),IF(D514=2,VLOOKUP(C514,'Capital Code Schedules'!A$15:F$300,3,FALSE),0))</f>
        <v>0</v>
      </c>
      <c r="K514" s="123">
        <v>0</v>
      </c>
      <c r="L514" s="123">
        <f>VLOOKUP(LEFT(A514,10),'Streetlight Tariff Schedule'!B$11:H$260,7, FALSE)+I514</f>
        <v>29.991879471217374</v>
      </c>
      <c r="M514" s="161">
        <f t="shared" si="79"/>
        <v>29.991879471217374</v>
      </c>
      <c r="N514" s="405">
        <f t="shared" si="80"/>
        <v>31.241599774969032</v>
      </c>
      <c r="O514" s="405">
        <v>39.649689594344146</v>
      </c>
      <c r="P514" s="406">
        <v>39.649689594344146</v>
      </c>
      <c r="Q514" s="406">
        <v>41.590100293383117</v>
      </c>
      <c r="R514" s="406">
        <v>41.590100293383117</v>
      </c>
      <c r="S514" s="405">
        <f t="shared" si="81"/>
        <v>32.770528124185937</v>
      </c>
      <c r="T514" s="406">
        <v>43.298254999777917</v>
      </c>
      <c r="U514" s="406">
        <v>43.456436132247049</v>
      </c>
      <c r="V514" s="405">
        <f t="shared" si="82"/>
        <v>34.241089884442069</v>
      </c>
      <c r="W514" s="406">
        <v>44.874428690241622</v>
      </c>
      <c r="X514" s="406">
        <v>45.440514404416469</v>
      </c>
      <c r="Y514" s="405">
        <f t="shared" si="83"/>
        <v>35.804425686954161</v>
      </c>
      <c r="Z514" s="406">
        <v>46.170653902209423</v>
      </c>
      <c r="AA514" s="406">
        <v>46.924180406920897</v>
      </c>
      <c r="AB514" s="442">
        <f t="shared" si="84"/>
        <v>36.581623100350569</v>
      </c>
      <c r="AC514" s="438">
        <f t="shared" si="85"/>
        <v>37.675379290105397</v>
      </c>
      <c r="AD514" s="410"/>
      <c r="AE514" s="411"/>
      <c r="AF514" s="411"/>
      <c r="AG514" s="411"/>
    </row>
    <row r="515" spans="1:33" x14ac:dyDescent="0.2">
      <c r="A515" s="36" t="s">
        <v>420</v>
      </c>
      <c r="B515" s="18" t="str">
        <f>VLOOKUP(LEFT(A515,7),'Tariff Schedule Lookup Table'!$A$8:$G$186,2,FALSE)</f>
        <v>High Pressure Sodium 50</v>
      </c>
      <c r="C515" s="160">
        <f t="shared" si="86"/>
        <v>40</v>
      </c>
      <c r="D515" s="18">
        <f t="shared" si="87"/>
        <v>1</v>
      </c>
      <c r="E515" s="18" t="str">
        <f>VLOOKUP(C515,'Tariff Schedule Lookup Table'!I$7:L$286,2,FALSE)</f>
        <v>HIGH PRESSURE SODIUM 70W (100)</v>
      </c>
      <c r="F515" s="18" t="str">
        <f>IF(E515 = "BULKHEADS ETC", "SHARED OR NO POLE", VLOOKUP(C515,'Tariff Schedule Lookup Table'!I$7:L$286,3,FALSE))</f>
        <v>SHARED OR NO POLE</v>
      </c>
      <c r="G515" s="18">
        <f>IF(E515 = "NO CAPITAL", 1, VLOOKUP(C515,'Tariff Schedule Lookup Table'!I$7:L$286,4,FALSE))</f>
        <v>1</v>
      </c>
      <c r="H515" s="18" t="str">
        <f t="shared" si="78"/>
        <v>1-Unmetered, CE Funded, CE Maintained</v>
      </c>
      <c r="I515" s="123">
        <f>VLOOKUP(F515,'Maintenance Model'!$A$57:$B$61,2,FALSE)</f>
        <v>0</v>
      </c>
      <c r="J515" s="123">
        <f>IF(D515=1,VLOOKUP(C515,'Capital Code Schedules'!A$15:F$300,2,FALSE),IF(D515=2,VLOOKUP(C515,'Capital Code Schedules'!A$15:F$300,3,FALSE),0))</f>
        <v>18.483521869130684</v>
      </c>
      <c r="K515" s="123">
        <v>23.445807346631316</v>
      </c>
      <c r="L515" s="123">
        <f>VLOOKUP(LEFT(A515,10),'Streetlight Tariff Schedule'!B$11:H$260,7, FALSE)+I515</f>
        <v>52.432928256339267</v>
      </c>
      <c r="M515" s="161">
        <f t="shared" si="79"/>
        <v>75.878735602970579</v>
      </c>
      <c r="N515" s="405">
        <f t="shared" si="80"/>
        <v>73.558725185813927</v>
      </c>
      <c r="O515" s="405">
        <v>58.07534624569054</v>
      </c>
      <c r="P515" s="406">
        <v>57.011694531142716</v>
      </c>
      <c r="Q515" s="406">
        <v>59.220618190374537</v>
      </c>
      <c r="R515" s="406">
        <v>60.310595284857428</v>
      </c>
      <c r="S515" s="405">
        <f t="shared" si="81"/>
        <v>76.700444532689943</v>
      </c>
      <c r="T515" s="406">
        <v>61.251039557763349</v>
      </c>
      <c r="U515" s="406">
        <v>62.596003742565195</v>
      </c>
      <c r="V515" s="405">
        <f t="shared" si="82"/>
        <v>79.824514429275609</v>
      </c>
      <c r="W515" s="406">
        <v>63.186744240621685</v>
      </c>
      <c r="X515" s="406">
        <v>65.143043440800156</v>
      </c>
      <c r="Y515" s="405">
        <f t="shared" si="83"/>
        <v>83.234340946642362</v>
      </c>
      <c r="Z515" s="406">
        <v>64.905007548477073</v>
      </c>
      <c r="AA515" s="406">
        <v>67.156530838109845</v>
      </c>
      <c r="AB515" s="442">
        <f t="shared" si="84"/>
        <v>84.956325351791634</v>
      </c>
      <c r="AC515" s="438">
        <f t="shared" si="85"/>
        <v>87.479657075524301</v>
      </c>
      <c r="AD515" s="410"/>
      <c r="AE515" s="411"/>
      <c r="AF515" s="411"/>
      <c r="AG515" s="411"/>
    </row>
    <row r="516" spans="1:33" x14ac:dyDescent="0.2">
      <c r="A516" s="36" t="s">
        <v>421</v>
      </c>
      <c r="B516" s="18" t="str">
        <f>VLOOKUP(LEFT(A516,7),'Tariff Schedule Lookup Table'!$A$8:$G$186,2,FALSE)</f>
        <v>High Pressure Sodium 50</v>
      </c>
      <c r="C516" s="160">
        <f t="shared" si="86"/>
        <v>40</v>
      </c>
      <c r="D516" s="18">
        <f t="shared" si="87"/>
        <v>2</v>
      </c>
      <c r="E516" s="18" t="str">
        <f>VLOOKUP(C516,'Tariff Schedule Lookup Table'!I$7:L$286,2,FALSE)</f>
        <v>HIGH PRESSURE SODIUM 70W (100)</v>
      </c>
      <c r="F516" s="18" t="str">
        <f>IF(E516 = "BULKHEADS ETC", "SHARED OR NO POLE", VLOOKUP(C516,'Tariff Schedule Lookup Table'!I$7:L$286,3,FALSE))</f>
        <v>SHARED OR NO POLE</v>
      </c>
      <c r="G516" s="18">
        <f>IF(E516 = "NO CAPITAL", 1, VLOOKUP(C516,'Tariff Schedule Lookup Table'!I$7:L$286,4,FALSE))</f>
        <v>1</v>
      </c>
      <c r="H516" s="18" t="str">
        <f t="shared" si="78"/>
        <v>2-Unmetered, Funded by Others, CE Maintained</v>
      </c>
      <c r="I516" s="123">
        <f>VLOOKUP(F516,'Maintenance Model'!$A$57:$B$61,2,FALSE)</f>
        <v>0</v>
      </c>
      <c r="J516" s="123">
        <f>IF(D516=1,VLOOKUP(C516,'Capital Code Schedules'!A$15:F$300,2,FALSE),IF(D516=2,VLOOKUP(C516,'Capital Code Schedules'!A$15:F$300,3,FALSE),0))</f>
        <v>0</v>
      </c>
      <c r="K516" s="123">
        <v>0</v>
      </c>
      <c r="L516" s="123">
        <f>VLOOKUP(LEFT(A516,10),'Streetlight Tariff Schedule'!B$11:H$260,7, FALSE)+I516</f>
        <v>52.432928256339267</v>
      </c>
      <c r="M516" s="161">
        <f t="shared" si="79"/>
        <v>52.432928256339267</v>
      </c>
      <c r="N516" s="405">
        <f t="shared" si="80"/>
        <v>54.617736150422253</v>
      </c>
      <c r="O516" s="405">
        <v>32.985603452682277</v>
      </c>
      <c r="P516" s="406">
        <v>32.985603452682277</v>
      </c>
      <c r="Q516" s="406">
        <v>34.599881357722204</v>
      </c>
      <c r="R516" s="406">
        <v>34.599881357722204</v>
      </c>
      <c r="S516" s="405">
        <f t="shared" si="81"/>
        <v>57.290666018672326</v>
      </c>
      <c r="T516" s="406">
        <v>36.020939488502862</v>
      </c>
      <c r="U516" s="406">
        <v>36.152534468506623</v>
      </c>
      <c r="V516" s="405">
        <f t="shared" si="82"/>
        <v>59.861557227608508</v>
      </c>
      <c r="W516" s="406">
        <v>37.332199194647011</v>
      </c>
      <c r="X516" s="406">
        <v>37.803140558350997</v>
      </c>
      <c r="Y516" s="405">
        <f t="shared" si="83"/>
        <v>62.594639495838742</v>
      </c>
      <c r="Z516" s="406">
        <v>38.410562512614526</v>
      </c>
      <c r="AA516" s="406">
        <v>39.037440723510883</v>
      </c>
      <c r="AB516" s="442">
        <f t="shared" si="84"/>
        <v>63.953365155453852</v>
      </c>
      <c r="AC516" s="438">
        <f t="shared" si="85"/>
        <v>65.865510737473102</v>
      </c>
      <c r="AD516" s="410"/>
      <c r="AE516" s="411"/>
      <c r="AF516" s="411"/>
      <c r="AG516" s="411"/>
    </row>
    <row r="517" spans="1:33" x14ac:dyDescent="0.2">
      <c r="A517" s="36" t="s">
        <v>422</v>
      </c>
      <c r="B517" s="18" t="str">
        <f>VLOOKUP(LEFT(A517,7),'Tariff Schedule Lookup Table'!$A$8:$G$186,2,FALSE)</f>
        <v>High Pressure Sodium 50</v>
      </c>
      <c r="C517" s="160">
        <f t="shared" si="86"/>
        <v>90</v>
      </c>
      <c r="D517" s="18">
        <f t="shared" si="87"/>
        <v>2</v>
      </c>
      <c r="E517" s="18" t="str">
        <f>VLOOKUP(C517,'Tariff Schedule Lookup Table'!I$7:L$286,2,FALSE)</f>
        <v>HIGH PRESSURE SODIUM 70W TWIN ARC</v>
      </c>
      <c r="F517" s="18" t="str">
        <f>IF(E517 = "BULKHEADS ETC", "SHARED OR NO POLE", VLOOKUP(C517,'Tariff Schedule Lookup Table'!I$7:L$286,3,FALSE))</f>
        <v>SHARED OR NO POLE</v>
      </c>
      <c r="G517" s="18">
        <f>IF(E517 = "NO CAPITAL", 1, VLOOKUP(C517,'Tariff Schedule Lookup Table'!I$7:L$286,4,FALSE))</f>
        <v>1</v>
      </c>
      <c r="H517" s="18" t="str">
        <f t="shared" si="78"/>
        <v>2-Unmetered, Funded by Others, CE Maintained</v>
      </c>
      <c r="I517" s="123">
        <f>VLOOKUP(F517,'Maintenance Model'!$A$57:$B$61,2,FALSE)</f>
        <v>0</v>
      </c>
      <c r="J517" s="123">
        <f>IF(D517=1,VLOOKUP(C517,'Capital Code Schedules'!A$15:F$300,2,FALSE),IF(D517=2,VLOOKUP(C517,'Capital Code Schedules'!A$15:F$300,3,FALSE),0))</f>
        <v>0</v>
      </c>
      <c r="K517" s="123">
        <v>0</v>
      </c>
      <c r="L517" s="123">
        <f>VLOOKUP(LEFT(A517,10),'Streetlight Tariff Schedule'!B$11:H$260,7, FALSE)+I517</f>
        <v>52.432928256339267</v>
      </c>
      <c r="M517" s="161">
        <f t="shared" si="79"/>
        <v>52.432928256339267</v>
      </c>
      <c r="N517" s="405">
        <f t="shared" si="80"/>
        <v>54.617736150422253</v>
      </c>
      <c r="O517" s="405">
        <v>32.985603452682277</v>
      </c>
      <c r="P517" s="406">
        <v>32.985603452682277</v>
      </c>
      <c r="Q517" s="406">
        <v>34.599881357722204</v>
      </c>
      <c r="R517" s="406">
        <v>34.599881357722204</v>
      </c>
      <c r="S517" s="405">
        <f t="shared" si="81"/>
        <v>57.290666018672326</v>
      </c>
      <c r="T517" s="406">
        <v>36.020939488502862</v>
      </c>
      <c r="U517" s="406">
        <v>36.152534468506623</v>
      </c>
      <c r="V517" s="405">
        <f t="shared" si="82"/>
        <v>59.861557227608508</v>
      </c>
      <c r="W517" s="406">
        <v>37.332199194647011</v>
      </c>
      <c r="X517" s="406">
        <v>37.803140558350997</v>
      </c>
      <c r="Y517" s="405">
        <f t="shared" si="83"/>
        <v>62.594639495838742</v>
      </c>
      <c r="Z517" s="406">
        <v>38.410562512614526</v>
      </c>
      <c r="AA517" s="406">
        <v>39.037440723510883</v>
      </c>
      <c r="AB517" s="442">
        <f t="shared" si="84"/>
        <v>63.953365155453852</v>
      </c>
      <c r="AC517" s="438">
        <f t="shared" si="85"/>
        <v>65.865510737473102</v>
      </c>
      <c r="AD517" s="410"/>
      <c r="AE517" s="411"/>
      <c r="AF517" s="411"/>
      <c r="AG517" s="411"/>
    </row>
    <row r="518" spans="1:33" x14ac:dyDescent="0.2">
      <c r="A518" s="36" t="s">
        <v>423</v>
      </c>
      <c r="B518" s="18" t="str">
        <f>VLOOKUP(LEFT(A518,7),'Tariff Schedule Lookup Table'!$A$8:$G$186,2,FALSE)</f>
        <v>High Pressure Sodium 50</v>
      </c>
      <c r="C518" s="160">
        <f t="shared" si="86"/>
        <v>350</v>
      </c>
      <c r="D518" s="18">
        <f t="shared" si="87"/>
        <v>1</v>
      </c>
      <c r="E518" s="18" t="str">
        <f>VLOOKUP(C518,'Tariff Schedule Lookup Table'!I$7:L$286,2,FALSE)</f>
        <v>HIGH PRESSURE SODIUM 70W (100)</v>
      </c>
      <c r="F518" s="18" t="str">
        <f>IF(E518 = "BULKHEADS ETC", "SHARED OR NO POLE", VLOOKUP(C518,'Tariff Schedule Lookup Table'!I$7:L$286,3,FALSE))</f>
        <v>WOOD POLE</v>
      </c>
      <c r="G518" s="18">
        <f>IF(E518 = "NO CAPITAL", 1, VLOOKUP(C518,'Tariff Schedule Lookup Table'!I$7:L$286,4,FALSE))</f>
        <v>1</v>
      </c>
      <c r="H518" s="18" t="str">
        <f t="shared" si="78"/>
        <v>1-Unmetered, CE Funded, CE Maintained</v>
      </c>
      <c r="I518" s="123">
        <f>VLOOKUP(F518,'Maintenance Model'!$A$57:$B$61,2,FALSE)</f>
        <v>10.731618231111112</v>
      </c>
      <c r="J518" s="123">
        <f>IF(D518=1,VLOOKUP(C518,'Capital Code Schedules'!A$15:F$300,2,FALSE),IF(D518=2,VLOOKUP(C518,'Capital Code Schedules'!A$15:F$300,3,FALSE),0))</f>
        <v>52.384640231006998</v>
      </c>
      <c r="K518" s="123">
        <v>66.448385295553337</v>
      </c>
      <c r="L518" s="123">
        <f>VLOOKUP(LEFT(A518,10),'Streetlight Tariff Schedule'!B$11:H$260,7, FALSE)+I518</f>
        <v>63.16454648745038</v>
      </c>
      <c r="M518" s="161">
        <f t="shared" si="79"/>
        <v>129.61293178300372</v>
      </c>
      <c r="N518" s="405">
        <f t="shared" si="80"/>
        <v>119.47768620714407</v>
      </c>
      <c r="O518" s="405">
        <v>114.48930993332668</v>
      </c>
      <c r="P518" s="406">
        <v>111.47478635972472</v>
      </c>
      <c r="Q518" s="406">
        <v>115.2831437937144</v>
      </c>
      <c r="R518" s="406">
        <v>118.37227682576301</v>
      </c>
      <c r="S518" s="405">
        <f t="shared" si="81"/>
        <v>124.02630205073251</v>
      </c>
      <c r="T518" s="406">
        <v>118.87909483850989</v>
      </c>
      <c r="U518" s="406">
        <v>122.49100700580975</v>
      </c>
      <c r="V518" s="405">
        <f t="shared" si="82"/>
        <v>128.69116434878217</v>
      </c>
      <c r="W518" s="406">
        <v>122.37338542517413</v>
      </c>
      <c r="X518" s="406">
        <v>127.2024472916905</v>
      </c>
      <c r="Y518" s="405">
        <f t="shared" si="83"/>
        <v>133.90161431815699</v>
      </c>
      <c r="Z518" s="406">
        <v>125.60517823254106</v>
      </c>
      <c r="AA518" s="406">
        <v>131.03408183742769</v>
      </c>
      <c r="AB518" s="442">
        <f t="shared" si="84"/>
        <v>136.56795604315914</v>
      </c>
      <c r="AC518" s="438">
        <f t="shared" si="85"/>
        <v>140.60364556708464</v>
      </c>
      <c r="AD518" s="410"/>
      <c r="AE518" s="411"/>
      <c r="AF518" s="411"/>
      <c r="AG518" s="411"/>
    </row>
    <row r="519" spans="1:33" x14ac:dyDescent="0.2">
      <c r="A519" s="36" t="s">
        <v>424</v>
      </c>
      <c r="B519" s="18" t="str">
        <f>VLOOKUP(LEFT(A519,7),'Tariff Schedule Lookup Table'!$A$8:$G$186,2,FALSE)</f>
        <v>High Pressure Sodium 50</v>
      </c>
      <c r="C519" s="160">
        <f t="shared" si="86"/>
        <v>350</v>
      </c>
      <c r="D519" s="18">
        <f t="shared" si="87"/>
        <v>2</v>
      </c>
      <c r="E519" s="18" t="str">
        <f>VLOOKUP(C519,'Tariff Schedule Lookup Table'!I$7:L$286,2,FALSE)</f>
        <v>HIGH PRESSURE SODIUM 70W (100)</v>
      </c>
      <c r="F519" s="18" t="str">
        <f>IF(E519 = "BULKHEADS ETC", "SHARED OR NO POLE", VLOOKUP(C519,'Tariff Schedule Lookup Table'!I$7:L$286,3,FALSE))</f>
        <v>WOOD POLE</v>
      </c>
      <c r="G519" s="18">
        <f>IF(E519 = "NO CAPITAL", 1, VLOOKUP(C519,'Tariff Schedule Lookup Table'!I$7:L$286,4,FALSE))</f>
        <v>1</v>
      </c>
      <c r="H519" s="18" t="str">
        <f t="shared" si="78"/>
        <v>2-Unmetered, Funded by Others, CE Maintained</v>
      </c>
      <c r="I519" s="123">
        <f>VLOOKUP(F519,'Maintenance Model'!$A$57:$B$61,2,FALSE)</f>
        <v>10.731618231111112</v>
      </c>
      <c r="J519" s="123">
        <f>IF(D519=1,VLOOKUP(C519,'Capital Code Schedules'!A$15:F$300,2,FALSE),IF(D519=2,VLOOKUP(C519,'Capital Code Schedules'!A$15:F$300,3,FALSE),0))</f>
        <v>0</v>
      </c>
      <c r="K519" s="123">
        <v>0</v>
      </c>
      <c r="L519" s="123">
        <f>VLOOKUP(LEFT(A519,10),'Streetlight Tariff Schedule'!B$11:H$260,7, FALSE)+I519</f>
        <v>63.16454648745038</v>
      </c>
      <c r="M519" s="161">
        <f t="shared" si="79"/>
        <v>63.16454648745038</v>
      </c>
      <c r="N519" s="405">
        <f t="shared" si="80"/>
        <v>65.79652613041965</v>
      </c>
      <c r="O519" s="405">
        <v>43.381803528106438</v>
      </c>
      <c r="P519" s="406">
        <v>43.381803528106438</v>
      </c>
      <c r="Q519" s="406">
        <v>45.504859637013574</v>
      </c>
      <c r="R519" s="406">
        <v>45.504859637013574</v>
      </c>
      <c r="S519" s="405">
        <f t="shared" si="81"/>
        <v>69.016533262109149</v>
      </c>
      <c r="T519" s="406">
        <v>47.37379814893071</v>
      </c>
      <c r="U519" s="406">
        <v>47.546868427180954</v>
      </c>
      <c r="V519" s="405">
        <f t="shared" si="82"/>
        <v>72.113617149683051</v>
      </c>
      <c r="W519" s="406">
        <v>49.098332642527865</v>
      </c>
      <c r="X519" s="406">
        <v>49.717702415246187</v>
      </c>
      <c r="Y519" s="405">
        <f t="shared" si="83"/>
        <v>75.406088269008407</v>
      </c>
      <c r="Z519" s="406">
        <v>50.516567893524304</v>
      </c>
      <c r="AA519" s="406">
        <v>51.341021732004712</v>
      </c>
      <c r="AB519" s="442">
        <f t="shared" si="84"/>
        <v>77.042908735545552</v>
      </c>
      <c r="AC519" s="438">
        <f t="shared" si="85"/>
        <v>79.346419382819491</v>
      </c>
      <c r="AD519" s="410"/>
      <c r="AE519" s="411"/>
      <c r="AF519" s="411"/>
      <c r="AG519" s="411"/>
    </row>
    <row r="520" spans="1:33" x14ac:dyDescent="0.2">
      <c r="A520" s="36" t="s">
        <v>425</v>
      </c>
      <c r="B520" s="18" t="str">
        <f>VLOOKUP(LEFT(A520,7),'Tariff Schedule Lookup Table'!$A$8:$G$186,2,FALSE)</f>
        <v>High Pressure Sodium 50</v>
      </c>
      <c r="C520" s="160">
        <f t="shared" si="86"/>
        <v>360</v>
      </c>
      <c r="D520" s="18">
        <f t="shared" si="87"/>
        <v>1</v>
      </c>
      <c r="E520" s="18" t="str">
        <f>VLOOKUP(C520,'Tariff Schedule Lookup Table'!I$7:L$286,2,FALSE)</f>
        <v>HIGH PRESSURE SODIUM 70W (100)</v>
      </c>
      <c r="F520" s="18" t="str">
        <f>IF(E520 = "BULKHEADS ETC", "SHARED OR NO POLE", VLOOKUP(C520,'Tariff Schedule Lookup Table'!I$7:L$286,3,FALSE))</f>
        <v>STEEL POLE</v>
      </c>
      <c r="G520" s="18">
        <f>IF(E520 = "NO CAPITAL", 1, VLOOKUP(C520,'Tariff Schedule Lookup Table'!I$7:L$286,4,FALSE))</f>
        <v>1</v>
      </c>
      <c r="H520" s="18" t="str">
        <f t="shared" si="78"/>
        <v>1-Unmetered, CE Funded, CE Maintained</v>
      </c>
      <c r="I520" s="123">
        <f>VLOOKUP(F520,'Maintenance Model'!$A$57:$B$61,2,FALSE)</f>
        <v>9.9616182311111103</v>
      </c>
      <c r="J520" s="123">
        <f>IF(D520=1,VLOOKUP(C520,'Capital Code Schedules'!A$15:F$300,2,FALSE),IF(D520=2,VLOOKUP(C520,'Capital Code Schedules'!A$15:F$300,3,FALSE),0))</f>
        <v>87.482155888651974</v>
      </c>
      <c r="K520" s="123">
        <v>110.96855825181379</v>
      </c>
      <c r="L520" s="123">
        <f>VLOOKUP(LEFT(A520,10),'Streetlight Tariff Schedule'!B$11:H$260,7, FALSE)+I520</f>
        <v>62.394546487450377</v>
      </c>
      <c r="M520" s="161">
        <f t="shared" si="79"/>
        <v>173.36310473926417</v>
      </c>
      <c r="N520" s="405">
        <f t="shared" si="80"/>
        <v>154.64178053799077</v>
      </c>
      <c r="O520" s="405">
        <v>161.32899200177712</v>
      </c>
      <c r="P520" s="406">
        <v>156.29474875732762</v>
      </c>
      <c r="Q520" s="406">
        <v>161.19299874093181</v>
      </c>
      <c r="R520" s="406">
        <v>166.35183950568143</v>
      </c>
      <c r="S520" s="405">
        <f t="shared" si="81"/>
        <v>160.04130619654148</v>
      </c>
      <c r="T520" s="406">
        <v>165.91148706313518</v>
      </c>
      <c r="U520" s="406">
        <v>171.82421071583161</v>
      </c>
      <c r="V520" s="405">
        <f t="shared" si="82"/>
        <v>165.71881960647247</v>
      </c>
      <c r="W520" s="406">
        <v>170.55962283629239</v>
      </c>
      <c r="X520" s="406">
        <v>178.19771136327111</v>
      </c>
      <c r="Y520" s="405">
        <f t="shared" si="83"/>
        <v>172.17417184487198</v>
      </c>
      <c r="Z520" s="406">
        <v>174.98027080627338</v>
      </c>
      <c r="AA520" s="406">
        <v>183.47889546260774</v>
      </c>
      <c r="AB520" s="442">
        <f t="shared" si="84"/>
        <v>175.51033554612115</v>
      </c>
      <c r="AC520" s="438">
        <f t="shared" si="85"/>
        <v>180.67849784920051</v>
      </c>
      <c r="AD520" s="410"/>
      <c r="AE520" s="411"/>
      <c r="AF520" s="411"/>
      <c r="AG520" s="411"/>
    </row>
    <row r="521" spans="1:33" x14ac:dyDescent="0.2">
      <c r="A521" s="36" t="s">
        <v>426</v>
      </c>
      <c r="B521" s="18" t="str">
        <f>VLOOKUP(LEFT(A521,7),'Tariff Schedule Lookup Table'!$A$8:$G$186,2,FALSE)</f>
        <v>High Pressure Sodium 50</v>
      </c>
      <c r="C521" s="160">
        <f t="shared" si="86"/>
        <v>360</v>
      </c>
      <c r="D521" s="18">
        <f t="shared" si="87"/>
        <v>2</v>
      </c>
      <c r="E521" s="18" t="str">
        <f>VLOOKUP(C521,'Tariff Schedule Lookup Table'!I$7:L$286,2,FALSE)</f>
        <v>HIGH PRESSURE SODIUM 70W (100)</v>
      </c>
      <c r="F521" s="18" t="str">
        <f>IF(E521 = "BULKHEADS ETC", "SHARED OR NO POLE", VLOOKUP(C521,'Tariff Schedule Lookup Table'!I$7:L$286,3,FALSE))</f>
        <v>STEEL POLE</v>
      </c>
      <c r="G521" s="18">
        <f>IF(E521 = "NO CAPITAL", 1, VLOOKUP(C521,'Tariff Schedule Lookup Table'!I$7:L$286,4,FALSE))</f>
        <v>1</v>
      </c>
      <c r="H521" s="18" t="str">
        <f t="shared" si="78"/>
        <v>2-Unmetered, Funded by Others, CE Maintained</v>
      </c>
      <c r="I521" s="123">
        <f>VLOOKUP(F521,'Maintenance Model'!$A$57:$B$61,2,FALSE)</f>
        <v>9.9616182311111103</v>
      </c>
      <c r="J521" s="123">
        <f>IF(D521=1,VLOOKUP(C521,'Capital Code Schedules'!A$15:F$300,2,FALSE),IF(D521=2,VLOOKUP(C521,'Capital Code Schedules'!A$15:F$300,3,FALSE),0))</f>
        <v>0</v>
      </c>
      <c r="K521" s="123">
        <v>0</v>
      </c>
      <c r="L521" s="123">
        <f>VLOOKUP(LEFT(A521,10),'Streetlight Tariff Schedule'!B$11:H$260,7, FALSE)+I521</f>
        <v>62.394546487450377</v>
      </c>
      <c r="M521" s="161">
        <f t="shared" si="79"/>
        <v>62.394546487450377</v>
      </c>
      <c r="N521" s="405">
        <f t="shared" si="80"/>
        <v>64.994441291094645</v>
      </c>
      <c r="O521" s="405">
        <v>42.579718688781441</v>
      </c>
      <c r="P521" s="406">
        <v>42.579718688781441</v>
      </c>
      <c r="Q521" s="406">
        <v>44.66352167818912</v>
      </c>
      <c r="R521" s="406">
        <v>44.66352167818912</v>
      </c>
      <c r="S521" s="405">
        <f t="shared" si="81"/>
        <v>68.175195303284696</v>
      </c>
      <c r="T521" s="406">
        <v>46.497905443089607</v>
      </c>
      <c r="U521" s="406">
        <v>46.667775830255756</v>
      </c>
      <c r="V521" s="405">
        <f t="shared" si="82"/>
        <v>71.234524552757847</v>
      </c>
      <c r="W521" s="406">
        <v>48.190555071150669</v>
      </c>
      <c r="X521" s="406">
        <v>48.798473335074263</v>
      </c>
      <c r="Y521" s="405">
        <f t="shared" si="83"/>
        <v>74.486859188836462</v>
      </c>
      <c r="Z521" s="406">
        <v>49.582568613944417</v>
      </c>
      <c r="AA521" s="406">
        <v>50.391779150607277</v>
      </c>
      <c r="AB521" s="442">
        <f t="shared" si="84"/>
        <v>76.10372618733939</v>
      </c>
      <c r="AC521" s="438">
        <f t="shared" si="85"/>
        <v>78.379156158078203</v>
      </c>
      <c r="AD521" s="410"/>
      <c r="AE521" s="411"/>
      <c r="AF521" s="411"/>
      <c r="AG521" s="411"/>
    </row>
    <row r="522" spans="1:33" x14ac:dyDescent="0.2">
      <c r="A522" s="36" t="s">
        <v>427</v>
      </c>
      <c r="B522" s="18" t="str">
        <f>VLOOKUP(LEFT(A522,7),'Tariff Schedule Lookup Table'!$A$8:$G$186,2,FALSE)</f>
        <v>High Pressure Sodium 50</v>
      </c>
      <c r="C522" s="160">
        <f t="shared" si="86"/>
        <v>750</v>
      </c>
      <c r="D522" s="18">
        <f t="shared" si="87"/>
        <v>1</v>
      </c>
      <c r="E522" s="18" t="str">
        <f>VLOOKUP(C522,'Tariff Schedule Lookup Table'!I$7:L$286,2,FALSE)</f>
        <v>HIGH PRESSURE SODIUM 70W (100)</v>
      </c>
      <c r="F522" s="18" t="str">
        <f>IF(E522 = "BULKHEADS ETC", "SHARED OR NO POLE", VLOOKUP(C522,'Tariff Schedule Lookup Table'!I$7:L$286,3,FALSE))</f>
        <v>SHARED OR NO POLE</v>
      </c>
      <c r="G522" s="18">
        <f>IF(E522 = "NO CAPITAL", 1, VLOOKUP(C522,'Tariff Schedule Lookup Table'!I$7:L$286,4,FALSE))</f>
        <v>3</v>
      </c>
      <c r="H522" s="18" t="str">
        <f t="shared" si="78"/>
        <v>1-Unmetered, CE Funded, CE Maintained</v>
      </c>
      <c r="I522" s="123">
        <f>VLOOKUP(F522,'Maintenance Model'!$A$57:$B$61,2,FALSE)</f>
        <v>0</v>
      </c>
      <c r="J522" s="123">
        <f>IF(D522=1,VLOOKUP(C522,'Capital Code Schedules'!A$15:F$300,2,FALSE),IF(D522=2,VLOOKUP(C522,'Capital Code Schedules'!A$15:F$300,3,FALSE),0))</f>
        <v>34.270019010909252</v>
      </c>
      <c r="K522" s="123">
        <v>43.47051764182865</v>
      </c>
      <c r="L522" s="123">
        <f>VLOOKUP(LEFT(A522,10),'Streetlight Tariff Schedule'!B$11:H$260,7, FALSE)+I522</f>
        <v>52.432928256339267</v>
      </c>
      <c r="M522" s="161">
        <f t="shared" si="79"/>
        <v>95.903445898167917</v>
      </c>
      <c r="N522" s="405">
        <f t="shared" si="80"/>
        <v>89.735938131851512</v>
      </c>
      <c r="O522" s="405">
        <v>79.504117001294006</v>
      </c>
      <c r="P522" s="406">
        <v>77.532016406146184</v>
      </c>
      <c r="Q522" s="406">
        <v>80.248818031784339</v>
      </c>
      <c r="R522" s="406">
        <v>82.269728116662066</v>
      </c>
      <c r="S522" s="405">
        <f t="shared" si="81"/>
        <v>93.278043499141958</v>
      </c>
      <c r="T522" s="406">
        <v>82.799687345248032</v>
      </c>
      <c r="U522" s="406">
        <v>85.180971860076269</v>
      </c>
      <c r="V522" s="405">
        <f t="shared" si="82"/>
        <v>96.87457496627151</v>
      </c>
      <c r="W522" s="406">
        <v>85.26872106084663</v>
      </c>
      <c r="X522" s="406">
        <v>88.493641977494846</v>
      </c>
      <c r="Y522" s="405">
        <f t="shared" si="83"/>
        <v>100.86239853584243</v>
      </c>
      <c r="Z522" s="406">
        <v>87.533513295002578</v>
      </c>
      <c r="AA522" s="406">
        <v>91.172621433100346</v>
      </c>
      <c r="AB522" s="442">
        <f t="shared" si="84"/>
        <v>102.89463675456162</v>
      </c>
      <c r="AC522" s="438">
        <f t="shared" si="85"/>
        <v>105.93997334011489</v>
      </c>
      <c r="AD522" s="410"/>
      <c r="AE522" s="411"/>
      <c r="AF522" s="411"/>
      <c r="AG522" s="411"/>
    </row>
    <row r="523" spans="1:33" x14ac:dyDescent="0.2">
      <c r="A523" s="36" t="s">
        <v>428</v>
      </c>
      <c r="B523" s="18" t="str">
        <f>VLOOKUP(LEFT(A523,7),'Tariff Schedule Lookup Table'!$A$8:$G$186,2,FALSE)</f>
        <v>High Pressure Sodium 50</v>
      </c>
      <c r="C523" s="160">
        <f t="shared" si="86"/>
        <v>90</v>
      </c>
      <c r="D523" s="18">
        <f t="shared" si="87"/>
        <v>1</v>
      </c>
      <c r="E523" s="18" t="str">
        <f>VLOOKUP(C523,'Tariff Schedule Lookup Table'!I$7:L$286,2,FALSE)</f>
        <v>HIGH PRESSURE SODIUM 70W TWIN ARC</v>
      </c>
      <c r="F523" s="18" t="str">
        <f>IF(E523 = "BULKHEADS ETC", "SHARED OR NO POLE", VLOOKUP(C523,'Tariff Schedule Lookup Table'!I$7:L$286,3,FALSE))</f>
        <v>SHARED OR NO POLE</v>
      </c>
      <c r="G523" s="18">
        <f>IF(E523 = "NO CAPITAL", 1, VLOOKUP(C523,'Tariff Schedule Lookup Table'!I$7:L$286,4,FALSE))</f>
        <v>1</v>
      </c>
      <c r="H523" s="18" t="str">
        <f t="shared" si="78"/>
        <v>1-Unmetered, CE Funded, CE Maintained</v>
      </c>
      <c r="I523" s="123">
        <f>VLOOKUP(F523,'Maintenance Model'!$A$57:$B$61,2,FALSE)</f>
        <v>0</v>
      </c>
      <c r="J523" s="123">
        <f>IF(D523=1,VLOOKUP(C523,'Capital Code Schedules'!A$15:F$300,2,FALSE),IF(D523=2,VLOOKUP(C523,'Capital Code Schedules'!A$15:F$300,3,FALSE),0))</f>
        <v>19.562845754409921</v>
      </c>
      <c r="K523" s="123">
        <v>24.814898154002691</v>
      </c>
      <c r="L523" s="123">
        <f>VLOOKUP(LEFT(A523,10),'Streetlight Tariff Schedule'!B$11:H$260,7, FALSE)+I523</f>
        <v>52.391185538666328</v>
      </c>
      <c r="M523" s="161">
        <f t="shared" si="79"/>
        <v>77.206083692669011</v>
      </c>
      <c r="N523" s="405">
        <f t="shared" si="80"/>
        <v>74.621280258036037</v>
      </c>
      <c r="O523" s="405">
        <v>52.522136611558871</v>
      </c>
      <c r="P523" s="406">
        <v>51.396374185142491</v>
      </c>
      <c r="Q523" s="406">
        <v>53.296554066682567</v>
      </c>
      <c r="R523" s="406">
        <v>54.45017911315275</v>
      </c>
      <c r="S523" s="405">
        <f t="shared" si="81"/>
        <v>77.788246060923115</v>
      </c>
      <c r="T523" s="406">
        <v>55.060202141154591</v>
      </c>
      <c r="U523" s="406">
        <v>56.448020355889184</v>
      </c>
      <c r="V523" s="405">
        <f t="shared" si="82"/>
        <v>80.942571458450544</v>
      </c>
      <c r="W523" s="406">
        <v>56.753375853929228</v>
      </c>
      <c r="X523" s="406">
        <v>58.696209337144253</v>
      </c>
      <c r="Y523" s="405">
        <f t="shared" si="83"/>
        <v>84.389739821858043</v>
      </c>
      <c r="Z523" s="406">
        <v>58.279563675895545</v>
      </c>
      <c r="AA523" s="406">
        <v>60.492576322688734</v>
      </c>
      <c r="AB523" s="442">
        <f t="shared" si="84"/>
        <v>86.131854597508152</v>
      </c>
      <c r="AC523" s="438">
        <f t="shared" si="85"/>
        <v>88.689353538625156</v>
      </c>
      <c r="AD523" s="410"/>
      <c r="AE523" s="411"/>
      <c r="AF523" s="411"/>
      <c r="AG523" s="411"/>
    </row>
    <row r="524" spans="1:33" x14ac:dyDescent="0.2">
      <c r="A524" s="36" t="s">
        <v>429</v>
      </c>
      <c r="B524" s="18" t="str">
        <f>VLOOKUP(LEFT(A524,7),'Tariff Schedule Lookup Table'!$A$8:$G$186,2,FALSE)</f>
        <v>High Pressure Sodium 50</v>
      </c>
      <c r="C524" s="160">
        <f t="shared" si="86"/>
        <v>90</v>
      </c>
      <c r="D524" s="18">
        <f t="shared" si="87"/>
        <v>2</v>
      </c>
      <c r="E524" s="18" t="str">
        <f>VLOOKUP(C524,'Tariff Schedule Lookup Table'!I$7:L$286,2,FALSE)</f>
        <v>HIGH PRESSURE SODIUM 70W TWIN ARC</v>
      </c>
      <c r="F524" s="18" t="str">
        <f>IF(E524 = "BULKHEADS ETC", "SHARED OR NO POLE", VLOOKUP(C524,'Tariff Schedule Lookup Table'!I$7:L$286,3,FALSE))</f>
        <v>SHARED OR NO POLE</v>
      </c>
      <c r="G524" s="18">
        <f>IF(E524 = "NO CAPITAL", 1, VLOOKUP(C524,'Tariff Schedule Lookup Table'!I$7:L$286,4,FALSE))</f>
        <v>1</v>
      </c>
      <c r="H524" s="18" t="str">
        <f t="shared" si="78"/>
        <v>2-Unmetered, Funded by Others, CE Maintained</v>
      </c>
      <c r="I524" s="123">
        <f>VLOOKUP(F524,'Maintenance Model'!$A$57:$B$61,2,FALSE)</f>
        <v>0</v>
      </c>
      <c r="J524" s="123">
        <f>IF(D524=1,VLOOKUP(C524,'Capital Code Schedules'!A$15:F$300,2,FALSE),IF(D524=2,VLOOKUP(C524,'Capital Code Schedules'!A$15:F$300,3,FALSE),0))</f>
        <v>0</v>
      </c>
      <c r="K524" s="123">
        <v>0</v>
      </c>
      <c r="L524" s="123">
        <f>VLOOKUP(LEFT(A524,10),'Streetlight Tariff Schedule'!B$11:H$260,7, FALSE)+I524</f>
        <v>52.391185538666328</v>
      </c>
      <c r="M524" s="161">
        <f t="shared" si="79"/>
        <v>52.391185538666328</v>
      </c>
      <c r="N524" s="405">
        <f t="shared" si="80"/>
        <v>54.574254071204479</v>
      </c>
      <c r="O524" s="405">
        <v>25.967307301828239</v>
      </c>
      <c r="P524" s="406">
        <v>25.967307301828239</v>
      </c>
      <c r="Q524" s="406">
        <v>27.238117778006284</v>
      </c>
      <c r="R524" s="406">
        <v>27.238117778006284</v>
      </c>
      <c r="S524" s="405">
        <f t="shared" si="81"/>
        <v>57.245055975967475</v>
      </c>
      <c r="T524" s="406">
        <v>28.356819554333562</v>
      </c>
      <c r="U524" s="406">
        <v>28.460415272691041</v>
      </c>
      <c r="V524" s="405">
        <f t="shared" si="82"/>
        <v>59.813900456073668</v>
      </c>
      <c r="W524" s="406">
        <v>29.389084548084384</v>
      </c>
      <c r="X524" s="406">
        <v>29.759824441625696</v>
      </c>
      <c r="Y524" s="405">
        <f t="shared" si="83"/>
        <v>62.544806872500594</v>
      </c>
      <c r="Z524" s="406">
        <v>30.238006160231052</v>
      </c>
      <c r="AA524" s="406">
        <v>30.731504457647898</v>
      </c>
      <c r="AB524" s="442">
        <f t="shared" si="84"/>
        <v>63.90245082824201</v>
      </c>
      <c r="AC524" s="438">
        <f t="shared" si="85"/>
        <v>65.81307411967336</v>
      </c>
      <c r="AD524" s="410"/>
      <c r="AE524" s="411"/>
      <c r="AF524" s="411"/>
      <c r="AG524" s="411"/>
    </row>
    <row r="525" spans="1:33" x14ac:dyDescent="0.2">
      <c r="A525" s="36" t="s">
        <v>430</v>
      </c>
      <c r="B525" s="18" t="str">
        <f>VLOOKUP(LEFT(A525,7),'Tariff Schedule Lookup Table'!$A$8:$G$186,2,FALSE)</f>
        <v>High Pressure Sodium 50</v>
      </c>
      <c r="C525" s="160">
        <f t="shared" si="86"/>
        <v>140</v>
      </c>
      <c r="D525" s="18">
        <f t="shared" si="87"/>
        <v>1</v>
      </c>
      <c r="E525" s="18" t="str">
        <f>VLOOKUP(C525,'Tariff Schedule Lookup Table'!I$7:L$286,2,FALSE)</f>
        <v>HIGH PRESSURE SODIUM 50W TWIN ARC</v>
      </c>
      <c r="F525" s="18" t="str">
        <f>IF(E525 = "BULKHEADS ETC", "SHARED OR NO POLE", VLOOKUP(C525,'Tariff Schedule Lookup Table'!I$7:L$286,3,FALSE))</f>
        <v>WOOD POLE</v>
      </c>
      <c r="G525" s="18">
        <f>IF(E525 = "NO CAPITAL", 1, VLOOKUP(C525,'Tariff Schedule Lookup Table'!I$7:L$286,4,FALSE))</f>
        <v>1</v>
      </c>
      <c r="H525" s="18" t="str">
        <f t="shared" si="78"/>
        <v>1-Unmetered, CE Funded, CE Maintained</v>
      </c>
      <c r="I525" s="123">
        <f>VLOOKUP(F525,'Maintenance Model'!$A$57:$B$61,2,FALSE)</f>
        <v>10.731618231111112</v>
      </c>
      <c r="J525" s="123">
        <f>IF(D525=1,VLOOKUP(C525,'Capital Code Schedules'!A$15:F$300,2,FALSE),IF(D525=2,VLOOKUP(C525,'Capital Code Schedules'!A$15:F$300,3,FALSE),0))</f>
        <v>53.463964116286228</v>
      </c>
      <c r="K525" s="123">
        <v>67.817476102924729</v>
      </c>
      <c r="L525" s="123">
        <f>VLOOKUP(LEFT(A525,10),'Streetlight Tariff Schedule'!B$11:H$260,7, FALSE)+I525</f>
        <v>63.122803769777441</v>
      </c>
      <c r="M525" s="161">
        <f t="shared" si="79"/>
        <v>130.94027987270218</v>
      </c>
      <c r="N525" s="405">
        <f t="shared" si="80"/>
        <v>120.54024127936619</v>
      </c>
      <c r="O525" s="405">
        <v>108.93610029919502</v>
      </c>
      <c r="P525" s="406">
        <v>105.85946601372451</v>
      </c>
      <c r="Q525" s="406">
        <v>109.35907967002245</v>
      </c>
      <c r="R525" s="406">
        <v>112.51186065405835</v>
      </c>
      <c r="S525" s="405">
        <f t="shared" si="81"/>
        <v>125.11410357896568</v>
      </c>
      <c r="T525" s="406">
        <v>112.68825742190116</v>
      </c>
      <c r="U525" s="406">
        <v>116.34302361913376</v>
      </c>
      <c r="V525" s="405">
        <f t="shared" si="82"/>
        <v>129.8092213779571</v>
      </c>
      <c r="W525" s="406">
        <v>115.9400170384817</v>
      </c>
      <c r="X525" s="406">
        <v>120.75561318803463</v>
      </c>
      <c r="Y525" s="405">
        <f t="shared" si="83"/>
        <v>135.05701319337265</v>
      </c>
      <c r="Z525" s="406">
        <v>118.97973435995955</v>
      </c>
      <c r="AA525" s="406">
        <v>124.3701273220066</v>
      </c>
      <c r="AB525" s="442">
        <f t="shared" si="84"/>
        <v>137.74348528887566</v>
      </c>
      <c r="AC525" s="438">
        <f t="shared" si="85"/>
        <v>141.81334203018551</v>
      </c>
      <c r="AD525" s="410"/>
      <c r="AE525" s="411"/>
      <c r="AF525" s="411"/>
      <c r="AG525" s="411"/>
    </row>
    <row r="526" spans="1:33" x14ac:dyDescent="0.2">
      <c r="A526" s="36" t="s">
        <v>431</v>
      </c>
      <c r="B526" s="18" t="str">
        <f>VLOOKUP(LEFT(A526,7),'Tariff Schedule Lookup Table'!$A$8:$G$186,2,FALSE)</f>
        <v>High Pressure Sodium 50</v>
      </c>
      <c r="C526" s="160">
        <f t="shared" si="86"/>
        <v>170</v>
      </c>
      <c r="D526" s="18">
        <f t="shared" si="87"/>
        <v>1</v>
      </c>
      <c r="E526" s="18" t="str">
        <f>VLOOKUP(C526,'Tariff Schedule Lookup Table'!I$7:L$286,2,FALSE)</f>
        <v>HIGH PRESSURE SODIUM 50W TWIN ARC</v>
      </c>
      <c r="F526" s="18" t="str">
        <f>IF(E526 = "BULKHEADS ETC", "SHARED OR NO POLE", VLOOKUP(C526,'Tariff Schedule Lookup Table'!I$7:L$286,3,FALSE))</f>
        <v>STEEL POLE</v>
      </c>
      <c r="G526" s="18">
        <f>IF(E526 = "NO CAPITAL", 1, VLOOKUP(C526,'Tariff Schedule Lookup Table'!I$7:L$286,4,FALSE))</f>
        <v>1</v>
      </c>
      <c r="H526" s="18" t="str">
        <f t="shared" si="78"/>
        <v>1-Unmetered, CE Funded, CE Maintained</v>
      </c>
      <c r="I526" s="123">
        <f>VLOOKUP(F526,'Maintenance Model'!$A$57:$B$61,2,FALSE)</f>
        <v>9.9616182311111103</v>
      </c>
      <c r="J526" s="123">
        <f>IF(D526=1,VLOOKUP(C526,'Capital Code Schedules'!A$15:F$300,2,FALSE),IF(D526=2,VLOOKUP(C526,'Capital Code Schedules'!A$15:F$300,3,FALSE),0))</f>
        <v>88.561479773931197</v>
      </c>
      <c r="K526" s="123">
        <v>112.33764905918515</v>
      </c>
      <c r="L526" s="123">
        <f>VLOOKUP(LEFT(A526,10),'Streetlight Tariff Schedule'!B$11:H$260,7, FALSE)+I526</f>
        <v>62.352803769777438</v>
      </c>
      <c r="M526" s="161">
        <f t="shared" si="79"/>
        <v>174.69045282896258</v>
      </c>
      <c r="N526" s="405">
        <f t="shared" si="80"/>
        <v>155.70433561021284</v>
      </c>
      <c r="O526" s="405">
        <v>155.77578236764541</v>
      </c>
      <c r="P526" s="406">
        <v>150.67942841132739</v>
      </c>
      <c r="Q526" s="406">
        <v>155.26893461723984</v>
      </c>
      <c r="R526" s="406">
        <v>160.49142333397671</v>
      </c>
      <c r="S526" s="405">
        <f t="shared" si="81"/>
        <v>161.12910772477466</v>
      </c>
      <c r="T526" s="406">
        <v>159.72064964652645</v>
      </c>
      <c r="U526" s="406">
        <v>165.67622732915555</v>
      </c>
      <c r="V526" s="405">
        <f t="shared" si="82"/>
        <v>166.83687663564734</v>
      </c>
      <c r="W526" s="406">
        <v>164.12625444959991</v>
      </c>
      <c r="X526" s="406">
        <v>171.75087725961518</v>
      </c>
      <c r="Y526" s="405">
        <f t="shared" si="83"/>
        <v>173.32957072008764</v>
      </c>
      <c r="Z526" s="406">
        <v>168.35482693369184</v>
      </c>
      <c r="AA526" s="406">
        <v>176.81494094718659</v>
      </c>
      <c r="AB526" s="442">
        <f t="shared" si="84"/>
        <v>176.68586479183764</v>
      </c>
      <c r="AC526" s="438">
        <f t="shared" si="85"/>
        <v>181.88819431230138</v>
      </c>
      <c r="AD526" s="410"/>
      <c r="AE526" s="411"/>
      <c r="AF526" s="411"/>
      <c r="AG526" s="411"/>
    </row>
    <row r="527" spans="1:33" x14ac:dyDescent="0.2">
      <c r="A527" s="36" t="s">
        <v>432</v>
      </c>
      <c r="B527" s="18" t="str">
        <f>VLOOKUP(LEFT(A527,7),'Tariff Schedule Lookup Table'!$A$8:$G$186,2,FALSE)</f>
        <v>High Pressure Sodium 50</v>
      </c>
      <c r="C527" s="160">
        <f t="shared" si="86"/>
        <v>170</v>
      </c>
      <c r="D527" s="18">
        <f t="shared" si="87"/>
        <v>2</v>
      </c>
      <c r="E527" s="18" t="str">
        <f>VLOOKUP(C527,'Tariff Schedule Lookup Table'!I$7:L$286,2,FALSE)</f>
        <v>HIGH PRESSURE SODIUM 50W TWIN ARC</v>
      </c>
      <c r="F527" s="18" t="str">
        <f>IF(E527 = "BULKHEADS ETC", "SHARED OR NO POLE", VLOOKUP(C527,'Tariff Schedule Lookup Table'!I$7:L$286,3,FALSE))</f>
        <v>STEEL POLE</v>
      </c>
      <c r="G527" s="18">
        <f>IF(E527 = "NO CAPITAL", 1, VLOOKUP(C527,'Tariff Schedule Lookup Table'!I$7:L$286,4,FALSE))</f>
        <v>1</v>
      </c>
      <c r="H527" s="18" t="str">
        <f t="shared" si="78"/>
        <v>2-Unmetered, Funded by Others, CE Maintained</v>
      </c>
      <c r="I527" s="123">
        <f>VLOOKUP(F527,'Maintenance Model'!$A$57:$B$61,2,FALSE)</f>
        <v>9.9616182311111103</v>
      </c>
      <c r="J527" s="123">
        <f>IF(D527=1,VLOOKUP(C527,'Capital Code Schedules'!A$15:F$300,2,FALSE),IF(D527=2,VLOOKUP(C527,'Capital Code Schedules'!A$15:F$300,3,FALSE),0))</f>
        <v>0</v>
      </c>
      <c r="K527" s="123">
        <v>0</v>
      </c>
      <c r="L527" s="123">
        <f>VLOOKUP(LEFT(A527,10),'Streetlight Tariff Schedule'!B$11:H$260,7, FALSE)+I527</f>
        <v>62.352803769777438</v>
      </c>
      <c r="M527" s="161">
        <f t="shared" si="79"/>
        <v>62.352803769777438</v>
      </c>
      <c r="N527" s="405">
        <f t="shared" si="80"/>
        <v>64.950959211876878</v>
      </c>
      <c r="O527" s="405">
        <v>35.561422537927406</v>
      </c>
      <c r="P527" s="406">
        <v>35.561422537927406</v>
      </c>
      <c r="Q527" s="406">
        <v>37.301758098473208</v>
      </c>
      <c r="R527" s="406">
        <v>37.301758098473208</v>
      </c>
      <c r="S527" s="405">
        <f t="shared" si="81"/>
        <v>68.129585260579844</v>
      </c>
      <c r="T527" s="406">
        <v>38.833785508920315</v>
      </c>
      <c r="U527" s="406">
        <v>38.975656634440178</v>
      </c>
      <c r="V527" s="405">
        <f t="shared" si="82"/>
        <v>71.186867781223015</v>
      </c>
      <c r="W527" s="406">
        <v>40.247440424588042</v>
      </c>
      <c r="X527" s="406">
        <v>40.755157218348963</v>
      </c>
      <c r="Y527" s="405">
        <f t="shared" si="83"/>
        <v>74.437026565498329</v>
      </c>
      <c r="Z527" s="406">
        <v>41.410012261560937</v>
      </c>
      <c r="AA527" s="406">
        <v>42.085842884744295</v>
      </c>
      <c r="AB527" s="442">
        <f t="shared" si="84"/>
        <v>76.052811860127548</v>
      </c>
      <c r="AC527" s="438">
        <f t="shared" si="85"/>
        <v>78.326719540278489</v>
      </c>
      <c r="AD527" s="410"/>
      <c r="AE527" s="411"/>
      <c r="AF527" s="411"/>
      <c r="AG527" s="411"/>
    </row>
    <row r="528" spans="1:33" x14ac:dyDescent="0.2">
      <c r="A528" s="36" t="s">
        <v>433</v>
      </c>
      <c r="B528" s="18" t="str">
        <f>VLOOKUP(LEFT(A528,7),'Tariff Schedule Lookup Table'!$A$8:$G$186,2,FALSE)</f>
        <v>High Pressure Sodium 50</v>
      </c>
      <c r="C528" s="160">
        <f t="shared" si="86"/>
        <v>1180</v>
      </c>
      <c r="D528" s="18">
        <f t="shared" si="87"/>
        <v>1</v>
      </c>
      <c r="E528" s="18" t="str">
        <f>VLOOKUP(C528,'Tariff Schedule Lookup Table'!I$7:L$286,2,FALSE)</f>
        <v>HIGH PRESSURE SODIUM 70W TWIN ARC</v>
      </c>
      <c r="F528" s="18" t="str">
        <f>IF(E528 = "BULKHEADS ETC", "SHARED OR NO POLE", VLOOKUP(C528,'Tariff Schedule Lookup Table'!I$7:L$286,3,FALSE))</f>
        <v>SHARED OR NO POLE</v>
      </c>
      <c r="G528" s="18">
        <f>IF(E528 = "NO CAPITAL", 1, VLOOKUP(C528,'Tariff Schedule Lookup Table'!I$7:L$286,4,FALSE))</f>
        <v>2</v>
      </c>
      <c r="H528" s="18" t="str">
        <f t="shared" si="78"/>
        <v>1-Unmetered, CE Funded, CE Maintained</v>
      </c>
      <c r="I528" s="123">
        <f>VLOOKUP(F528,'Maintenance Model'!$A$57:$B$61,2,FALSE)</f>
        <v>0</v>
      </c>
      <c r="J528" s="123">
        <f>IF(D528=1,VLOOKUP(C528,'Capital Code Schedules'!A$15:F$300,2,FALSE),IF(D528=2,VLOOKUP(C528,'Capital Code Schedules'!A$15:F$300,3,FALSE),0))</f>
        <v>28.535418210578442</v>
      </c>
      <c r="K528" s="123">
        <v>36.196344108972738</v>
      </c>
      <c r="L528" s="123">
        <f>VLOOKUP(LEFT(A528,10),'Streetlight Tariff Schedule'!B$11:H$260,7, FALSE)+I528</f>
        <v>52.391185538666328</v>
      </c>
      <c r="M528" s="161">
        <f t="shared" si="79"/>
        <v>88.587529647639059</v>
      </c>
      <c r="N528" s="405">
        <f t="shared" si="80"/>
        <v>83.815923882494744</v>
      </c>
      <c r="O528" s="405">
        <v>64.701608506082977</v>
      </c>
      <c r="P528" s="406">
        <v>63.059510927498053</v>
      </c>
      <c r="Q528" s="406">
        <v>65.248353443411418</v>
      </c>
      <c r="R528" s="406">
        <v>66.931092937066325</v>
      </c>
      <c r="S528" s="405">
        <f t="shared" si="81"/>
        <v>87.210457115087181</v>
      </c>
      <c r="T528" s="406">
        <v>67.307808552457487</v>
      </c>
      <c r="U528" s="406">
        <v>69.284640223784308</v>
      </c>
      <c r="V528" s="405">
        <f t="shared" si="82"/>
        <v>90.633315527658283</v>
      </c>
      <c r="W528" s="406">
        <v>69.304110523911874</v>
      </c>
      <c r="X528" s="406">
        <v>71.967990618561004</v>
      </c>
      <c r="Y528" s="405">
        <f t="shared" si="83"/>
        <v>94.409000115011921</v>
      </c>
      <c r="Z528" s="406">
        <v>71.140929028960258</v>
      </c>
      <c r="AA528" s="406">
        <v>74.142603370625864</v>
      </c>
      <c r="AB528" s="442">
        <f t="shared" si="84"/>
        <v>96.327453871821533</v>
      </c>
      <c r="AC528" s="438">
        <f t="shared" si="85"/>
        <v>99.181644751821054</v>
      </c>
      <c r="AD528" s="410"/>
      <c r="AE528" s="411"/>
      <c r="AF528" s="411"/>
      <c r="AG528" s="411"/>
    </row>
    <row r="529" spans="1:33" x14ac:dyDescent="0.2">
      <c r="A529" s="36" t="s">
        <v>434</v>
      </c>
      <c r="B529" s="18" t="str">
        <f>VLOOKUP(LEFT(A529,7),'Tariff Schedule Lookup Table'!$A$8:$G$186,2,FALSE)</f>
        <v>High Pressure Sodium 50</v>
      </c>
      <c r="C529" s="160">
        <f t="shared" si="86"/>
        <v>1200</v>
      </c>
      <c r="D529" s="18">
        <f t="shared" si="87"/>
        <v>1</v>
      </c>
      <c r="E529" s="18" t="str">
        <f>VLOOKUP(C529,'Tariff Schedule Lookup Table'!I$7:L$286,2,FALSE)</f>
        <v>HIGH PRESSURE SODIUM 70W TWIN ARC</v>
      </c>
      <c r="F529" s="18" t="str">
        <f>IF(E529 = "BULKHEADS ETC", "SHARED OR NO POLE", VLOOKUP(C529,'Tariff Schedule Lookup Table'!I$7:L$286,3,FALSE))</f>
        <v>SHARED OR NO POLE</v>
      </c>
      <c r="G529" s="18">
        <f>IF(E529 = "NO CAPITAL", 1, VLOOKUP(C529,'Tariff Schedule Lookup Table'!I$7:L$286,4,FALSE))</f>
        <v>4</v>
      </c>
      <c r="H529" s="18" t="str">
        <f t="shared" si="78"/>
        <v>1-Unmetered, CE Funded, CE Maintained</v>
      </c>
      <c r="I529" s="123">
        <f>VLOOKUP(F529,'Maintenance Model'!$A$57:$B$61,2,FALSE)</f>
        <v>0</v>
      </c>
      <c r="J529" s="123">
        <f>IF(D529=1,VLOOKUP(C529,'Capital Code Schedules'!A$15:F$300,2,FALSE),IF(D529=2,VLOOKUP(C529,'Capital Code Schedules'!A$15:F$300,3,FALSE),0))</f>
        <v>46.480563122915477</v>
      </c>
      <c r="K529" s="123">
        <v>58.959236018912797</v>
      </c>
      <c r="L529" s="123">
        <f>VLOOKUP(LEFT(A529,10),'Streetlight Tariff Schedule'!B$11:H$260,7, FALSE)+I529</f>
        <v>52.391185538666328</v>
      </c>
      <c r="M529" s="161">
        <f t="shared" si="79"/>
        <v>111.35042155757912</v>
      </c>
      <c r="N529" s="405">
        <f t="shared" si="80"/>
        <v>102.20521113141211</v>
      </c>
      <c r="O529" s="405">
        <v>89.060552295131146</v>
      </c>
      <c r="P529" s="406">
        <v>86.385784412209134</v>
      </c>
      <c r="Q529" s="406">
        <v>89.151952196869104</v>
      </c>
      <c r="R529" s="406">
        <v>91.892920584893446</v>
      </c>
      <c r="S529" s="405">
        <f t="shared" si="81"/>
        <v>106.05487922341526</v>
      </c>
      <c r="T529" s="406">
        <v>91.803021375063238</v>
      </c>
      <c r="U529" s="406">
        <v>94.957879959574498</v>
      </c>
      <c r="V529" s="405">
        <f t="shared" si="82"/>
        <v>110.0148036660737</v>
      </c>
      <c r="W529" s="406">
        <v>94.405579863877136</v>
      </c>
      <c r="X529" s="406">
        <v>98.511553181394476</v>
      </c>
      <c r="Y529" s="405">
        <f t="shared" si="83"/>
        <v>114.44752070131963</v>
      </c>
      <c r="Z529" s="406">
        <v>96.863659735089655</v>
      </c>
      <c r="AA529" s="406">
        <v>101.44265746650009</v>
      </c>
      <c r="AB529" s="442">
        <f t="shared" si="84"/>
        <v>116.71865242044827</v>
      </c>
      <c r="AC529" s="438">
        <f t="shared" si="85"/>
        <v>120.16622717821282</v>
      </c>
      <c r="AD529" s="410"/>
      <c r="AE529" s="411"/>
      <c r="AF529" s="411"/>
      <c r="AG529" s="411"/>
    </row>
    <row r="530" spans="1:33" x14ac:dyDescent="0.2">
      <c r="A530" s="36" t="s">
        <v>435</v>
      </c>
      <c r="B530" s="18" t="str">
        <f>VLOOKUP(LEFT(A530,7),'Tariff Schedule Lookup Table'!$A$8:$G$186,2,FALSE)</f>
        <v>High Pressure Sodium 70</v>
      </c>
      <c r="C530" s="160">
        <f t="shared" si="86"/>
        <v>40</v>
      </c>
      <c r="D530" s="18">
        <f t="shared" si="87"/>
        <v>1</v>
      </c>
      <c r="E530" s="18" t="str">
        <f>VLOOKUP(C530,'Tariff Schedule Lookup Table'!I$7:L$286,2,FALSE)</f>
        <v>HIGH PRESSURE SODIUM 70W (100)</v>
      </c>
      <c r="F530" s="18" t="str">
        <f>IF(E530 = "BULKHEADS ETC", "SHARED OR NO POLE", VLOOKUP(C530,'Tariff Schedule Lookup Table'!I$7:L$286,3,FALSE))</f>
        <v>SHARED OR NO POLE</v>
      </c>
      <c r="G530" s="18">
        <f>IF(E530 = "NO CAPITAL", 1, VLOOKUP(C530,'Tariff Schedule Lookup Table'!I$7:L$286,4,FALSE))</f>
        <v>1</v>
      </c>
      <c r="H530" s="18" t="str">
        <f t="shared" ref="H530:H593" si="88">VLOOKUP(D530,A$11:B$15, 2, FALSE)</f>
        <v>1-Unmetered, CE Funded, CE Maintained</v>
      </c>
      <c r="I530" s="123">
        <f>VLOOKUP(F530,'Maintenance Model'!$A$57:$B$61,2,FALSE)</f>
        <v>0</v>
      </c>
      <c r="J530" s="123">
        <f>IF(D530=1,VLOOKUP(C530,'Capital Code Schedules'!A$15:F$300,2,FALSE),IF(D530=2,VLOOKUP(C530,'Capital Code Schedules'!A$15:F$300,3,FALSE),0))</f>
        <v>18.483521869130684</v>
      </c>
      <c r="K530" s="123">
        <v>23.445807346631316</v>
      </c>
      <c r="L530" s="123">
        <f>VLOOKUP(LEFT(A530,10),'Streetlight Tariff Schedule'!B$11:H$260,7, FALSE)+I530</f>
        <v>52.135530877055935</v>
      </c>
      <c r="M530" s="161">
        <f t="shared" si="79"/>
        <v>75.581338223687254</v>
      </c>
      <c r="N530" s="405">
        <f t="shared" si="80"/>
        <v>73.248935667400744</v>
      </c>
      <c r="O530" s="405">
        <v>57.96132046770726</v>
      </c>
      <c r="P530" s="406">
        <v>56.897668753159429</v>
      </c>
      <c r="Q530" s="406">
        <v>59.101012120544617</v>
      </c>
      <c r="R530" s="406">
        <v>60.190989215027507</v>
      </c>
      <c r="S530" s="405">
        <f t="shared" si="81"/>
        <v>76.375494267695146</v>
      </c>
      <c r="T530" s="406">
        <v>61.126521124903462</v>
      </c>
      <c r="U530" s="406">
        <v>62.47103040761462</v>
      </c>
      <c r="V530" s="405">
        <f t="shared" si="82"/>
        <v>79.484982176713345</v>
      </c>
      <c r="W530" s="406">
        <v>63.057692999734037</v>
      </c>
      <c r="X530" s="406">
        <v>65.012364233473818</v>
      </c>
      <c r="Y530" s="405">
        <f t="shared" si="83"/>
        <v>82.879306765598002</v>
      </c>
      <c r="Z530" s="406">
        <v>64.772228583873343</v>
      </c>
      <c r="AA530" s="406">
        <v>67.02158485916604</v>
      </c>
      <c r="AB530" s="442">
        <f t="shared" si="84"/>
        <v>84.593584535551145</v>
      </c>
      <c r="AC530" s="438">
        <f t="shared" si="85"/>
        <v>87.106070649400664</v>
      </c>
      <c r="AD530" s="410"/>
      <c r="AE530" s="411"/>
      <c r="AF530" s="411"/>
      <c r="AG530" s="411"/>
    </row>
    <row r="531" spans="1:33" x14ac:dyDescent="0.2">
      <c r="A531" s="36" t="s">
        <v>436</v>
      </c>
      <c r="B531" s="18" t="str">
        <f>VLOOKUP(LEFT(A531,7),'Tariff Schedule Lookup Table'!$A$8:$G$186,2,FALSE)</f>
        <v>High Pressure Sodium 70</v>
      </c>
      <c r="C531" s="160">
        <f t="shared" si="86"/>
        <v>40</v>
      </c>
      <c r="D531" s="18">
        <f t="shared" si="87"/>
        <v>2</v>
      </c>
      <c r="E531" s="18" t="str">
        <f>VLOOKUP(C531,'Tariff Schedule Lookup Table'!I$7:L$286,2,FALSE)</f>
        <v>HIGH PRESSURE SODIUM 70W (100)</v>
      </c>
      <c r="F531" s="18" t="str">
        <f>IF(E531 = "BULKHEADS ETC", "SHARED OR NO POLE", VLOOKUP(C531,'Tariff Schedule Lookup Table'!I$7:L$286,3,FALSE))</f>
        <v>SHARED OR NO POLE</v>
      </c>
      <c r="G531" s="18">
        <f>IF(E531 = "NO CAPITAL", 1, VLOOKUP(C531,'Tariff Schedule Lookup Table'!I$7:L$286,4,FALSE))</f>
        <v>1</v>
      </c>
      <c r="H531" s="18" t="str">
        <f t="shared" si="88"/>
        <v>2-Unmetered, Funded by Others, CE Maintained</v>
      </c>
      <c r="I531" s="123">
        <f>VLOOKUP(F531,'Maintenance Model'!$A$57:$B$61,2,FALSE)</f>
        <v>0</v>
      </c>
      <c r="J531" s="123">
        <f>IF(D531=1,VLOOKUP(C531,'Capital Code Schedules'!A$15:F$300,2,FALSE),IF(D531=2,VLOOKUP(C531,'Capital Code Schedules'!A$15:F$300,3,FALSE),0))</f>
        <v>0</v>
      </c>
      <c r="K531" s="123">
        <v>0</v>
      </c>
      <c r="L531" s="123">
        <f>VLOOKUP(LEFT(A531,10),'Streetlight Tariff Schedule'!B$11:H$260,7, FALSE)+I531</f>
        <v>52.135530877055935</v>
      </c>
      <c r="M531" s="161">
        <f t="shared" ref="M531:M594" si="89">IF(VLOOKUP(D531,A$11:D$15,3,FALSE)="Y",IF(VLOOKUP(D531,A$11:D$15,4,FALSE)="Y",K531+L531,K531),IF(VLOOKUP(D531,A$11:D$15,4,FALSE)="Y",L531,0))</f>
        <v>52.135530877055935</v>
      </c>
      <c r="N531" s="405">
        <f t="shared" ref="N531:N594" si="90">($J531+$L531+$L531*$M$10*$M$14)*(1+$M$12)</f>
        <v>54.30794663200907</v>
      </c>
      <c r="O531" s="405">
        <v>32.871577674698983</v>
      </c>
      <c r="P531" s="406">
        <v>32.871577674698983</v>
      </c>
      <c r="Q531" s="406">
        <v>34.480275287892276</v>
      </c>
      <c r="R531" s="406">
        <v>34.480275287892276</v>
      </c>
      <c r="S531" s="405">
        <f t="shared" ref="S531:S594" si="91">($J531+$L531+$L531*$N$10*$N$14)*(1+$N$12)</f>
        <v>56.965715753677543</v>
      </c>
      <c r="T531" s="406">
        <v>35.896421055642975</v>
      </c>
      <c r="U531" s="406">
        <v>36.027561133556041</v>
      </c>
      <c r="V531" s="405">
        <f t="shared" ref="V531:V594" si="92">($J531+$L531+$L531*$O$10*$O$14)*(1+$O$12)</f>
        <v>59.522024975046243</v>
      </c>
      <c r="W531" s="406">
        <v>37.203147953759348</v>
      </c>
      <c r="X531" s="406">
        <v>37.672461351024651</v>
      </c>
      <c r="Y531" s="405">
        <f t="shared" ref="Y531:Y594" si="93">($J531+$L531+$L531*$P$10*$P$14)*(1+$P$12)</f>
        <v>62.239605314794382</v>
      </c>
      <c r="Z531" s="406">
        <v>38.277783548010788</v>
      </c>
      <c r="AA531" s="406">
        <v>38.902494744567065</v>
      </c>
      <c r="AB531" s="442">
        <f t="shared" ref="AB531:AB594" si="94">($J531+$L531+$L531*$Q$10*$Q$14)*(1+$Q$12)</f>
        <v>63.590624339213392</v>
      </c>
      <c r="AC531" s="438">
        <f t="shared" ref="AC531:AC594" si="95">($J531+$L531+$L531*$R$10*$R$14)*(1+$R$12)</f>
        <v>65.491924311349464</v>
      </c>
      <c r="AD531" s="410"/>
      <c r="AE531" s="411"/>
      <c r="AF531" s="411"/>
      <c r="AG531" s="411"/>
    </row>
    <row r="532" spans="1:33" x14ac:dyDescent="0.2">
      <c r="A532" s="36" t="s">
        <v>437</v>
      </c>
      <c r="B532" s="18" t="str">
        <f>VLOOKUP(LEFT(A532,7),'Tariff Schedule Lookup Table'!$A$8:$G$186,2,FALSE)</f>
        <v>High Pressure Sodium 70</v>
      </c>
      <c r="C532" s="160">
        <f t="shared" si="86"/>
        <v>170</v>
      </c>
      <c r="D532" s="18">
        <f t="shared" si="87"/>
        <v>2</v>
      </c>
      <c r="E532" s="18" t="str">
        <f>VLOOKUP(C532,'Tariff Schedule Lookup Table'!I$7:L$286,2,FALSE)</f>
        <v>HIGH PRESSURE SODIUM 50W TWIN ARC</v>
      </c>
      <c r="F532" s="18" t="str">
        <f>IF(E532 = "BULKHEADS ETC", "SHARED OR NO POLE", VLOOKUP(C532,'Tariff Schedule Lookup Table'!I$7:L$286,3,FALSE))</f>
        <v>STEEL POLE</v>
      </c>
      <c r="G532" s="18">
        <f>IF(E532 = "NO CAPITAL", 1, VLOOKUP(C532,'Tariff Schedule Lookup Table'!I$7:L$286,4,FALSE))</f>
        <v>1</v>
      </c>
      <c r="H532" s="18" t="str">
        <f t="shared" si="88"/>
        <v>2-Unmetered, Funded by Others, CE Maintained</v>
      </c>
      <c r="I532" s="123">
        <f>VLOOKUP(F532,'Maintenance Model'!$A$57:$B$61,2,FALSE)</f>
        <v>9.9616182311111103</v>
      </c>
      <c r="J532" s="123">
        <f>IF(D532=1,VLOOKUP(C532,'Capital Code Schedules'!A$15:F$300,2,FALSE),IF(D532=2,VLOOKUP(C532,'Capital Code Schedules'!A$15:F$300,3,FALSE),0))</f>
        <v>0</v>
      </c>
      <c r="K532" s="123">
        <v>0</v>
      </c>
      <c r="L532" s="123">
        <f>VLOOKUP(LEFT(A532,10),'Streetlight Tariff Schedule'!B$11:H$260,7, FALSE)+I532</f>
        <v>62.097149108167045</v>
      </c>
      <c r="M532" s="161">
        <f t="shared" si="89"/>
        <v>62.097149108167045</v>
      </c>
      <c r="N532" s="405">
        <f t="shared" si="90"/>
        <v>64.684651772681477</v>
      </c>
      <c r="O532" s="405">
        <v>42.465692910798147</v>
      </c>
      <c r="P532" s="406">
        <v>42.465692910798147</v>
      </c>
      <c r="Q532" s="406">
        <v>44.543915608359193</v>
      </c>
      <c r="R532" s="406">
        <v>44.543915608359193</v>
      </c>
      <c r="S532" s="405">
        <f t="shared" si="91"/>
        <v>67.850245038289913</v>
      </c>
      <c r="T532" s="406">
        <v>46.373387010229727</v>
      </c>
      <c r="U532" s="406">
        <v>46.542802495305168</v>
      </c>
      <c r="V532" s="405">
        <f t="shared" si="92"/>
        <v>70.894992300195582</v>
      </c>
      <c r="W532" s="406">
        <v>48.061503830263007</v>
      </c>
      <c r="X532" s="406">
        <v>48.667794127747918</v>
      </c>
      <c r="Y532" s="405">
        <f t="shared" si="93"/>
        <v>74.131825007792102</v>
      </c>
      <c r="Z532" s="406">
        <v>49.449789649340673</v>
      </c>
      <c r="AA532" s="406">
        <v>50.256833171663452</v>
      </c>
      <c r="AB532" s="442">
        <f t="shared" si="94"/>
        <v>75.74098537109893</v>
      </c>
      <c r="AC532" s="438">
        <f t="shared" si="95"/>
        <v>78.005569731954566</v>
      </c>
      <c r="AD532" s="410"/>
      <c r="AE532" s="411"/>
      <c r="AF532" s="411"/>
      <c r="AG532" s="411"/>
    </row>
    <row r="533" spans="1:33" x14ac:dyDescent="0.2">
      <c r="A533" s="36" t="s">
        <v>446</v>
      </c>
      <c r="B533" s="18" t="str">
        <f>VLOOKUP(LEFT(A533,7),'Tariff Schedule Lookup Table'!$A$8:$G$186,2,FALSE)</f>
        <v>High Pressure Sodium 70</v>
      </c>
      <c r="C533" s="160">
        <f t="shared" si="86"/>
        <v>350</v>
      </c>
      <c r="D533" s="18">
        <f t="shared" si="87"/>
        <v>1</v>
      </c>
      <c r="E533" s="18" t="str">
        <f>VLOOKUP(C533,'Tariff Schedule Lookup Table'!I$7:L$286,2,FALSE)</f>
        <v>HIGH PRESSURE SODIUM 70W (100)</v>
      </c>
      <c r="F533" s="18" t="str">
        <f>IF(E533 = "BULKHEADS ETC", "SHARED OR NO POLE", VLOOKUP(C533,'Tariff Schedule Lookup Table'!I$7:L$286,3,FALSE))</f>
        <v>WOOD POLE</v>
      </c>
      <c r="G533" s="18">
        <f>IF(E533 = "NO CAPITAL", 1, VLOOKUP(C533,'Tariff Schedule Lookup Table'!I$7:L$286,4,FALSE))</f>
        <v>1</v>
      </c>
      <c r="H533" s="18" t="str">
        <f t="shared" si="88"/>
        <v>1-Unmetered, CE Funded, CE Maintained</v>
      </c>
      <c r="I533" s="123">
        <f>VLOOKUP(F533,'Maintenance Model'!$A$57:$B$61,2,FALSE)</f>
        <v>10.731618231111112</v>
      </c>
      <c r="J533" s="123">
        <f>IF(D533=1,VLOOKUP(C533,'Capital Code Schedules'!A$15:F$300,2,FALSE),IF(D533=2,VLOOKUP(C533,'Capital Code Schedules'!A$15:F$300,3,FALSE),0))</f>
        <v>52.384640231006998</v>
      </c>
      <c r="K533" s="123">
        <v>66.448385295553337</v>
      </c>
      <c r="L533" s="123">
        <f>VLOOKUP(LEFT(A533,10),'Streetlight Tariff Schedule'!B$11:H$260,7, FALSE)+I533</f>
        <v>62.867149108167048</v>
      </c>
      <c r="M533" s="161">
        <f t="shared" si="89"/>
        <v>129.31553440372039</v>
      </c>
      <c r="N533" s="405">
        <f t="shared" si="90"/>
        <v>119.16789668873091</v>
      </c>
      <c r="O533" s="405">
        <v>114.37528415534339</v>
      </c>
      <c r="P533" s="406">
        <v>111.36076058174143</v>
      </c>
      <c r="Q533" s="406">
        <v>115.16353772388447</v>
      </c>
      <c r="R533" s="406">
        <v>118.2526707559331</v>
      </c>
      <c r="S533" s="405">
        <f t="shared" si="91"/>
        <v>123.70135178573773</v>
      </c>
      <c r="T533" s="406">
        <v>118.75457640565001</v>
      </c>
      <c r="U533" s="406">
        <v>122.36603367085918</v>
      </c>
      <c r="V533" s="405">
        <f t="shared" si="92"/>
        <v>128.35163209621993</v>
      </c>
      <c r="W533" s="406">
        <v>122.24433418428647</v>
      </c>
      <c r="X533" s="406">
        <v>127.07176808436415</v>
      </c>
      <c r="Y533" s="405">
        <f t="shared" si="93"/>
        <v>133.54658013711264</v>
      </c>
      <c r="Z533" s="406">
        <v>125.47239926793732</v>
      </c>
      <c r="AA533" s="406">
        <v>130.89913585848387</v>
      </c>
      <c r="AB533" s="442">
        <f t="shared" si="94"/>
        <v>136.20521522691871</v>
      </c>
      <c r="AC533" s="438">
        <f t="shared" si="95"/>
        <v>140.23005914096103</v>
      </c>
      <c r="AD533" s="410"/>
      <c r="AE533" s="411"/>
      <c r="AF533" s="411"/>
      <c r="AG533" s="411"/>
    </row>
    <row r="534" spans="1:33" x14ac:dyDescent="0.2">
      <c r="A534" s="36" t="s">
        <v>447</v>
      </c>
      <c r="B534" s="18" t="str">
        <f>VLOOKUP(LEFT(A534,7),'Tariff Schedule Lookup Table'!$A$8:$G$186,2,FALSE)</f>
        <v>High Pressure Sodium 70</v>
      </c>
      <c r="C534" s="160">
        <f t="shared" si="86"/>
        <v>350</v>
      </c>
      <c r="D534" s="18">
        <f t="shared" si="87"/>
        <v>2</v>
      </c>
      <c r="E534" s="18" t="str">
        <f>VLOOKUP(C534,'Tariff Schedule Lookup Table'!I$7:L$286,2,FALSE)</f>
        <v>HIGH PRESSURE SODIUM 70W (100)</v>
      </c>
      <c r="F534" s="18" t="str">
        <f>IF(E534 = "BULKHEADS ETC", "SHARED OR NO POLE", VLOOKUP(C534,'Tariff Schedule Lookup Table'!I$7:L$286,3,FALSE))</f>
        <v>WOOD POLE</v>
      </c>
      <c r="G534" s="18">
        <f>IF(E534 = "NO CAPITAL", 1, VLOOKUP(C534,'Tariff Schedule Lookup Table'!I$7:L$286,4,FALSE))</f>
        <v>1</v>
      </c>
      <c r="H534" s="18" t="str">
        <f t="shared" si="88"/>
        <v>2-Unmetered, Funded by Others, CE Maintained</v>
      </c>
      <c r="I534" s="123">
        <f>VLOOKUP(F534,'Maintenance Model'!$A$57:$B$61,2,FALSE)</f>
        <v>10.731618231111112</v>
      </c>
      <c r="J534" s="123">
        <f>IF(D534=1,VLOOKUP(C534,'Capital Code Schedules'!A$15:F$300,2,FALSE),IF(D534=2,VLOOKUP(C534,'Capital Code Schedules'!A$15:F$300,3,FALSE),0))</f>
        <v>0</v>
      </c>
      <c r="K534" s="123">
        <v>0</v>
      </c>
      <c r="L534" s="123">
        <f>VLOOKUP(LEFT(A534,10),'Streetlight Tariff Schedule'!B$11:H$260,7, FALSE)+I534</f>
        <v>62.867149108167048</v>
      </c>
      <c r="M534" s="161">
        <f t="shared" si="89"/>
        <v>62.867149108167048</v>
      </c>
      <c r="N534" s="405">
        <f t="shared" si="90"/>
        <v>65.486736612006467</v>
      </c>
      <c r="O534" s="405">
        <v>43.267777750123152</v>
      </c>
      <c r="P534" s="406">
        <v>43.267777750123152</v>
      </c>
      <c r="Q534" s="406">
        <v>45.385253567183653</v>
      </c>
      <c r="R534" s="406">
        <v>45.385253567183653</v>
      </c>
      <c r="S534" s="405">
        <f t="shared" si="91"/>
        <v>68.691582997114381</v>
      </c>
      <c r="T534" s="406">
        <v>47.249279716070831</v>
      </c>
      <c r="U534" s="406">
        <v>47.421895092230379</v>
      </c>
      <c r="V534" s="405">
        <f t="shared" si="92"/>
        <v>71.774084897120787</v>
      </c>
      <c r="W534" s="406">
        <v>48.969281401640217</v>
      </c>
      <c r="X534" s="406">
        <v>49.587023207919856</v>
      </c>
      <c r="Y534" s="405">
        <f t="shared" si="93"/>
        <v>75.051054087964047</v>
      </c>
      <c r="Z534" s="406">
        <v>50.383788928920566</v>
      </c>
      <c r="AA534" s="406">
        <v>51.206075753060894</v>
      </c>
      <c r="AB534" s="442">
        <f t="shared" si="94"/>
        <v>76.680167919305106</v>
      </c>
      <c r="AC534" s="438">
        <f t="shared" si="95"/>
        <v>78.972832956695854</v>
      </c>
      <c r="AD534" s="410"/>
      <c r="AE534" s="411"/>
      <c r="AF534" s="411"/>
      <c r="AG534" s="411"/>
    </row>
    <row r="535" spans="1:33" x14ac:dyDescent="0.2">
      <c r="A535" s="36" t="s">
        <v>448</v>
      </c>
      <c r="B535" s="18" t="str">
        <f>VLOOKUP(LEFT(A535,7),'Tariff Schedule Lookup Table'!$A$8:$G$186,2,FALSE)</f>
        <v>High Pressure Sodium 70</v>
      </c>
      <c r="C535" s="160">
        <f t="shared" si="86"/>
        <v>360</v>
      </c>
      <c r="D535" s="18">
        <f t="shared" si="87"/>
        <v>1</v>
      </c>
      <c r="E535" s="18" t="str">
        <f>VLOOKUP(C535,'Tariff Schedule Lookup Table'!I$7:L$286,2,FALSE)</f>
        <v>HIGH PRESSURE SODIUM 70W (100)</v>
      </c>
      <c r="F535" s="18" t="str">
        <f>IF(E535 = "BULKHEADS ETC", "SHARED OR NO POLE", VLOOKUP(C535,'Tariff Schedule Lookup Table'!I$7:L$286,3,FALSE))</f>
        <v>STEEL POLE</v>
      </c>
      <c r="G535" s="18">
        <f>IF(E535 = "NO CAPITAL", 1, VLOOKUP(C535,'Tariff Schedule Lookup Table'!I$7:L$286,4,FALSE))</f>
        <v>1</v>
      </c>
      <c r="H535" s="18" t="str">
        <f t="shared" si="88"/>
        <v>1-Unmetered, CE Funded, CE Maintained</v>
      </c>
      <c r="I535" s="123">
        <f>VLOOKUP(F535,'Maintenance Model'!$A$57:$B$61,2,FALSE)</f>
        <v>9.9616182311111103</v>
      </c>
      <c r="J535" s="123">
        <f>IF(D535=1,VLOOKUP(C535,'Capital Code Schedules'!A$15:F$300,2,FALSE),IF(D535=2,VLOOKUP(C535,'Capital Code Schedules'!A$15:F$300,3,FALSE),0))</f>
        <v>87.482155888651974</v>
      </c>
      <c r="K535" s="123">
        <v>110.96855825181379</v>
      </c>
      <c r="L535" s="123">
        <f>VLOOKUP(LEFT(A535,10),'Streetlight Tariff Schedule'!B$11:H$260,7, FALSE)+I535</f>
        <v>62.097149108167045</v>
      </c>
      <c r="M535" s="161">
        <f t="shared" si="89"/>
        <v>173.06570735998082</v>
      </c>
      <c r="N535" s="405">
        <f t="shared" si="90"/>
        <v>154.33199101957757</v>
      </c>
      <c r="O535" s="405">
        <v>161.21496622379379</v>
      </c>
      <c r="P535" s="406">
        <v>156.18072297934432</v>
      </c>
      <c r="Q535" s="406">
        <v>161.07339267110189</v>
      </c>
      <c r="R535" s="406">
        <v>166.2322334358515</v>
      </c>
      <c r="S535" s="405">
        <f t="shared" si="91"/>
        <v>159.7163559315467</v>
      </c>
      <c r="T535" s="406">
        <v>165.78696863027531</v>
      </c>
      <c r="U535" s="406">
        <v>171.69923738088099</v>
      </c>
      <c r="V535" s="405">
        <f t="shared" si="92"/>
        <v>165.3792873539102</v>
      </c>
      <c r="W535" s="406">
        <v>170.43057159540473</v>
      </c>
      <c r="X535" s="406">
        <v>178.06703215594476</v>
      </c>
      <c r="Y535" s="405">
        <f t="shared" si="93"/>
        <v>171.81913766382763</v>
      </c>
      <c r="Z535" s="406">
        <v>174.84749184166964</v>
      </c>
      <c r="AA535" s="406">
        <v>183.34394948366392</v>
      </c>
      <c r="AB535" s="442">
        <f t="shared" si="94"/>
        <v>175.14759472988069</v>
      </c>
      <c r="AC535" s="438">
        <f t="shared" si="95"/>
        <v>180.3049114230769</v>
      </c>
      <c r="AD535" s="410"/>
      <c r="AE535" s="411"/>
      <c r="AF535" s="411"/>
      <c r="AG535" s="411"/>
    </row>
    <row r="536" spans="1:33" x14ac:dyDescent="0.2">
      <c r="A536" s="36" t="s">
        <v>449</v>
      </c>
      <c r="B536" s="18" t="str">
        <f>VLOOKUP(LEFT(A536,7),'Tariff Schedule Lookup Table'!$A$8:$G$186,2,FALSE)</f>
        <v>High Pressure Sodium 70</v>
      </c>
      <c r="C536" s="160">
        <f t="shared" si="86"/>
        <v>360</v>
      </c>
      <c r="D536" s="18">
        <f t="shared" si="87"/>
        <v>2</v>
      </c>
      <c r="E536" s="18" t="str">
        <f>VLOOKUP(C536,'Tariff Schedule Lookup Table'!I$7:L$286,2,FALSE)</f>
        <v>HIGH PRESSURE SODIUM 70W (100)</v>
      </c>
      <c r="F536" s="18" t="str">
        <f>IF(E536 = "BULKHEADS ETC", "SHARED OR NO POLE", VLOOKUP(C536,'Tariff Schedule Lookup Table'!I$7:L$286,3,FALSE))</f>
        <v>STEEL POLE</v>
      </c>
      <c r="G536" s="18">
        <f>IF(E536 = "NO CAPITAL", 1, VLOOKUP(C536,'Tariff Schedule Lookup Table'!I$7:L$286,4,FALSE))</f>
        <v>1</v>
      </c>
      <c r="H536" s="18" t="str">
        <f t="shared" si="88"/>
        <v>2-Unmetered, Funded by Others, CE Maintained</v>
      </c>
      <c r="I536" s="123">
        <f>VLOOKUP(F536,'Maintenance Model'!$A$57:$B$61,2,FALSE)</f>
        <v>9.9616182311111103</v>
      </c>
      <c r="J536" s="123">
        <f>IF(D536=1,VLOOKUP(C536,'Capital Code Schedules'!A$15:F$300,2,FALSE),IF(D536=2,VLOOKUP(C536,'Capital Code Schedules'!A$15:F$300,3,FALSE),0))</f>
        <v>0</v>
      </c>
      <c r="K536" s="123">
        <v>0</v>
      </c>
      <c r="L536" s="123">
        <f>VLOOKUP(LEFT(A536,10),'Streetlight Tariff Schedule'!B$11:H$260,7, FALSE)+I536</f>
        <v>62.097149108167045</v>
      </c>
      <c r="M536" s="161">
        <f t="shared" si="89"/>
        <v>62.097149108167045</v>
      </c>
      <c r="N536" s="405">
        <f t="shared" si="90"/>
        <v>64.684651772681477</v>
      </c>
      <c r="O536" s="405">
        <v>42.465692910798147</v>
      </c>
      <c r="P536" s="406">
        <v>42.465692910798147</v>
      </c>
      <c r="Q536" s="406">
        <v>44.543915608359193</v>
      </c>
      <c r="R536" s="406">
        <v>44.543915608359193</v>
      </c>
      <c r="S536" s="405">
        <f t="shared" si="91"/>
        <v>67.850245038289913</v>
      </c>
      <c r="T536" s="406">
        <v>46.373387010229727</v>
      </c>
      <c r="U536" s="406">
        <v>46.542802495305168</v>
      </c>
      <c r="V536" s="405">
        <f t="shared" si="92"/>
        <v>70.894992300195582</v>
      </c>
      <c r="W536" s="406">
        <v>48.061503830263007</v>
      </c>
      <c r="X536" s="406">
        <v>48.667794127747918</v>
      </c>
      <c r="Y536" s="405">
        <f t="shared" si="93"/>
        <v>74.131825007792102</v>
      </c>
      <c r="Z536" s="406">
        <v>49.449789649340673</v>
      </c>
      <c r="AA536" s="406">
        <v>50.256833171663452</v>
      </c>
      <c r="AB536" s="442">
        <f t="shared" si="94"/>
        <v>75.74098537109893</v>
      </c>
      <c r="AC536" s="438">
        <f t="shared" si="95"/>
        <v>78.005569731954566</v>
      </c>
      <c r="AD536" s="410"/>
      <c r="AE536" s="411"/>
      <c r="AF536" s="411"/>
      <c r="AG536" s="411"/>
    </row>
    <row r="537" spans="1:33" x14ac:dyDescent="0.2">
      <c r="A537" s="36" t="s">
        <v>450</v>
      </c>
      <c r="B537" s="18" t="str">
        <f>VLOOKUP(LEFT(A537,7),'Tariff Schedule Lookup Table'!$A$8:$G$186,2,FALSE)</f>
        <v>High Pressure Sodium 70</v>
      </c>
      <c r="C537" s="160">
        <f t="shared" si="86"/>
        <v>730</v>
      </c>
      <c r="D537" s="18">
        <f t="shared" si="87"/>
        <v>1</v>
      </c>
      <c r="E537" s="18" t="str">
        <f>VLOOKUP(C537,'Tariff Schedule Lookup Table'!I$7:L$286,2,FALSE)</f>
        <v>HIGH PRESSURE SODIUM 70W (100)</v>
      </c>
      <c r="F537" s="18" t="str">
        <f>IF(E537 = "BULKHEADS ETC", "SHARED OR NO POLE", VLOOKUP(C537,'Tariff Schedule Lookup Table'!I$7:L$286,3,FALSE))</f>
        <v>STEEL POLE</v>
      </c>
      <c r="G537" s="18">
        <f>IF(E537 = "NO CAPITAL", 1, VLOOKUP(C537,'Tariff Schedule Lookup Table'!I$7:L$286,4,FALSE))</f>
        <v>2</v>
      </c>
      <c r="H537" s="18" t="str">
        <f t="shared" si="88"/>
        <v>1-Unmetered, CE Funded, CE Maintained</v>
      </c>
      <c r="I537" s="123">
        <f>VLOOKUP(F537,'Maintenance Model'!$A$57:$B$61,2,FALSE)</f>
        <v>9.9616182311111103</v>
      </c>
      <c r="J537" s="123">
        <f>IF(D537=1,VLOOKUP(C537,'Capital Code Schedules'!A$15:F$300,2,FALSE),IF(D537=2,VLOOKUP(C537,'Capital Code Schedules'!A$15:F$300,3,FALSE),0))</f>
        <v>95.375404459541258</v>
      </c>
      <c r="K537" s="123">
        <v>120.98091339941246</v>
      </c>
      <c r="L537" s="123">
        <f>VLOOKUP(LEFT(A537,10),'Streetlight Tariff Schedule'!B$11:H$260,7, FALSE)+I537</f>
        <v>62.097149108167045</v>
      </c>
      <c r="M537" s="161">
        <f t="shared" si="89"/>
        <v>183.07806250757949</v>
      </c>
      <c r="N537" s="405">
        <f t="shared" si="90"/>
        <v>162.42059749259636</v>
      </c>
      <c r="O537" s="405">
        <v>171.92935160159553</v>
      </c>
      <c r="P537" s="406">
        <v>166.44088391684608</v>
      </c>
      <c r="Q537" s="406">
        <v>171.58749259180681</v>
      </c>
      <c r="R537" s="406">
        <v>177.2117998517538</v>
      </c>
      <c r="S537" s="405">
        <f t="shared" si="91"/>
        <v>168.0051554147727</v>
      </c>
      <c r="T537" s="406">
        <v>176.56129252401766</v>
      </c>
      <c r="U537" s="406">
        <v>182.99172143963651</v>
      </c>
      <c r="V537" s="405">
        <f t="shared" si="92"/>
        <v>173.90431762240814</v>
      </c>
      <c r="W537" s="406">
        <v>181.4715600055172</v>
      </c>
      <c r="X537" s="406">
        <v>189.7423314242921</v>
      </c>
      <c r="Y537" s="405">
        <f t="shared" si="93"/>
        <v>180.63316645842767</v>
      </c>
      <c r="Z537" s="406">
        <v>186.16174471493238</v>
      </c>
      <c r="AA537" s="406">
        <v>195.35199478115916</v>
      </c>
      <c r="AB537" s="442">
        <f t="shared" si="94"/>
        <v>184.1167504312657</v>
      </c>
      <c r="AC537" s="438">
        <f t="shared" si="95"/>
        <v>189.53506955537219</v>
      </c>
      <c r="AD537" s="410"/>
      <c r="AE537" s="411"/>
      <c r="AF537" s="411"/>
      <c r="AG537" s="411"/>
    </row>
    <row r="538" spans="1:33" x14ac:dyDescent="0.2">
      <c r="A538" s="36" t="s">
        <v>451</v>
      </c>
      <c r="B538" s="18" t="str">
        <f>VLOOKUP(LEFT(A538,7),'Tariff Schedule Lookup Table'!$A$8:$G$186,2,FALSE)</f>
        <v>High Pressure Sodium 70</v>
      </c>
      <c r="C538" s="160">
        <f t="shared" si="86"/>
        <v>730</v>
      </c>
      <c r="D538" s="18">
        <f t="shared" si="87"/>
        <v>2</v>
      </c>
      <c r="E538" s="18" t="str">
        <f>VLOOKUP(C538,'Tariff Schedule Lookup Table'!I$7:L$286,2,FALSE)</f>
        <v>HIGH PRESSURE SODIUM 70W (100)</v>
      </c>
      <c r="F538" s="18" t="str">
        <f>IF(E538 = "BULKHEADS ETC", "SHARED OR NO POLE", VLOOKUP(C538,'Tariff Schedule Lookup Table'!I$7:L$286,3,FALSE))</f>
        <v>STEEL POLE</v>
      </c>
      <c r="G538" s="18">
        <f>IF(E538 = "NO CAPITAL", 1, VLOOKUP(C538,'Tariff Schedule Lookup Table'!I$7:L$286,4,FALSE))</f>
        <v>2</v>
      </c>
      <c r="H538" s="18" t="str">
        <f t="shared" si="88"/>
        <v>2-Unmetered, Funded by Others, CE Maintained</v>
      </c>
      <c r="I538" s="123">
        <f>VLOOKUP(F538,'Maintenance Model'!$A$57:$B$61,2,FALSE)</f>
        <v>9.9616182311111103</v>
      </c>
      <c r="J538" s="123">
        <f>IF(D538=1,VLOOKUP(C538,'Capital Code Schedules'!A$15:F$300,2,FALSE),IF(D538=2,VLOOKUP(C538,'Capital Code Schedules'!A$15:F$300,3,FALSE),0))</f>
        <v>0</v>
      </c>
      <c r="K538" s="123">
        <v>0</v>
      </c>
      <c r="L538" s="123">
        <f>VLOOKUP(LEFT(A538,10),'Streetlight Tariff Schedule'!B$11:H$260,7, FALSE)+I538</f>
        <v>62.097149108167045</v>
      </c>
      <c r="M538" s="161">
        <f t="shared" si="89"/>
        <v>62.097149108167045</v>
      </c>
      <c r="N538" s="405">
        <f t="shared" si="90"/>
        <v>64.684651772681477</v>
      </c>
      <c r="O538" s="405">
        <v>42.465692910798147</v>
      </c>
      <c r="P538" s="406">
        <v>42.465692910798147</v>
      </c>
      <c r="Q538" s="406">
        <v>44.543915608359193</v>
      </c>
      <c r="R538" s="406">
        <v>44.543915608359193</v>
      </c>
      <c r="S538" s="405">
        <f t="shared" si="91"/>
        <v>67.850245038289913</v>
      </c>
      <c r="T538" s="406">
        <v>46.373387010229727</v>
      </c>
      <c r="U538" s="406">
        <v>46.542802495305168</v>
      </c>
      <c r="V538" s="405">
        <f t="shared" si="92"/>
        <v>70.894992300195582</v>
      </c>
      <c r="W538" s="406">
        <v>48.061503830263007</v>
      </c>
      <c r="X538" s="406">
        <v>48.667794127747918</v>
      </c>
      <c r="Y538" s="405">
        <f t="shared" si="93"/>
        <v>74.131825007792102</v>
      </c>
      <c r="Z538" s="406">
        <v>49.449789649340673</v>
      </c>
      <c r="AA538" s="406">
        <v>50.256833171663452</v>
      </c>
      <c r="AB538" s="442">
        <f t="shared" si="94"/>
        <v>75.74098537109893</v>
      </c>
      <c r="AC538" s="438">
        <f t="shared" si="95"/>
        <v>78.005569731954566</v>
      </c>
      <c r="AD538" s="410"/>
      <c r="AE538" s="411"/>
      <c r="AF538" s="411"/>
      <c r="AG538" s="411"/>
    </row>
    <row r="539" spans="1:33" x14ac:dyDescent="0.2">
      <c r="A539" s="36" t="s">
        <v>452</v>
      </c>
      <c r="B539" s="18" t="str">
        <f>VLOOKUP(LEFT(A539,7),'Tariff Schedule Lookup Table'!$A$8:$G$186,2,FALSE)</f>
        <v>High Pressure Sodium 70</v>
      </c>
      <c r="C539" s="160">
        <f t="shared" si="86"/>
        <v>750</v>
      </c>
      <c r="D539" s="18">
        <f t="shared" si="87"/>
        <v>2</v>
      </c>
      <c r="E539" s="18" t="str">
        <f>VLOOKUP(C539,'Tariff Schedule Lookup Table'!I$7:L$286,2,FALSE)</f>
        <v>HIGH PRESSURE SODIUM 70W (100)</v>
      </c>
      <c r="F539" s="18" t="str">
        <f>IF(E539 = "BULKHEADS ETC", "SHARED OR NO POLE", VLOOKUP(C539,'Tariff Schedule Lookup Table'!I$7:L$286,3,FALSE))</f>
        <v>SHARED OR NO POLE</v>
      </c>
      <c r="G539" s="18">
        <f>IF(E539 = "NO CAPITAL", 1, VLOOKUP(C539,'Tariff Schedule Lookup Table'!I$7:L$286,4,FALSE))</f>
        <v>3</v>
      </c>
      <c r="H539" s="18" t="str">
        <f t="shared" si="88"/>
        <v>2-Unmetered, Funded by Others, CE Maintained</v>
      </c>
      <c r="I539" s="123">
        <f>VLOOKUP(F539,'Maintenance Model'!$A$57:$B$61,2,FALSE)</f>
        <v>0</v>
      </c>
      <c r="J539" s="123">
        <f>IF(D539=1,VLOOKUP(C539,'Capital Code Schedules'!A$15:F$300,2,FALSE),IF(D539=2,VLOOKUP(C539,'Capital Code Schedules'!A$15:F$300,3,FALSE),0))</f>
        <v>0</v>
      </c>
      <c r="K539" s="123">
        <v>0</v>
      </c>
      <c r="L539" s="123">
        <f>VLOOKUP(LEFT(A539,10),'Streetlight Tariff Schedule'!B$11:H$260,7, FALSE)+I539</f>
        <v>52.135530877055935</v>
      </c>
      <c r="M539" s="161">
        <f t="shared" si="89"/>
        <v>52.135530877055935</v>
      </c>
      <c r="N539" s="405">
        <f t="shared" si="90"/>
        <v>54.30794663200907</v>
      </c>
      <c r="O539" s="405">
        <v>32.871577674698983</v>
      </c>
      <c r="P539" s="406">
        <v>32.871577674698983</v>
      </c>
      <c r="Q539" s="406">
        <v>34.480275287892276</v>
      </c>
      <c r="R539" s="406">
        <v>34.480275287892276</v>
      </c>
      <c r="S539" s="405">
        <f t="shared" si="91"/>
        <v>56.965715753677543</v>
      </c>
      <c r="T539" s="406">
        <v>35.896421055642975</v>
      </c>
      <c r="U539" s="406">
        <v>36.027561133556041</v>
      </c>
      <c r="V539" s="405">
        <f t="shared" si="92"/>
        <v>59.522024975046243</v>
      </c>
      <c r="W539" s="406">
        <v>37.203147953759348</v>
      </c>
      <c r="X539" s="406">
        <v>37.672461351024651</v>
      </c>
      <c r="Y539" s="405">
        <f t="shared" si="93"/>
        <v>62.239605314794382</v>
      </c>
      <c r="Z539" s="406">
        <v>38.277783548010788</v>
      </c>
      <c r="AA539" s="406">
        <v>38.902494744567065</v>
      </c>
      <c r="AB539" s="442">
        <f t="shared" si="94"/>
        <v>63.590624339213392</v>
      </c>
      <c r="AC539" s="438">
        <f t="shared" si="95"/>
        <v>65.491924311349464</v>
      </c>
      <c r="AD539" s="410"/>
      <c r="AE539" s="411"/>
      <c r="AF539" s="411"/>
      <c r="AG539" s="411"/>
    </row>
    <row r="540" spans="1:33" x14ac:dyDescent="0.2">
      <c r="A540" s="36" t="s">
        <v>453</v>
      </c>
      <c r="B540" s="18" t="str">
        <f>VLOOKUP(LEFT(A540,7),'Tariff Schedule Lookup Table'!$A$8:$G$186,2,FALSE)</f>
        <v>High Pressure Sodium 70</v>
      </c>
      <c r="C540" s="160">
        <f t="shared" si="86"/>
        <v>880</v>
      </c>
      <c r="D540" s="18">
        <f t="shared" si="87"/>
        <v>2</v>
      </c>
      <c r="E540" s="18" t="str">
        <f>VLOOKUP(C540,'Tariff Schedule Lookup Table'!I$7:L$286,2,FALSE)</f>
        <v>HIGH PRESSURE SODIUM 70W (100)</v>
      </c>
      <c r="F540" s="18" t="str">
        <f>IF(E540 = "BULKHEADS ETC", "SHARED OR NO POLE", VLOOKUP(C540,'Tariff Schedule Lookup Table'!I$7:L$286,3,FALSE))</f>
        <v>STEEL POLE</v>
      </c>
      <c r="G540" s="18">
        <f>IF(E540 = "NO CAPITAL", 1, VLOOKUP(C540,'Tariff Schedule Lookup Table'!I$7:L$286,4,FALSE))</f>
        <v>4</v>
      </c>
      <c r="H540" s="18" t="str">
        <f t="shared" si="88"/>
        <v>2-Unmetered, Funded by Others, CE Maintained</v>
      </c>
      <c r="I540" s="123">
        <f>VLOOKUP(F540,'Maintenance Model'!$A$57:$B$61,2,FALSE)</f>
        <v>9.9616182311111103</v>
      </c>
      <c r="J540" s="123">
        <f>IF(D540=1,VLOOKUP(C540,'Capital Code Schedules'!A$15:F$300,2,FALSE),IF(D540=2,VLOOKUP(C540,'Capital Code Schedules'!A$15:F$300,3,FALSE),0))</f>
        <v>0</v>
      </c>
      <c r="K540" s="123">
        <v>0</v>
      </c>
      <c r="L540" s="123">
        <f>VLOOKUP(LEFT(A540,10),'Streetlight Tariff Schedule'!B$11:H$260,7, FALSE)+I540</f>
        <v>62.097149108167045</v>
      </c>
      <c r="M540" s="161">
        <f t="shared" si="89"/>
        <v>62.097149108167045</v>
      </c>
      <c r="N540" s="405">
        <f t="shared" si="90"/>
        <v>64.684651772681477</v>
      </c>
      <c r="O540" s="405">
        <v>42.465692910798147</v>
      </c>
      <c r="P540" s="406">
        <v>42.465692910798147</v>
      </c>
      <c r="Q540" s="406">
        <v>44.543915608359193</v>
      </c>
      <c r="R540" s="406">
        <v>44.543915608359193</v>
      </c>
      <c r="S540" s="405">
        <f t="shared" si="91"/>
        <v>67.850245038289913</v>
      </c>
      <c r="T540" s="406">
        <v>46.373387010229727</v>
      </c>
      <c r="U540" s="406">
        <v>46.542802495305168</v>
      </c>
      <c r="V540" s="405">
        <f t="shared" si="92"/>
        <v>70.894992300195582</v>
      </c>
      <c r="W540" s="406">
        <v>48.061503830263007</v>
      </c>
      <c r="X540" s="406">
        <v>48.667794127747918</v>
      </c>
      <c r="Y540" s="405">
        <f t="shared" si="93"/>
        <v>74.131825007792102</v>
      </c>
      <c r="Z540" s="406">
        <v>49.449789649340673</v>
      </c>
      <c r="AA540" s="406">
        <v>50.256833171663452</v>
      </c>
      <c r="AB540" s="442">
        <f t="shared" si="94"/>
        <v>75.74098537109893</v>
      </c>
      <c r="AC540" s="438">
        <f t="shared" si="95"/>
        <v>78.005569731954566</v>
      </c>
      <c r="AD540" s="410"/>
      <c r="AE540" s="411"/>
      <c r="AF540" s="411"/>
      <c r="AG540" s="411"/>
    </row>
    <row r="541" spans="1:33" x14ac:dyDescent="0.2">
      <c r="A541" s="36" t="s">
        <v>454</v>
      </c>
      <c r="B541" s="18" t="str">
        <f>VLOOKUP(LEFT(A541,7),'Tariff Schedule Lookup Table'!$A$8:$G$186,2,FALSE)</f>
        <v>High Pressure Sodium 70</v>
      </c>
      <c r="C541" s="160">
        <f t="shared" si="86"/>
        <v>890</v>
      </c>
      <c r="D541" s="18">
        <f t="shared" si="87"/>
        <v>1</v>
      </c>
      <c r="E541" s="18" t="str">
        <f>VLOOKUP(C541,'Tariff Schedule Lookup Table'!I$7:L$286,2,FALSE)</f>
        <v>HIGH PRESSURE SODIUM 70W (100)</v>
      </c>
      <c r="F541" s="18" t="str">
        <f>IF(E541 = "BULKHEADS ETC", "SHARED OR NO POLE", VLOOKUP(C541,'Tariff Schedule Lookup Table'!I$7:L$286,3,FALSE))</f>
        <v>SHARED OR NO POLE</v>
      </c>
      <c r="G541" s="18">
        <f>IF(E541 = "NO CAPITAL", 1, VLOOKUP(C541,'Tariff Schedule Lookup Table'!I$7:L$286,4,FALSE))</f>
        <v>2</v>
      </c>
      <c r="H541" s="18" t="str">
        <f t="shared" si="88"/>
        <v>1-Unmetered, CE Funded, CE Maintained</v>
      </c>
      <c r="I541" s="123">
        <f>VLOOKUP(F541,'Maintenance Model'!$A$57:$B$61,2,FALSE)</f>
        <v>0</v>
      </c>
      <c r="J541" s="123">
        <f>IF(D541=1,VLOOKUP(C541,'Capital Code Schedules'!A$15:F$300,2,FALSE),IF(D541=2,VLOOKUP(C541,'Capital Code Schedules'!A$15:F$300,3,FALSE),0))</f>
        <v>26.376770440019968</v>
      </c>
      <c r="K541" s="123">
        <v>33.458162494229981</v>
      </c>
      <c r="L541" s="123">
        <f>VLOOKUP(LEFT(A541,10),'Streetlight Tariff Schedule'!B$11:H$260,7, FALSE)+I541</f>
        <v>52.135530877055935</v>
      </c>
      <c r="M541" s="161">
        <f t="shared" si="89"/>
        <v>85.593693371285923</v>
      </c>
      <c r="N541" s="405">
        <f t="shared" si="90"/>
        <v>81.337542140419529</v>
      </c>
      <c r="O541" s="405">
        <v>68.675705845508986</v>
      </c>
      <c r="P541" s="406">
        <v>67.15782969066116</v>
      </c>
      <c r="Q541" s="406">
        <v>69.615112041249517</v>
      </c>
      <c r="R541" s="406">
        <v>71.170555630929826</v>
      </c>
      <c r="S541" s="405">
        <f t="shared" si="91"/>
        <v>84.664293750921161</v>
      </c>
      <c r="T541" s="406">
        <v>71.900845018645811</v>
      </c>
      <c r="U541" s="406">
        <v>73.763514466370154</v>
      </c>
      <c r="V541" s="405">
        <f t="shared" si="92"/>
        <v>88.010012445211302</v>
      </c>
      <c r="W541" s="406">
        <v>74.09868140984652</v>
      </c>
      <c r="X541" s="406">
        <v>76.687663501821149</v>
      </c>
      <c r="Y541" s="405">
        <f t="shared" si="93"/>
        <v>91.693335560198037</v>
      </c>
      <c r="Z541" s="406">
        <v>76.086481457136102</v>
      </c>
      <c r="AA541" s="406">
        <v>79.02963015666127</v>
      </c>
      <c r="AB541" s="442">
        <f t="shared" si="94"/>
        <v>93.562740236936136</v>
      </c>
      <c r="AC541" s="438">
        <f t="shared" si="95"/>
        <v>96.336228781695951</v>
      </c>
      <c r="AD541" s="410"/>
      <c r="AE541" s="411"/>
      <c r="AF541" s="411"/>
      <c r="AG541" s="411"/>
    </row>
    <row r="542" spans="1:33" x14ac:dyDescent="0.2">
      <c r="A542" s="36" t="s">
        <v>455</v>
      </c>
      <c r="B542" s="18" t="str">
        <f>VLOOKUP(LEFT(A542,7),'Tariff Schedule Lookup Table'!$A$8:$G$186,2,FALSE)</f>
        <v>High Pressure Sodium 70</v>
      </c>
      <c r="C542" s="160">
        <f t="shared" si="86"/>
        <v>890</v>
      </c>
      <c r="D542" s="18">
        <f t="shared" si="87"/>
        <v>2</v>
      </c>
      <c r="E542" s="18" t="str">
        <f>VLOOKUP(C542,'Tariff Schedule Lookup Table'!I$7:L$286,2,FALSE)</f>
        <v>HIGH PRESSURE SODIUM 70W (100)</v>
      </c>
      <c r="F542" s="18" t="str">
        <f>IF(E542 = "BULKHEADS ETC", "SHARED OR NO POLE", VLOOKUP(C542,'Tariff Schedule Lookup Table'!I$7:L$286,3,FALSE))</f>
        <v>SHARED OR NO POLE</v>
      </c>
      <c r="G542" s="18">
        <f>IF(E542 = "NO CAPITAL", 1, VLOOKUP(C542,'Tariff Schedule Lookup Table'!I$7:L$286,4,FALSE))</f>
        <v>2</v>
      </c>
      <c r="H542" s="18" t="str">
        <f t="shared" si="88"/>
        <v>2-Unmetered, Funded by Others, CE Maintained</v>
      </c>
      <c r="I542" s="123">
        <f>VLOOKUP(F542,'Maintenance Model'!$A$57:$B$61,2,FALSE)</f>
        <v>0</v>
      </c>
      <c r="J542" s="123">
        <f>IF(D542=1,VLOOKUP(C542,'Capital Code Schedules'!A$15:F$300,2,FALSE),IF(D542=2,VLOOKUP(C542,'Capital Code Schedules'!A$15:F$300,3,FALSE),0))</f>
        <v>0</v>
      </c>
      <c r="K542" s="123">
        <v>0</v>
      </c>
      <c r="L542" s="123">
        <f>VLOOKUP(LEFT(A542,10),'Streetlight Tariff Schedule'!B$11:H$260,7, FALSE)+I542</f>
        <v>52.135530877055935</v>
      </c>
      <c r="M542" s="161">
        <f t="shared" si="89"/>
        <v>52.135530877055935</v>
      </c>
      <c r="N542" s="405">
        <f t="shared" si="90"/>
        <v>54.30794663200907</v>
      </c>
      <c r="O542" s="405">
        <v>32.871577674698983</v>
      </c>
      <c r="P542" s="406">
        <v>32.871577674698983</v>
      </c>
      <c r="Q542" s="406">
        <v>34.480275287892276</v>
      </c>
      <c r="R542" s="406">
        <v>34.480275287892276</v>
      </c>
      <c r="S542" s="405">
        <f t="shared" si="91"/>
        <v>56.965715753677543</v>
      </c>
      <c r="T542" s="406">
        <v>35.896421055642975</v>
      </c>
      <c r="U542" s="406">
        <v>36.027561133556041</v>
      </c>
      <c r="V542" s="405">
        <f t="shared" si="92"/>
        <v>59.522024975046243</v>
      </c>
      <c r="W542" s="406">
        <v>37.203147953759348</v>
      </c>
      <c r="X542" s="406">
        <v>37.672461351024651</v>
      </c>
      <c r="Y542" s="405">
        <f t="shared" si="93"/>
        <v>62.239605314794382</v>
      </c>
      <c r="Z542" s="406">
        <v>38.277783548010788</v>
      </c>
      <c r="AA542" s="406">
        <v>38.902494744567065</v>
      </c>
      <c r="AB542" s="442">
        <f t="shared" si="94"/>
        <v>63.590624339213392</v>
      </c>
      <c r="AC542" s="438">
        <f t="shared" si="95"/>
        <v>65.491924311349464</v>
      </c>
      <c r="AD542" s="410"/>
      <c r="AE542" s="411"/>
      <c r="AF542" s="411"/>
      <c r="AG542" s="411"/>
    </row>
    <row r="543" spans="1:33" x14ac:dyDescent="0.2">
      <c r="A543" s="36" t="s">
        <v>456</v>
      </c>
      <c r="B543" s="18" t="str">
        <f>VLOOKUP(LEFT(A543,7),'Tariff Schedule Lookup Table'!$A$8:$G$186,2,FALSE)</f>
        <v>High Pressure Sodium 70</v>
      </c>
      <c r="C543" s="160">
        <f t="shared" si="86"/>
        <v>910</v>
      </c>
      <c r="D543" s="18">
        <f t="shared" si="87"/>
        <v>1</v>
      </c>
      <c r="E543" s="18" t="str">
        <f>VLOOKUP(C543,'Tariff Schedule Lookup Table'!I$7:L$286,2,FALSE)</f>
        <v>HIGH PRESSURE SODIUM 70W (100)</v>
      </c>
      <c r="F543" s="18" t="str">
        <f>IF(E543 = "BULKHEADS ETC", "SHARED OR NO POLE", VLOOKUP(C543,'Tariff Schedule Lookup Table'!I$7:L$286,3,FALSE))</f>
        <v>WOOD POLE</v>
      </c>
      <c r="G543" s="18">
        <f>IF(E543 = "NO CAPITAL", 1, VLOOKUP(C543,'Tariff Schedule Lookup Table'!I$7:L$286,4,FALSE))</f>
        <v>2</v>
      </c>
      <c r="H543" s="18" t="str">
        <f t="shared" si="88"/>
        <v>1-Unmetered, CE Funded, CE Maintained</v>
      </c>
      <c r="I543" s="123">
        <f>VLOOKUP(F543,'Maintenance Model'!$A$57:$B$61,2,FALSE)</f>
        <v>10.731618231111112</v>
      </c>
      <c r="J543" s="123">
        <f>IF(D543=1,VLOOKUP(C543,'Capital Code Schedules'!A$15:F$300,2,FALSE),IF(D543=2,VLOOKUP(C543,'Capital Code Schedules'!A$15:F$300,3,FALSE),0))</f>
        <v>60.277888801896275</v>
      </c>
      <c r="K543" s="123">
        <v>76.460740443151991</v>
      </c>
      <c r="L543" s="123">
        <f>VLOOKUP(LEFT(A543,10),'Streetlight Tariff Schedule'!B$11:H$260,7, FALSE)+I543</f>
        <v>62.867149108167048</v>
      </c>
      <c r="M543" s="161">
        <f t="shared" si="89"/>
        <v>139.32788955131903</v>
      </c>
      <c r="N543" s="405">
        <f t="shared" si="90"/>
        <v>127.25650316174968</v>
      </c>
      <c r="O543" s="405">
        <v>125.08966953314511</v>
      </c>
      <c r="P543" s="406">
        <v>121.62092151924317</v>
      </c>
      <c r="Q543" s="406">
        <v>125.67763764458938</v>
      </c>
      <c r="R543" s="406">
        <v>129.23223717183541</v>
      </c>
      <c r="S543" s="405">
        <f t="shared" si="91"/>
        <v>131.99015126896373</v>
      </c>
      <c r="T543" s="406">
        <v>129.52890029939235</v>
      </c>
      <c r="U543" s="406">
        <v>133.65851772961472</v>
      </c>
      <c r="V543" s="405">
        <f t="shared" si="92"/>
        <v>136.87666236471787</v>
      </c>
      <c r="W543" s="406">
        <v>133.28532259439893</v>
      </c>
      <c r="X543" s="406">
        <v>138.7470673527115</v>
      </c>
      <c r="Y543" s="405">
        <f t="shared" si="93"/>
        <v>142.36060893171265</v>
      </c>
      <c r="Z543" s="406">
        <v>136.78665214120008</v>
      </c>
      <c r="AA543" s="406">
        <v>142.90718115597912</v>
      </c>
      <c r="AB543" s="442">
        <f t="shared" si="94"/>
        <v>145.17437092830369</v>
      </c>
      <c r="AC543" s="438">
        <f t="shared" si="95"/>
        <v>149.46021727325629</v>
      </c>
      <c r="AD543" s="410"/>
      <c r="AE543" s="411"/>
      <c r="AF543" s="411"/>
      <c r="AG543" s="411"/>
    </row>
    <row r="544" spans="1:33" x14ac:dyDescent="0.2">
      <c r="A544" s="36" t="s">
        <v>457</v>
      </c>
      <c r="B544" s="18" t="str">
        <f>VLOOKUP(LEFT(A544,7),'Tariff Schedule Lookup Table'!$A$8:$G$186,2,FALSE)</f>
        <v>High Pressure Sodium 70</v>
      </c>
      <c r="C544" s="160">
        <f t="shared" ref="C544:C567" si="96">1*MID(A544,12,4)</f>
        <v>910</v>
      </c>
      <c r="D544" s="18">
        <f t="shared" ref="D544:D567" si="97">1*(MID(A544,17,3))</f>
        <v>2</v>
      </c>
      <c r="E544" s="18" t="str">
        <f>VLOOKUP(C544,'Tariff Schedule Lookup Table'!I$7:L$286,2,FALSE)</f>
        <v>HIGH PRESSURE SODIUM 70W (100)</v>
      </c>
      <c r="F544" s="18" t="str">
        <f>IF(E544 = "BULKHEADS ETC", "SHARED OR NO POLE", VLOOKUP(C544,'Tariff Schedule Lookup Table'!I$7:L$286,3,FALSE))</f>
        <v>WOOD POLE</v>
      </c>
      <c r="G544" s="18">
        <f>IF(E544 = "NO CAPITAL", 1, VLOOKUP(C544,'Tariff Schedule Lookup Table'!I$7:L$286,4,FALSE))</f>
        <v>2</v>
      </c>
      <c r="H544" s="18" t="str">
        <f t="shared" si="88"/>
        <v>2-Unmetered, Funded by Others, CE Maintained</v>
      </c>
      <c r="I544" s="123">
        <f>VLOOKUP(F544,'Maintenance Model'!$A$57:$B$61,2,FALSE)</f>
        <v>10.731618231111112</v>
      </c>
      <c r="J544" s="123">
        <f>IF(D544=1,VLOOKUP(C544,'Capital Code Schedules'!A$15:F$300,2,FALSE),IF(D544=2,VLOOKUP(C544,'Capital Code Schedules'!A$15:F$300,3,FALSE),0))</f>
        <v>0</v>
      </c>
      <c r="K544" s="123">
        <v>0</v>
      </c>
      <c r="L544" s="123">
        <f>VLOOKUP(LEFT(A544,10),'Streetlight Tariff Schedule'!B$11:H$260,7, FALSE)+I544</f>
        <v>62.867149108167048</v>
      </c>
      <c r="M544" s="161">
        <f t="shared" si="89"/>
        <v>62.867149108167048</v>
      </c>
      <c r="N544" s="405">
        <f t="shared" si="90"/>
        <v>65.486736612006467</v>
      </c>
      <c r="O544" s="405">
        <v>43.267777750123152</v>
      </c>
      <c r="P544" s="406">
        <v>43.267777750123152</v>
      </c>
      <c r="Q544" s="406">
        <v>45.385253567183653</v>
      </c>
      <c r="R544" s="406">
        <v>45.385253567183653</v>
      </c>
      <c r="S544" s="405">
        <f t="shared" si="91"/>
        <v>68.691582997114381</v>
      </c>
      <c r="T544" s="406">
        <v>47.249279716070831</v>
      </c>
      <c r="U544" s="406">
        <v>47.421895092230379</v>
      </c>
      <c r="V544" s="405">
        <f t="shared" si="92"/>
        <v>71.774084897120787</v>
      </c>
      <c r="W544" s="406">
        <v>48.969281401640217</v>
      </c>
      <c r="X544" s="406">
        <v>49.587023207919856</v>
      </c>
      <c r="Y544" s="405">
        <f t="shared" si="93"/>
        <v>75.051054087964047</v>
      </c>
      <c r="Z544" s="406">
        <v>50.383788928920566</v>
      </c>
      <c r="AA544" s="406">
        <v>51.206075753060894</v>
      </c>
      <c r="AB544" s="442">
        <f t="shared" si="94"/>
        <v>76.680167919305106</v>
      </c>
      <c r="AC544" s="438">
        <f t="shared" si="95"/>
        <v>78.972832956695854</v>
      </c>
      <c r="AD544" s="410"/>
      <c r="AE544" s="411"/>
      <c r="AF544" s="411"/>
      <c r="AG544" s="411"/>
    </row>
    <row r="545" spans="1:33" x14ac:dyDescent="0.2">
      <c r="A545" s="36" t="s">
        <v>458</v>
      </c>
      <c r="B545" s="18" t="str">
        <f>VLOOKUP(LEFT(A545,7),'Tariff Schedule Lookup Table'!$A$8:$G$186,2,FALSE)</f>
        <v>High Pressure Sodium 70</v>
      </c>
      <c r="C545" s="160">
        <f t="shared" si="96"/>
        <v>90</v>
      </c>
      <c r="D545" s="18">
        <f t="shared" si="97"/>
        <v>1</v>
      </c>
      <c r="E545" s="18" t="str">
        <f>VLOOKUP(C545,'Tariff Schedule Lookup Table'!I$7:L$286,2,FALSE)</f>
        <v>HIGH PRESSURE SODIUM 70W TWIN ARC</v>
      </c>
      <c r="F545" s="18" t="str">
        <f>IF(E545 = "BULKHEADS ETC", "SHARED OR NO POLE", VLOOKUP(C545,'Tariff Schedule Lookup Table'!I$7:L$286,3,FALSE))</f>
        <v>SHARED OR NO POLE</v>
      </c>
      <c r="G545" s="18">
        <f>IF(E545 = "NO CAPITAL", 1, VLOOKUP(C545,'Tariff Schedule Lookup Table'!I$7:L$286,4,FALSE))</f>
        <v>1</v>
      </c>
      <c r="H545" s="18" t="str">
        <f t="shared" si="88"/>
        <v>1-Unmetered, CE Funded, CE Maintained</v>
      </c>
      <c r="I545" s="123">
        <f>VLOOKUP(F545,'Maintenance Model'!$A$57:$B$61,2,FALSE)</f>
        <v>0</v>
      </c>
      <c r="J545" s="123">
        <f>IF(D545=1,VLOOKUP(C545,'Capital Code Schedules'!A$15:F$300,2,FALSE),IF(D545=2,VLOOKUP(C545,'Capital Code Schedules'!A$15:F$300,3,FALSE),0))</f>
        <v>19.562845754409921</v>
      </c>
      <c r="K545" s="123">
        <v>24.814898154002691</v>
      </c>
      <c r="L545" s="123">
        <f>VLOOKUP(LEFT(A545,10),'Streetlight Tariff Schedule'!B$11:H$260,7, FALSE)+I545</f>
        <v>57.197674271166328</v>
      </c>
      <c r="M545" s="161">
        <f t="shared" si="89"/>
        <v>82.012572425169026</v>
      </c>
      <c r="N545" s="405">
        <f t="shared" si="90"/>
        <v>79.628048755081096</v>
      </c>
      <c r="O545" s="405">
        <v>57.205069050049644</v>
      </c>
      <c r="P545" s="406">
        <v>56.079306623633265</v>
      </c>
      <c r="Q545" s="406">
        <v>58.208663890910557</v>
      </c>
      <c r="R545" s="406">
        <v>59.36228893738074</v>
      </c>
      <c r="S545" s="405">
        <f t="shared" si="91"/>
        <v>83.040040111980673</v>
      </c>
      <c r="T545" s="406">
        <v>60.174058137077139</v>
      </c>
      <c r="U545" s="406">
        <v>61.58055875674291</v>
      </c>
      <c r="V545" s="405">
        <f t="shared" si="92"/>
        <v>86.430037253184565</v>
      </c>
      <c r="W545" s="406">
        <v>62.053390051322822</v>
      </c>
      <c r="X545" s="406">
        <v>64.063082599034885</v>
      </c>
      <c r="Y545" s="405">
        <f t="shared" si="93"/>
        <v>90.127745297744752</v>
      </c>
      <c r="Z545" s="406">
        <v>63.732672012355991</v>
      </c>
      <c r="AA545" s="406">
        <v>66.034681918605131</v>
      </c>
      <c r="AB545" s="442">
        <f t="shared" si="94"/>
        <v>91.994413475058224</v>
      </c>
      <c r="AC545" s="438">
        <f t="shared" si="95"/>
        <v>94.727197423145327</v>
      </c>
      <c r="AD545" s="410"/>
      <c r="AE545" s="411"/>
      <c r="AF545" s="411"/>
      <c r="AG545" s="411"/>
    </row>
    <row r="546" spans="1:33" x14ac:dyDescent="0.2">
      <c r="A546" s="36" t="s">
        <v>459</v>
      </c>
      <c r="B546" s="18" t="str">
        <f>VLOOKUP(LEFT(A546,7),'Tariff Schedule Lookup Table'!$A$8:$G$186,2,FALSE)</f>
        <v>High Pressure Sodium 70</v>
      </c>
      <c r="C546" s="160">
        <f t="shared" si="96"/>
        <v>90</v>
      </c>
      <c r="D546" s="18">
        <f t="shared" si="97"/>
        <v>2</v>
      </c>
      <c r="E546" s="18" t="str">
        <f>VLOOKUP(C546,'Tariff Schedule Lookup Table'!I$7:L$286,2,FALSE)</f>
        <v>HIGH PRESSURE SODIUM 70W TWIN ARC</v>
      </c>
      <c r="F546" s="18" t="str">
        <f>IF(E546 = "BULKHEADS ETC", "SHARED OR NO POLE", VLOOKUP(C546,'Tariff Schedule Lookup Table'!I$7:L$286,3,FALSE))</f>
        <v>SHARED OR NO POLE</v>
      </c>
      <c r="G546" s="18">
        <f>IF(E546 = "NO CAPITAL", 1, VLOOKUP(C546,'Tariff Schedule Lookup Table'!I$7:L$286,4,FALSE))</f>
        <v>1</v>
      </c>
      <c r="H546" s="18" t="str">
        <f t="shared" si="88"/>
        <v>2-Unmetered, Funded by Others, CE Maintained</v>
      </c>
      <c r="I546" s="123">
        <f>VLOOKUP(F546,'Maintenance Model'!$A$57:$B$61,2,FALSE)</f>
        <v>0</v>
      </c>
      <c r="J546" s="123">
        <f>IF(D546=1,VLOOKUP(C546,'Capital Code Schedules'!A$15:F$300,2,FALSE),IF(D546=2,VLOOKUP(C546,'Capital Code Schedules'!A$15:F$300,3,FALSE),0))</f>
        <v>0</v>
      </c>
      <c r="K546" s="123">
        <v>0</v>
      </c>
      <c r="L546" s="123">
        <f>VLOOKUP(LEFT(A546,10),'Streetlight Tariff Schedule'!B$11:H$260,7, FALSE)+I546</f>
        <v>57.197674271166328</v>
      </c>
      <c r="M546" s="161">
        <f t="shared" si="89"/>
        <v>57.197674271166328</v>
      </c>
      <c r="N546" s="405">
        <f t="shared" si="90"/>
        <v>59.581022568249523</v>
      </c>
      <c r="O546" s="405">
        <v>30.650239740319005</v>
      </c>
      <c r="P546" s="406">
        <v>30.650239740319005</v>
      </c>
      <c r="Q546" s="406">
        <v>32.150227602234274</v>
      </c>
      <c r="R546" s="406">
        <v>32.150227602234274</v>
      </c>
      <c r="S546" s="405">
        <f t="shared" si="91"/>
        <v>62.496850027025012</v>
      </c>
      <c r="T546" s="406">
        <v>33.470675550256118</v>
      </c>
      <c r="U546" s="406">
        <v>33.592953673544777</v>
      </c>
      <c r="V546" s="405">
        <f t="shared" si="92"/>
        <v>65.301366250807689</v>
      </c>
      <c r="W546" s="406">
        <v>34.689098745477985</v>
      </c>
      <c r="X546" s="406">
        <v>35.126697703516328</v>
      </c>
      <c r="Y546" s="405">
        <f t="shared" si="93"/>
        <v>68.282812348387282</v>
      </c>
      <c r="Z546" s="406">
        <v>35.69111449669149</v>
      </c>
      <c r="AA546" s="406">
        <v>36.27361005356429</v>
      </c>
      <c r="AB546" s="442">
        <f t="shared" si="94"/>
        <v>69.765009705792053</v>
      </c>
      <c r="AC546" s="438">
        <f t="shared" si="95"/>
        <v>71.850918004193531</v>
      </c>
      <c r="AD546" s="410"/>
      <c r="AE546" s="411"/>
      <c r="AF546" s="411"/>
      <c r="AG546" s="411"/>
    </row>
    <row r="547" spans="1:33" x14ac:dyDescent="0.2">
      <c r="A547" s="36" t="s">
        <v>460</v>
      </c>
      <c r="B547" s="18" t="str">
        <f>VLOOKUP(LEFT(A547,7),'Tariff Schedule Lookup Table'!$A$8:$G$186,2,FALSE)</f>
        <v>High Pressure Sodium 70</v>
      </c>
      <c r="C547" s="160">
        <f t="shared" si="96"/>
        <v>140</v>
      </c>
      <c r="D547" s="18">
        <f t="shared" si="97"/>
        <v>1</v>
      </c>
      <c r="E547" s="18" t="str">
        <f>VLOOKUP(C547,'Tariff Schedule Lookup Table'!I$7:L$286,2,FALSE)</f>
        <v>HIGH PRESSURE SODIUM 50W TWIN ARC</v>
      </c>
      <c r="F547" s="18" t="str">
        <f>IF(E547 = "BULKHEADS ETC", "SHARED OR NO POLE", VLOOKUP(C547,'Tariff Schedule Lookup Table'!I$7:L$286,3,FALSE))</f>
        <v>WOOD POLE</v>
      </c>
      <c r="G547" s="18">
        <f>IF(E547 = "NO CAPITAL", 1, VLOOKUP(C547,'Tariff Schedule Lookup Table'!I$7:L$286,4,FALSE))</f>
        <v>1</v>
      </c>
      <c r="H547" s="18" t="str">
        <f t="shared" si="88"/>
        <v>1-Unmetered, CE Funded, CE Maintained</v>
      </c>
      <c r="I547" s="123">
        <f>VLOOKUP(F547,'Maintenance Model'!$A$57:$B$61,2,FALSE)</f>
        <v>10.731618231111112</v>
      </c>
      <c r="J547" s="123">
        <f>IF(D547=1,VLOOKUP(C547,'Capital Code Schedules'!A$15:F$300,2,FALSE),IF(D547=2,VLOOKUP(C547,'Capital Code Schedules'!A$15:F$300,3,FALSE),0))</f>
        <v>53.463964116286228</v>
      </c>
      <c r="K547" s="123">
        <v>67.817476102924729</v>
      </c>
      <c r="L547" s="123">
        <f>VLOOKUP(LEFT(A547,10),'Streetlight Tariff Schedule'!B$11:H$260,7, FALSE)+I547</f>
        <v>67.929292502277434</v>
      </c>
      <c r="M547" s="161">
        <f t="shared" si="89"/>
        <v>135.74676860520216</v>
      </c>
      <c r="N547" s="405">
        <f t="shared" si="90"/>
        <v>125.54700977641123</v>
      </c>
      <c r="O547" s="405">
        <v>113.61903273768579</v>
      </c>
      <c r="P547" s="406">
        <v>110.54239845221528</v>
      </c>
      <c r="Q547" s="406">
        <v>114.27118949425045</v>
      </c>
      <c r="R547" s="406">
        <v>117.42397047828635</v>
      </c>
      <c r="S547" s="405">
        <f t="shared" si="91"/>
        <v>130.36589763002323</v>
      </c>
      <c r="T547" s="406">
        <v>117.80211341782372</v>
      </c>
      <c r="U547" s="406">
        <v>121.47556201998749</v>
      </c>
      <c r="V547" s="405">
        <f t="shared" si="92"/>
        <v>135.29668717269112</v>
      </c>
      <c r="W547" s="406">
        <v>121.24003123587529</v>
      </c>
      <c r="X547" s="406">
        <v>126.12248644992526</v>
      </c>
      <c r="Y547" s="405">
        <f t="shared" si="93"/>
        <v>140.79501866925935</v>
      </c>
      <c r="Z547" s="406">
        <v>124.43284269642</v>
      </c>
      <c r="AA547" s="406">
        <v>129.91223291792301</v>
      </c>
      <c r="AB547" s="442">
        <f t="shared" si="94"/>
        <v>143.60604416642573</v>
      </c>
      <c r="AC547" s="438">
        <f t="shared" si="95"/>
        <v>147.85118591470564</v>
      </c>
      <c r="AD547" s="410"/>
      <c r="AE547" s="411"/>
      <c r="AF547" s="411"/>
      <c r="AG547" s="411"/>
    </row>
    <row r="548" spans="1:33" x14ac:dyDescent="0.2">
      <c r="A548" s="36" t="s">
        <v>461</v>
      </c>
      <c r="B548" s="18" t="str">
        <f>VLOOKUP(LEFT(A548,7),'Tariff Schedule Lookup Table'!$A$8:$G$186,2,FALSE)</f>
        <v>High Pressure Sodium 70</v>
      </c>
      <c r="C548" s="160">
        <f t="shared" si="96"/>
        <v>140</v>
      </c>
      <c r="D548" s="18">
        <f t="shared" si="97"/>
        <v>2</v>
      </c>
      <c r="E548" s="18" t="str">
        <f>VLOOKUP(C548,'Tariff Schedule Lookup Table'!I$7:L$286,2,FALSE)</f>
        <v>HIGH PRESSURE SODIUM 50W TWIN ARC</v>
      </c>
      <c r="F548" s="18" t="str">
        <f>IF(E548 = "BULKHEADS ETC", "SHARED OR NO POLE", VLOOKUP(C548,'Tariff Schedule Lookup Table'!I$7:L$286,3,FALSE))</f>
        <v>WOOD POLE</v>
      </c>
      <c r="G548" s="18">
        <f>IF(E548 = "NO CAPITAL", 1, VLOOKUP(C548,'Tariff Schedule Lookup Table'!I$7:L$286,4,FALSE))</f>
        <v>1</v>
      </c>
      <c r="H548" s="18" t="str">
        <f t="shared" si="88"/>
        <v>2-Unmetered, Funded by Others, CE Maintained</v>
      </c>
      <c r="I548" s="123">
        <f>VLOOKUP(F548,'Maintenance Model'!$A$57:$B$61,2,FALSE)</f>
        <v>10.731618231111112</v>
      </c>
      <c r="J548" s="123">
        <f>IF(D548=1,VLOOKUP(C548,'Capital Code Schedules'!A$15:F$300,2,FALSE),IF(D548=2,VLOOKUP(C548,'Capital Code Schedules'!A$15:F$300,3,FALSE),0))</f>
        <v>0</v>
      </c>
      <c r="K548" s="123">
        <v>0</v>
      </c>
      <c r="L548" s="123">
        <f>VLOOKUP(LEFT(A548,10),'Streetlight Tariff Schedule'!B$11:H$260,7, FALSE)+I548</f>
        <v>67.929292502277434</v>
      </c>
      <c r="M548" s="161">
        <f t="shared" si="89"/>
        <v>67.929292502277434</v>
      </c>
      <c r="N548" s="405">
        <f t="shared" si="90"/>
        <v>70.759812548246913</v>
      </c>
      <c r="O548" s="405">
        <v>41.04643981574317</v>
      </c>
      <c r="P548" s="406">
        <v>41.04643981574317</v>
      </c>
      <c r="Q548" s="406">
        <v>43.055205881525644</v>
      </c>
      <c r="R548" s="406">
        <v>43.055205881525644</v>
      </c>
      <c r="S548" s="405">
        <f t="shared" si="91"/>
        <v>74.222717270461828</v>
      </c>
      <c r="T548" s="406">
        <v>44.823534210683967</v>
      </c>
      <c r="U548" s="406">
        <v>44.987287632219115</v>
      </c>
      <c r="V548" s="405">
        <f t="shared" si="92"/>
        <v>77.553426172882226</v>
      </c>
      <c r="W548" s="406">
        <v>46.455232193358832</v>
      </c>
      <c r="X548" s="406">
        <v>47.041259560411532</v>
      </c>
      <c r="Y548" s="405">
        <f t="shared" si="93"/>
        <v>81.09426112155694</v>
      </c>
      <c r="Z548" s="406">
        <v>47.797119877601268</v>
      </c>
      <c r="AA548" s="406">
        <v>48.57719106205812</v>
      </c>
      <c r="AB548" s="442">
        <f t="shared" si="94"/>
        <v>82.854553285883767</v>
      </c>
      <c r="AC548" s="438">
        <f t="shared" si="95"/>
        <v>85.331826649539906</v>
      </c>
      <c r="AD548" s="410"/>
      <c r="AE548" s="411"/>
      <c r="AF548" s="411"/>
      <c r="AG548" s="411"/>
    </row>
    <row r="549" spans="1:33" x14ac:dyDescent="0.2">
      <c r="A549" s="36" t="s">
        <v>462</v>
      </c>
      <c r="B549" s="18" t="str">
        <f>VLOOKUP(LEFT(A549,7),'Tariff Schedule Lookup Table'!$A$8:$G$186,2,FALSE)</f>
        <v>High Pressure Sodium 70</v>
      </c>
      <c r="C549" s="160">
        <f t="shared" si="96"/>
        <v>170</v>
      </c>
      <c r="D549" s="18">
        <f t="shared" si="97"/>
        <v>1</v>
      </c>
      <c r="E549" s="18" t="str">
        <f>VLOOKUP(C549,'Tariff Schedule Lookup Table'!I$7:L$286,2,FALSE)</f>
        <v>HIGH PRESSURE SODIUM 50W TWIN ARC</v>
      </c>
      <c r="F549" s="18" t="str">
        <f>IF(E549 = "BULKHEADS ETC", "SHARED OR NO POLE", VLOOKUP(C549,'Tariff Schedule Lookup Table'!I$7:L$286,3,FALSE))</f>
        <v>STEEL POLE</v>
      </c>
      <c r="G549" s="18">
        <f>IF(E549 = "NO CAPITAL", 1, VLOOKUP(C549,'Tariff Schedule Lookup Table'!I$7:L$286,4,FALSE))</f>
        <v>1</v>
      </c>
      <c r="H549" s="18" t="str">
        <f t="shared" si="88"/>
        <v>1-Unmetered, CE Funded, CE Maintained</v>
      </c>
      <c r="I549" s="123">
        <f>VLOOKUP(F549,'Maintenance Model'!$A$57:$B$61,2,FALSE)</f>
        <v>9.9616182311111103</v>
      </c>
      <c r="J549" s="123">
        <f>IF(D549=1,VLOOKUP(C549,'Capital Code Schedules'!A$15:F$300,2,FALSE),IF(D549=2,VLOOKUP(C549,'Capital Code Schedules'!A$15:F$300,3,FALSE),0))</f>
        <v>88.561479773931197</v>
      </c>
      <c r="K549" s="123">
        <v>112.33764905918515</v>
      </c>
      <c r="L549" s="123">
        <f>VLOOKUP(LEFT(A549,10),'Streetlight Tariff Schedule'!B$11:H$260,7, FALSE)+I549</f>
        <v>67.159292502277438</v>
      </c>
      <c r="M549" s="161">
        <f t="shared" si="89"/>
        <v>179.49694156146259</v>
      </c>
      <c r="N549" s="405">
        <f t="shared" si="90"/>
        <v>160.71110410725791</v>
      </c>
      <c r="O549" s="405">
        <v>160.45871480613616</v>
      </c>
      <c r="P549" s="406">
        <v>155.36236084981815</v>
      </c>
      <c r="Q549" s="406">
        <v>160.18104444146783</v>
      </c>
      <c r="R549" s="406">
        <v>165.40353315820471</v>
      </c>
      <c r="S549" s="405">
        <f t="shared" si="91"/>
        <v>166.38090177583217</v>
      </c>
      <c r="T549" s="406">
        <v>164.83450564244899</v>
      </c>
      <c r="U549" s="406">
        <v>170.80876573000927</v>
      </c>
      <c r="V549" s="405">
        <f t="shared" si="92"/>
        <v>172.32434243038139</v>
      </c>
      <c r="W549" s="406">
        <v>169.42626864699349</v>
      </c>
      <c r="X549" s="406">
        <v>177.1177505215058</v>
      </c>
      <c r="Y549" s="405">
        <f t="shared" si="93"/>
        <v>179.06757619597437</v>
      </c>
      <c r="Z549" s="406">
        <v>173.80793527015229</v>
      </c>
      <c r="AA549" s="406">
        <v>182.35704654310302</v>
      </c>
      <c r="AB549" s="442">
        <f t="shared" si="94"/>
        <v>182.54842366938774</v>
      </c>
      <c r="AC549" s="438">
        <f t="shared" si="95"/>
        <v>187.92603819682157</v>
      </c>
      <c r="AD549" s="410"/>
      <c r="AE549" s="411"/>
      <c r="AF549" s="411"/>
      <c r="AG549" s="411"/>
    </row>
    <row r="550" spans="1:33" x14ac:dyDescent="0.2">
      <c r="A550" s="36" t="s">
        <v>463</v>
      </c>
      <c r="B550" s="18" t="str">
        <f>VLOOKUP(LEFT(A550,7),'Tariff Schedule Lookup Table'!$A$8:$G$186,2,FALSE)</f>
        <v>High Pressure Sodium 70</v>
      </c>
      <c r="C550" s="160">
        <f t="shared" si="96"/>
        <v>170</v>
      </c>
      <c r="D550" s="18">
        <f t="shared" si="97"/>
        <v>2</v>
      </c>
      <c r="E550" s="18" t="str">
        <f>VLOOKUP(C550,'Tariff Schedule Lookup Table'!I$7:L$286,2,FALSE)</f>
        <v>HIGH PRESSURE SODIUM 50W TWIN ARC</v>
      </c>
      <c r="F550" s="18" t="str">
        <f>IF(E550 = "BULKHEADS ETC", "SHARED OR NO POLE", VLOOKUP(C550,'Tariff Schedule Lookup Table'!I$7:L$286,3,FALSE))</f>
        <v>STEEL POLE</v>
      </c>
      <c r="G550" s="18">
        <f>IF(E550 = "NO CAPITAL", 1, VLOOKUP(C550,'Tariff Schedule Lookup Table'!I$7:L$286,4,FALSE))</f>
        <v>1</v>
      </c>
      <c r="H550" s="18" t="str">
        <f t="shared" si="88"/>
        <v>2-Unmetered, Funded by Others, CE Maintained</v>
      </c>
      <c r="I550" s="123">
        <f>VLOOKUP(F550,'Maintenance Model'!$A$57:$B$61,2,FALSE)</f>
        <v>9.9616182311111103</v>
      </c>
      <c r="J550" s="123">
        <f>IF(D550=1,VLOOKUP(C550,'Capital Code Schedules'!A$15:F$300,2,FALSE),IF(D550=2,VLOOKUP(C550,'Capital Code Schedules'!A$15:F$300,3,FALSE),0))</f>
        <v>0</v>
      </c>
      <c r="K550" s="123">
        <v>0</v>
      </c>
      <c r="L550" s="123">
        <f>VLOOKUP(LEFT(A550,10),'Streetlight Tariff Schedule'!B$11:H$260,7, FALSE)+I550</f>
        <v>67.159292502277438</v>
      </c>
      <c r="M550" s="161">
        <f t="shared" si="89"/>
        <v>67.159292502277438</v>
      </c>
      <c r="N550" s="405">
        <f t="shared" si="90"/>
        <v>69.957727708921922</v>
      </c>
      <c r="O550" s="405">
        <v>40.244354976418172</v>
      </c>
      <c r="P550" s="406">
        <v>40.244354976418172</v>
      </c>
      <c r="Q550" s="406">
        <v>42.213867922701191</v>
      </c>
      <c r="R550" s="406">
        <v>42.213867922701191</v>
      </c>
      <c r="S550" s="405">
        <f t="shared" si="91"/>
        <v>73.381379311637389</v>
      </c>
      <c r="T550" s="406">
        <v>43.947641504842871</v>
      </c>
      <c r="U550" s="406">
        <v>44.10819503529391</v>
      </c>
      <c r="V550" s="405">
        <f t="shared" si="92"/>
        <v>76.674333575957021</v>
      </c>
      <c r="W550" s="406">
        <v>45.547454621981643</v>
      </c>
      <c r="X550" s="406">
        <v>46.122030480239602</v>
      </c>
      <c r="Y550" s="405">
        <f t="shared" si="93"/>
        <v>80.175032041385009</v>
      </c>
      <c r="Z550" s="406">
        <v>46.863120598021375</v>
      </c>
      <c r="AA550" s="406">
        <v>47.627948480660685</v>
      </c>
      <c r="AB550" s="442">
        <f t="shared" si="94"/>
        <v>81.915370737677605</v>
      </c>
      <c r="AC550" s="438">
        <f t="shared" si="95"/>
        <v>84.364563424798646</v>
      </c>
      <c r="AD550" s="410"/>
      <c r="AE550" s="411"/>
      <c r="AF550" s="411"/>
      <c r="AG550" s="411"/>
    </row>
    <row r="551" spans="1:33" x14ac:dyDescent="0.2">
      <c r="A551" s="36" t="s">
        <v>464</v>
      </c>
      <c r="B551" s="18" t="str">
        <f>VLOOKUP(LEFT(A551,7),'Tariff Schedule Lookup Table'!$A$8:$G$186,2,FALSE)</f>
        <v>High Pressure Sodium 100</v>
      </c>
      <c r="C551" s="160">
        <f t="shared" si="96"/>
        <v>40</v>
      </c>
      <c r="D551" s="18">
        <f t="shared" si="97"/>
        <v>1</v>
      </c>
      <c r="E551" s="18" t="str">
        <f>VLOOKUP(C551,'Tariff Schedule Lookup Table'!I$7:L$286,2,FALSE)</f>
        <v>HIGH PRESSURE SODIUM 70W (100)</v>
      </c>
      <c r="F551" s="18" t="str">
        <f>IF(E551 = "BULKHEADS ETC", "SHARED OR NO POLE", VLOOKUP(C551,'Tariff Schedule Lookup Table'!I$7:L$286,3,FALSE))</f>
        <v>SHARED OR NO POLE</v>
      </c>
      <c r="G551" s="18">
        <f>IF(E551 = "NO CAPITAL", 1, VLOOKUP(C551,'Tariff Schedule Lookup Table'!I$7:L$286,4,FALSE))</f>
        <v>1</v>
      </c>
      <c r="H551" s="18" t="str">
        <f t="shared" si="88"/>
        <v>1-Unmetered, CE Funded, CE Maintained</v>
      </c>
      <c r="I551" s="123">
        <f>VLOOKUP(F551,'Maintenance Model'!$A$57:$B$61,2,FALSE)</f>
        <v>0</v>
      </c>
      <c r="J551" s="123">
        <f>IF(D551=1,VLOOKUP(C551,'Capital Code Schedules'!A$15:F$300,2,FALSE),IF(D551=2,VLOOKUP(C551,'Capital Code Schedules'!A$15:F$300,3,FALSE),0))</f>
        <v>18.483521869130684</v>
      </c>
      <c r="K551" s="123">
        <v>23.445807346631316</v>
      </c>
      <c r="L551" s="123">
        <f>VLOOKUP(LEFT(A551,10),'Streetlight Tariff Schedule'!B$11:H$260,7, FALSE)+I551</f>
        <v>52.135530877055935</v>
      </c>
      <c r="M551" s="161">
        <f t="shared" si="89"/>
        <v>75.581338223687254</v>
      </c>
      <c r="N551" s="405">
        <f t="shared" si="90"/>
        <v>73.248935667400744</v>
      </c>
      <c r="O551" s="405">
        <v>57.96132046770726</v>
      </c>
      <c r="P551" s="406">
        <v>56.897668753159429</v>
      </c>
      <c r="Q551" s="406">
        <v>59.101012120544617</v>
      </c>
      <c r="R551" s="406">
        <v>60.190989215027507</v>
      </c>
      <c r="S551" s="405">
        <f t="shared" si="91"/>
        <v>76.375494267695146</v>
      </c>
      <c r="T551" s="406">
        <v>61.126521124903462</v>
      </c>
      <c r="U551" s="406">
        <v>62.47103040761462</v>
      </c>
      <c r="V551" s="405">
        <f t="shared" si="92"/>
        <v>79.484982176713345</v>
      </c>
      <c r="W551" s="406">
        <v>63.057692999734037</v>
      </c>
      <c r="X551" s="406">
        <v>65.012364233473818</v>
      </c>
      <c r="Y551" s="405">
        <f t="shared" si="93"/>
        <v>82.879306765598002</v>
      </c>
      <c r="Z551" s="406">
        <v>64.772228583873343</v>
      </c>
      <c r="AA551" s="406">
        <v>67.02158485916604</v>
      </c>
      <c r="AB551" s="442">
        <f t="shared" si="94"/>
        <v>84.593584535551145</v>
      </c>
      <c r="AC551" s="438">
        <f t="shared" si="95"/>
        <v>87.106070649400664</v>
      </c>
      <c r="AD551" s="410"/>
      <c r="AE551" s="411"/>
      <c r="AF551" s="411"/>
      <c r="AG551" s="411"/>
    </row>
    <row r="552" spans="1:33" x14ac:dyDescent="0.2">
      <c r="A552" s="36" t="s">
        <v>465</v>
      </c>
      <c r="B552" s="18" t="str">
        <f>VLOOKUP(LEFT(A552,7),'Tariff Schedule Lookup Table'!$A$8:$G$186,2,FALSE)</f>
        <v>High Pressure Sodium 100</v>
      </c>
      <c r="C552" s="160">
        <f t="shared" si="96"/>
        <v>40</v>
      </c>
      <c r="D552" s="18">
        <f t="shared" si="97"/>
        <v>2</v>
      </c>
      <c r="E552" s="18" t="str">
        <f>VLOOKUP(C552,'Tariff Schedule Lookup Table'!I$7:L$286,2,FALSE)</f>
        <v>HIGH PRESSURE SODIUM 70W (100)</v>
      </c>
      <c r="F552" s="18" t="str">
        <f>IF(E552 = "BULKHEADS ETC", "SHARED OR NO POLE", VLOOKUP(C552,'Tariff Schedule Lookup Table'!I$7:L$286,3,FALSE))</f>
        <v>SHARED OR NO POLE</v>
      </c>
      <c r="G552" s="18">
        <f>IF(E552 = "NO CAPITAL", 1, VLOOKUP(C552,'Tariff Schedule Lookup Table'!I$7:L$286,4,FALSE))</f>
        <v>1</v>
      </c>
      <c r="H552" s="18" t="str">
        <f t="shared" si="88"/>
        <v>2-Unmetered, Funded by Others, CE Maintained</v>
      </c>
      <c r="I552" s="123">
        <f>VLOOKUP(F552,'Maintenance Model'!$A$57:$B$61,2,FALSE)</f>
        <v>0</v>
      </c>
      <c r="J552" s="123">
        <f>IF(D552=1,VLOOKUP(C552,'Capital Code Schedules'!A$15:F$300,2,FALSE),IF(D552=2,VLOOKUP(C552,'Capital Code Schedules'!A$15:F$300,3,FALSE),0))</f>
        <v>0</v>
      </c>
      <c r="K552" s="123">
        <v>0</v>
      </c>
      <c r="L552" s="123">
        <f>VLOOKUP(LEFT(A552,10),'Streetlight Tariff Schedule'!B$11:H$260,7, FALSE)+I552</f>
        <v>52.135530877055935</v>
      </c>
      <c r="M552" s="161">
        <f t="shared" si="89"/>
        <v>52.135530877055935</v>
      </c>
      <c r="N552" s="405">
        <f t="shared" si="90"/>
        <v>54.30794663200907</v>
      </c>
      <c r="O552" s="405">
        <v>32.871577674698983</v>
      </c>
      <c r="P552" s="406">
        <v>32.871577674698983</v>
      </c>
      <c r="Q552" s="406">
        <v>34.480275287892276</v>
      </c>
      <c r="R552" s="406">
        <v>34.480275287892276</v>
      </c>
      <c r="S552" s="405">
        <f t="shared" si="91"/>
        <v>56.965715753677543</v>
      </c>
      <c r="T552" s="406">
        <v>35.896421055642975</v>
      </c>
      <c r="U552" s="406">
        <v>36.027561133556041</v>
      </c>
      <c r="V552" s="405">
        <f t="shared" si="92"/>
        <v>59.522024975046243</v>
      </c>
      <c r="W552" s="406">
        <v>37.203147953759348</v>
      </c>
      <c r="X552" s="406">
        <v>37.672461351024651</v>
      </c>
      <c r="Y552" s="405">
        <f t="shared" si="93"/>
        <v>62.239605314794382</v>
      </c>
      <c r="Z552" s="406">
        <v>38.277783548010788</v>
      </c>
      <c r="AA552" s="406">
        <v>38.902494744567065</v>
      </c>
      <c r="AB552" s="442">
        <f t="shared" si="94"/>
        <v>63.590624339213392</v>
      </c>
      <c r="AC552" s="438">
        <f t="shared" si="95"/>
        <v>65.491924311349464</v>
      </c>
      <c r="AD552" s="410"/>
      <c r="AE552" s="411"/>
      <c r="AF552" s="411"/>
      <c r="AG552" s="411"/>
    </row>
    <row r="553" spans="1:33" x14ac:dyDescent="0.2">
      <c r="A553" s="36" t="s">
        <v>470</v>
      </c>
      <c r="B553" s="18" t="str">
        <f>VLOOKUP(LEFT(A553,7),'Tariff Schedule Lookup Table'!$A$8:$G$186,2,FALSE)</f>
        <v>High Pressure Sodium 100</v>
      </c>
      <c r="C553" s="160">
        <f t="shared" si="96"/>
        <v>350</v>
      </c>
      <c r="D553" s="18">
        <f t="shared" si="97"/>
        <v>1</v>
      </c>
      <c r="E553" s="18" t="str">
        <f>VLOOKUP(C553,'Tariff Schedule Lookup Table'!I$7:L$286,2,FALSE)</f>
        <v>HIGH PRESSURE SODIUM 70W (100)</v>
      </c>
      <c r="F553" s="18" t="str">
        <f>IF(E553 = "BULKHEADS ETC", "SHARED OR NO POLE", VLOOKUP(C553,'Tariff Schedule Lookup Table'!I$7:L$286,3,FALSE))</f>
        <v>WOOD POLE</v>
      </c>
      <c r="G553" s="18">
        <f>IF(E553 = "NO CAPITAL", 1, VLOOKUP(C553,'Tariff Schedule Lookup Table'!I$7:L$286,4,FALSE))</f>
        <v>1</v>
      </c>
      <c r="H553" s="18" t="str">
        <f t="shared" si="88"/>
        <v>1-Unmetered, CE Funded, CE Maintained</v>
      </c>
      <c r="I553" s="123">
        <f>VLOOKUP(F553,'Maintenance Model'!$A$57:$B$61,2,FALSE)</f>
        <v>10.731618231111112</v>
      </c>
      <c r="J553" s="123">
        <f>IF(D553=1,VLOOKUP(C553,'Capital Code Schedules'!A$15:F$300,2,FALSE),IF(D553=2,VLOOKUP(C553,'Capital Code Schedules'!A$15:F$300,3,FALSE),0))</f>
        <v>52.384640231006998</v>
      </c>
      <c r="K553" s="123">
        <v>66.448385295553337</v>
      </c>
      <c r="L553" s="123">
        <f>VLOOKUP(LEFT(A553,10),'Streetlight Tariff Schedule'!B$11:H$260,7, FALSE)+I553</f>
        <v>62.867149108167048</v>
      </c>
      <c r="M553" s="161">
        <f t="shared" si="89"/>
        <v>129.31553440372039</v>
      </c>
      <c r="N553" s="405">
        <f t="shared" si="90"/>
        <v>119.16789668873091</v>
      </c>
      <c r="O553" s="405">
        <v>114.37528415534339</v>
      </c>
      <c r="P553" s="406">
        <v>111.36076058174143</v>
      </c>
      <c r="Q553" s="406">
        <v>115.16353772388447</v>
      </c>
      <c r="R553" s="406">
        <v>118.2526707559331</v>
      </c>
      <c r="S553" s="405">
        <f t="shared" si="91"/>
        <v>123.70135178573773</v>
      </c>
      <c r="T553" s="406">
        <v>118.75457640565001</v>
      </c>
      <c r="U553" s="406">
        <v>122.36603367085918</v>
      </c>
      <c r="V553" s="405">
        <f t="shared" si="92"/>
        <v>128.35163209621993</v>
      </c>
      <c r="W553" s="406">
        <v>122.24433418428647</v>
      </c>
      <c r="X553" s="406">
        <v>127.07176808436415</v>
      </c>
      <c r="Y553" s="405">
        <f t="shared" si="93"/>
        <v>133.54658013711264</v>
      </c>
      <c r="Z553" s="406">
        <v>125.47239926793732</v>
      </c>
      <c r="AA553" s="406">
        <v>130.89913585848387</v>
      </c>
      <c r="AB553" s="442">
        <f t="shared" si="94"/>
        <v>136.20521522691871</v>
      </c>
      <c r="AC553" s="438">
        <f t="shared" si="95"/>
        <v>140.23005914096103</v>
      </c>
      <c r="AD553" s="410"/>
      <c r="AE553" s="411"/>
      <c r="AF553" s="411"/>
      <c r="AG553" s="411"/>
    </row>
    <row r="554" spans="1:33" x14ac:dyDescent="0.2">
      <c r="A554" s="36" t="s">
        <v>471</v>
      </c>
      <c r="B554" s="18" t="str">
        <f>VLOOKUP(LEFT(A554,7),'Tariff Schedule Lookup Table'!$A$8:$G$186,2,FALSE)</f>
        <v>High Pressure Sodium 100</v>
      </c>
      <c r="C554" s="160">
        <f t="shared" si="96"/>
        <v>360</v>
      </c>
      <c r="D554" s="18">
        <f t="shared" si="97"/>
        <v>1</v>
      </c>
      <c r="E554" s="18" t="str">
        <f>VLOOKUP(C554,'Tariff Schedule Lookup Table'!I$7:L$286,2,FALSE)</f>
        <v>HIGH PRESSURE SODIUM 70W (100)</v>
      </c>
      <c r="F554" s="18" t="str">
        <f>IF(E554 = "BULKHEADS ETC", "SHARED OR NO POLE", VLOOKUP(C554,'Tariff Schedule Lookup Table'!I$7:L$286,3,FALSE))</f>
        <v>STEEL POLE</v>
      </c>
      <c r="G554" s="18">
        <f>IF(E554 = "NO CAPITAL", 1, VLOOKUP(C554,'Tariff Schedule Lookup Table'!I$7:L$286,4,FALSE))</f>
        <v>1</v>
      </c>
      <c r="H554" s="18" t="str">
        <f t="shared" si="88"/>
        <v>1-Unmetered, CE Funded, CE Maintained</v>
      </c>
      <c r="I554" s="123">
        <f>VLOOKUP(F554,'Maintenance Model'!$A$57:$B$61,2,FALSE)</f>
        <v>9.9616182311111103</v>
      </c>
      <c r="J554" s="123">
        <f>IF(D554=1,VLOOKUP(C554,'Capital Code Schedules'!A$15:F$300,2,FALSE),IF(D554=2,VLOOKUP(C554,'Capital Code Schedules'!A$15:F$300,3,FALSE),0))</f>
        <v>87.482155888651974</v>
      </c>
      <c r="K554" s="123">
        <v>110.96855825181379</v>
      </c>
      <c r="L554" s="123">
        <f>VLOOKUP(LEFT(A554,10),'Streetlight Tariff Schedule'!B$11:H$260,7, FALSE)+I554</f>
        <v>62.097149108167045</v>
      </c>
      <c r="M554" s="161">
        <f t="shared" si="89"/>
        <v>173.06570735998082</v>
      </c>
      <c r="N554" s="405">
        <f t="shared" si="90"/>
        <v>154.33199101957757</v>
      </c>
      <c r="O554" s="405">
        <v>161.21496622379379</v>
      </c>
      <c r="P554" s="406">
        <v>156.18072297934432</v>
      </c>
      <c r="Q554" s="406">
        <v>161.07339267110189</v>
      </c>
      <c r="R554" s="406">
        <v>166.2322334358515</v>
      </c>
      <c r="S554" s="405">
        <f t="shared" si="91"/>
        <v>159.7163559315467</v>
      </c>
      <c r="T554" s="406">
        <v>165.78696863027531</v>
      </c>
      <c r="U554" s="406">
        <v>171.69923738088099</v>
      </c>
      <c r="V554" s="405">
        <f t="shared" si="92"/>
        <v>165.3792873539102</v>
      </c>
      <c r="W554" s="406">
        <v>170.43057159540473</v>
      </c>
      <c r="X554" s="406">
        <v>178.06703215594476</v>
      </c>
      <c r="Y554" s="405">
        <f t="shared" si="93"/>
        <v>171.81913766382763</v>
      </c>
      <c r="Z554" s="406">
        <v>174.84749184166964</v>
      </c>
      <c r="AA554" s="406">
        <v>183.34394948366392</v>
      </c>
      <c r="AB554" s="442">
        <f t="shared" si="94"/>
        <v>175.14759472988069</v>
      </c>
      <c r="AC554" s="438">
        <f t="shared" si="95"/>
        <v>180.3049114230769</v>
      </c>
      <c r="AD554" s="410"/>
      <c r="AE554" s="411"/>
      <c r="AF554" s="411"/>
      <c r="AG554" s="411"/>
    </row>
    <row r="555" spans="1:33" x14ac:dyDescent="0.2">
      <c r="A555" s="36" t="s">
        <v>472</v>
      </c>
      <c r="B555" s="18" t="str">
        <f>VLOOKUP(LEFT(A555,7),'Tariff Schedule Lookup Table'!$A$8:$G$186,2,FALSE)</f>
        <v>High Pressure Sodium 100</v>
      </c>
      <c r="C555" s="160">
        <f t="shared" si="96"/>
        <v>360</v>
      </c>
      <c r="D555" s="18">
        <f t="shared" si="97"/>
        <v>2</v>
      </c>
      <c r="E555" s="18" t="str">
        <f>VLOOKUP(C555,'Tariff Schedule Lookup Table'!I$7:L$286,2,FALSE)</f>
        <v>HIGH PRESSURE SODIUM 70W (100)</v>
      </c>
      <c r="F555" s="18" t="str">
        <f>IF(E555 = "BULKHEADS ETC", "SHARED OR NO POLE", VLOOKUP(C555,'Tariff Schedule Lookup Table'!I$7:L$286,3,FALSE))</f>
        <v>STEEL POLE</v>
      </c>
      <c r="G555" s="18">
        <f>IF(E555 = "NO CAPITAL", 1, VLOOKUP(C555,'Tariff Schedule Lookup Table'!I$7:L$286,4,FALSE))</f>
        <v>1</v>
      </c>
      <c r="H555" s="18" t="str">
        <f t="shared" si="88"/>
        <v>2-Unmetered, Funded by Others, CE Maintained</v>
      </c>
      <c r="I555" s="123">
        <f>VLOOKUP(F555,'Maintenance Model'!$A$57:$B$61,2,FALSE)</f>
        <v>9.9616182311111103</v>
      </c>
      <c r="J555" s="123">
        <f>IF(D555=1,VLOOKUP(C555,'Capital Code Schedules'!A$15:F$300,2,FALSE),IF(D555=2,VLOOKUP(C555,'Capital Code Schedules'!A$15:F$300,3,FALSE),0))</f>
        <v>0</v>
      </c>
      <c r="K555" s="123">
        <v>0</v>
      </c>
      <c r="L555" s="123">
        <f>VLOOKUP(LEFT(A555,10),'Streetlight Tariff Schedule'!B$11:H$260,7, FALSE)+I555</f>
        <v>62.097149108167045</v>
      </c>
      <c r="M555" s="161">
        <f t="shared" si="89"/>
        <v>62.097149108167045</v>
      </c>
      <c r="N555" s="405">
        <f t="shared" si="90"/>
        <v>64.684651772681477</v>
      </c>
      <c r="O555" s="405">
        <v>42.465692910798147</v>
      </c>
      <c r="P555" s="406">
        <v>42.465692910798147</v>
      </c>
      <c r="Q555" s="406">
        <v>44.543915608359193</v>
      </c>
      <c r="R555" s="406">
        <v>44.543915608359193</v>
      </c>
      <c r="S555" s="405">
        <f t="shared" si="91"/>
        <v>67.850245038289913</v>
      </c>
      <c r="T555" s="406">
        <v>46.373387010229727</v>
      </c>
      <c r="U555" s="406">
        <v>46.542802495305168</v>
      </c>
      <c r="V555" s="405">
        <f t="shared" si="92"/>
        <v>70.894992300195582</v>
      </c>
      <c r="W555" s="406">
        <v>48.061503830263007</v>
      </c>
      <c r="X555" s="406">
        <v>48.667794127747918</v>
      </c>
      <c r="Y555" s="405">
        <f t="shared" si="93"/>
        <v>74.131825007792102</v>
      </c>
      <c r="Z555" s="406">
        <v>49.449789649340673</v>
      </c>
      <c r="AA555" s="406">
        <v>50.256833171663452</v>
      </c>
      <c r="AB555" s="442">
        <f t="shared" si="94"/>
        <v>75.74098537109893</v>
      </c>
      <c r="AC555" s="438">
        <f t="shared" si="95"/>
        <v>78.005569731954566</v>
      </c>
      <c r="AD555" s="410"/>
      <c r="AE555" s="411"/>
      <c r="AF555" s="411"/>
      <c r="AG555" s="411"/>
    </row>
    <row r="556" spans="1:33" x14ac:dyDescent="0.2">
      <c r="A556" s="36" t="s">
        <v>473</v>
      </c>
      <c r="B556" s="18" t="str">
        <f>VLOOKUP(LEFT(A556,7),'Tariff Schedule Lookup Table'!$A$8:$G$186,2,FALSE)</f>
        <v>High Pressure Sodium 120</v>
      </c>
      <c r="C556" s="160">
        <f t="shared" si="96"/>
        <v>50</v>
      </c>
      <c r="D556" s="18">
        <f t="shared" si="97"/>
        <v>1</v>
      </c>
      <c r="E556" s="18" t="str">
        <f>VLOOKUP(C556,'Tariff Schedule Lookup Table'!I$7:L$286,2,FALSE)</f>
        <v>HIGH PRESSURE SODIUM 150W</v>
      </c>
      <c r="F556" s="18" t="str">
        <f>IF(E556 = "BULKHEADS ETC", "SHARED OR NO POLE", VLOOKUP(C556,'Tariff Schedule Lookup Table'!I$7:L$286,3,FALSE))</f>
        <v>SHARED OR NO POLE</v>
      </c>
      <c r="G556" s="18">
        <f>IF(E556 = "NO CAPITAL", 1, VLOOKUP(C556,'Tariff Schedule Lookup Table'!I$7:L$286,4,FALSE))</f>
        <v>1</v>
      </c>
      <c r="H556" s="18" t="str">
        <f t="shared" si="88"/>
        <v>1-Unmetered, CE Funded, CE Maintained</v>
      </c>
      <c r="I556" s="123">
        <f>VLOOKUP(F556,'Maintenance Model'!$A$57:$B$61,2,FALSE)</f>
        <v>0</v>
      </c>
      <c r="J556" s="123">
        <f>IF(D556=1,VLOOKUP(C556,'Capital Code Schedules'!A$15:F$300,2,FALSE),IF(D556=2,VLOOKUP(C556,'Capital Code Schedules'!A$15:F$300,3,FALSE),0))</f>
        <v>32.009790998230237</v>
      </c>
      <c r="K556" s="123">
        <v>40.603484458437606</v>
      </c>
      <c r="L556" s="123">
        <f>VLOOKUP(LEFT(A556,10),'Streetlight Tariff Schedule'!B$11:H$260,7, FALSE)+I556</f>
        <v>56.823264008002603</v>
      </c>
      <c r="M556" s="161">
        <f t="shared" si="89"/>
        <v>97.426748466440216</v>
      </c>
      <c r="N556" s="405">
        <f t="shared" si="90"/>
        <v>91.99304447060635</v>
      </c>
      <c r="O556" s="405">
        <v>80.936756236752643</v>
      </c>
      <c r="P556" s="406">
        <v>79.094722596267317</v>
      </c>
      <c r="Q556" s="406">
        <v>81.959067975016993</v>
      </c>
      <c r="R556" s="406">
        <v>83.846691948104336</v>
      </c>
      <c r="S556" s="405">
        <f t="shared" si="91"/>
        <v>95.701635538859392</v>
      </c>
      <c r="T556" s="406">
        <v>84.629317595761023</v>
      </c>
      <c r="U556" s="406">
        <v>86.880182579659092</v>
      </c>
      <c r="V556" s="405">
        <f t="shared" si="92"/>
        <v>99.445789363573979</v>
      </c>
      <c r="W556" s="406">
        <v>87.200905999996422</v>
      </c>
      <c r="X556" s="406">
        <v>90.30844957813467</v>
      </c>
      <c r="Y556" s="405">
        <f t="shared" si="93"/>
        <v>103.57970592220248</v>
      </c>
      <c r="Z556" s="406">
        <v>89.534585640324053</v>
      </c>
      <c r="AA556" s="406">
        <v>93.060560619568136</v>
      </c>
      <c r="AB556" s="442">
        <f t="shared" si="94"/>
        <v>105.6812930061093</v>
      </c>
      <c r="AC556" s="438">
        <f t="shared" si="95"/>
        <v>108.81200023742416</v>
      </c>
      <c r="AD556" s="410"/>
      <c r="AE556" s="411"/>
      <c r="AF556" s="411"/>
      <c r="AG556" s="411"/>
    </row>
    <row r="557" spans="1:33" x14ac:dyDescent="0.2">
      <c r="A557" s="36" t="s">
        <v>474</v>
      </c>
      <c r="B557" s="18" t="str">
        <f>VLOOKUP(LEFT(A557,7),'Tariff Schedule Lookup Table'!$A$8:$G$186,2,FALSE)</f>
        <v>High Pressure Sodium 120</v>
      </c>
      <c r="C557" s="160">
        <f t="shared" si="96"/>
        <v>360</v>
      </c>
      <c r="D557" s="18">
        <f t="shared" si="97"/>
        <v>2</v>
      </c>
      <c r="E557" s="18" t="str">
        <f>VLOOKUP(C557,'Tariff Schedule Lookup Table'!I$7:L$286,2,FALSE)</f>
        <v>HIGH PRESSURE SODIUM 70W (100)</v>
      </c>
      <c r="F557" s="18" t="str">
        <f>IF(E557 = "BULKHEADS ETC", "SHARED OR NO POLE", VLOOKUP(C557,'Tariff Schedule Lookup Table'!I$7:L$286,3,FALSE))</f>
        <v>STEEL POLE</v>
      </c>
      <c r="G557" s="18">
        <f>IF(E557 = "NO CAPITAL", 1, VLOOKUP(C557,'Tariff Schedule Lookup Table'!I$7:L$286,4,FALSE))</f>
        <v>1</v>
      </c>
      <c r="H557" s="18" t="str">
        <f t="shared" si="88"/>
        <v>2-Unmetered, Funded by Others, CE Maintained</v>
      </c>
      <c r="I557" s="123">
        <f>VLOOKUP(F557,'Maintenance Model'!$A$57:$B$61,2,FALSE)</f>
        <v>9.9616182311111103</v>
      </c>
      <c r="J557" s="123">
        <f>IF(D557=1,VLOOKUP(C557,'Capital Code Schedules'!A$15:F$300,2,FALSE),IF(D557=2,VLOOKUP(C557,'Capital Code Schedules'!A$15:F$300,3,FALSE),0))</f>
        <v>0</v>
      </c>
      <c r="K557" s="123">
        <v>0</v>
      </c>
      <c r="L557" s="123">
        <f>VLOOKUP(LEFT(A557,10),'Streetlight Tariff Schedule'!B$11:H$260,7, FALSE)+I557</f>
        <v>66.784882239113713</v>
      </c>
      <c r="M557" s="161">
        <f t="shared" si="89"/>
        <v>66.784882239113713</v>
      </c>
      <c r="N557" s="405">
        <f t="shared" si="90"/>
        <v>69.567716285842309</v>
      </c>
      <c r="O557" s="405">
        <v>47.080417133582529</v>
      </c>
      <c r="P557" s="406">
        <v>47.080417133582529</v>
      </c>
      <c r="Q557" s="406">
        <v>49.384479184405059</v>
      </c>
      <c r="R557" s="406">
        <v>49.384479184405059</v>
      </c>
      <c r="S557" s="405">
        <f t="shared" si="91"/>
        <v>72.972281173230769</v>
      </c>
      <c r="T557" s="406">
        <v>51.412758268769721</v>
      </c>
      <c r="U557" s="406">
        <v>51.6005840443433</v>
      </c>
      <c r="V557" s="405">
        <f t="shared" si="92"/>
        <v>76.246877354450461</v>
      </c>
      <c r="W557" s="406">
        <v>53.284321844202971</v>
      </c>
      <c r="X557" s="406">
        <v>53.956497385282503</v>
      </c>
      <c r="Y557" s="405">
        <f t="shared" si="93"/>
        <v>79.728059571495507</v>
      </c>
      <c r="Z557" s="406">
        <v>54.823471943557493</v>
      </c>
      <c r="AA557" s="406">
        <v>55.718216455456201</v>
      </c>
      <c r="AB557" s="442">
        <f t="shared" si="94"/>
        <v>81.458695951920916</v>
      </c>
      <c r="AC557" s="438">
        <f t="shared" si="95"/>
        <v>83.894234491650622</v>
      </c>
      <c r="AD557" s="410"/>
      <c r="AE557" s="411"/>
      <c r="AF557" s="411"/>
      <c r="AG557" s="411"/>
    </row>
    <row r="558" spans="1:33" x14ac:dyDescent="0.2">
      <c r="A558" s="36" t="s">
        <v>475</v>
      </c>
      <c r="B558" s="18" t="str">
        <f>VLOOKUP(LEFT(A558,7),'Tariff Schedule Lookup Table'!$A$8:$G$186,2,FALSE)</f>
        <v>High Pressure Sodium 150</v>
      </c>
      <c r="C558" s="160">
        <f t="shared" si="96"/>
        <v>50</v>
      </c>
      <c r="D558" s="18">
        <f t="shared" si="97"/>
        <v>1</v>
      </c>
      <c r="E558" s="18" t="str">
        <f>VLOOKUP(C558,'Tariff Schedule Lookup Table'!I$7:L$286,2,FALSE)</f>
        <v>HIGH PRESSURE SODIUM 150W</v>
      </c>
      <c r="F558" s="18" t="str">
        <f>IF(E558 = "BULKHEADS ETC", "SHARED OR NO POLE", VLOOKUP(C558,'Tariff Schedule Lookup Table'!I$7:L$286,3,FALSE))</f>
        <v>SHARED OR NO POLE</v>
      </c>
      <c r="G558" s="18">
        <f>IF(E558 = "NO CAPITAL", 1, VLOOKUP(C558,'Tariff Schedule Lookup Table'!I$7:L$286,4,FALSE))</f>
        <v>1</v>
      </c>
      <c r="H558" s="18" t="str">
        <f t="shared" si="88"/>
        <v>1-Unmetered, CE Funded, CE Maintained</v>
      </c>
      <c r="I558" s="123">
        <f>VLOOKUP(F558,'Maintenance Model'!$A$57:$B$61,2,FALSE)</f>
        <v>0</v>
      </c>
      <c r="J558" s="123">
        <f>IF(D558=1,VLOOKUP(C558,'Capital Code Schedules'!A$15:F$300,2,FALSE),IF(D558=2,VLOOKUP(C558,'Capital Code Schedules'!A$15:F$300,3,FALSE),0))</f>
        <v>32.009790998230237</v>
      </c>
      <c r="K558" s="123">
        <v>40.603484458437606</v>
      </c>
      <c r="L558" s="123">
        <f>VLOOKUP(LEFT(A558,10),'Streetlight Tariff Schedule'!B$11:H$260,7, FALSE)+I558</f>
        <v>64.695087563558161</v>
      </c>
      <c r="M558" s="161">
        <f t="shared" si="89"/>
        <v>105.29857202199577</v>
      </c>
      <c r="N558" s="405">
        <f t="shared" si="90"/>
        <v>100.19287607028495</v>
      </c>
      <c r="O558" s="405">
        <v>78.471847014249619</v>
      </c>
      <c r="P558" s="406">
        <v>76.629813373764293</v>
      </c>
      <c r="Q558" s="406">
        <v>79.373528899507832</v>
      </c>
      <c r="R558" s="406">
        <v>81.261152872595176</v>
      </c>
      <c r="S558" s="405">
        <f t="shared" si="91"/>
        <v>104.30275756802484</v>
      </c>
      <c r="T558" s="406">
        <v>81.937587366365634</v>
      </c>
      <c r="U558" s="406">
        <v>84.178618675996944</v>
      </c>
      <c r="V558" s="405">
        <f t="shared" si="92"/>
        <v>108.43288262589917</v>
      </c>
      <c r="W558" s="406">
        <v>84.411189503731379</v>
      </c>
      <c r="X558" s="406">
        <v>87.48354113177183</v>
      </c>
      <c r="Y558" s="405">
        <f t="shared" si="93"/>
        <v>112.97712037187665</v>
      </c>
      <c r="Z558" s="406">
        <v>86.66428648346043</v>
      </c>
      <c r="AA558" s="406">
        <v>90.143416848033709</v>
      </c>
      <c r="AB558" s="442">
        <f t="shared" si="94"/>
        <v>115.28269470213</v>
      </c>
      <c r="AC558" s="438">
        <f t="shared" si="95"/>
        <v>118.70047483085398</v>
      </c>
      <c r="AD558" s="410"/>
      <c r="AE558" s="411"/>
      <c r="AF558" s="411"/>
      <c r="AG558" s="411"/>
    </row>
    <row r="559" spans="1:33" x14ac:dyDescent="0.2">
      <c r="A559" s="36" t="s">
        <v>476</v>
      </c>
      <c r="B559" s="18" t="str">
        <f>VLOOKUP(LEFT(A559,7),'Tariff Schedule Lookup Table'!$A$8:$G$186,2,FALSE)</f>
        <v>High Pressure Sodium 150</v>
      </c>
      <c r="C559" s="160">
        <f t="shared" si="96"/>
        <v>50</v>
      </c>
      <c r="D559" s="18">
        <f t="shared" si="97"/>
        <v>2</v>
      </c>
      <c r="E559" s="18" t="str">
        <f>VLOOKUP(C559,'Tariff Schedule Lookup Table'!I$7:L$286,2,FALSE)</f>
        <v>HIGH PRESSURE SODIUM 150W</v>
      </c>
      <c r="F559" s="18" t="str">
        <f>IF(E559 = "BULKHEADS ETC", "SHARED OR NO POLE", VLOOKUP(C559,'Tariff Schedule Lookup Table'!I$7:L$286,3,FALSE))</f>
        <v>SHARED OR NO POLE</v>
      </c>
      <c r="G559" s="18">
        <f>IF(E559 = "NO CAPITAL", 1, VLOOKUP(C559,'Tariff Schedule Lookup Table'!I$7:L$286,4,FALSE))</f>
        <v>1</v>
      </c>
      <c r="H559" s="18" t="str">
        <f t="shared" si="88"/>
        <v>2-Unmetered, Funded by Others, CE Maintained</v>
      </c>
      <c r="I559" s="123">
        <f>VLOOKUP(F559,'Maintenance Model'!$A$57:$B$61,2,FALSE)</f>
        <v>0</v>
      </c>
      <c r="J559" s="123">
        <f>IF(D559=1,VLOOKUP(C559,'Capital Code Schedules'!A$15:F$300,2,FALSE),IF(D559=2,VLOOKUP(C559,'Capital Code Schedules'!A$15:F$300,3,FALSE),0))</f>
        <v>0</v>
      </c>
      <c r="K559" s="123">
        <v>0</v>
      </c>
      <c r="L559" s="123">
        <f>VLOOKUP(LEFT(A559,10),'Streetlight Tariff Schedule'!B$11:H$260,7, FALSE)+I559</f>
        <v>64.695087563558161</v>
      </c>
      <c r="M559" s="161">
        <f t="shared" si="89"/>
        <v>64.695087563558161</v>
      </c>
      <c r="N559" s="405">
        <f t="shared" si="90"/>
        <v>67.390842744848513</v>
      </c>
      <c r="O559" s="405">
        <v>35.021392674980348</v>
      </c>
      <c r="P559" s="406">
        <v>35.021392674980348</v>
      </c>
      <c r="Q559" s="406">
        <v>36.735299788428989</v>
      </c>
      <c r="R559" s="406">
        <v>36.735299788428989</v>
      </c>
      <c r="S559" s="405">
        <f t="shared" si="91"/>
        <v>70.688873917783852</v>
      </c>
      <c r="T559" s="406">
        <v>38.244062084787579</v>
      </c>
      <c r="U559" s="406">
        <v>38.383778778932012</v>
      </c>
      <c r="V559" s="405">
        <f t="shared" si="92"/>
        <v>73.861003291626304</v>
      </c>
      <c r="W559" s="406">
        <v>39.636249471434269</v>
      </c>
      <c r="X559" s="406">
        <v>40.13625616219641</v>
      </c>
      <c r="Y559" s="405">
        <f t="shared" si="93"/>
        <v>77.233254328171938</v>
      </c>
      <c r="Z559" s="406">
        <v>40.781166685363978</v>
      </c>
      <c r="AA559" s="406">
        <v>41.446734256825373</v>
      </c>
      <c r="AB559" s="442">
        <f t="shared" si="94"/>
        <v>78.909736616056094</v>
      </c>
      <c r="AC559" s="438">
        <f t="shared" si="95"/>
        <v>81.269063664475311</v>
      </c>
      <c r="AD559" s="410"/>
      <c r="AE559" s="411"/>
      <c r="AF559" s="411"/>
      <c r="AG559" s="411"/>
    </row>
    <row r="560" spans="1:33" x14ac:dyDescent="0.2">
      <c r="A560" s="36" t="s">
        <v>477</v>
      </c>
      <c r="B560" s="18" t="str">
        <f>VLOOKUP(LEFT(A560,7),'Tariff Schedule Lookup Table'!$A$8:$G$186,2,FALSE)</f>
        <v>High Pressure Sodium 150</v>
      </c>
      <c r="C560" s="160">
        <f t="shared" si="96"/>
        <v>220</v>
      </c>
      <c r="D560" s="18">
        <f t="shared" si="97"/>
        <v>1</v>
      </c>
      <c r="E560" s="18" t="str">
        <f>VLOOKUP(C560,'Tariff Schedule Lookup Table'!I$7:L$286,2,FALSE)</f>
        <v>HIGH PRESSURE SODIUM 150W</v>
      </c>
      <c r="F560" s="18" t="str">
        <f>IF(E560 = "BULKHEADS ETC", "SHARED OR NO POLE", VLOOKUP(C560,'Tariff Schedule Lookup Table'!I$7:L$286,3,FALSE))</f>
        <v>WOOD POLE</v>
      </c>
      <c r="G560" s="18">
        <f>IF(E560 = "NO CAPITAL", 1, VLOOKUP(C560,'Tariff Schedule Lookup Table'!I$7:L$286,4,FALSE))</f>
        <v>1</v>
      </c>
      <c r="H560" s="18" t="str">
        <f t="shared" si="88"/>
        <v>1-Unmetered, CE Funded, CE Maintained</v>
      </c>
      <c r="I560" s="123">
        <f>VLOOKUP(F560,'Maintenance Model'!$A$57:$B$61,2,FALSE)</f>
        <v>10.731618231111112</v>
      </c>
      <c r="J560" s="123">
        <f>IF(D560=1,VLOOKUP(C560,'Capital Code Schedules'!A$15:F$300,2,FALSE),IF(D560=2,VLOOKUP(C560,'Capital Code Schedules'!A$15:F$300,3,FALSE),0))</f>
        <v>65.91090936010653</v>
      </c>
      <c r="K560" s="123">
        <v>83.606062407359644</v>
      </c>
      <c r="L560" s="123">
        <f>VLOOKUP(LEFT(A560,10),'Streetlight Tariff Schedule'!B$11:H$260,7, FALSE)+I560</f>
        <v>75.426705794669274</v>
      </c>
      <c r="M560" s="161">
        <f t="shared" si="89"/>
        <v>159.03276820202893</v>
      </c>
      <c r="N560" s="405">
        <f t="shared" si="90"/>
        <v>146.11183709161506</v>
      </c>
      <c r="O560" s="405">
        <v>134.88581070188579</v>
      </c>
      <c r="P560" s="406">
        <v>131.09290520234632</v>
      </c>
      <c r="Q560" s="406">
        <v>135.43605450284772</v>
      </c>
      <c r="R560" s="406">
        <v>139.3228344135008</v>
      </c>
      <c r="S560" s="405">
        <f t="shared" si="91"/>
        <v>151.62861508606736</v>
      </c>
      <c r="T560" s="406">
        <v>139.56564264711221</v>
      </c>
      <c r="U560" s="406">
        <v>144.07362193924152</v>
      </c>
      <c r="V560" s="405">
        <f t="shared" si="92"/>
        <v>157.29953254540567</v>
      </c>
      <c r="W560" s="406">
        <v>143.59783068828386</v>
      </c>
      <c r="X560" s="406">
        <v>149.54294498266222</v>
      </c>
      <c r="Y560" s="405">
        <f t="shared" si="93"/>
        <v>163.64439374339122</v>
      </c>
      <c r="Z560" s="406">
        <v>147.36445716752442</v>
      </c>
      <c r="AA560" s="406">
        <v>154.02096784735159</v>
      </c>
      <c r="AB560" s="442">
        <f t="shared" si="94"/>
        <v>166.89432539349747</v>
      </c>
      <c r="AC560" s="438">
        <f t="shared" si="95"/>
        <v>171.82446332241426</v>
      </c>
      <c r="AD560" s="410"/>
      <c r="AE560" s="411"/>
      <c r="AF560" s="411"/>
      <c r="AG560" s="411"/>
    </row>
    <row r="561" spans="1:33" x14ac:dyDescent="0.2">
      <c r="A561" s="36" t="s">
        <v>478</v>
      </c>
      <c r="B561" s="18" t="str">
        <f>VLOOKUP(LEFT(A561,7),'Tariff Schedule Lookup Table'!$A$8:$G$186,2,FALSE)</f>
        <v>High Pressure Sodium 150</v>
      </c>
      <c r="C561" s="160">
        <f t="shared" si="96"/>
        <v>220</v>
      </c>
      <c r="D561" s="18">
        <f t="shared" si="97"/>
        <v>2</v>
      </c>
      <c r="E561" s="18" t="str">
        <f>VLOOKUP(C561,'Tariff Schedule Lookup Table'!I$7:L$286,2,FALSE)</f>
        <v>HIGH PRESSURE SODIUM 150W</v>
      </c>
      <c r="F561" s="18" t="str">
        <f>IF(E561 = "BULKHEADS ETC", "SHARED OR NO POLE", VLOOKUP(C561,'Tariff Schedule Lookup Table'!I$7:L$286,3,FALSE))</f>
        <v>WOOD POLE</v>
      </c>
      <c r="G561" s="18">
        <f>IF(E561 = "NO CAPITAL", 1, VLOOKUP(C561,'Tariff Schedule Lookup Table'!I$7:L$286,4,FALSE))</f>
        <v>1</v>
      </c>
      <c r="H561" s="18" t="str">
        <f t="shared" si="88"/>
        <v>2-Unmetered, Funded by Others, CE Maintained</v>
      </c>
      <c r="I561" s="123">
        <f>VLOOKUP(F561,'Maintenance Model'!$A$57:$B$61,2,FALSE)</f>
        <v>10.731618231111112</v>
      </c>
      <c r="J561" s="123">
        <f>IF(D561=1,VLOOKUP(C561,'Capital Code Schedules'!A$15:F$300,2,FALSE),IF(D561=2,VLOOKUP(C561,'Capital Code Schedules'!A$15:F$300,3,FALSE),0))</f>
        <v>0</v>
      </c>
      <c r="K561" s="123">
        <v>0</v>
      </c>
      <c r="L561" s="123">
        <f>VLOOKUP(LEFT(A561,10),'Streetlight Tariff Schedule'!B$11:H$260,7, FALSE)+I561</f>
        <v>75.426705794669274</v>
      </c>
      <c r="M561" s="161">
        <f t="shared" si="89"/>
        <v>75.426705794669274</v>
      </c>
      <c r="N561" s="405">
        <f t="shared" si="90"/>
        <v>78.569632724845917</v>
      </c>
      <c r="O561" s="405">
        <v>45.417592750404523</v>
      </c>
      <c r="P561" s="406">
        <v>45.417592750404523</v>
      </c>
      <c r="Q561" s="406">
        <v>47.640278067720359</v>
      </c>
      <c r="R561" s="406">
        <v>47.640278067720359</v>
      </c>
      <c r="S561" s="405">
        <f t="shared" si="91"/>
        <v>82.414741161220675</v>
      </c>
      <c r="T561" s="406">
        <v>49.596920745215442</v>
      </c>
      <c r="U561" s="406">
        <v>49.778112737606357</v>
      </c>
      <c r="V561" s="405">
        <f t="shared" si="92"/>
        <v>86.113063213700855</v>
      </c>
      <c r="W561" s="406">
        <v>51.40238291931513</v>
      </c>
      <c r="X561" s="406">
        <v>52.050818019091615</v>
      </c>
      <c r="Y561" s="405">
        <f t="shared" si="93"/>
        <v>90.044703101341597</v>
      </c>
      <c r="Z561" s="406">
        <v>52.887172066273756</v>
      </c>
      <c r="AA561" s="406">
        <v>53.750315265319209</v>
      </c>
      <c r="AB561" s="442">
        <f t="shared" si="94"/>
        <v>91.999280196147794</v>
      </c>
      <c r="AC561" s="438">
        <f t="shared" si="95"/>
        <v>94.7499723098217</v>
      </c>
      <c r="AD561" s="410"/>
      <c r="AE561" s="411"/>
      <c r="AF561" s="411"/>
      <c r="AG561" s="411"/>
    </row>
    <row r="562" spans="1:33" x14ac:dyDescent="0.2">
      <c r="A562" s="36" t="s">
        <v>479</v>
      </c>
      <c r="B562" s="18" t="str">
        <f>VLOOKUP(LEFT(A562,7),'Tariff Schedule Lookup Table'!$A$8:$G$186,2,FALSE)</f>
        <v>High Pressure Sodium 150</v>
      </c>
      <c r="C562" s="160">
        <f t="shared" si="96"/>
        <v>310</v>
      </c>
      <c r="D562" s="18">
        <f t="shared" si="97"/>
        <v>1</v>
      </c>
      <c r="E562" s="18" t="str">
        <f>VLOOKUP(C562,'Tariff Schedule Lookup Table'!I$7:L$286,2,FALSE)</f>
        <v>HIGH PRESSURE SODIUM 150W</v>
      </c>
      <c r="F562" s="18" t="str">
        <f>IF(E562 = "BULKHEADS ETC", "SHARED OR NO POLE", VLOOKUP(C562,'Tariff Schedule Lookup Table'!I$7:L$286,3,FALSE))</f>
        <v>STEEL POLE</v>
      </c>
      <c r="G562" s="18">
        <f>IF(E562 = "NO CAPITAL", 1, VLOOKUP(C562,'Tariff Schedule Lookup Table'!I$7:L$286,4,FALSE))</f>
        <v>1</v>
      </c>
      <c r="H562" s="18" t="str">
        <f t="shared" si="88"/>
        <v>1-Unmetered, CE Funded, CE Maintained</v>
      </c>
      <c r="I562" s="123">
        <f>VLOOKUP(F562,'Maintenance Model'!$A$57:$B$61,2,FALSE)</f>
        <v>9.9616182311111103</v>
      </c>
      <c r="J562" s="123">
        <f>IF(D562=1,VLOOKUP(C562,'Capital Code Schedules'!A$15:F$300,2,FALSE),IF(D562=2,VLOOKUP(C562,'Capital Code Schedules'!A$15:F$300,3,FALSE),0))</f>
        <v>92.1941745337366</v>
      </c>
      <c r="K562" s="123">
        <v>116.94561620368043</v>
      </c>
      <c r="L562" s="123">
        <f>VLOOKUP(LEFT(A562,10),'Streetlight Tariff Schedule'!B$11:H$260,7, FALSE)+I562</f>
        <v>74.656705794669278</v>
      </c>
      <c r="M562" s="161">
        <f t="shared" si="89"/>
        <v>191.60232199834971</v>
      </c>
      <c r="N562" s="405">
        <f t="shared" si="90"/>
        <v>172.24352823896751</v>
      </c>
      <c r="O562" s="405">
        <v>169.76092892136424</v>
      </c>
      <c r="P562" s="406">
        <v>164.45552811580106</v>
      </c>
      <c r="Q562" s="406">
        <v>169.60500081368428</v>
      </c>
      <c r="R562" s="406">
        <v>175.04171028918518</v>
      </c>
      <c r="S562" s="405">
        <f t="shared" si="91"/>
        <v>178.38766406959061</v>
      </c>
      <c r="T562" s="406">
        <v>174.56653874660623</v>
      </c>
      <c r="U562" s="406">
        <v>180.79670927110865</v>
      </c>
      <c r="V562" s="405">
        <f t="shared" si="92"/>
        <v>184.80743791868505</v>
      </c>
      <c r="W562" s="406">
        <v>179.45479244517381</v>
      </c>
      <c r="X562" s="406">
        <v>187.50060973086866</v>
      </c>
      <c r="Y562" s="405">
        <f t="shared" si="93"/>
        <v>192.07448186461383</v>
      </c>
      <c r="Z562" s="406">
        <v>184.10512451458632</v>
      </c>
      <c r="AA562" s="406">
        <v>193.05661056844133</v>
      </c>
      <c r="AB562" s="442">
        <f t="shared" si="94"/>
        <v>195.8210080294304</v>
      </c>
      <c r="AC562" s="438">
        <f t="shared" si="95"/>
        <v>201.59216195867054</v>
      </c>
      <c r="AD562" s="410"/>
      <c r="AE562" s="411"/>
      <c r="AF562" s="411"/>
      <c r="AG562" s="411"/>
    </row>
    <row r="563" spans="1:33" x14ac:dyDescent="0.2">
      <c r="A563" s="36" t="s">
        <v>480</v>
      </c>
      <c r="B563" s="18" t="str">
        <f>VLOOKUP(LEFT(A563,7),'Tariff Schedule Lookup Table'!$A$8:$G$186,2,FALSE)</f>
        <v>High Pressure Sodium 150</v>
      </c>
      <c r="C563" s="160">
        <f t="shared" si="96"/>
        <v>310</v>
      </c>
      <c r="D563" s="18">
        <f t="shared" si="97"/>
        <v>2</v>
      </c>
      <c r="E563" s="18" t="str">
        <f>VLOOKUP(C563,'Tariff Schedule Lookup Table'!I$7:L$286,2,FALSE)</f>
        <v>HIGH PRESSURE SODIUM 150W</v>
      </c>
      <c r="F563" s="18" t="str">
        <f>IF(E563 = "BULKHEADS ETC", "SHARED OR NO POLE", VLOOKUP(C563,'Tariff Schedule Lookup Table'!I$7:L$286,3,FALSE))</f>
        <v>STEEL POLE</v>
      </c>
      <c r="G563" s="18">
        <f>IF(E563 = "NO CAPITAL", 1, VLOOKUP(C563,'Tariff Schedule Lookup Table'!I$7:L$286,4,FALSE))</f>
        <v>1</v>
      </c>
      <c r="H563" s="18" t="str">
        <f t="shared" si="88"/>
        <v>2-Unmetered, Funded by Others, CE Maintained</v>
      </c>
      <c r="I563" s="123">
        <f>VLOOKUP(F563,'Maintenance Model'!$A$57:$B$61,2,FALSE)</f>
        <v>9.9616182311111103</v>
      </c>
      <c r="J563" s="123">
        <f>IF(D563=1,VLOOKUP(C563,'Capital Code Schedules'!A$15:F$300,2,FALSE),IF(D563=2,VLOOKUP(C563,'Capital Code Schedules'!A$15:F$300,3,FALSE),0))</f>
        <v>0</v>
      </c>
      <c r="K563" s="123">
        <v>0</v>
      </c>
      <c r="L563" s="123">
        <f>VLOOKUP(LEFT(A563,10),'Streetlight Tariff Schedule'!B$11:H$260,7, FALSE)+I563</f>
        <v>74.656705794669278</v>
      </c>
      <c r="M563" s="161">
        <f t="shared" si="89"/>
        <v>74.656705794669278</v>
      </c>
      <c r="N563" s="405">
        <f t="shared" si="90"/>
        <v>77.767547885520926</v>
      </c>
      <c r="O563" s="405">
        <v>44.615507911079519</v>
      </c>
      <c r="P563" s="406">
        <v>44.615507911079519</v>
      </c>
      <c r="Q563" s="406">
        <v>46.798940108895906</v>
      </c>
      <c r="R563" s="406">
        <v>46.798940108895906</v>
      </c>
      <c r="S563" s="405">
        <f t="shared" si="91"/>
        <v>81.573403202396221</v>
      </c>
      <c r="T563" s="406">
        <v>48.721028039374332</v>
      </c>
      <c r="U563" s="406">
        <v>48.899020140681145</v>
      </c>
      <c r="V563" s="405">
        <f t="shared" si="92"/>
        <v>85.23397061677565</v>
      </c>
      <c r="W563" s="406">
        <v>50.49460534793792</v>
      </c>
      <c r="X563" s="406">
        <v>51.131588938919677</v>
      </c>
      <c r="Y563" s="405">
        <f t="shared" si="93"/>
        <v>89.125474021169666</v>
      </c>
      <c r="Z563" s="406">
        <v>51.953172786693862</v>
      </c>
      <c r="AA563" s="406">
        <v>52.801072683921767</v>
      </c>
      <c r="AB563" s="442">
        <f t="shared" si="94"/>
        <v>91.060097647941632</v>
      </c>
      <c r="AC563" s="438">
        <f t="shared" si="95"/>
        <v>93.782709085080441</v>
      </c>
      <c r="AD563" s="410"/>
      <c r="AE563" s="411"/>
      <c r="AF563" s="411"/>
      <c r="AG563" s="411"/>
    </row>
    <row r="564" spans="1:33" x14ac:dyDescent="0.2">
      <c r="A564" s="36" t="s">
        <v>481</v>
      </c>
      <c r="B564" s="18" t="str">
        <f>VLOOKUP(LEFT(A564,7),'Tariff Schedule Lookup Table'!$A$8:$G$186,2,FALSE)</f>
        <v>High Pressure Sodium 150</v>
      </c>
      <c r="C564" s="160">
        <f t="shared" si="96"/>
        <v>690</v>
      </c>
      <c r="D564" s="18">
        <f t="shared" si="97"/>
        <v>1</v>
      </c>
      <c r="E564" s="18" t="str">
        <f>VLOOKUP(C564,'Tariff Schedule Lookup Table'!I$7:L$286,2,FALSE)</f>
        <v>HIGH PRESSURE SODIUM 150W</v>
      </c>
      <c r="F564" s="18" t="str">
        <f>IF(E564 = "BULKHEADS ETC", "SHARED OR NO POLE", VLOOKUP(C564,'Tariff Schedule Lookup Table'!I$7:L$286,3,FALSE))</f>
        <v>STEEL POLE</v>
      </c>
      <c r="G564" s="18">
        <f>IF(E564 = "NO CAPITAL", 1, VLOOKUP(C564,'Tariff Schedule Lookup Table'!I$7:L$286,4,FALSE))</f>
        <v>2</v>
      </c>
      <c r="H564" s="18" t="str">
        <f t="shared" si="88"/>
        <v>1-Unmetered, CE Funded, CE Maintained</v>
      </c>
      <c r="I564" s="123">
        <f>VLOOKUP(F564,'Maintenance Model'!$A$57:$B$61,2,FALSE)</f>
        <v>9.9616182311111103</v>
      </c>
      <c r="J564" s="123">
        <f>IF(D564=1,VLOOKUP(C564,'Capital Code Schedules'!A$15:F$300,2,FALSE),IF(D564=2,VLOOKUP(C564,'Capital Code Schedules'!A$15:F$300,3,FALSE),0))</f>
        <v>104.79944174971051</v>
      </c>
      <c r="K564" s="123">
        <v>132.93502930314577</v>
      </c>
      <c r="L564" s="123">
        <f>VLOOKUP(LEFT(A564,10),'Streetlight Tariff Schedule'!B$11:H$260,7, FALSE)+I564</f>
        <v>74.656705794669278</v>
      </c>
      <c r="M564" s="161">
        <f t="shared" si="89"/>
        <v>207.59173509781505</v>
      </c>
      <c r="N564" s="405">
        <f t="shared" si="90"/>
        <v>185.16077581853679</v>
      </c>
      <c r="O564" s="405">
        <v>186.87146199645505</v>
      </c>
      <c r="P564" s="406">
        <v>180.84067918947815</v>
      </c>
      <c r="Q564" s="406">
        <v>186.3956843764349</v>
      </c>
      <c r="R564" s="406">
        <v>192.57572905788447</v>
      </c>
      <c r="S564" s="405">
        <f t="shared" si="91"/>
        <v>191.62461352675422</v>
      </c>
      <c r="T564" s="406">
        <v>191.77279172753492</v>
      </c>
      <c r="U564" s="406">
        <v>198.83044757471589</v>
      </c>
      <c r="V564" s="405">
        <f t="shared" si="92"/>
        <v>198.42164043537784</v>
      </c>
      <c r="W564" s="406">
        <v>197.08690018738048</v>
      </c>
      <c r="X564" s="406">
        <v>206.14569176296817</v>
      </c>
      <c r="Y564" s="405">
        <f t="shared" si="93"/>
        <v>206.1502058466225</v>
      </c>
      <c r="Z564" s="406">
        <v>202.1736269234126</v>
      </c>
      <c r="AA564" s="406">
        <v>212.23307743845567</v>
      </c>
      <c r="AB564" s="442">
        <f t="shared" si="94"/>
        <v>210.14446475352244</v>
      </c>
      <c r="AC564" s="438">
        <f t="shared" si="95"/>
        <v>216.33243127343366</v>
      </c>
      <c r="AD564" s="410"/>
      <c r="AE564" s="411"/>
      <c r="AF564" s="411"/>
      <c r="AG564" s="411"/>
    </row>
    <row r="565" spans="1:33" x14ac:dyDescent="0.2">
      <c r="A565" s="36" t="s">
        <v>482</v>
      </c>
      <c r="B565" s="18" t="str">
        <f>VLOOKUP(LEFT(A565,7),'Tariff Schedule Lookup Table'!$A$8:$G$186,2,FALSE)</f>
        <v>High Pressure Sodium 150</v>
      </c>
      <c r="C565" s="160">
        <f t="shared" si="96"/>
        <v>690</v>
      </c>
      <c r="D565" s="18">
        <f t="shared" si="97"/>
        <v>2</v>
      </c>
      <c r="E565" s="18" t="str">
        <f>VLOOKUP(C565,'Tariff Schedule Lookup Table'!I$7:L$286,2,FALSE)</f>
        <v>HIGH PRESSURE SODIUM 150W</v>
      </c>
      <c r="F565" s="18" t="str">
        <f>IF(E565 = "BULKHEADS ETC", "SHARED OR NO POLE", VLOOKUP(C565,'Tariff Schedule Lookup Table'!I$7:L$286,3,FALSE))</f>
        <v>STEEL POLE</v>
      </c>
      <c r="G565" s="18">
        <f>IF(E565 = "NO CAPITAL", 1, VLOOKUP(C565,'Tariff Schedule Lookup Table'!I$7:L$286,4,FALSE))</f>
        <v>2</v>
      </c>
      <c r="H565" s="18" t="str">
        <f t="shared" si="88"/>
        <v>2-Unmetered, Funded by Others, CE Maintained</v>
      </c>
      <c r="I565" s="123">
        <f>VLOOKUP(F565,'Maintenance Model'!$A$57:$B$61,2,FALSE)</f>
        <v>9.9616182311111103</v>
      </c>
      <c r="J565" s="123">
        <f>IF(D565=1,VLOOKUP(C565,'Capital Code Schedules'!A$15:F$300,2,FALSE),IF(D565=2,VLOOKUP(C565,'Capital Code Schedules'!A$15:F$300,3,FALSE),0))</f>
        <v>0</v>
      </c>
      <c r="K565" s="123">
        <v>0</v>
      </c>
      <c r="L565" s="123">
        <f>VLOOKUP(LEFT(A565,10),'Streetlight Tariff Schedule'!B$11:H$260,7, FALSE)+I565</f>
        <v>74.656705794669278</v>
      </c>
      <c r="M565" s="161">
        <f t="shared" si="89"/>
        <v>74.656705794669278</v>
      </c>
      <c r="N565" s="405">
        <f t="shared" si="90"/>
        <v>77.767547885520926</v>
      </c>
      <c r="O565" s="405">
        <v>44.615507911079519</v>
      </c>
      <c r="P565" s="406">
        <v>44.615507911079519</v>
      </c>
      <c r="Q565" s="406">
        <v>46.798940108895906</v>
      </c>
      <c r="R565" s="406">
        <v>46.798940108895906</v>
      </c>
      <c r="S565" s="405">
        <f t="shared" si="91"/>
        <v>81.573403202396221</v>
      </c>
      <c r="T565" s="406">
        <v>48.721028039374332</v>
      </c>
      <c r="U565" s="406">
        <v>48.899020140681145</v>
      </c>
      <c r="V565" s="405">
        <f t="shared" si="92"/>
        <v>85.23397061677565</v>
      </c>
      <c r="W565" s="406">
        <v>50.49460534793792</v>
      </c>
      <c r="X565" s="406">
        <v>51.131588938919677</v>
      </c>
      <c r="Y565" s="405">
        <f t="shared" si="93"/>
        <v>89.125474021169666</v>
      </c>
      <c r="Z565" s="406">
        <v>51.953172786693862</v>
      </c>
      <c r="AA565" s="406">
        <v>52.801072683921767</v>
      </c>
      <c r="AB565" s="442">
        <f t="shared" si="94"/>
        <v>91.060097647941632</v>
      </c>
      <c r="AC565" s="438">
        <f t="shared" si="95"/>
        <v>93.782709085080441</v>
      </c>
      <c r="AD565" s="410"/>
      <c r="AE565" s="411"/>
      <c r="AF565" s="411"/>
      <c r="AG565" s="411"/>
    </row>
    <row r="566" spans="1:33" x14ac:dyDescent="0.2">
      <c r="A566" s="36" t="s">
        <v>483</v>
      </c>
      <c r="B566" s="18" t="str">
        <f>VLOOKUP(LEFT(A566,7),'Tariff Schedule Lookup Table'!$A$8:$G$186,2,FALSE)</f>
        <v>High Pressure Sodium 150</v>
      </c>
      <c r="C566" s="160">
        <f t="shared" si="96"/>
        <v>710</v>
      </c>
      <c r="D566" s="18">
        <f t="shared" si="97"/>
        <v>2</v>
      </c>
      <c r="E566" s="18" t="str">
        <f>VLOOKUP(C566,'Tariff Schedule Lookup Table'!I$7:L$286,2,FALSE)</f>
        <v>HIGH PRESSURE SODIUM 150W</v>
      </c>
      <c r="F566" s="18" t="str">
        <f>IF(E566 = "BULKHEADS ETC", "SHARED OR NO POLE", VLOOKUP(C566,'Tariff Schedule Lookup Table'!I$7:L$286,3,FALSE))</f>
        <v>STEEL POLE</v>
      </c>
      <c r="G566" s="18">
        <f>IF(E566 = "NO CAPITAL", 1, VLOOKUP(C566,'Tariff Schedule Lookup Table'!I$7:L$286,4,FALSE))</f>
        <v>3</v>
      </c>
      <c r="H566" s="18" t="str">
        <f t="shared" si="88"/>
        <v>2-Unmetered, Funded by Others, CE Maintained</v>
      </c>
      <c r="I566" s="123">
        <f>VLOOKUP(F566,'Maintenance Model'!$A$57:$B$61,2,FALSE)</f>
        <v>9.9616182311111103</v>
      </c>
      <c r="J566" s="123">
        <f>IF(D566=1,VLOOKUP(C566,'Capital Code Schedules'!A$15:F$300,2,FALSE),IF(D566=2,VLOOKUP(C566,'Capital Code Schedules'!A$15:F$300,3,FALSE),0))</f>
        <v>0</v>
      </c>
      <c r="K566" s="123">
        <v>0</v>
      </c>
      <c r="L566" s="123">
        <f>VLOOKUP(LEFT(A566,10),'Streetlight Tariff Schedule'!B$11:H$260,7, FALSE)+I566</f>
        <v>74.656705794669278</v>
      </c>
      <c r="M566" s="161">
        <f t="shared" si="89"/>
        <v>74.656705794669278</v>
      </c>
      <c r="N566" s="405">
        <f t="shared" si="90"/>
        <v>77.767547885520926</v>
      </c>
      <c r="O566" s="405">
        <v>44.615507911079519</v>
      </c>
      <c r="P566" s="406">
        <v>44.615507911079519</v>
      </c>
      <c r="Q566" s="406">
        <v>46.798940108895906</v>
      </c>
      <c r="R566" s="406">
        <v>46.798940108895906</v>
      </c>
      <c r="S566" s="405">
        <f t="shared" si="91"/>
        <v>81.573403202396221</v>
      </c>
      <c r="T566" s="406">
        <v>48.721028039374332</v>
      </c>
      <c r="U566" s="406">
        <v>48.899020140681145</v>
      </c>
      <c r="V566" s="405">
        <f t="shared" si="92"/>
        <v>85.23397061677565</v>
      </c>
      <c r="W566" s="406">
        <v>50.49460534793792</v>
      </c>
      <c r="X566" s="406">
        <v>51.131588938919677</v>
      </c>
      <c r="Y566" s="405">
        <f t="shared" si="93"/>
        <v>89.125474021169666</v>
      </c>
      <c r="Z566" s="406">
        <v>51.953172786693862</v>
      </c>
      <c r="AA566" s="406">
        <v>52.801072683921767</v>
      </c>
      <c r="AB566" s="442">
        <f t="shared" si="94"/>
        <v>91.060097647941632</v>
      </c>
      <c r="AC566" s="438">
        <f t="shared" si="95"/>
        <v>93.782709085080441</v>
      </c>
      <c r="AD566" s="410"/>
      <c r="AE566" s="411"/>
      <c r="AF566" s="411"/>
      <c r="AG566" s="411"/>
    </row>
    <row r="567" spans="1:33" x14ac:dyDescent="0.2">
      <c r="A567" s="36" t="s">
        <v>484</v>
      </c>
      <c r="B567" s="18" t="str">
        <f>VLOOKUP(LEFT(A567,7),'Tariff Schedule Lookup Table'!$A$8:$G$186,2,FALSE)</f>
        <v>High Pressure Sodium 150</v>
      </c>
      <c r="C567" s="160">
        <f t="shared" si="96"/>
        <v>720</v>
      </c>
      <c r="D567" s="18">
        <f t="shared" si="97"/>
        <v>1</v>
      </c>
      <c r="E567" s="18" t="str">
        <f>VLOOKUP(C567,'Tariff Schedule Lookup Table'!I$7:L$286,2,FALSE)</f>
        <v>HIGH PRESSURE SODIUM 150W</v>
      </c>
      <c r="F567" s="18" t="str">
        <f>IF(E567 = "BULKHEADS ETC", "SHARED OR NO POLE", VLOOKUP(C567,'Tariff Schedule Lookup Table'!I$7:L$286,3,FALSE))</f>
        <v>STEEL POLE</v>
      </c>
      <c r="G567" s="18">
        <f>IF(E567 = "NO CAPITAL", 1, VLOOKUP(C567,'Tariff Schedule Lookup Table'!I$7:L$286,4,FALSE))</f>
        <v>4</v>
      </c>
      <c r="H567" s="18" t="str">
        <f t="shared" si="88"/>
        <v>1-Unmetered, CE Funded, CE Maintained</v>
      </c>
      <c r="I567" s="123">
        <f>VLOOKUP(F567,'Maintenance Model'!$A$57:$B$61,2,FALSE)</f>
        <v>9.9616182311111103</v>
      </c>
      <c r="J567" s="123">
        <f>IF(D567=1,VLOOKUP(C567,'Capital Code Schedules'!A$15:F$300,2,FALSE),IF(D567=2,VLOOKUP(C567,'Capital Code Schedules'!A$15:F$300,3,FALSE),0))</f>
        <v>130.00997618165832</v>
      </c>
      <c r="K567" s="123">
        <v>164.91385550207639</v>
      </c>
      <c r="L567" s="123">
        <f>VLOOKUP(LEFT(A567,10),'Streetlight Tariff Schedule'!B$11:H$260,7, FALSE)+I567</f>
        <v>74.656705794669278</v>
      </c>
      <c r="M567" s="161">
        <f t="shared" si="89"/>
        <v>239.57056129674567</v>
      </c>
      <c r="N567" s="405">
        <f t="shared" si="90"/>
        <v>210.99527097767529</v>
      </c>
      <c r="O567" s="405">
        <v>221.09252814663662</v>
      </c>
      <c r="P567" s="406">
        <v>213.61098133683231</v>
      </c>
      <c r="Q567" s="406">
        <v>219.97705150193607</v>
      </c>
      <c r="R567" s="406">
        <v>227.64376659528304</v>
      </c>
      <c r="S567" s="405">
        <f t="shared" si="91"/>
        <v>218.0985124410814</v>
      </c>
      <c r="T567" s="406">
        <v>226.18529768939223</v>
      </c>
      <c r="U567" s="406">
        <v>234.89792418193031</v>
      </c>
      <c r="V567" s="405">
        <f t="shared" si="92"/>
        <v>225.65004546876335</v>
      </c>
      <c r="W567" s="406">
        <v>232.35111567179376</v>
      </c>
      <c r="X567" s="406">
        <v>243.43585582716716</v>
      </c>
      <c r="Y567" s="405">
        <f t="shared" si="93"/>
        <v>234.30165381063978</v>
      </c>
      <c r="Z567" s="406">
        <v>238.31063174106512</v>
      </c>
      <c r="AA567" s="406">
        <v>250.58601117848434</v>
      </c>
      <c r="AB567" s="442">
        <f t="shared" si="94"/>
        <v>238.79137820170641</v>
      </c>
      <c r="AC567" s="438">
        <f t="shared" si="95"/>
        <v>245.81296990295976</v>
      </c>
      <c r="AD567" s="410"/>
      <c r="AE567" s="411"/>
      <c r="AF567" s="411"/>
      <c r="AG567" s="411"/>
    </row>
    <row r="568" spans="1:33" x14ac:dyDescent="0.2">
      <c r="A568" s="36" t="s">
        <v>485</v>
      </c>
      <c r="B568" s="18" t="str">
        <f>VLOOKUP(LEFT(A568,7),'Tariff Schedule Lookup Table'!$A$8:$G$186,2,FALSE)</f>
        <v>High Pressure Sodium 150</v>
      </c>
      <c r="C568" s="160">
        <f>1*MID(A568,12,4)</f>
        <v>720</v>
      </c>
      <c r="D568" s="18">
        <f>1*(MID(A568,17,3))</f>
        <v>2</v>
      </c>
      <c r="E568" s="18" t="str">
        <f>VLOOKUP(C568,'Tariff Schedule Lookup Table'!I$7:L$286,2,FALSE)</f>
        <v>HIGH PRESSURE SODIUM 150W</v>
      </c>
      <c r="F568" s="18" t="str">
        <f>IF(E568 = "BULKHEADS ETC", "SHARED OR NO POLE", VLOOKUP(C568,'Tariff Schedule Lookup Table'!I$7:L$286,3,FALSE))</f>
        <v>STEEL POLE</v>
      </c>
      <c r="G568" s="18">
        <f>IF(E568 = "NO CAPITAL", 1, VLOOKUP(C568,'Tariff Schedule Lookup Table'!I$7:L$286,4,FALSE))</f>
        <v>4</v>
      </c>
      <c r="H568" s="18" t="str">
        <f t="shared" si="88"/>
        <v>2-Unmetered, Funded by Others, CE Maintained</v>
      </c>
      <c r="I568" s="123">
        <f>VLOOKUP(F568,'Maintenance Model'!$A$57:$B$61,2,FALSE)</f>
        <v>9.9616182311111103</v>
      </c>
      <c r="J568" s="123">
        <f>IF(D568=1,VLOOKUP(C568,'Capital Code Schedules'!A$15:F$300,2,FALSE),IF(D568=2,VLOOKUP(C568,'Capital Code Schedules'!A$15:F$300,3,FALSE),0))</f>
        <v>0</v>
      </c>
      <c r="K568" s="123">
        <v>0</v>
      </c>
      <c r="L568" s="123">
        <f>VLOOKUP(LEFT(A568,10),'Streetlight Tariff Schedule'!B$11:H$260,7, FALSE)+I568</f>
        <v>74.656705794669278</v>
      </c>
      <c r="M568" s="161">
        <f t="shared" si="89"/>
        <v>74.656705794669278</v>
      </c>
      <c r="N568" s="405">
        <f t="shared" si="90"/>
        <v>77.767547885520926</v>
      </c>
      <c r="O568" s="405">
        <v>44.615507911079519</v>
      </c>
      <c r="P568" s="406">
        <v>44.615507911079519</v>
      </c>
      <c r="Q568" s="406">
        <v>46.798940108895906</v>
      </c>
      <c r="R568" s="406">
        <v>46.798940108895906</v>
      </c>
      <c r="S568" s="405">
        <f t="shared" si="91"/>
        <v>81.573403202396221</v>
      </c>
      <c r="T568" s="406">
        <v>48.721028039374332</v>
      </c>
      <c r="U568" s="406">
        <v>48.899020140681145</v>
      </c>
      <c r="V568" s="405">
        <f t="shared" si="92"/>
        <v>85.23397061677565</v>
      </c>
      <c r="W568" s="406">
        <v>50.49460534793792</v>
      </c>
      <c r="X568" s="406">
        <v>51.131588938919677</v>
      </c>
      <c r="Y568" s="405">
        <f t="shared" si="93"/>
        <v>89.125474021169666</v>
      </c>
      <c r="Z568" s="406">
        <v>51.953172786693862</v>
      </c>
      <c r="AA568" s="406">
        <v>52.801072683921767</v>
      </c>
      <c r="AB568" s="442">
        <f t="shared" si="94"/>
        <v>91.060097647941632</v>
      </c>
      <c r="AC568" s="438">
        <f t="shared" si="95"/>
        <v>93.782709085080441</v>
      </c>
      <c r="AD568" s="410"/>
      <c r="AE568" s="411"/>
      <c r="AF568" s="411"/>
      <c r="AG568" s="411"/>
    </row>
    <row r="569" spans="1:33" x14ac:dyDescent="0.2">
      <c r="A569" s="36" t="s">
        <v>486</v>
      </c>
      <c r="B569" s="18" t="str">
        <f>VLOOKUP(LEFT(A569,7),'Tariff Schedule Lookup Table'!$A$8:$G$186,2,FALSE)</f>
        <v>High Pressure Sodium 150</v>
      </c>
      <c r="C569" s="160">
        <f t="shared" ref="C569:C621" si="98">1*MID(A569,12,4)</f>
        <v>980</v>
      </c>
      <c r="D569" s="18">
        <f t="shared" ref="D569:D621" si="99">1*(MID(A569,17,3))</f>
        <v>2</v>
      </c>
      <c r="E569" s="18" t="str">
        <f>VLOOKUP(C569,'Tariff Schedule Lookup Table'!I$7:L$286,2,FALSE)</f>
        <v>HIGH PRESSURE SODIUM 150W</v>
      </c>
      <c r="F569" s="18" t="str">
        <f>IF(E569 = "BULKHEADS ETC", "SHARED OR NO POLE", VLOOKUP(C569,'Tariff Schedule Lookup Table'!I$7:L$286,3,FALSE))</f>
        <v>WOOD POLE</v>
      </c>
      <c r="G569" s="18">
        <f>IF(E569 = "NO CAPITAL", 1, VLOOKUP(C569,'Tariff Schedule Lookup Table'!I$7:L$286,4,FALSE))</f>
        <v>2</v>
      </c>
      <c r="H569" s="18" t="str">
        <f t="shared" si="88"/>
        <v>2-Unmetered, Funded by Others, CE Maintained</v>
      </c>
      <c r="I569" s="123">
        <f>VLOOKUP(F569,'Maintenance Model'!$A$57:$B$61,2,FALSE)</f>
        <v>10.731618231111112</v>
      </c>
      <c r="J569" s="123">
        <f>IF(D569=1,VLOOKUP(C569,'Capital Code Schedules'!A$15:F$300,2,FALSE),IF(D569=2,VLOOKUP(C569,'Capital Code Schedules'!A$15:F$300,3,FALSE),0))</f>
        <v>0</v>
      </c>
      <c r="K569" s="123">
        <v>0</v>
      </c>
      <c r="L569" s="123">
        <f>VLOOKUP(LEFT(A569,10),'Streetlight Tariff Schedule'!B$11:H$260,7, FALSE)+I569</f>
        <v>75.426705794669274</v>
      </c>
      <c r="M569" s="161">
        <f t="shared" si="89"/>
        <v>75.426705794669274</v>
      </c>
      <c r="N569" s="405">
        <f t="shared" si="90"/>
        <v>78.569632724845917</v>
      </c>
      <c r="O569" s="405">
        <v>45.417592750404523</v>
      </c>
      <c r="P569" s="406">
        <v>45.417592750404523</v>
      </c>
      <c r="Q569" s="406">
        <v>47.640278067720359</v>
      </c>
      <c r="R569" s="406">
        <v>47.640278067720359</v>
      </c>
      <c r="S569" s="405">
        <f t="shared" si="91"/>
        <v>82.414741161220675</v>
      </c>
      <c r="T569" s="406">
        <v>49.596920745215442</v>
      </c>
      <c r="U569" s="406">
        <v>49.778112737606357</v>
      </c>
      <c r="V569" s="405">
        <f t="shared" si="92"/>
        <v>86.113063213700855</v>
      </c>
      <c r="W569" s="406">
        <v>51.40238291931513</v>
      </c>
      <c r="X569" s="406">
        <v>52.050818019091615</v>
      </c>
      <c r="Y569" s="405">
        <f t="shared" si="93"/>
        <v>90.044703101341597</v>
      </c>
      <c r="Z569" s="406">
        <v>52.887172066273756</v>
      </c>
      <c r="AA569" s="406">
        <v>53.750315265319209</v>
      </c>
      <c r="AB569" s="442">
        <f t="shared" si="94"/>
        <v>91.999280196147794</v>
      </c>
      <c r="AC569" s="438">
        <f t="shared" si="95"/>
        <v>94.7499723098217</v>
      </c>
      <c r="AD569" s="410"/>
      <c r="AE569" s="411"/>
      <c r="AF569" s="411"/>
      <c r="AG569" s="411"/>
    </row>
    <row r="570" spans="1:33" x14ac:dyDescent="0.2">
      <c r="A570" s="36" t="s">
        <v>487</v>
      </c>
      <c r="B570" s="18" t="str">
        <f>VLOOKUP(LEFT(A570,7),'Tariff Schedule Lookup Table'!$A$8:$G$186,2,FALSE)</f>
        <v>High Pressure Sodium 150</v>
      </c>
      <c r="C570" s="160">
        <f t="shared" si="98"/>
        <v>1010</v>
      </c>
      <c r="D570" s="18">
        <f t="shared" si="99"/>
        <v>1</v>
      </c>
      <c r="E570" s="18" t="str">
        <f>VLOOKUP(C570,'Tariff Schedule Lookup Table'!I$7:L$286,2,FALSE)</f>
        <v>HIGH PRESSURE SODIUM 150W</v>
      </c>
      <c r="F570" s="18" t="str">
        <f>IF(E570 = "BULKHEADS ETC", "SHARED OR NO POLE", VLOOKUP(C570,'Tariff Schedule Lookup Table'!I$7:L$286,3,FALSE))</f>
        <v>SHARED OR NO POLE</v>
      </c>
      <c r="G570" s="18">
        <f>IF(E570 = "NO CAPITAL", 1, VLOOKUP(C570,'Tariff Schedule Lookup Table'!I$7:L$286,4,FALSE))</f>
        <v>2</v>
      </c>
      <c r="H570" s="18" t="str">
        <f t="shared" si="88"/>
        <v>1-Unmetered, CE Funded, CE Maintained</v>
      </c>
      <c r="I570" s="123">
        <f>VLOOKUP(F570,'Maintenance Model'!$A$57:$B$61,2,FALSE)</f>
        <v>0</v>
      </c>
      <c r="J570" s="123">
        <f>IF(D570=1,VLOOKUP(C570,'Capital Code Schedules'!A$15:F$300,2,FALSE),IF(D570=2,VLOOKUP(C570,'Capital Code Schedules'!A$15:F$300,3,FALSE),0))</f>
        <v>44.61505821420414</v>
      </c>
      <c r="K570" s="123">
        <v>56.592897557902937</v>
      </c>
      <c r="L570" s="123">
        <f>VLOOKUP(LEFT(A570,10),'Streetlight Tariff Schedule'!B$11:H$260,7, FALSE)+I570</f>
        <v>64.695087563558161</v>
      </c>
      <c r="M570" s="161">
        <f t="shared" si="89"/>
        <v>121.28798512146111</v>
      </c>
      <c r="N570" s="405">
        <f t="shared" si="90"/>
        <v>113.1101236498542</v>
      </c>
      <c r="O570" s="405">
        <v>95.582380089340447</v>
      </c>
      <c r="P570" s="406">
        <v>93.0149644474414</v>
      </c>
      <c r="Q570" s="406">
        <v>96.164212462258448</v>
      </c>
      <c r="R570" s="406">
        <v>98.795171641294488</v>
      </c>
      <c r="S570" s="405">
        <f t="shared" si="91"/>
        <v>117.53970702518843</v>
      </c>
      <c r="T570" s="406">
        <v>99.143840347294329</v>
      </c>
      <c r="U570" s="406">
        <v>102.21235697960418</v>
      </c>
      <c r="V570" s="405">
        <f t="shared" si="92"/>
        <v>122.04708514259191</v>
      </c>
      <c r="W570" s="406">
        <v>102.04329724593805</v>
      </c>
      <c r="X570" s="406">
        <v>106.12862316387137</v>
      </c>
      <c r="Y570" s="405">
        <f t="shared" si="93"/>
        <v>127.05284435388529</v>
      </c>
      <c r="Z570" s="406">
        <v>104.73278889228672</v>
      </c>
      <c r="AA570" s="406">
        <v>109.31988371804808</v>
      </c>
      <c r="AB570" s="442">
        <f t="shared" si="94"/>
        <v>129.606151426222</v>
      </c>
      <c r="AC570" s="438">
        <f t="shared" si="95"/>
        <v>133.44074414561703</v>
      </c>
      <c r="AD570" s="410"/>
      <c r="AE570" s="411"/>
      <c r="AF570" s="411"/>
      <c r="AG570" s="411"/>
    </row>
    <row r="571" spans="1:33" x14ac:dyDescent="0.2">
      <c r="A571" s="36" t="s">
        <v>488</v>
      </c>
      <c r="B571" s="18" t="str">
        <f>VLOOKUP(LEFT(A571,7),'Tariff Schedule Lookup Table'!$A$8:$G$186,2,FALSE)</f>
        <v>High Pressure Sodium 150</v>
      </c>
      <c r="C571" s="160">
        <f t="shared" si="98"/>
        <v>1010</v>
      </c>
      <c r="D571" s="18">
        <f t="shared" si="99"/>
        <v>2</v>
      </c>
      <c r="E571" s="18" t="str">
        <f>VLOOKUP(C571,'Tariff Schedule Lookup Table'!I$7:L$286,2,FALSE)</f>
        <v>HIGH PRESSURE SODIUM 150W</v>
      </c>
      <c r="F571" s="18" t="str">
        <f>IF(E571 = "BULKHEADS ETC", "SHARED OR NO POLE", VLOOKUP(C571,'Tariff Schedule Lookup Table'!I$7:L$286,3,FALSE))</f>
        <v>SHARED OR NO POLE</v>
      </c>
      <c r="G571" s="18">
        <f>IF(E571 = "NO CAPITAL", 1, VLOOKUP(C571,'Tariff Schedule Lookup Table'!I$7:L$286,4,FALSE))</f>
        <v>2</v>
      </c>
      <c r="H571" s="18" t="str">
        <f t="shared" si="88"/>
        <v>2-Unmetered, Funded by Others, CE Maintained</v>
      </c>
      <c r="I571" s="123">
        <f>VLOOKUP(F571,'Maintenance Model'!$A$57:$B$61,2,FALSE)</f>
        <v>0</v>
      </c>
      <c r="J571" s="123">
        <f>IF(D571=1,VLOOKUP(C571,'Capital Code Schedules'!A$15:F$300,2,FALSE),IF(D571=2,VLOOKUP(C571,'Capital Code Schedules'!A$15:F$300,3,FALSE),0))</f>
        <v>0</v>
      </c>
      <c r="K571" s="123">
        <v>0</v>
      </c>
      <c r="L571" s="123">
        <f>VLOOKUP(LEFT(A571,10),'Streetlight Tariff Schedule'!B$11:H$260,7, FALSE)+I571</f>
        <v>64.695087563558161</v>
      </c>
      <c r="M571" s="161">
        <f t="shared" si="89"/>
        <v>64.695087563558161</v>
      </c>
      <c r="N571" s="405">
        <f t="shared" si="90"/>
        <v>67.390842744848513</v>
      </c>
      <c r="O571" s="405">
        <v>35.021392674980348</v>
      </c>
      <c r="P571" s="406">
        <v>35.021392674980348</v>
      </c>
      <c r="Q571" s="406">
        <v>36.735299788428989</v>
      </c>
      <c r="R571" s="406">
        <v>36.735299788428989</v>
      </c>
      <c r="S571" s="405">
        <f t="shared" si="91"/>
        <v>70.688873917783852</v>
      </c>
      <c r="T571" s="406">
        <v>38.244062084787579</v>
      </c>
      <c r="U571" s="406">
        <v>38.383778778932012</v>
      </c>
      <c r="V571" s="405">
        <f t="shared" si="92"/>
        <v>73.861003291626304</v>
      </c>
      <c r="W571" s="406">
        <v>39.636249471434269</v>
      </c>
      <c r="X571" s="406">
        <v>40.13625616219641</v>
      </c>
      <c r="Y571" s="405">
        <f t="shared" si="93"/>
        <v>77.233254328171938</v>
      </c>
      <c r="Z571" s="406">
        <v>40.781166685363978</v>
      </c>
      <c r="AA571" s="406">
        <v>41.446734256825373</v>
      </c>
      <c r="AB571" s="442">
        <f t="shared" si="94"/>
        <v>78.909736616056094</v>
      </c>
      <c r="AC571" s="438">
        <f t="shared" si="95"/>
        <v>81.269063664475311</v>
      </c>
      <c r="AD571" s="410"/>
      <c r="AE571" s="411"/>
      <c r="AF571" s="411"/>
      <c r="AG571" s="411"/>
    </row>
    <row r="572" spans="1:33" x14ac:dyDescent="0.2">
      <c r="A572" s="36" t="s">
        <v>489</v>
      </c>
      <c r="B572" s="18" t="str">
        <f>VLOOKUP(LEFT(A572,7),'Tariff Schedule Lookup Table'!$A$8:$G$186,2,FALSE)</f>
        <v>High Pressure Sodium 150</v>
      </c>
      <c r="C572" s="160">
        <f t="shared" si="98"/>
        <v>1360</v>
      </c>
      <c r="D572" s="18">
        <f t="shared" si="99"/>
        <v>2</v>
      </c>
      <c r="E572" s="18" t="str">
        <f>VLOOKUP(C572,'Tariff Schedule Lookup Table'!I$7:L$286,2,FALSE)</f>
        <v>HIGH PRESSURE SODIUM 150W</v>
      </c>
      <c r="F572" s="18" t="str">
        <f>IF(E572 = "BULKHEADS ETC", "SHARED OR NO POLE", VLOOKUP(C572,'Tariff Schedule Lookup Table'!I$7:L$286,3,FALSE))</f>
        <v>R/BOUT COLUMN</v>
      </c>
      <c r="G572" s="18">
        <f>IF(E572 = "NO CAPITAL", 1, VLOOKUP(C572,'Tariff Schedule Lookup Table'!I$7:L$286,4,FALSE))</f>
        <v>3</v>
      </c>
      <c r="H572" s="18" t="str">
        <f t="shared" si="88"/>
        <v>2-Unmetered, Funded by Others, CE Maintained</v>
      </c>
      <c r="I572" s="123">
        <f>VLOOKUP(F572,'Maintenance Model'!$A$57:$B$61,2,FALSE)</f>
        <v>9.9616182311111103</v>
      </c>
      <c r="J572" s="123">
        <f>IF(D572=1,VLOOKUP(C572,'Capital Code Schedules'!A$15:F$300,2,FALSE),IF(D572=2,VLOOKUP(C572,'Capital Code Schedules'!A$15:F$300,3,FALSE),0))</f>
        <v>0</v>
      </c>
      <c r="K572" s="123">
        <v>0</v>
      </c>
      <c r="L572" s="123">
        <f>VLOOKUP(LEFT(A572,10),'Streetlight Tariff Schedule'!B$11:H$260,7, FALSE)+I572</f>
        <v>74.656705794669278</v>
      </c>
      <c r="M572" s="161">
        <f t="shared" si="89"/>
        <v>74.656705794669278</v>
      </c>
      <c r="N572" s="405">
        <f t="shared" si="90"/>
        <v>77.767547885520926</v>
      </c>
      <c r="O572" s="405">
        <v>44.615507911079519</v>
      </c>
      <c r="P572" s="406">
        <v>44.615507911079519</v>
      </c>
      <c r="Q572" s="406">
        <v>46.798940108895906</v>
      </c>
      <c r="R572" s="406">
        <v>46.798940108895906</v>
      </c>
      <c r="S572" s="405">
        <f t="shared" si="91"/>
        <v>81.573403202396221</v>
      </c>
      <c r="T572" s="406">
        <v>48.721028039374332</v>
      </c>
      <c r="U572" s="406">
        <v>48.899020140681145</v>
      </c>
      <c r="V572" s="405">
        <f t="shared" si="92"/>
        <v>85.23397061677565</v>
      </c>
      <c r="W572" s="406">
        <v>50.49460534793792</v>
      </c>
      <c r="X572" s="406">
        <v>51.131588938919677</v>
      </c>
      <c r="Y572" s="405">
        <f t="shared" si="93"/>
        <v>89.125474021169666</v>
      </c>
      <c r="Z572" s="406">
        <v>51.953172786693862</v>
      </c>
      <c r="AA572" s="406">
        <v>52.801072683921767</v>
      </c>
      <c r="AB572" s="442">
        <f t="shared" si="94"/>
        <v>91.060097647941632</v>
      </c>
      <c r="AC572" s="438">
        <f t="shared" si="95"/>
        <v>93.782709085080441</v>
      </c>
      <c r="AD572" s="410"/>
      <c r="AE572" s="411"/>
      <c r="AF572" s="411"/>
      <c r="AG572" s="411"/>
    </row>
    <row r="573" spans="1:33" x14ac:dyDescent="0.2">
      <c r="A573" s="36" t="s">
        <v>490</v>
      </c>
      <c r="B573" s="18" t="str">
        <f>VLOOKUP(LEFT(A573,7),'Tariff Schedule Lookup Table'!$A$8:$G$186,2,FALSE)</f>
        <v>High Pressure Sodium 150</v>
      </c>
      <c r="C573" s="160">
        <f t="shared" si="98"/>
        <v>50</v>
      </c>
      <c r="D573" s="18">
        <f t="shared" si="99"/>
        <v>1</v>
      </c>
      <c r="E573" s="18" t="str">
        <f>VLOOKUP(C573,'Tariff Schedule Lookup Table'!I$7:L$286,2,FALSE)</f>
        <v>HIGH PRESSURE SODIUM 150W</v>
      </c>
      <c r="F573" s="18" t="str">
        <f>IF(E573 = "BULKHEADS ETC", "SHARED OR NO POLE", VLOOKUP(C573,'Tariff Schedule Lookup Table'!I$7:L$286,3,FALSE))</f>
        <v>SHARED OR NO POLE</v>
      </c>
      <c r="G573" s="18">
        <f>IF(E573 = "NO CAPITAL", 1, VLOOKUP(C573,'Tariff Schedule Lookup Table'!I$7:L$286,4,FALSE))</f>
        <v>1</v>
      </c>
      <c r="H573" s="18" t="str">
        <f t="shared" si="88"/>
        <v>1-Unmetered, CE Funded, CE Maintained</v>
      </c>
      <c r="I573" s="123">
        <f>VLOOKUP(F573,'Maintenance Model'!$A$57:$B$61,2,FALSE)</f>
        <v>0</v>
      </c>
      <c r="J573" s="123">
        <f>IF(D573=1,VLOOKUP(C573,'Capital Code Schedules'!A$15:F$300,2,FALSE),IF(D573=2,VLOOKUP(C573,'Capital Code Schedules'!A$15:F$300,3,FALSE),0))</f>
        <v>32.009790998230237</v>
      </c>
      <c r="K573" s="123">
        <v>40.603484458437606</v>
      </c>
      <c r="L573" s="123">
        <f>VLOOKUP(LEFT(A573,10),'Streetlight Tariff Schedule'!B$11:H$260,7, FALSE)+I573</f>
        <v>70.91040576798855</v>
      </c>
      <c r="M573" s="161">
        <f t="shared" si="89"/>
        <v>111.51389022642616</v>
      </c>
      <c r="N573" s="405">
        <f t="shared" si="90"/>
        <v>106.66717802269314</v>
      </c>
      <c r="O573" s="405">
        <v>81.494085279449109</v>
      </c>
      <c r="P573" s="406">
        <v>79.652051638963769</v>
      </c>
      <c r="Q573" s="406">
        <v>82.543672066986133</v>
      </c>
      <c r="R573" s="406">
        <v>84.431296040073491</v>
      </c>
      <c r="S573" s="405">
        <f t="shared" si="91"/>
        <v>111.09390449212869</v>
      </c>
      <c r="T573" s="406">
        <v>85.237932070586453</v>
      </c>
      <c r="U573" s="406">
        <v>87.491020500368563</v>
      </c>
      <c r="V573" s="405">
        <f t="shared" si="92"/>
        <v>115.52877901687221</v>
      </c>
      <c r="W573" s="406">
        <v>87.83167568922623</v>
      </c>
      <c r="X573" s="406">
        <v>90.947176353848448</v>
      </c>
      <c r="Y573" s="405">
        <f t="shared" si="93"/>
        <v>120.3969921069863</v>
      </c>
      <c r="Z573" s="406">
        <v>90.183575496316735</v>
      </c>
      <c r="AA573" s="406">
        <v>93.720142291280268</v>
      </c>
      <c r="AB573" s="442">
        <f t="shared" si="94"/>
        <v>122.86362767505086</v>
      </c>
      <c r="AC573" s="438">
        <f t="shared" si="95"/>
        <v>126.50807058307532</v>
      </c>
      <c r="AD573" s="410"/>
      <c r="AE573" s="411"/>
      <c r="AF573" s="411"/>
      <c r="AG573" s="411"/>
    </row>
    <row r="574" spans="1:33" x14ac:dyDescent="0.2">
      <c r="A574" s="36" t="s">
        <v>491</v>
      </c>
      <c r="B574" s="18" t="str">
        <f>VLOOKUP(LEFT(A574,7),'Tariff Schedule Lookup Table'!$A$8:$G$186,2,FALSE)</f>
        <v>High Pressure Sodium 150</v>
      </c>
      <c r="C574" s="160">
        <f t="shared" si="98"/>
        <v>50</v>
      </c>
      <c r="D574" s="18">
        <f t="shared" si="99"/>
        <v>2</v>
      </c>
      <c r="E574" s="18" t="str">
        <f>VLOOKUP(C574,'Tariff Schedule Lookup Table'!I$7:L$286,2,FALSE)</f>
        <v>HIGH PRESSURE SODIUM 150W</v>
      </c>
      <c r="F574" s="18" t="str">
        <f>IF(E574 = "BULKHEADS ETC", "SHARED OR NO POLE", VLOOKUP(C574,'Tariff Schedule Lookup Table'!I$7:L$286,3,FALSE))</f>
        <v>SHARED OR NO POLE</v>
      </c>
      <c r="G574" s="18">
        <f>IF(E574 = "NO CAPITAL", 1, VLOOKUP(C574,'Tariff Schedule Lookup Table'!I$7:L$286,4,FALSE))</f>
        <v>1</v>
      </c>
      <c r="H574" s="18" t="str">
        <f t="shared" si="88"/>
        <v>2-Unmetered, Funded by Others, CE Maintained</v>
      </c>
      <c r="I574" s="123">
        <f>VLOOKUP(F574,'Maintenance Model'!$A$57:$B$61,2,FALSE)</f>
        <v>0</v>
      </c>
      <c r="J574" s="123">
        <f>IF(D574=1,VLOOKUP(C574,'Capital Code Schedules'!A$15:F$300,2,FALSE),IF(D574=2,VLOOKUP(C574,'Capital Code Schedules'!A$15:F$300,3,FALSE),0))</f>
        <v>0</v>
      </c>
      <c r="K574" s="123">
        <v>0</v>
      </c>
      <c r="L574" s="123">
        <f>VLOOKUP(LEFT(A574,10),'Streetlight Tariff Schedule'!B$11:H$260,7, FALSE)+I574</f>
        <v>70.91040576798855</v>
      </c>
      <c r="M574" s="161">
        <f t="shared" si="89"/>
        <v>70.91040576798855</v>
      </c>
      <c r="N574" s="405">
        <f t="shared" si="90"/>
        <v>73.865144697256682</v>
      </c>
      <c r="O574" s="405">
        <v>38.04363094017981</v>
      </c>
      <c r="P574" s="406">
        <v>38.04363094017981</v>
      </c>
      <c r="Q574" s="406">
        <v>39.905442955907297</v>
      </c>
      <c r="R574" s="406">
        <v>39.905442955907297</v>
      </c>
      <c r="S574" s="405">
        <f t="shared" si="91"/>
        <v>77.480020841887693</v>
      </c>
      <c r="T574" s="406">
        <v>41.544406789008391</v>
      </c>
      <c r="U574" s="406">
        <v>41.696180603303624</v>
      </c>
      <c r="V574" s="405">
        <f t="shared" si="92"/>
        <v>80.956899682599342</v>
      </c>
      <c r="W574" s="406">
        <v>43.056735656929114</v>
      </c>
      <c r="X574" s="406">
        <v>43.599891384273015</v>
      </c>
      <c r="Y574" s="405">
        <f t="shared" si="93"/>
        <v>84.65312606328159</v>
      </c>
      <c r="Z574" s="406">
        <v>44.300455698220283</v>
      </c>
      <c r="AA574" s="406">
        <v>45.023459700071939</v>
      </c>
      <c r="AB574" s="442">
        <f t="shared" si="94"/>
        <v>86.490669588976942</v>
      </c>
      <c r="AC574" s="438">
        <f t="shared" si="95"/>
        <v>89.076659416696657</v>
      </c>
      <c r="AD574" s="410"/>
      <c r="AE574" s="411"/>
      <c r="AF574" s="411"/>
      <c r="AG574" s="411"/>
    </row>
    <row r="575" spans="1:33" x14ac:dyDescent="0.2">
      <c r="A575" s="36" t="s">
        <v>492</v>
      </c>
      <c r="B575" s="18" t="str">
        <f>VLOOKUP(LEFT(A575,7),'Tariff Schedule Lookup Table'!$A$8:$G$186,2,FALSE)</f>
        <v>High Pressure Sodium 150</v>
      </c>
      <c r="C575" s="160">
        <f t="shared" si="98"/>
        <v>220</v>
      </c>
      <c r="D575" s="18">
        <f t="shared" si="99"/>
        <v>1</v>
      </c>
      <c r="E575" s="18" t="str">
        <f>VLOOKUP(C575,'Tariff Schedule Lookup Table'!I$7:L$286,2,FALSE)</f>
        <v>HIGH PRESSURE SODIUM 150W</v>
      </c>
      <c r="F575" s="18" t="str">
        <f>IF(E575 = "BULKHEADS ETC", "SHARED OR NO POLE", VLOOKUP(C575,'Tariff Schedule Lookup Table'!I$7:L$286,3,FALSE))</f>
        <v>WOOD POLE</v>
      </c>
      <c r="G575" s="18">
        <f>IF(E575 = "NO CAPITAL", 1, VLOOKUP(C575,'Tariff Schedule Lookup Table'!I$7:L$286,4,FALSE))</f>
        <v>1</v>
      </c>
      <c r="H575" s="18" t="str">
        <f t="shared" si="88"/>
        <v>1-Unmetered, CE Funded, CE Maintained</v>
      </c>
      <c r="I575" s="123">
        <f>VLOOKUP(F575,'Maintenance Model'!$A$57:$B$61,2,FALSE)</f>
        <v>10.731618231111112</v>
      </c>
      <c r="J575" s="123">
        <f>IF(D575=1,VLOOKUP(C575,'Capital Code Schedules'!A$15:F$300,2,FALSE),IF(D575=2,VLOOKUP(C575,'Capital Code Schedules'!A$15:F$300,3,FALSE),0))</f>
        <v>65.91090936010653</v>
      </c>
      <c r="K575" s="123">
        <v>83.606062407359644</v>
      </c>
      <c r="L575" s="123">
        <f>VLOOKUP(LEFT(A575,10),'Streetlight Tariff Schedule'!B$11:H$260,7, FALSE)+I575</f>
        <v>81.642023999099663</v>
      </c>
      <c r="M575" s="161">
        <f t="shared" si="89"/>
        <v>165.24808640645932</v>
      </c>
      <c r="N575" s="405">
        <f t="shared" si="90"/>
        <v>152.58613904402324</v>
      </c>
      <c r="O575" s="405">
        <v>137.90804896708525</v>
      </c>
      <c r="P575" s="406">
        <v>134.11514346754578</v>
      </c>
      <c r="Q575" s="406">
        <v>138.60619767032603</v>
      </c>
      <c r="R575" s="406">
        <v>142.4929775809791</v>
      </c>
      <c r="S575" s="405">
        <f t="shared" si="91"/>
        <v>158.41976201017121</v>
      </c>
      <c r="T575" s="406">
        <v>142.86598735133302</v>
      </c>
      <c r="U575" s="406">
        <v>147.38602376361317</v>
      </c>
      <c r="V575" s="405">
        <f t="shared" si="92"/>
        <v>164.39542893637872</v>
      </c>
      <c r="W575" s="406">
        <v>147.0183168737787</v>
      </c>
      <c r="X575" s="406">
        <v>153.00658020473884</v>
      </c>
      <c r="Y575" s="405">
        <f t="shared" si="93"/>
        <v>171.06426547850086</v>
      </c>
      <c r="Z575" s="406">
        <v>150.88374618038074</v>
      </c>
      <c r="AA575" s="406">
        <v>157.59769329059813</v>
      </c>
      <c r="AB575" s="442">
        <f t="shared" si="94"/>
        <v>174.47525836641833</v>
      </c>
      <c r="AC575" s="438">
        <f t="shared" si="95"/>
        <v>179.63205907463563</v>
      </c>
      <c r="AD575" s="410"/>
      <c r="AE575" s="411"/>
      <c r="AF575" s="411"/>
      <c r="AG575" s="411"/>
    </row>
    <row r="576" spans="1:33" x14ac:dyDescent="0.2">
      <c r="A576" s="36" t="s">
        <v>493</v>
      </c>
      <c r="B576" s="18" t="str">
        <f>VLOOKUP(LEFT(A576,7),'Tariff Schedule Lookup Table'!$A$8:$G$186,2,FALSE)</f>
        <v>High Pressure Sodium 150</v>
      </c>
      <c r="C576" s="160">
        <f t="shared" si="98"/>
        <v>310</v>
      </c>
      <c r="D576" s="18">
        <f t="shared" si="99"/>
        <v>1</v>
      </c>
      <c r="E576" s="18" t="str">
        <f>VLOOKUP(C576,'Tariff Schedule Lookup Table'!I$7:L$286,2,FALSE)</f>
        <v>HIGH PRESSURE SODIUM 150W</v>
      </c>
      <c r="F576" s="18" t="str">
        <f>IF(E576 = "BULKHEADS ETC", "SHARED OR NO POLE", VLOOKUP(C576,'Tariff Schedule Lookup Table'!I$7:L$286,3,FALSE))</f>
        <v>STEEL POLE</v>
      </c>
      <c r="G576" s="18">
        <f>IF(E576 = "NO CAPITAL", 1, VLOOKUP(C576,'Tariff Schedule Lookup Table'!I$7:L$286,4,FALSE))</f>
        <v>1</v>
      </c>
      <c r="H576" s="18" t="str">
        <f t="shared" si="88"/>
        <v>1-Unmetered, CE Funded, CE Maintained</v>
      </c>
      <c r="I576" s="123">
        <f>VLOOKUP(F576,'Maintenance Model'!$A$57:$B$61,2,FALSE)</f>
        <v>9.9616182311111103</v>
      </c>
      <c r="J576" s="123">
        <f>IF(D576=1,VLOOKUP(C576,'Capital Code Schedules'!A$15:F$300,2,FALSE),IF(D576=2,VLOOKUP(C576,'Capital Code Schedules'!A$15:F$300,3,FALSE),0))</f>
        <v>92.1941745337366</v>
      </c>
      <c r="K576" s="123">
        <v>116.94561620368043</v>
      </c>
      <c r="L576" s="123">
        <f>VLOOKUP(LEFT(A576,10),'Streetlight Tariff Schedule'!B$11:H$260,7, FALSE)+I576</f>
        <v>80.872023999099667</v>
      </c>
      <c r="M576" s="161">
        <f t="shared" si="89"/>
        <v>197.8176402027801</v>
      </c>
      <c r="N576" s="405">
        <f t="shared" si="90"/>
        <v>178.7178301913757</v>
      </c>
      <c r="O576" s="405">
        <v>172.7831671865637</v>
      </c>
      <c r="P576" s="406">
        <v>167.47776638100052</v>
      </c>
      <c r="Q576" s="406">
        <v>172.77514398116259</v>
      </c>
      <c r="R576" s="406">
        <v>178.21185345666348</v>
      </c>
      <c r="S576" s="405">
        <f t="shared" si="91"/>
        <v>185.17881099369447</v>
      </c>
      <c r="T576" s="406">
        <v>177.86688345082706</v>
      </c>
      <c r="U576" s="406">
        <v>184.10911109548027</v>
      </c>
      <c r="V576" s="405">
        <f t="shared" si="92"/>
        <v>191.90333430965811</v>
      </c>
      <c r="W576" s="406">
        <v>182.87527863066867</v>
      </c>
      <c r="X576" s="406">
        <v>190.96424495294528</v>
      </c>
      <c r="Y576" s="405">
        <f t="shared" si="93"/>
        <v>199.49435359972347</v>
      </c>
      <c r="Z576" s="406">
        <v>187.62441352744264</v>
      </c>
      <c r="AA576" s="406">
        <v>196.63333601168787</v>
      </c>
      <c r="AB576" s="442">
        <f t="shared" si="94"/>
        <v>203.40194100235126</v>
      </c>
      <c r="AC576" s="438">
        <f t="shared" si="95"/>
        <v>209.39975771089189</v>
      </c>
      <c r="AD576" s="410"/>
      <c r="AE576" s="411"/>
      <c r="AF576" s="411"/>
      <c r="AG576" s="411"/>
    </row>
    <row r="577" spans="1:33" x14ac:dyDescent="0.2">
      <c r="A577" s="36" t="s">
        <v>494</v>
      </c>
      <c r="B577" s="18" t="str">
        <f>VLOOKUP(LEFT(A577,7),'Tariff Schedule Lookup Table'!$A$8:$G$186,2,FALSE)</f>
        <v>High Pressure Sodium 220</v>
      </c>
      <c r="C577" s="160">
        <f t="shared" si="98"/>
        <v>60</v>
      </c>
      <c r="D577" s="18">
        <f t="shared" si="99"/>
        <v>1</v>
      </c>
      <c r="E577" s="18" t="str">
        <f>VLOOKUP(C577,'Tariff Schedule Lookup Table'!I$7:L$286,2,FALSE)</f>
        <v>HIGH PRESSURE SODIUM 250W (210/220)</v>
      </c>
      <c r="F577" s="18" t="str">
        <f>IF(E577 = "BULKHEADS ETC", "SHARED OR NO POLE", VLOOKUP(C577,'Tariff Schedule Lookup Table'!I$7:L$286,3,FALSE))</f>
        <v>SHARED OR NO POLE</v>
      </c>
      <c r="G577" s="18">
        <f>IF(E577 = "NO CAPITAL", 1, VLOOKUP(C577,'Tariff Schedule Lookup Table'!I$7:L$286,4,FALSE))</f>
        <v>1</v>
      </c>
      <c r="H577" s="18" t="str">
        <f t="shared" si="88"/>
        <v>1-Unmetered, CE Funded, CE Maintained</v>
      </c>
      <c r="I577" s="123">
        <f>VLOOKUP(F577,'Maintenance Model'!$A$57:$B$61,2,FALSE)</f>
        <v>0</v>
      </c>
      <c r="J577" s="123">
        <f>IF(D577=1,VLOOKUP(C577,'Capital Code Schedules'!A$15:F$300,2,FALSE),IF(D577=2,VLOOKUP(C577,'Capital Code Schedules'!A$15:F$300,3,FALSE),0))</f>
        <v>32.138130136529035</v>
      </c>
      <c r="K577" s="123">
        <v>40.766278904912198</v>
      </c>
      <c r="L577" s="123">
        <f>VLOOKUP(LEFT(A577,10),'Streetlight Tariff Schedule'!B$11:H$260,7, FALSE)+I577</f>
        <v>65.825701074858159</v>
      </c>
      <c r="M577" s="161">
        <f t="shared" si="89"/>
        <v>106.59197997977036</v>
      </c>
      <c r="N577" s="405">
        <f t="shared" si="90"/>
        <v>101.50211622115241</v>
      </c>
      <c r="O577" s="405">
        <v>87.058158008637022</v>
      </c>
      <c r="P577" s="406">
        <v>85.208738971285129</v>
      </c>
      <c r="Q577" s="406">
        <v>88.368262082166183</v>
      </c>
      <c r="R577" s="406">
        <v>90.263454240692539</v>
      </c>
      <c r="S577" s="405">
        <f t="shared" si="91"/>
        <v>105.67288923125244</v>
      </c>
      <c r="T577" s="406">
        <v>91.29895475297721</v>
      </c>
      <c r="U577" s="406">
        <v>93.581970817372735</v>
      </c>
      <c r="V577" s="405">
        <f t="shared" si="92"/>
        <v>109.86229148845365</v>
      </c>
      <c r="W577" s="406">
        <v>94.11129464167341</v>
      </c>
      <c r="X577" s="406">
        <v>97.314060841302236</v>
      </c>
      <c r="Y577" s="405">
        <f t="shared" si="93"/>
        <v>114.47016173610227</v>
      </c>
      <c r="Z577" s="406">
        <v>96.643842646066545</v>
      </c>
      <c r="AA577" s="406">
        <v>100.29412226502522</v>
      </c>
      <c r="AB577" s="442">
        <f t="shared" si="94"/>
        <v>116.80755659041739</v>
      </c>
      <c r="AC577" s="438">
        <f t="shared" si="95"/>
        <v>120.27081212888325</v>
      </c>
      <c r="AD577" s="410"/>
      <c r="AE577" s="411"/>
      <c r="AF577" s="411"/>
      <c r="AG577" s="411"/>
    </row>
    <row r="578" spans="1:33" x14ac:dyDescent="0.2">
      <c r="A578" s="36" t="s">
        <v>495</v>
      </c>
      <c r="B578" s="18" t="str">
        <f>VLOOKUP(LEFT(A578,7),'Tariff Schedule Lookup Table'!$A$8:$G$186,2,FALSE)</f>
        <v>High Pressure Sodium 220</v>
      </c>
      <c r="C578" s="160">
        <f t="shared" si="98"/>
        <v>60</v>
      </c>
      <c r="D578" s="18">
        <f t="shared" si="99"/>
        <v>2</v>
      </c>
      <c r="E578" s="18" t="str">
        <f>VLOOKUP(C578,'Tariff Schedule Lookup Table'!I$7:L$286,2,FALSE)</f>
        <v>HIGH PRESSURE SODIUM 250W (210/220)</v>
      </c>
      <c r="F578" s="18" t="str">
        <f>IF(E578 = "BULKHEADS ETC", "SHARED OR NO POLE", VLOOKUP(C578,'Tariff Schedule Lookup Table'!I$7:L$286,3,FALSE))</f>
        <v>SHARED OR NO POLE</v>
      </c>
      <c r="G578" s="18">
        <f>IF(E578 = "NO CAPITAL", 1, VLOOKUP(C578,'Tariff Schedule Lookup Table'!I$7:L$286,4,FALSE))</f>
        <v>1</v>
      </c>
      <c r="H578" s="18" t="str">
        <f t="shared" si="88"/>
        <v>2-Unmetered, Funded by Others, CE Maintained</v>
      </c>
      <c r="I578" s="123">
        <f>VLOOKUP(F578,'Maintenance Model'!$A$57:$B$61,2,FALSE)</f>
        <v>0</v>
      </c>
      <c r="J578" s="123">
        <f>IF(D578=1,VLOOKUP(C578,'Capital Code Schedules'!A$15:F$300,2,FALSE),IF(D578=2,VLOOKUP(C578,'Capital Code Schedules'!A$15:F$300,3,FALSE),0))</f>
        <v>0</v>
      </c>
      <c r="K578" s="123">
        <v>0</v>
      </c>
      <c r="L578" s="123">
        <f>VLOOKUP(LEFT(A578,10),'Streetlight Tariff Schedule'!B$11:H$260,7, FALSE)+I578</f>
        <v>65.825701074858159</v>
      </c>
      <c r="M578" s="161">
        <f t="shared" si="89"/>
        <v>65.825701074858159</v>
      </c>
      <c r="N578" s="405">
        <f t="shared" si="90"/>
        <v>68.568567363744279</v>
      </c>
      <c r="O578" s="405">
        <v>43.433494663476345</v>
      </c>
      <c r="P578" s="406">
        <v>43.433494663476345</v>
      </c>
      <c r="Q578" s="406">
        <v>45.559080477739151</v>
      </c>
      <c r="R578" s="406">
        <v>45.559080477739151</v>
      </c>
      <c r="S578" s="405">
        <f t="shared" si="91"/>
        <v>71.92423503962344</v>
      </c>
      <c r="T578" s="406">
        <v>47.430245903840586</v>
      </c>
      <c r="U578" s="406">
        <v>47.603522402175159</v>
      </c>
      <c r="V578" s="405">
        <f t="shared" si="92"/>
        <v>75.151800652363235</v>
      </c>
      <c r="W578" s="406">
        <v>49.156835248520665</v>
      </c>
      <c r="X578" s="406">
        <v>49.776943024829478</v>
      </c>
      <c r="Y578" s="405">
        <f t="shared" si="93"/>
        <v>78.582985260668394</v>
      </c>
      <c r="Z578" s="406">
        <v>50.576760382933273</v>
      </c>
      <c r="AA578" s="406">
        <v>51.402196590782978</v>
      </c>
      <c r="AB578" s="442">
        <f t="shared" si="94"/>
        <v>80.288765809015871</v>
      </c>
      <c r="AC578" s="438">
        <f t="shared" si="95"/>
        <v>82.689324535742955</v>
      </c>
      <c r="AD578" s="410"/>
      <c r="AE578" s="411"/>
      <c r="AF578" s="411"/>
      <c r="AG578" s="411"/>
    </row>
    <row r="579" spans="1:33" x14ac:dyDescent="0.2">
      <c r="A579" s="36" t="s">
        <v>496</v>
      </c>
      <c r="B579" s="18" t="str">
        <f>VLOOKUP(LEFT(A579,7),'Tariff Schedule Lookup Table'!$A$8:$G$186,2,FALSE)</f>
        <v>High Pressure Sodium 220</v>
      </c>
      <c r="C579" s="160">
        <f t="shared" si="98"/>
        <v>230</v>
      </c>
      <c r="D579" s="18">
        <f t="shared" si="99"/>
        <v>2</v>
      </c>
      <c r="E579" s="18" t="str">
        <f>VLOOKUP(C579,'Tariff Schedule Lookup Table'!I$7:L$286,2,FALSE)</f>
        <v>HIGH PRESSURE SODIUM 250W (210/220)</v>
      </c>
      <c r="F579" s="18" t="str">
        <f>IF(E579 = "BULKHEADS ETC", "SHARED OR NO POLE", VLOOKUP(C579,'Tariff Schedule Lookup Table'!I$7:L$286,3,FALSE))</f>
        <v>WOOD POLE</v>
      </c>
      <c r="G579" s="18">
        <f>IF(E579 = "NO CAPITAL", 1, VLOOKUP(C579,'Tariff Schedule Lookup Table'!I$7:L$286,4,FALSE))</f>
        <v>1</v>
      </c>
      <c r="H579" s="18" t="str">
        <f t="shared" si="88"/>
        <v>2-Unmetered, Funded by Others, CE Maintained</v>
      </c>
      <c r="I579" s="123">
        <f>VLOOKUP(F579,'Maintenance Model'!$A$57:$B$61,2,FALSE)</f>
        <v>10.731618231111112</v>
      </c>
      <c r="J579" s="123">
        <f>IF(D579=1,VLOOKUP(C579,'Capital Code Schedules'!A$15:F$300,2,FALSE),IF(D579=2,VLOOKUP(C579,'Capital Code Schedules'!A$15:F$300,3,FALSE),0))</f>
        <v>0</v>
      </c>
      <c r="K579" s="123">
        <v>0</v>
      </c>
      <c r="L579" s="123">
        <f>VLOOKUP(LEFT(A579,10),'Streetlight Tariff Schedule'!B$11:H$260,7, FALSE)+I579</f>
        <v>76.557319305969273</v>
      </c>
      <c r="M579" s="161">
        <f t="shared" si="89"/>
        <v>76.557319305969273</v>
      </c>
      <c r="N579" s="405">
        <f t="shared" si="90"/>
        <v>79.747357343741669</v>
      </c>
      <c r="O579" s="405">
        <v>53.829694738900514</v>
      </c>
      <c r="P579" s="406">
        <v>53.829694738900514</v>
      </c>
      <c r="Q579" s="406">
        <v>56.464058757030521</v>
      </c>
      <c r="R579" s="406">
        <v>56.464058757030521</v>
      </c>
      <c r="S579" s="405">
        <f t="shared" si="91"/>
        <v>83.650102283060278</v>
      </c>
      <c r="T579" s="406">
        <v>58.783104564268442</v>
      </c>
      <c r="U579" s="406">
        <v>58.997856360849504</v>
      </c>
      <c r="V579" s="405">
        <f t="shared" si="92"/>
        <v>87.4038605744378</v>
      </c>
      <c r="W579" s="406">
        <v>60.922968696401526</v>
      </c>
      <c r="X579" s="406">
        <v>61.691504881724683</v>
      </c>
      <c r="Y579" s="405">
        <f t="shared" si="93"/>
        <v>91.394434033838039</v>
      </c>
      <c r="Z579" s="406">
        <v>62.682765763843051</v>
      </c>
      <c r="AA579" s="406">
        <v>63.705777599276821</v>
      </c>
      <c r="AB579" s="442">
        <f t="shared" si="94"/>
        <v>93.378309389107585</v>
      </c>
      <c r="AC579" s="438">
        <f t="shared" si="95"/>
        <v>96.170233181089344</v>
      </c>
      <c r="AD579" s="410"/>
      <c r="AE579" s="411"/>
      <c r="AF579" s="411"/>
      <c r="AG579" s="411"/>
    </row>
    <row r="580" spans="1:33" x14ac:dyDescent="0.2">
      <c r="A580" s="36" t="s">
        <v>497</v>
      </c>
      <c r="B580" s="18" t="str">
        <f>VLOOKUP(LEFT(A580,7),'Tariff Schedule Lookup Table'!$A$8:$G$186,2,FALSE)</f>
        <v>High Pressure Sodium 220</v>
      </c>
      <c r="C580" s="160">
        <f t="shared" si="98"/>
        <v>320</v>
      </c>
      <c r="D580" s="18">
        <f t="shared" si="99"/>
        <v>1</v>
      </c>
      <c r="E580" s="18" t="str">
        <f>VLOOKUP(C580,'Tariff Schedule Lookup Table'!I$7:L$286,2,FALSE)</f>
        <v>HIGH PRESSURE SODIUM 250W (210/220)</v>
      </c>
      <c r="F580" s="18" t="str">
        <f>IF(E580 = "BULKHEADS ETC", "SHARED OR NO POLE", VLOOKUP(C580,'Tariff Schedule Lookup Table'!I$7:L$286,3,FALSE))</f>
        <v>STEEL POLE</v>
      </c>
      <c r="G580" s="18">
        <f>IF(E580 = "NO CAPITAL", 1, VLOOKUP(C580,'Tariff Schedule Lookup Table'!I$7:L$286,4,FALSE))</f>
        <v>1</v>
      </c>
      <c r="H580" s="18" t="str">
        <f t="shared" si="88"/>
        <v>1-Unmetered, CE Funded, CE Maintained</v>
      </c>
      <c r="I580" s="123">
        <f>VLOOKUP(F580,'Maintenance Model'!$A$57:$B$61,2,FALSE)</f>
        <v>9.9616182311111103</v>
      </c>
      <c r="J580" s="123">
        <f>IF(D580=1,VLOOKUP(C580,'Capital Code Schedules'!A$15:F$300,2,FALSE),IF(D580=2,VLOOKUP(C580,'Capital Code Schedules'!A$15:F$300,3,FALSE),0))</f>
        <v>92.322513672035399</v>
      </c>
      <c r="K580" s="123">
        <v>117.10841065015505</v>
      </c>
      <c r="L580" s="123">
        <f>VLOOKUP(LEFT(A580,10),'Streetlight Tariff Schedule'!B$11:H$260,7, FALSE)+I580</f>
        <v>75.787319305969277</v>
      </c>
      <c r="M580" s="161">
        <f t="shared" si="89"/>
        <v>192.89572995612434</v>
      </c>
      <c r="N580" s="405">
        <f t="shared" si="90"/>
        <v>173.55276838983494</v>
      </c>
      <c r="O580" s="405">
        <v>178.34723991575163</v>
      </c>
      <c r="P580" s="406">
        <v>173.03445371332191</v>
      </c>
      <c r="Q580" s="406">
        <v>178.59973399634268</v>
      </c>
      <c r="R580" s="406">
        <v>184.04401165728257</v>
      </c>
      <c r="S580" s="405">
        <f t="shared" si="91"/>
        <v>179.75779573281818</v>
      </c>
      <c r="T580" s="406">
        <v>183.92790613321785</v>
      </c>
      <c r="U580" s="406">
        <v>190.20006141248444</v>
      </c>
      <c r="V580" s="405">
        <f t="shared" si="92"/>
        <v>186.23684678123956</v>
      </c>
      <c r="W580" s="406">
        <v>189.15489758311588</v>
      </c>
      <c r="X580" s="406">
        <v>197.33112944039908</v>
      </c>
      <c r="Y580" s="405">
        <f t="shared" si="93"/>
        <v>193.56752322883943</v>
      </c>
      <c r="Z580" s="406">
        <v>194.08468067719247</v>
      </c>
      <c r="AA580" s="406">
        <v>203.20731598543284</v>
      </c>
      <c r="AB580" s="442">
        <f t="shared" si="94"/>
        <v>197.34586991771781</v>
      </c>
      <c r="AC580" s="438">
        <f t="shared" si="95"/>
        <v>203.16249925669982</v>
      </c>
      <c r="AD580" s="410"/>
      <c r="AE580" s="411"/>
      <c r="AF580" s="411"/>
      <c r="AG580" s="411"/>
    </row>
    <row r="581" spans="1:33" x14ac:dyDescent="0.2">
      <c r="A581" s="36" t="s">
        <v>498</v>
      </c>
      <c r="B581" s="18" t="str">
        <f>VLOOKUP(LEFT(A581,7),'Tariff Schedule Lookup Table'!$A$8:$G$186,2,FALSE)</f>
        <v>High Pressure Sodium 220</v>
      </c>
      <c r="C581" s="160">
        <f t="shared" si="98"/>
        <v>320</v>
      </c>
      <c r="D581" s="18">
        <f t="shared" si="99"/>
        <v>2</v>
      </c>
      <c r="E581" s="18" t="str">
        <f>VLOOKUP(C581,'Tariff Schedule Lookup Table'!I$7:L$286,2,FALSE)</f>
        <v>HIGH PRESSURE SODIUM 250W (210/220)</v>
      </c>
      <c r="F581" s="18" t="str">
        <f>IF(E581 = "BULKHEADS ETC", "SHARED OR NO POLE", VLOOKUP(C581,'Tariff Schedule Lookup Table'!I$7:L$286,3,FALSE))</f>
        <v>STEEL POLE</v>
      </c>
      <c r="G581" s="18">
        <f>IF(E581 = "NO CAPITAL", 1, VLOOKUP(C581,'Tariff Schedule Lookup Table'!I$7:L$286,4,FALSE))</f>
        <v>1</v>
      </c>
      <c r="H581" s="18" t="str">
        <f t="shared" si="88"/>
        <v>2-Unmetered, Funded by Others, CE Maintained</v>
      </c>
      <c r="I581" s="123">
        <f>VLOOKUP(F581,'Maintenance Model'!$A$57:$B$61,2,FALSE)</f>
        <v>9.9616182311111103</v>
      </c>
      <c r="J581" s="123">
        <f>IF(D581=1,VLOOKUP(C581,'Capital Code Schedules'!A$15:F$300,2,FALSE),IF(D581=2,VLOOKUP(C581,'Capital Code Schedules'!A$15:F$300,3,FALSE),0))</f>
        <v>0</v>
      </c>
      <c r="K581" s="123">
        <v>0</v>
      </c>
      <c r="L581" s="123">
        <f>VLOOKUP(LEFT(A581,10),'Streetlight Tariff Schedule'!B$11:H$260,7, FALSE)+I581</f>
        <v>75.787319305969277</v>
      </c>
      <c r="M581" s="161">
        <f t="shared" si="89"/>
        <v>75.787319305969277</v>
      </c>
      <c r="N581" s="405">
        <f t="shared" si="90"/>
        <v>78.945272504416678</v>
      </c>
      <c r="O581" s="405">
        <v>53.027609899575509</v>
      </c>
      <c r="P581" s="406">
        <v>53.027609899575509</v>
      </c>
      <c r="Q581" s="406">
        <v>55.622720798206068</v>
      </c>
      <c r="R581" s="406">
        <v>55.622720798206068</v>
      </c>
      <c r="S581" s="405">
        <f t="shared" si="91"/>
        <v>82.808764324235824</v>
      </c>
      <c r="T581" s="406">
        <v>57.907211858427338</v>
      </c>
      <c r="U581" s="406">
        <v>58.118763763924292</v>
      </c>
      <c r="V581" s="405">
        <f t="shared" si="92"/>
        <v>86.524767977512582</v>
      </c>
      <c r="W581" s="406">
        <v>60.015191125024316</v>
      </c>
      <c r="X581" s="406">
        <v>60.772275801552745</v>
      </c>
      <c r="Y581" s="405">
        <f t="shared" si="93"/>
        <v>90.475204953666108</v>
      </c>
      <c r="Z581" s="406">
        <v>61.74876648426315</v>
      </c>
      <c r="AA581" s="406">
        <v>62.756535017879372</v>
      </c>
      <c r="AB581" s="442">
        <f t="shared" si="94"/>
        <v>92.439126840901437</v>
      </c>
      <c r="AC581" s="438">
        <f t="shared" si="95"/>
        <v>95.202969956348085</v>
      </c>
      <c r="AD581" s="410"/>
      <c r="AE581" s="411"/>
      <c r="AF581" s="411"/>
      <c r="AG581" s="411"/>
    </row>
    <row r="582" spans="1:33" x14ac:dyDescent="0.2">
      <c r="A582" s="36" t="s">
        <v>499</v>
      </c>
      <c r="B582" s="18" t="str">
        <f>VLOOKUP(LEFT(A582,7),'Tariff Schedule Lookup Table'!$A$8:$G$186,2,FALSE)</f>
        <v>High Pressure Sodium 220</v>
      </c>
      <c r="C582" s="160">
        <f t="shared" si="98"/>
        <v>390</v>
      </c>
      <c r="D582" s="18">
        <f t="shared" si="99"/>
        <v>2</v>
      </c>
      <c r="E582" s="18" t="str">
        <f>VLOOKUP(C582,'Tariff Schedule Lookup Table'!I$7:L$286,2,FALSE)</f>
        <v>HIGH PRESSURE SODIUM 250W (210/220)</v>
      </c>
      <c r="F582" s="18" t="str">
        <f>IF(E582 = "BULKHEADS ETC", "SHARED OR NO POLE", VLOOKUP(C582,'Tariff Schedule Lookup Table'!I$7:L$286,3,FALSE))</f>
        <v>STEEL POLE</v>
      </c>
      <c r="G582" s="18">
        <f>IF(E582 = "NO CAPITAL", 1, VLOOKUP(C582,'Tariff Schedule Lookup Table'!I$7:L$286,4,FALSE))</f>
        <v>2</v>
      </c>
      <c r="H582" s="18" t="str">
        <f t="shared" si="88"/>
        <v>2-Unmetered, Funded by Others, CE Maintained</v>
      </c>
      <c r="I582" s="123">
        <f>VLOOKUP(F582,'Maintenance Model'!$A$57:$B$61,2,FALSE)</f>
        <v>9.9616182311111103</v>
      </c>
      <c r="J582" s="123">
        <f>IF(D582=1,VLOOKUP(C582,'Capital Code Schedules'!A$15:F$300,2,FALSE),IF(D582=2,VLOOKUP(C582,'Capital Code Schedules'!A$15:F$300,3,FALSE),0))</f>
        <v>0</v>
      </c>
      <c r="K582" s="123">
        <v>0</v>
      </c>
      <c r="L582" s="123">
        <f>VLOOKUP(LEFT(A582,10),'Streetlight Tariff Schedule'!B$11:H$260,7, FALSE)+I582</f>
        <v>75.787319305969277</v>
      </c>
      <c r="M582" s="161">
        <f t="shared" si="89"/>
        <v>75.787319305969277</v>
      </c>
      <c r="N582" s="405">
        <f t="shared" si="90"/>
        <v>78.945272504416678</v>
      </c>
      <c r="O582" s="405">
        <v>53.027609899575509</v>
      </c>
      <c r="P582" s="406">
        <v>53.027609899575509</v>
      </c>
      <c r="Q582" s="406">
        <v>55.622720798206068</v>
      </c>
      <c r="R582" s="406">
        <v>55.622720798206068</v>
      </c>
      <c r="S582" s="405">
        <f t="shared" si="91"/>
        <v>82.808764324235824</v>
      </c>
      <c r="T582" s="406">
        <v>57.907211858427338</v>
      </c>
      <c r="U582" s="406">
        <v>58.118763763924292</v>
      </c>
      <c r="V582" s="405">
        <f t="shared" si="92"/>
        <v>86.524767977512582</v>
      </c>
      <c r="W582" s="406">
        <v>60.015191125024316</v>
      </c>
      <c r="X582" s="406">
        <v>60.772275801552745</v>
      </c>
      <c r="Y582" s="405">
        <f t="shared" si="93"/>
        <v>90.475204953666108</v>
      </c>
      <c r="Z582" s="406">
        <v>61.74876648426315</v>
      </c>
      <c r="AA582" s="406">
        <v>62.756535017879372</v>
      </c>
      <c r="AB582" s="442">
        <f t="shared" si="94"/>
        <v>92.439126840901437</v>
      </c>
      <c r="AC582" s="438">
        <f t="shared" si="95"/>
        <v>95.202969956348085</v>
      </c>
      <c r="AD582" s="410"/>
      <c r="AE582" s="411"/>
      <c r="AF582" s="411"/>
      <c r="AG582" s="411"/>
    </row>
    <row r="583" spans="1:33" x14ac:dyDescent="0.2">
      <c r="A583" s="36" t="s">
        <v>500</v>
      </c>
      <c r="B583" s="18" t="str">
        <f>VLOOKUP(LEFT(A583,7),'Tariff Schedule Lookup Table'!$A$8:$G$186,2,FALSE)</f>
        <v>High Pressure Sodium 220</v>
      </c>
      <c r="C583" s="160">
        <f t="shared" si="98"/>
        <v>430</v>
      </c>
      <c r="D583" s="18">
        <f t="shared" si="99"/>
        <v>1</v>
      </c>
      <c r="E583" s="18" t="str">
        <f>VLOOKUP(C583,'Tariff Schedule Lookup Table'!I$7:L$286,2,FALSE)</f>
        <v>HIGH PRESSURE SODIUM 250W (210/220)</v>
      </c>
      <c r="F583" s="18" t="str">
        <f>IF(E583 = "BULKHEADS ETC", "SHARED OR NO POLE", VLOOKUP(C583,'Tariff Schedule Lookup Table'!I$7:L$286,3,FALSE))</f>
        <v>STEEL POLE</v>
      </c>
      <c r="G583" s="18">
        <f>IF(E583 = "NO CAPITAL", 1, VLOOKUP(C583,'Tariff Schedule Lookup Table'!I$7:L$286,4,FALSE))</f>
        <v>3</v>
      </c>
      <c r="H583" s="18" t="str">
        <f t="shared" si="88"/>
        <v>1-Unmetered, CE Funded, CE Maintained</v>
      </c>
      <c r="I583" s="123">
        <f>VLOOKUP(F583,'Maintenance Model'!$A$57:$B$61,2,FALSE)</f>
        <v>9.9616182311111103</v>
      </c>
      <c r="J583" s="123">
        <f>IF(D583=1,VLOOKUP(C583,'Capital Code Schedules'!A$15:F$300,2,FALSE),IF(D583=2,VLOOKUP(C583,'Capital Code Schedules'!A$15:F$300,3,FALSE),0))</f>
        <v>117.78972638058077</v>
      </c>
      <c r="K583" s="123">
        <v>149.41282574203484</v>
      </c>
      <c r="L583" s="123">
        <f>VLOOKUP(LEFT(A583,10),'Streetlight Tariff Schedule'!B$11:H$260,7, FALSE)+I583</f>
        <v>75.787319305969277</v>
      </c>
      <c r="M583" s="161">
        <f t="shared" si="89"/>
        <v>225.20014504800412</v>
      </c>
      <c r="N583" s="405">
        <f t="shared" si="90"/>
        <v>199.65029461291681</v>
      </c>
      <c r="O583" s="405">
        <v>212.916724077716</v>
      </c>
      <c r="P583" s="406">
        <v>206.13840307872573</v>
      </c>
      <c r="Q583" s="406">
        <v>212.52300610854027</v>
      </c>
      <c r="R583" s="406">
        <v>219.46909055225552</v>
      </c>
      <c r="S583" s="405">
        <f t="shared" si="91"/>
        <v>206.50123572992132</v>
      </c>
      <c r="T583" s="406">
        <v>218.69077923019231</v>
      </c>
      <c r="U583" s="406">
        <v>226.63475505596415</v>
      </c>
      <c r="V583" s="405">
        <f t="shared" si="92"/>
        <v>213.74247481826015</v>
      </c>
      <c r="W583" s="406">
        <v>224.77815178924047</v>
      </c>
      <c r="X583" s="406">
        <v>235.00095919839276</v>
      </c>
      <c r="Y583" s="405">
        <f t="shared" si="93"/>
        <v>222.00559205631501</v>
      </c>
      <c r="Z583" s="406">
        <v>230.58961042491862</v>
      </c>
      <c r="AA583" s="406">
        <v>241.95073589152932</v>
      </c>
      <c r="AB583" s="442">
        <f t="shared" si="94"/>
        <v>226.28444875655697</v>
      </c>
      <c r="AC583" s="438">
        <f t="shared" si="95"/>
        <v>232.94319073974918</v>
      </c>
      <c r="AD583" s="410"/>
      <c r="AE583" s="411"/>
      <c r="AF583" s="411"/>
      <c r="AG583" s="411"/>
    </row>
    <row r="584" spans="1:33" x14ac:dyDescent="0.2">
      <c r="A584" s="36" t="s">
        <v>501</v>
      </c>
      <c r="B584" s="18" t="str">
        <f>VLOOKUP(LEFT(A584,7),'Tariff Schedule Lookup Table'!$A$8:$G$186,2,FALSE)</f>
        <v>High Pressure Sodium 250</v>
      </c>
      <c r="C584" s="160">
        <f t="shared" si="98"/>
        <v>60</v>
      </c>
      <c r="D584" s="18">
        <f t="shared" si="99"/>
        <v>1</v>
      </c>
      <c r="E584" s="18" t="str">
        <f>VLOOKUP(C584,'Tariff Schedule Lookup Table'!I$7:L$286,2,FALSE)</f>
        <v>HIGH PRESSURE SODIUM 250W (210/220)</v>
      </c>
      <c r="F584" s="18" t="str">
        <f>IF(E584 = "BULKHEADS ETC", "SHARED OR NO POLE", VLOOKUP(C584,'Tariff Schedule Lookup Table'!I$7:L$286,3,FALSE))</f>
        <v>SHARED OR NO POLE</v>
      </c>
      <c r="G584" s="18">
        <f>IF(E584 = "NO CAPITAL", 1, VLOOKUP(C584,'Tariff Schedule Lookup Table'!I$7:L$286,4,FALSE))</f>
        <v>1</v>
      </c>
      <c r="H584" s="18" t="str">
        <f t="shared" si="88"/>
        <v>1-Unmetered, CE Funded, CE Maintained</v>
      </c>
      <c r="I584" s="123">
        <f>VLOOKUP(F584,'Maintenance Model'!$A$57:$B$61,2,FALSE)</f>
        <v>0</v>
      </c>
      <c r="J584" s="123">
        <f>IF(D584=1,VLOOKUP(C584,'Capital Code Schedules'!A$15:F$300,2,FALSE),IF(D584=2,VLOOKUP(C584,'Capital Code Schedules'!A$15:F$300,3,FALSE),0))</f>
        <v>32.138130136529035</v>
      </c>
      <c r="K584" s="123">
        <v>40.766278904912198</v>
      </c>
      <c r="L584" s="123">
        <f>VLOOKUP(LEFT(A584,10),'Streetlight Tariff Schedule'!B$11:H$260,7, FALSE)+I584</f>
        <v>65.825701074858159</v>
      </c>
      <c r="M584" s="161">
        <f t="shared" si="89"/>
        <v>106.59197997977036</v>
      </c>
      <c r="N584" s="405">
        <f t="shared" si="90"/>
        <v>101.50211622115241</v>
      </c>
      <c r="O584" s="405">
        <v>79.75311594458617</v>
      </c>
      <c r="P584" s="406">
        <v>77.903696907234277</v>
      </c>
      <c r="Q584" s="406">
        <v>80.705719570494296</v>
      </c>
      <c r="R584" s="406">
        <v>82.600911729020638</v>
      </c>
      <c r="S584" s="405">
        <f t="shared" si="91"/>
        <v>105.67288923125244</v>
      </c>
      <c r="T584" s="406">
        <v>83.321702539671207</v>
      </c>
      <c r="U584" s="406">
        <v>85.575575379031477</v>
      </c>
      <c r="V584" s="405">
        <f t="shared" si="92"/>
        <v>109.86229148845365</v>
      </c>
      <c r="W584" s="406">
        <v>85.843648853363746</v>
      </c>
      <c r="X584" s="406">
        <v>88.942119660110208</v>
      </c>
      <c r="Y584" s="405">
        <f t="shared" si="93"/>
        <v>114.47016173610227</v>
      </c>
      <c r="Z584" s="406">
        <v>88.137380872189638</v>
      </c>
      <c r="AA584" s="406">
        <v>91.648831086186732</v>
      </c>
      <c r="AB584" s="442">
        <f t="shared" si="94"/>
        <v>116.80755659041739</v>
      </c>
      <c r="AC584" s="438">
        <f t="shared" si="95"/>
        <v>120.27081212888325</v>
      </c>
      <c r="AD584" s="410"/>
      <c r="AE584" s="411"/>
      <c r="AF584" s="411"/>
      <c r="AG584" s="411"/>
    </row>
    <row r="585" spans="1:33" x14ac:dyDescent="0.2">
      <c r="A585" s="36" t="s">
        <v>502</v>
      </c>
      <c r="B585" s="18" t="str">
        <f>VLOOKUP(LEFT(A585,7),'Tariff Schedule Lookup Table'!$A$8:$G$186,2,FALSE)</f>
        <v>High Pressure Sodium 250</v>
      </c>
      <c r="C585" s="160">
        <f t="shared" si="98"/>
        <v>60</v>
      </c>
      <c r="D585" s="18">
        <f t="shared" si="99"/>
        <v>2</v>
      </c>
      <c r="E585" s="18" t="str">
        <f>VLOOKUP(C585,'Tariff Schedule Lookup Table'!I$7:L$286,2,FALSE)</f>
        <v>HIGH PRESSURE SODIUM 250W (210/220)</v>
      </c>
      <c r="F585" s="18" t="str">
        <f>IF(E585 = "BULKHEADS ETC", "SHARED OR NO POLE", VLOOKUP(C585,'Tariff Schedule Lookup Table'!I$7:L$286,3,FALSE))</f>
        <v>SHARED OR NO POLE</v>
      </c>
      <c r="G585" s="18">
        <f>IF(E585 = "NO CAPITAL", 1, VLOOKUP(C585,'Tariff Schedule Lookup Table'!I$7:L$286,4,FALSE))</f>
        <v>1</v>
      </c>
      <c r="H585" s="18" t="str">
        <f t="shared" si="88"/>
        <v>2-Unmetered, Funded by Others, CE Maintained</v>
      </c>
      <c r="I585" s="123">
        <f>VLOOKUP(F585,'Maintenance Model'!$A$57:$B$61,2,FALSE)</f>
        <v>0</v>
      </c>
      <c r="J585" s="123">
        <f>IF(D585=1,VLOOKUP(C585,'Capital Code Schedules'!A$15:F$300,2,FALSE),IF(D585=2,VLOOKUP(C585,'Capital Code Schedules'!A$15:F$300,3,FALSE),0))</f>
        <v>0</v>
      </c>
      <c r="K585" s="123">
        <v>0</v>
      </c>
      <c r="L585" s="123">
        <f>VLOOKUP(LEFT(A585,10),'Streetlight Tariff Schedule'!B$11:H$260,7, FALSE)+I585</f>
        <v>65.825701074858159</v>
      </c>
      <c r="M585" s="161">
        <f t="shared" si="89"/>
        <v>65.825701074858159</v>
      </c>
      <c r="N585" s="405">
        <f t="shared" si="90"/>
        <v>68.568567363744279</v>
      </c>
      <c r="O585" s="405">
        <v>36.128452599425493</v>
      </c>
      <c r="P585" s="406">
        <v>36.128452599425493</v>
      </c>
      <c r="Q585" s="406">
        <v>37.896537966067243</v>
      </c>
      <c r="R585" s="406">
        <v>37.896537966067243</v>
      </c>
      <c r="S585" s="405">
        <f t="shared" si="91"/>
        <v>71.92423503962344</v>
      </c>
      <c r="T585" s="406">
        <v>39.452993690534583</v>
      </c>
      <c r="U585" s="406">
        <v>39.597126963833894</v>
      </c>
      <c r="V585" s="405">
        <f t="shared" si="92"/>
        <v>75.151800652363235</v>
      </c>
      <c r="W585" s="406">
        <v>40.889189460210986</v>
      </c>
      <c r="X585" s="406">
        <v>41.405001843637443</v>
      </c>
      <c r="Y585" s="405">
        <f t="shared" si="93"/>
        <v>78.582985260668394</v>
      </c>
      <c r="Z585" s="406">
        <v>42.070298609056358</v>
      </c>
      <c r="AA585" s="406">
        <v>42.75690541194448</v>
      </c>
      <c r="AB585" s="442">
        <f t="shared" si="94"/>
        <v>80.288765809015871</v>
      </c>
      <c r="AC585" s="438">
        <f t="shared" si="95"/>
        <v>82.689324535742955</v>
      </c>
      <c r="AD585" s="410"/>
      <c r="AE585" s="411"/>
      <c r="AF585" s="411"/>
      <c r="AG585" s="411"/>
    </row>
    <row r="586" spans="1:33" x14ac:dyDescent="0.2">
      <c r="A586" s="36" t="s">
        <v>503</v>
      </c>
      <c r="B586" s="18" t="str">
        <f>VLOOKUP(LEFT(A586,7),'Tariff Schedule Lookup Table'!$A$8:$G$186,2,FALSE)</f>
        <v>High Pressure Sodium 250</v>
      </c>
      <c r="C586" s="160">
        <f t="shared" si="98"/>
        <v>230</v>
      </c>
      <c r="D586" s="18">
        <f t="shared" si="99"/>
        <v>1</v>
      </c>
      <c r="E586" s="18" t="str">
        <f>VLOOKUP(C586,'Tariff Schedule Lookup Table'!I$7:L$286,2,FALSE)</f>
        <v>HIGH PRESSURE SODIUM 250W (210/220)</v>
      </c>
      <c r="F586" s="18" t="str">
        <f>IF(E586 = "BULKHEADS ETC", "SHARED OR NO POLE", VLOOKUP(C586,'Tariff Schedule Lookup Table'!I$7:L$286,3,FALSE))</f>
        <v>WOOD POLE</v>
      </c>
      <c r="G586" s="18">
        <f>IF(E586 = "NO CAPITAL", 1, VLOOKUP(C586,'Tariff Schedule Lookup Table'!I$7:L$286,4,FALSE))</f>
        <v>1</v>
      </c>
      <c r="H586" s="18" t="str">
        <f t="shared" si="88"/>
        <v>1-Unmetered, CE Funded, CE Maintained</v>
      </c>
      <c r="I586" s="123">
        <f>VLOOKUP(F586,'Maintenance Model'!$A$57:$B$61,2,FALSE)</f>
        <v>10.731618231111112</v>
      </c>
      <c r="J586" s="123">
        <f>IF(D586=1,VLOOKUP(C586,'Capital Code Schedules'!A$15:F$300,2,FALSE),IF(D586=2,VLOOKUP(C586,'Capital Code Schedules'!A$15:F$300,3,FALSE),0))</f>
        <v>66.039248498405314</v>
      </c>
      <c r="K586" s="123">
        <v>83.768856853834222</v>
      </c>
      <c r="L586" s="123">
        <f>VLOOKUP(LEFT(A586,10),'Streetlight Tariff Schedule'!B$11:H$260,7, FALSE)+I586</f>
        <v>76.557319305969273</v>
      </c>
      <c r="M586" s="161">
        <f t="shared" si="89"/>
        <v>160.32617615980348</v>
      </c>
      <c r="N586" s="405">
        <f t="shared" si="90"/>
        <v>147.42107724248251</v>
      </c>
      <c r="O586" s="405">
        <v>136.16707963222228</v>
      </c>
      <c r="P586" s="406">
        <v>132.36678873581627</v>
      </c>
      <c r="Q586" s="406">
        <v>136.76824517383417</v>
      </c>
      <c r="R586" s="406">
        <v>140.66259326992622</v>
      </c>
      <c r="S586" s="405">
        <f t="shared" si="91"/>
        <v>152.99874674929498</v>
      </c>
      <c r="T586" s="406">
        <v>140.94975782041774</v>
      </c>
      <c r="U586" s="406">
        <v>145.470578642276</v>
      </c>
      <c r="V586" s="405">
        <f t="shared" si="92"/>
        <v>158.72894140796015</v>
      </c>
      <c r="W586" s="406">
        <v>145.03029003791619</v>
      </c>
      <c r="X586" s="406">
        <v>151.00152351100053</v>
      </c>
      <c r="Y586" s="405">
        <f t="shared" si="93"/>
        <v>165.13743510761682</v>
      </c>
      <c r="Z586" s="406">
        <v>148.8375515562536</v>
      </c>
      <c r="AA586" s="406">
        <v>155.52638208550457</v>
      </c>
      <c r="AB586" s="442">
        <f t="shared" si="94"/>
        <v>168.41918728178487</v>
      </c>
      <c r="AC586" s="438">
        <f t="shared" si="95"/>
        <v>173.39480062044356</v>
      </c>
      <c r="AD586" s="410"/>
      <c r="AE586" s="411"/>
      <c r="AF586" s="411"/>
      <c r="AG586" s="411"/>
    </row>
    <row r="587" spans="1:33" x14ac:dyDescent="0.2">
      <c r="A587" s="36" t="s">
        <v>504</v>
      </c>
      <c r="B587" s="18" t="str">
        <f>VLOOKUP(LEFT(A587,7),'Tariff Schedule Lookup Table'!$A$8:$G$186,2,FALSE)</f>
        <v>High Pressure Sodium 250</v>
      </c>
      <c r="C587" s="160">
        <f t="shared" si="98"/>
        <v>230</v>
      </c>
      <c r="D587" s="18">
        <f t="shared" si="99"/>
        <v>2</v>
      </c>
      <c r="E587" s="18" t="str">
        <f>VLOOKUP(C587,'Tariff Schedule Lookup Table'!I$7:L$286,2,FALSE)</f>
        <v>HIGH PRESSURE SODIUM 250W (210/220)</v>
      </c>
      <c r="F587" s="18" t="str">
        <f>IF(E587 = "BULKHEADS ETC", "SHARED OR NO POLE", VLOOKUP(C587,'Tariff Schedule Lookup Table'!I$7:L$286,3,FALSE))</f>
        <v>WOOD POLE</v>
      </c>
      <c r="G587" s="18">
        <f>IF(E587 = "NO CAPITAL", 1, VLOOKUP(C587,'Tariff Schedule Lookup Table'!I$7:L$286,4,FALSE))</f>
        <v>1</v>
      </c>
      <c r="H587" s="18" t="str">
        <f t="shared" si="88"/>
        <v>2-Unmetered, Funded by Others, CE Maintained</v>
      </c>
      <c r="I587" s="123">
        <f>VLOOKUP(F587,'Maintenance Model'!$A$57:$B$61,2,FALSE)</f>
        <v>10.731618231111112</v>
      </c>
      <c r="J587" s="123">
        <f>IF(D587=1,VLOOKUP(C587,'Capital Code Schedules'!A$15:F$300,2,FALSE),IF(D587=2,VLOOKUP(C587,'Capital Code Schedules'!A$15:F$300,3,FALSE),0))</f>
        <v>0</v>
      </c>
      <c r="K587" s="123">
        <v>0</v>
      </c>
      <c r="L587" s="123">
        <f>VLOOKUP(LEFT(A587,10),'Streetlight Tariff Schedule'!B$11:H$260,7, FALSE)+I587</f>
        <v>76.557319305969273</v>
      </c>
      <c r="M587" s="161">
        <f t="shared" si="89"/>
        <v>76.557319305969273</v>
      </c>
      <c r="N587" s="405">
        <f t="shared" si="90"/>
        <v>79.747357343741669</v>
      </c>
      <c r="O587" s="405">
        <v>46.524652674849662</v>
      </c>
      <c r="P587" s="406">
        <v>46.524652674849662</v>
      </c>
      <c r="Q587" s="406">
        <v>48.80151624535862</v>
      </c>
      <c r="R587" s="406">
        <v>48.80151624535862</v>
      </c>
      <c r="S587" s="405">
        <f t="shared" si="91"/>
        <v>83.650102283060278</v>
      </c>
      <c r="T587" s="406">
        <v>50.805852350962439</v>
      </c>
      <c r="U587" s="406">
        <v>50.991460922508246</v>
      </c>
      <c r="V587" s="405">
        <f t="shared" si="92"/>
        <v>87.4038605744378</v>
      </c>
      <c r="W587" s="406">
        <v>52.65532290809184</v>
      </c>
      <c r="X587" s="406">
        <v>53.319563700532647</v>
      </c>
      <c r="Y587" s="405">
        <f t="shared" si="93"/>
        <v>91.394434033838039</v>
      </c>
      <c r="Z587" s="406">
        <v>54.176303989966136</v>
      </c>
      <c r="AA587" s="406">
        <v>55.060486420438323</v>
      </c>
      <c r="AB587" s="442">
        <f t="shared" si="94"/>
        <v>93.378309389107585</v>
      </c>
      <c r="AC587" s="438">
        <f t="shared" si="95"/>
        <v>96.170233181089344</v>
      </c>
      <c r="AD587" s="410"/>
      <c r="AE587" s="411"/>
      <c r="AF587" s="411"/>
      <c r="AG587" s="411"/>
    </row>
    <row r="588" spans="1:33" x14ac:dyDescent="0.2">
      <c r="A588" s="36" t="s">
        <v>505</v>
      </c>
      <c r="B588" s="18" t="str">
        <f>VLOOKUP(LEFT(A588,7),'Tariff Schedule Lookup Table'!$A$8:$G$186,2,FALSE)</f>
        <v>High Pressure Sodium 250</v>
      </c>
      <c r="C588" s="160">
        <f t="shared" si="98"/>
        <v>320</v>
      </c>
      <c r="D588" s="18">
        <f t="shared" si="99"/>
        <v>1</v>
      </c>
      <c r="E588" s="18" t="str">
        <f>VLOOKUP(C588,'Tariff Schedule Lookup Table'!I$7:L$286,2,FALSE)</f>
        <v>HIGH PRESSURE SODIUM 250W (210/220)</v>
      </c>
      <c r="F588" s="18" t="str">
        <f>IF(E588 = "BULKHEADS ETC", "SHARED OR NO POLE", VLOOKUP(C588,'Tariff Schedule Lookup Table'!I$7:L$286,3,FALSE))</f>
        <v>STEEL POLE</v>
      </c>
      <c r="G588" s="18">
        <f>IF(E588 = "NO CAPITAL", 1, VLOOKUP(C588,'Tariff Schedule Lookup Table'!I$7:L$286,4,FALSE))</f>
        <v>1</v>
      </c>
      <c r="H588" s="18" t="str">
        <f t="shared" si="88"/>
        <v>1-Unmetered, CE Funded, CE Maintained</v>
      </c>
      <c r="I588" s="123">
        <f>VLOOKUP(F588,'Maintenance Model'!$A$57:$B$61,2,FALSE)</f>
        <v>9.9616182311111103</v>
      </c>
      <c r="J588" s="123">
        <f>IF(D588=1,VLOOKUP(C588,'Capital Code Schedules'!A$15:F$300,2,FALSE),IF(D588=2,VLOOKUP(C588,'Capital Code Schedules'!A$15:F$300,3,FALSE),0))</f>
        <v>92.322513672035399</v>
      </c>
      <c r="K588" s="123">
        <v>117.10841065015505</v>
      </c>
      <c r="L588" s="123">
        <f>VLOOKUP(LEFT(A588,10),'Streetlight Tariff Schedule'!B$11:H$260,7, FALSE)+I588</f>
        <v>75.787319305969277</v>
      </c>
      <c r="M588" s="161">
        <f t="shared" si="89"/>
        <v>192.89572995612434</v>
      </c>
      <c r="N588" s="405">
        <f t="shared" si="90"/>
        <v>173.55276838983494</v>
      </c>
      <c r="O588" s="405">
        <v>171.04219785170076</v>
      </c>
      <c r="P588" s="406">
        <v>165.72941164927104</v>
      </c>
      <c r="Q588" s="406">
        <v>170.93719148467076</v>
      </c>
      <c r="R588" s="406">
        <v>176.38146914561062</v>
      </c>
      <c r="S588" s="405">
        <f t="shared" si="91"/>
        <v>179.75779573281818</v>
      </c>
      <c r="T588" s="406">
        <v>175.95065391991184</v>
      </c>
      <c r="U588" s="406">
        <v>182.19366597414316</v>
      </c>
      <c r="V588" s="405">
        <f t="shared" si="92"/>
        <v>186.23684678123956</v>
      </c>
      <c r="W588" s="406">
        <v>180.88725179480622</v>
      </c>
      <c r="X588" s="406">
        <v>188.95918825920705</v>
      </c>
      <c r="Y588" s="405">
        <f t="shared" si="93"/>
        <v>193.56752322883943</v>
      </c>
      <c r="Z588" s="406">
        <v>185.57821890331556</v>
      </c>
      <c r="AA588" s="406">
        <v>194.56202480659437</v>
      </c>
      <c r="AB588" s="442">
        <f t="shared" si="94"/>
        <v>197.34586991771781</v>
      </c>
      <c r="AC588" s="438">
        <f t="shared" si="95"/>
        <v>203.16249925669982</v>
      </c>
      <c r="AD588" s="410"/>
      <c r="AE588" s="411"/>
      <c r="AF588" s="411"/>
      <c r="AG588" s="411"/>
    </row>
    <row r="589" spans="1:33" x14ac:dyDescent="0.2">
      <c r="A589" s="36" t="s">
        <v>506</v>
      </c>
      <c r="B589" s="18" t="str">
        <f>VLOOKUP(LEFT(A589,7),'Tariff Schedule Lookup Table'!$A$8:$G$186,2,FALSE)</f>
        <v>High Pressure Sodium 250</v>
      </c>
      <c r="C589" s="160">
        <f t="shared" si="98"/>
        <v>320</v>
      </c>
      <c r="D589" s="18">
        <f t="shared" si="99"/>
        <v>2</v>
      </c>
      <c r="E589" s="18" t="str">
        <f>VLOOKUP(C589,'Tariff Schedule Lookup Table'!I$7:L$286,2,FALSE)</f>
        <v>HIGH PRESSURE SODIUM 250W (210/220)</v>
      </c>
      <c r="F589" s="18" t="str">
        <f>IF(E589 = "BULKHEADS ETC", "SHARED OR NO POLE", VLOOKUP(C589,'Tariff Schedule Lookup Table'!I$7:L$286,3,FALSE))</f>
        <v>STEEL POLE</v>
      </c>
      <c r="G589" s="18">
        <f>IF(E589 = "NO CAPITAL", 1, VLOOKUP(C589,'Tariff Schedule Lookup Table'!I$7:L$286,4,FALSE))</f>
        <v>1</v>
      </c>
      <c r="H589" s="18" t="str">
        <f t="shared" si="88"/>
        <v>2-Unmetered, Funded by Others, CE Maintained</v>
      </c>
      <c r="I589" s="123">
        <f>VLOOKUP(F589,'Maintenance Model'!$A$57:$B$61,2,FALSE)</f>
        <v>9.9616182311111103</v>
      </c>
      <c r="J589" s="123">
        <f>IF(D589=1,VLOOKUP(C589,'Capital Code Schedules'!A$15:F$300,2,FALSE),IF(D589=2,VLOOKUP(C589,'Capital Code Schedules'!A$15:F$300,3,FALSE),0))</f>
        <v>0</v>
      </c>
      <c r="K589" s="123">
        <v>0</v>
      </c>
      <c r="L589" s="123">
        <f>VLOOKUP(LEFT(A589,10),'Streetlight Tariff Schedule'!B$11:H$260,7, FALSE)+I589</f>
        <v>75.787319305969277</v>
      </c>
      <c r="M589" s="161">
        <f t="shared" si="89"/>
        <v>75.787319305969277</v>
      </c>
      <c r="N589" s="405">
        <f t="shared" si="90"/>
        <v>78.945272504416678</v>
      </c>
      <c r="O589" s="405">
        <v>45.722567835524657</v>
      </c>
      <c r="P589" s="406">
        <v>45.722567835524657</v>
      </c>
      <c r="Q589" s="406">
        <v>47.960178286534159</v>
      </c>
      <c r="R589" s="406">
        <v>47.960178286534159</v>
      </c>
      <c r="S589" s="405">
        <f t="shared" si="91"/>
        <v>82.808764324235824</v>
      </c>
      <c r="T589" s="406">
        <v>49.929959645121336</v>
      </c>
      <c r="U589" s="406">
        <v>50.112368325583027</v>
      </c>
      <c r="V589" s="405">
        <f t="shared" si="92"/>
        <v>86.524767977512582</v>
      </c>
      <c r="W589" s="406">
        <v>51.747545336714637</v>
      </c>
      <c r="X589" s="406">
        <v>52.400334620360709</v>
      </c>
      <c r="Y589" s="405">
        <f t="shared" si="93"/>
        <v>90.475204953666108</v>
      </c>
      <c r="Z589" s="406">
        <v>53.242304710386243</v>
      </c>
      <c r="AA589" s="406">
        <v>54.111243839040881</v>
      </c>
      <c r="AB589" s="442">
        <f t="shared" si="94"/>
        <v>92.439126840901437</v>
      </c>
      <c r="AC589" s="438">
        <f t="shared" si="95"/>
        <v>95.202969956348085</v>
      </c>
      <c r="AD589" s="410"/>
      <c r="AE589" s="411"/>
      <c r="AF589" s="411"/>
      <c r="AG589" s="411"/>
    </row>
    <row r="590" spans="1:33" x14ac:dyDescent="0.2">
      <c r="A590" s="36" t="s">
        <v>507</v>
      </c>
      <c r="B590" s="18" t="str">
        <f>VLOOKUP(LEFT(A590,7),'Tariff Schedule Lookup Table'!$A$8:$G$186,2,FALSE)</f>
        <v>High Pressure Sodium 250</v>
      </c>
      <c r="C590" s="160">
        <f t="shared" si="98"/>
        <v>390</v>
      </c>
      <c r="D590" s="18">
        <f t="shared" si="99"/>
        <v>1</v>
      </c>
      <c r="E590" s="18" t="str">
        <f>VLOOKUP(C590,'Tariff Schedule Lookup Table'!I$7:L$286,2,FALSE)</f>
        <v>HIGH PRESSURE SODIUM 250W (210/220)</v>
      </c>
      <c r="F590" s="18" t="str">
        <f>IF(E590 = "BULKHEADS ETC", "SHARED OR NO POLE", VLOOKUP(C590,'Tariff Schedule Lookup Table'!I$7:L$286,3,FALSE))</f>
        <v>STEEL POLE</v>
      </c>
      <c r="G590" s="18">
        <f>IF(E590 = "NO CAPITAL", 1, VLOOKUP(C590,'Tariff Schedule Lookup Table'!I$7:L$286,4,FALSE))</f>
        <v>2</v>
      </c>
      <c r="H590" s="18" t="str">
        <f t="shared" si="88"/>
        <v>1-Unmetered, CE Funded, CE Maintained</v>
      </c>
      <c r="I590" s="123">
        <f>VLOOKUP(F590,'Maintenance Model'!$A$57:$B$61,2,FALSE)</f>
        <v>9.9616182311111103</v>
      </c>
      <c r="J590" s="123">
        <f>IF(D590=1,VLOOKUP(C590,'Capital Code Schedules'!A$15:F$300,2,FALSE),IF(D590=2,VLOOKUP(C590,'Capital Code Schedules'!A$15:F$300,3,FALSE),0))</f>
        <v>105.05612002630808</v>
      </c>
      <c r="K590" s="123">
        <v>133.26061819609492</v>
      </c>
      <c r="L590" s="123">
        <f>VLOOKUP(LEFT(A590,10),'Streetlight Tariff Schedule'!B$11:H$260,7, FALSE)+I590</f>
        <v>75.787319305969277</v>
      </c>
      <c r="M590" s="161">
        <f t="shared" si="89"/>
        <v>209.0479375020642</v>
      </c>
      <c r="N590" s="405">
        <f t="shared" si="90"/>
        <v>186.60153150137586</v>
      </c>
      <c r="O590" s="405">
        <v>188.32693993268293</v>
      </c>
      <c r="P590" s="406">
        <v>182.28138633197295</v>
      </c>
      <c r="Q590" s="406">
        <v>187.89882754076953</v>
      </c>
      <c r="R590" s="406">
        <v>194.0940085930971</v>
      </c>
      <c r="S590" s="405">
        <f t="shared" si="91"/>
        <v>193.12951573136974</v>
      </c>
      <c r="T590" s="406">
        <v>193.33209046839906</v>
      </c>
      <c r="U590" s="406">
        <v>200.41101279588298</v>
      </c>
      <c r="V590" s="405">
        <f t="shared" si="92"/>
        <v>199.98966079974983</v>
      </c>
      <c r="W590" s="406">
        <v>198.6988788978685</v>
      </c>
      <c r="X590" s="406">
        <v>207.79410313820387</v>
      </c>
      <c r="Y590" s="405">
        <f t="shared" si="93"/>
        <v>207.78655764257721</v>
      </c>
      <c r="Z590" s="406">
        <v>203.83068377717862</v>
      </c>
      <c r="AA590" s="406">
        <v>213.93373475964259</v>
      </c>
      <c r="AB590" s="442">
        <f t="shared" si="94"/>
        <v>211.81515933713737</v>
      </c>
      <c r="AC590" s="438">
        <f t="shared" si="95"/>
        <v>218.05284499822449</v>
      </c>
      <c r="AD590" s="410"/>
      <c r="AE590" s="411"/>
      <c r="AF590" s="411"/>
      <c r="AG590" s="411"/>
    </row>
    <row r="591" spans="1:33" x14ac:dyDescent="0.2">
      <c r="A591" s="36" t="s">
        <v>508</v>
      </c>
      <c r="B591" s="18" t="str">
        <f>VLOOKUP(LEFT(A591,7),'Tariff Schedule Lookup Table'!$A$8:$G$186,2,FALSE)</f>
        <v>High Pressure Sodium 250</v>
      </c>
      <c r="C591" s="160">
        <f t="shared" si="98"/>
        <v>390</v>
      </c>
      <c r="D591" s="18">
        <f t="shared" si="99"/>
        <v>2</v>
      </c>
      <c r="E591" s="18" t="str">
        <f>VLOOKUP(C591,'Tariff Schedule Lookup Table'!I$7:L$286,2,FALSE)</f>
        <v>HIGH PRESSURE SODIUM 250W (210/220)</v>
      </c>
      <c r="F591" s="18" t="str">
        <f>IF(E591 = "BULKHEADS ETC", "SHARED OR NO POLE", VLOOKUP(C591,'Tariff Schedule Lookup Table'!I$7:L$286,3,FALSE))</f>
        <v>STEEL POLE</v>
      </c>
      <c r="G591" s="18">
        <f>IF(E591 = "NO CAPITAL", 1, VLOOKUP(C591,'Tariff Schedule Lookup Table'!I$7:L$286,4,FALSE))</f>
        <v>2</v>
      </c>
      <c r="H591" s="18" t="str">
        <f t="shared" si="88"/>
        <v>2-Unmetered, Funded by Others, CE Maintained</v>
      </c>
      <c r="I591" s="123">
        <f>VLOOKUP(F591,'Maintenance Model'!$A$57:$B$61,2,FALSE)</f>
        <v>9.9616182311111103</v>
      </c>
      <c r="J591" s="123">
        <f>IF(D591=1,VLOOKUP(C591,'Capital Code Schedules'!A$15:F$300,2,FALSE),IF(D591=2,VLOOKUP(C591,'Capital Code Schedules'!A$15:F$300,3,FALSE),0))</f>
        <v>0</v>
      </c>
      <c r="K591" s="123">
        <v>0</v>
      </c>
      <c r="L591" s="123">
        <f>VLOOKUP(LEFT(A591,10),'Streetlight Tariff Schedule'!B$11:H$260,7, FALSE)+I591</f>
        <v>75.787319305969277</v>
      </c>
      <c r="M591" s="161">
        <f t="shared" si="89"/>
        <v>75.787319305969277</v>
      </c>
      <c r="N591" s="405">
        <f t="shared" si="90"/>
        <v>78.945272504416678</v>
      </c>
      <c r="O591" s="405">
        <v>45.722567835524657</v>
      </c>
      <c r="P591" s="406">
        <v>45.722567835524657</v>
      </c>
      <c r="Q591" s="406">
        <v>47.960178286534159</v>
      </c>
      <c r="R591" s="406">
        <v>47.960178286534159</v>
      </c>
      <c r="S591" s="405">
        <f t="shared" si="91"/>
        <v>82.808764324235824</v>
      </c>
      <c r="T591" s="406">
        <v>49.929959645121336</v>
      </c>
      <c r="U591" s="406">
        <v>50.112368325583027</v>
      </c>
      <c r="V591" s="405">
        <f t="shared" si="92"/>
        <v>86.524767977512582</v>
      </c>
      <c r="W591" s="406">
        <v>51.747545336714637</v>
      </c>
      <c r="X591" s="406">
        <v>52.400334620360709</v>
      </c>
      <c r="Y591" s="405">
        <f t="shared" si="93"/>
        <v>90.475204953666108</v>
      </c>
      <c r="Z591" s="406">
        <v>53.242304710386243</v>
      </c>
      <c r="AA591" s="406">
        <v>54.111243839040881</v>
      </c>
      <c r="AB591" s="442">
        <f t="shared" si="94"/>
        <v>92.439126840901437</v>
      </c>
      <c r="AC591" s="438">
        <f t="shared" si="95"/>
        <v>95.202969956348085</v>
      </c>
      <c r="AD591" s="410"/>
      <c r="AE591" s="411"/>
      <c r="AF591" s="411"/>
      <c r="AG591" s="411"/>
    </row>
    <row r="592" spans="1:33" x14ac:dyDescent="0.2">
      <c r="A592" s="36" t="s">
        <v>509</v>
      </c>
      <c r="B592" s="18" t="str">
        <f>VLOOKUP(LEFT(A592,7),'Tariff Schedule Lookup Table'!$A$8:$G$186,2,FALSE)</f>
        <v>High Pressure Sodium 250</v>
      </c>
      <c r="C592" s="160">
        <f t="shared" si="98"/>
        <v>430</v>
      </c>
      <c r="D592" s="18">
        <f t="shared" si="99"/>
        <v>2</v>
      </c>
      <c r="E592" s="18" t="str">
        <f>VLOOKUP(C592,'Tariff Schedule Lookup Table'!I$7:L$286,2,FALSE)</f>
        <v>HIGH PRESSURE SODIUM 250W (210/220)</v>
      </c>
      <c r="F592" s="18" t="str">
        <f>IF(E592 = "BULKHEADS ETC", "SHARED OR NO POLE", VLOOKUP(C592,'Tariff Schedule Lookup Table'!I$7:L$286,3,FALSE))</f>
        <v>STEEL POLE</v>
      </c>
      <c r="G592" s="18">
        <f>IF(E592 = "NO CAPITAL", 1, VLOOKUP(C592,'Tariff Schedule Lookup Table'!I$7:L$286,4,FALSE))</f>
        <v>3</v>
      </c>
      <c r="H592" s="18" t="str">
        <f t="shared" si="88"/>
        <v>2-Unmetered, Funded by Others, CE Maintained</v>
      </c>
      <c r="I592" s="123">
        <f>VLOOKUP(F592,'Maintenance Model'!$A$57:$B$61,2,FALSE)</f>
        <v>9.9616182311111103</v>
      </c>
      <c r="J592" s="123">
        <f>IF(D592=1,VLOOKUP(C592,'Capital Code Schedules'!A$15:F$300,2,FALSE),IF(D592=2,VLOOKUP(C592,'Capital Code Schedules'!A$15:F$300,3,FALSE),0))</f>
        <v>0</v>
      </c>
      <c r="K592" s="123">
        <v>0</v>
      </c>
      <c r="L592" s="123">
        <f>VLOOKUP(LEFT(A592,10),'Streetlight Tariff Schedule'!B$11:H$260,7, FALSE)+I592</f>
        <v>75.787319305969277</v>
      </c>
      <c r="M592" s="161">
        <f t="shared" si="89"/>
        <v>75.787319305969277</v>
      </c>
      <c r="N592" s="405">
        <f t="shared" si="90"/>
        <v>78.945272504416678</v>
      </c>
      <c r="O592" s="405">
        <v>45.722567835524657</v>
      </c>
      <c r="P592" s="406">
        <v>45.722567835524657</v>
      </c>
      <c r="Q592" s="406">
        <v>47.960178286534159</v>
      </c>
      <c r="R592" s="406">
        <v>47.960178286534159</v>
      </c>
      <c r="S592" s="405">
        <f t="shared" si="91"/>
        <v>82.808764324235824</v>
      </c>
      <c r="T592" s="406">
        <v>49.929959645121336</v>
      </c>
      <c r="U592" s="406">
        <v>50.112368325583027</v>
      </c>
      <c r="V592" s="405">
        <f t="shared" si="92"/>
        <v>86.524767977512582</v>
      </c>
      <c r="W592" s="406">
        <v>51.747545336714637</v>
      </c>
      <c r="X592" s="406">
        <v>52.400334620360709</v>
      </c>
      <c r="Y592" s="405">
        <f t="shared" si="93"/>
        <v>90.475204953666108</v>
      </c>
      <c r="Z592" s="406">
        <v>53.242304710386243</v>
      </c>
      <c r="AA592" s="406">
        <v>54.111243839040881</v>
      </c>
      <c r="AB592" s="442">
        <f t="shared" si="94"/>
        <v>92.439126840901437</v>
      </c>
      <c r="AC592" s="438">
        <f t="shared" si="95"/>
        <v>95.202969956348085</v>
      </c>
      <c r="AD592" s="410"/>
      <c r="AE592" s="411"/>
      <c r="AF592" s="411"/>
      <c r="AG592" s="411"/>
    </row>
    <row r="593" spans="1:33" x14ac:dyDescent="0.2">
      <c r="A593" s="36" t="s">
        <v>510</v>
      </c>
      <c r="B593" s="18" t="str">
        <f>VLOOKUP(LEFT(A593,7),'Tariff Schedule Lookup Table'!$A$8:$G$186,2,FALSE)</f>
        <v>High Pressure Sodium 250</v>
      </c>
      <c r="C593" s="160">
        <f t="shared" si="98"/>
        <v>470</v>
      </c>
      <c r="D593" s="18">
        <f t="shared" si="99"/>
        <v>1</v>
      </c>
      <c r="E593" s="18" t="str">
        <f>VLOOKUP(C593,'Tariff Schedule Lookup Table'!I$7:L$286,2,FALSE)</f>
        <v>HIGH PRESSURE SODIUM 250W (210/220)</v>
      </c>
      <c r="F593" s="18" t="str">
        <f>IF(E593 = "BULKHEADS ETC", "SHARED OR NO POLE", VLOOKUP(C593,'Tariff Schedule Lookup Table'!I$7:L$286,3,FALSE))</f>
        <v>STEEL POLE</v>
      </c>
      <c r="G593" s="18">
        <f>IF(E593 = "NO CAPITAL", 1, VLOOKUP(C593,'Tariff Schedule Lookup Table'!I$7:L$286,4,FALSE))</f>
        <v>4</v>
      </c>
      <c r="H593" s="18" t="str">
        <f t="shared" si="88"/>
        <v>1-Unmetered, CE Funded, CE Maintained</v>
      </c>
      <c r="I593" s="123">
        <f>VLOOKUP(F593,'Maintenance Model'!$A$57:$B$61,2,FALSE)</f>
        <v>9.9616182311111103</v>
      </c>
      <c r="J593" s="123">
        <f>IF(D593=1,VLOOKUP(C593,'Capital Code Schedules'!A$15:F$300,2,FALSE),IF(D593=2,VLOOKUP(C593,'Capital Code Schedules'!A$15:F$300,3,FALSE),0))</f>
        <v>130.52333273485345</v>
      </c>
      <c r="K593" s="123">
        <v>165.56503328797476</v>
      </c>
      <c r="L593" s="123">
        <f>VLOOKUP(LEFT(A593,10),'Streetlight Tariff Schedule'!B$11:H$260,7, FALSE)+I593</f>
        <v>75.787319305969277</v>
      </c>
      <c r="M593" s="161">
        <f t="shared" si="89"/>
        <v>241.35235259394403</v>
      </c>
      <c r="N593" s="405">
        <f t="shared" si="90"/>
        <v>212.69905772445776</v>
      </c>
      <c r="O593" s="405">
        <v>222.89642409464736</v>
      </c>
      <c r="P593" s="406">
        <v>215.3853356973768</v>
      </c>
      <c r="Q593" s="406">
        <v>221.82209965296715</v>
      </c>
      <c r="R593" s="406">
        <v>229.51908748807014</v>
      </c>
      <c r="S593" s="405">
        <f t="shared" si="91"/>
        <v>219.8729557284729</v>
      </c>
      <c r="T593" s="406">
        <v>228.09496356537358</v>
      </c>
      <c r="U593" s="406">
        <v>236.84570643936277</v>
      </c>
      <c r="V593" s="405">
        <f t="shared" si="92"/>
        <v>227.49528883677044</v>
      </c>
      <c r="W593" s="406">
        <v>234.32213310399311</v>
      </c>
      <c r="X593" s="406">
        <v>245.4639328961976</v>
      </c>
      <c r="Y593" s="405">
        <f t="shared" si="93"/>
        <v>236.22462647005281</v>
      </c>
      <c r="Z593" s="406">
        <v>240.33561352490483</v>
      </c>
      <c r="AA593" s="406">
        <v>252.67715466573912</v>
      </c>
      <c r="AB593" s="442">
        <f t="shared" si="94"/>
        <v>240.75373817597654</v>
      </c>
      <c r="AC593" s="438">
        <f t="shared" si="95"/>
        <v>247.83353648127388</v>
      </c>
      <c r="AD593" s="410"/>
      <c r="AE593" s="411"/>
      <c r="AF593" s="411"/>
      <c r="AG593" s="411"/>
    </row>
    <row r="594" spans="1:33" x14ac:dyDescent="0.2">
      <c r="A594" s="36" t="s">
        <v>511</v>
      </c>
      <c r="B594" s="18" t="str">
        <f>VLOOKUP(LEFT(A594,7),'Tariff Schedule Lookup Table'!$A$8:$G$186,2,FALSE)</f>
        <v>High Pressure Sodium 250</v>
      </c>
      <c r="C594" s="160">
        <f t="shared" si="98"/>
        <v>470</v>
      </c>
      <c r="D594" s="18">
        <f t="shared" si="99"/>
        <v>2</v>
      </c>
      <c r="E594" s="18" t="str">
        <f>VLOOKUP(C594,'Tariff Schedule Lookup Table'!I$7:L$286,2,FALSE)</f>
        <v>HIGH PRESSURE SODIUM 250W (210/220)</v>
      </c>
      <c r="F594" s="18" t="str">
        <f>IF(E594 = "BULKHEADS ETC", "SHARED OR NO POLE", VLOOKUP(C594,'Tariff Schedule Lookup Table'!I$7:L$286,3,FALSE))</f>
        <v>STEEL POLE</v>
      </c>
      <c r="G594" s="18">
        <f>IF(E594 = "NO CAPITAL", 1, VLOOKUP(C594,'Tariff Schedule Lookup Table'!I$7:L$286,4,FALSE))</f>
        <v>4</v>
      </c>
      <c r="H594" s="18" t="str">
        <f t="shared" ref="H594:H651" si="100">VLOOKUP(D594,A$11:B$15, 2, FALSE)</f>
        <v>2-Unmetered, Funded by Others, CE Maintained</v>
      </c>
      <c r="I594" s="123">
        <f>VLOOKUP(F594,'Maintenance Model'!$A$57:$B$61,2,FALSE)</f>
        <v>9.9616182311111103</v>
      </c>
      <c r="J594" s="123">
        <f>IF(D594=1,VLOOKUP(C594,'Capital Code Schedules'!A$15:F$300,2,FALSE),IF(D594=2,VLOOKUP(C594,'Capital Code Schedules'!A$15:F$300,3,FALSE),0))</f>
        <v>0</v>
      </c>
      <c r="K594" s="123">
        <v>0</v>
      </c>
      <c r="L594" s="123">
        <f>VLOOKUP(LEFT(A594,10),'Streetlight Tariff Schedule'!B$11:H$260,7, FALSE)+I594</f>
        <v>75.787319305969277</v>
      </c>
      <c r="M594" s="161">
        <f t="shared" si="89"/>
        <v>75.787319305969277</v>
      </c>
      <c r="N594" s="405">
        <f t="shared" si="90"/>
        <v>78.945272504416678</v>
      </c>
      <c r="O594" s="405">
        <v>45.722567835524657</v>
      </c>
      <c r="P594" s="406">
        <v>45.722567835524657</v>
      </c>
      <c r="Q594" s="406">
        <v>47.960178286534159</v>
      </c>
      <c r="R594" s="406">
        <v>47.960178286534159</v>
      </c>
      <c r="S594" s="405">
        <f t="shared" si="91"/>
        <v>82.808764324235824</v>
      </c>
      <c r="T594" s="406">
        <v>49.929959645121336</v>
      </c>
      <c r="U594" s="406">
        <v>50.112368325583027</v>
      </c>
      <c r="V594" s="405">
        <f t="shared" si="92"/>
        <v>86.524767977512582</v>
      </c>
      <c r="W594" s="406">
        <v>51.747545336714637</v>
      </c>
      <c r="X594" s="406">
        <v>52.400334620360709</v>
      </c>
      <c r="Y594" s="405">
        <f t="shared" si="93"/>
        <v>90.475204953666108</v>
      </c>
      <c r="Z594" s="406">
        <v>53.242304710386243</v>
      </c>
      <c r="AA594" s="406">
        <v>54.111243839040881</v>
      </c>
      <c r="AB594" s="442">
        <f t="shared" si="94"/>
        <v>92.439126840901437</v>
      </c>
      <c r="AC594" s="438">
        <f t="shared" si="95"/>
        <v>95.202969956348085</v>
      </c>
      <c r="AD594" s="410"/>
      <c r="AE594" s="411"/>
      <c r="AF594" s="411"/>
      <c r="AG594" s="411"/>
    </row>
    <row r="595" spans="1:33" x14ac:dyDescent="0.2">
      <c r="A595" s="36" t="s">
        <v>512</v>
      </c>
      <c r="B595" s="18" t="str">
        <f>VLOOKUP(LEFT(A595,7),'Tariff Schedule Lookup Table'!$A$8:$G$186,2,FALSE)</f>
        <v>High Pressure Sodium 250</v>
      </c>
      <c r="C595" s="160">
        <f t="shared" si="98"/>
        <v>550</v>
      </c>
      <c r="D595" s="18">
        <f t="shared" si="99"/>
        <v>1</v>
      </c>
      <c r="E595" s="18" t="str">
        <f>VLOOKUP(C595,'Tariff Schedule Lookup Table'!I$7:L$286,2,FALSE)</f>
        <v>HIGH PRESSURE SODIUM 250W (210/220)</v>
      </c>
      <c r="F595" s="18" t="str">
        <f>IF(E595 = "BULKHEADS ETC", "SHARED OR NO POLE", VLOOKUP(C595,'Tariff Schedule Lookup Table'!I$7:L$286,3,FALSE))</f>
        <v>R/BOUT COLUMN</v>
      </c>
      <c r="G595" s="18">
        <f>IF(E595 = "NO CAPITAL", 1, VLOOKUP(C595,'Tariff Schedule Lookup Table'!I$7:L$286,4,FALSE))</f>
        <v>3</v>
      </c>
      <c r="H595" s="18" t="str">
        <f t="shared" si="100"/>
        <v>1-Unmetered, CE Funded, CE Maintained</v>
      </c>
      <c r="I595" s="123">
        <f>VLOOKUP(F595,'Maintenance Model'!$A$57:$B$61,2,FALSE)</f>
        <v>9.9616182311111103</v>
      </c>
      <c r="J595" s="123">
        <f>IF(D595=1,VLOOKUP(C595,'Capital Code Schedules'!A$15:F$300,2,FALSE),IF(D595=2,VLOOKUP(C595,'Capital Code Schedules'!A$15:F$300,3,FALSE),0))</f>
        <v>177.78992197571316</v>
      </c>
      <c r="K595" s="123">
        <v>225.52132046744151</v>
      </c>
      <c r="L595" s="123">
        <f>VLOOKUP(LEFT(A595,10),'Streetlight Tariff Schedule'!B$11:H$260,7, FALSE)+I595</f>
        <v>75.787319305969277</v>
      </c>
      <c r="M595" s="161">
        <f t="shared" ref="M595:M658" si="101">IF(VLOOKUP(D595,A$11:D$15,3,FALSE)="Y",IF(VLOOKUP(D595,A$11:D$15,4,FALSE)="Y",K595+L595,K595),IF(VLOOKUP(D595,A$11:D$15,4,FALSE)="Y",L595,0))</f>
        <v>301.30863977341079</v>
      </c>
      <c r="N595" s="405">
        <f t="shared" ref="N595:N658" si="102">($J595+$L595+$L595*$M$10*$M$14)*(1+$M$12)</f>
        <v>261.13549504902875</v>
      </c>
      <c r="O595" s="405">
        <v>287.05662987969981</v>
      </c>
      <c r="P595" s="406">
        <v>276.82554098453534</v>
      </c>
      <c r="Q595" s="406">
        <v>284.78295002098287</v>
      </c>
      <c r="R595" s="406">
        <v>295.26725836630266</v>
      </c>
      <c r="S595" s="405">
        <f t="shared" ref="S595:S658" si="103">($J595+$L595+$L595*$N$10*$N$14)*(1+$N$12)</f>
        <v>269.50819487682702</v>
      </c>
      <c r="T595" s="406">
        <v>292.61409497999767</v>
      </c>
      <c r="U595" s="406">
        <v>304.46770018762487</v>
      </c>
      <c r="V595" s="405">
        <f t="shared" ref="V595:V658" si="104">($J595+$L595+$L595*$O$10*$O$14)*(1+$O$12)</f>
        <v>278.54513230085263</v>
      </c>
      <c r="W595" s="406">
        <v>300.4381130211292</v>
      </c>
      <c r="X595" s="406">
        <v>315.37831223252579</v>
      </c>
      <c r="Y595" s="405">
        <f t="shared" ref="Y595:Y658" si="105">($J595+$L595+$L595*$P$10*$P$14)*(1+$P$12)</f>
        <v>289.00505962756739</v>
      </c>
      <c r="Z595" s="406">
        <v>308.08796394499007</v>
      </c>
      <c r="AA595" s="406">
        <v>324.58409381315272</v>
      </c>
      <c r="AB595" s="442">
        <f t="shared" ref="AB595:AB658" si="106">($J595+$L595+$L595*$Q$10*$Q$14)*(1+$Q$12)</f>
        <v>294.46310695706342</v>
      </c>
      <c r="AC595" s="438">
        <f t="shared" ref="AC595:AC658" si="107">($J595+$L595+$L595*$R$10*$R$14)*(1+$R$12)</f>
        <v>303.10584789389031</v>
      </c>
      <c r="AD595" s="410"/>
      <c r="AE595" s="411"/>
      <c r="AF595" s="411"/>
      <c r="AG595" s="411"/>
    </row>
    <row r="596" spans="1:33" x14ac:dyDescent="0.2">
      <c r="A596" s="36" t="s">
        <v>513</v>
      </c>
      <c r="B596" s="18" t="str">
        <f>VLOOKUP(LEFT(A596,7),'Tariff Schedule Lookup Table'!$A$8:$G$186,2,FALSE)</f>
        <v>High Pressure Sodium 250</v>
      </c>
      <c r="C596" s="160">
        <f t="shared" si="98"/>
        <v>550</v>
      </c>
      <c r="D596" s="18">
        <f t="shared" si="99"/>
        <v>2</v>
      </c>
      <c r="E596" s="18" t="str">
        <f>VLOOKUP(C596,'Tariff Schedule Lookup Table'!I$7:L$286,2,FALSE)</f>
        <v>HIGH PRESSURE SODIUM 250W (210/220)</v>
      </c>
      <c r="F596" s="18" t="str">
        <f>IF(E596 = "BULKHEADS ETC", "SHARED OR NO POLE", VLOOKUP(C596,'Tariff Schedule Lookup Table'!I$7:L$286,3,FALSE))</f>
        <v>R/BOUT COLUMN</v>
      </c>
      <c r="G596" s="18">
        <f>IF(E596 = "NO CAPITAL", 1, VLOOKUP(C596,'Tariff Schedule Lookup Table'!I$7:L$286,4,FALSE))</f>
        <v>3</v>
      </c>
      <c r="H596" s="18" t="str">
        <f t="shared" si="100"/>
        <v>2-Unmetered, Funded by Others, CE Maintained</v>
      </c>
      <c r="I596" s="123">
        <f>VLOOKUP(F596,'Maintenance Model'!$A$57:$B$61,2,FALSE)</f>
        <v>9.9616182311111103</v>
      </c>
      <c r="J596" s="123">
        <f>IF(D596=1,VLOOKUP(C596,'Capital Code Schedules'!A$15:F$300,2,FALSE),IF(D596=2,VLOOKUP(C596,'Capital Code Schedules'!A$15:F$300,3,FALSE),0))</f>
        <v>0</v>
      </c>
      <c r="K596" s="123">
        <v>0</v>
      </c>
      <c r="L596" s="123">
        <f>VLOOKUP(LEFT(A596,10),'Streetlight Tariff Schedule'!B$11:H$260,7, FALSE)+I596</f>
        <v>75.787319305969277</v>
      </c>
      <c r="M596" s="161">
        <f t="shared" si="101"/>
        <v>75.787319305969277</v>
      </c>
      <c r="N596" s="405">
        <f t="shared" si="102"/>
        <v>78.945272504416678</v>
      </c>
      <c r="O596" s="405">
        <v>45.722567835524657</v>
      </c>
      <c r="P596" s="406">
        <v>45.722567835524657</v>
      </c>
      <c r="Q596" s="406">
        <v>47.960178286534159</v>
      </c>
      <c r="R596" s="406">
        <v>47.960178286534159</v>
      </c>
      <c r="S596" s="405">
        <f t="shared" si="103"/>
        <v>82.808764324235824</v>
      </c>
      <c r="T596" s="406">
        <v>49.929959645121336</v>
      </c>
      <c r="U596" s="406">
        <v>50.112368325583027</v>
      </c>
      <c r="V596" s="405">
        <f t="shared" si="104"/>
        <v>86.524767977512582</v>
      </c>
      <c r="W596" s="406">
        <v>51.747545336714637</v>
      </c>
      <c r="X596" s="406">
        <v>52.400334620360709</v>
      </c>
      <c r="Y596" s="405">
        <f t="shared" si="105"/>
        <v>90.475204953666108</v>
      </c>
      <c r="Z596" s="406">
        <v>53.242304710386243</v>
      </c>
      <c r="AA596" s="406">
        <v>54.111243839040881</v>
      </c>
      <c r="AB596" s="442">
        <f t="shared" si="106"/>
        <v>92.439126840901437</v>
      </c>
      <c r="AC596" s="438">
        <f t="shared" si="107"/>
        <v>95.202969956348085</v>
      </c>
      <c r="AD596" s="410"/>
      <c r="AE596" s="411"/>
      <c r="AF596" s="411"/>
      <c r="AG596" s="411"/>
    </row>
    <row r="597" spans="1:33" x14ac:dyDescent="0.2">
      <c r="A597" s="36" t="s">
        <v>514</v>
      </c>
      <c r="B597" s="18" t="str">
        <f>VLOOKUP(LEFT(A597,7),'Tariff Schedule Lookup Table'!$A$8:$G$186,2,FALSE)</f>
        <v>High Pressure Sodium 250</v>
      </c>
      <c r="C597" s="160">
        <f t="shared" si="98"/>
        <v>590</v>
      </c>
      <c r="D597" s="18">
        <f t="shared" si="99"/>
        <v>1</v>
      </c>
      <c r="E597" s="18" t="str">
        <f>VLOOKUP(C597,'Tariff Schedule Lookup Table'!I$7:L$286,2,FALSE)</f>
        <v>HIGH PRESSURE SODIUM 250W (210/220)</v>
      </c>
      <c r="F597" s="18" t="str">
        <f>IF(E597 = "BULKHEADS ETC", "SHARED OR NO POLE", VLOOKUP(C597,'Tariff Schedule Lookup Table'!I$7:L$286,3,FALSE))</f>
        <v>R/BOUT COLUMN</v>
      </c>
      <c r="G597" s="18">
        <f>IF(E597 = "NO CAPITAL", 1, VLOOKUP(C597,'Tariff Schedule Lookup Table'!I$7:L$286,4,FALSE))</f>
        <v>4</v>
      </c>
      <c r="H597" s="18" t="str">
        <f t="shared" si="100"/>
        <v>1-Unmetered, CE Funded, CE Maintained</v>
      </c>
      <c r="I597" s="123">
        <f>VLOOKUP(F597,'Maintenance Model'!$A$57:$B$61,2,FALSE)</f>
        <v>9.9616182311111103</v>
      </c>
      <c r="J597" s="123">
        <f>IF(D597=1,VLOOKUP(C597,'Capital Code Schedules'!A$15:F$300,2,FALSE),IF(D597=2,VLOOKUP(C597,'Capital Code Schedules'!A$15:F$300,3,FALSE),0))</f>
        <v>190.52352832998582</v>
      </c>
      <c r="K597" s="123">
        <v>241.67352801338137</v>
      </c>
      <c r="L597" s="123">
        <f>VLOOKUP(LEFT(A597,10),'Streetlight Tariff Schedule'!B$11:H$260,7, FALSE)+I597</f>
        <v>75.787319305969277</v>
      </c>
      <c r="M597" s="161">
        <f t="shared" si="101"/>
        <v>317.46084731935065</v>
      </c>
      <c r="N597" s="405">
        <f t="shared" si="102"/>
        <v>274.18425816056964</v>
      </c>
      <c r="O597" s="405">
        <v>304.3413719606819</v>
      </c>
      <c r="P597" s="406">
        <v>293.37751566723722</v>
      </c>
      <c r="Q597" s="406">
        <v>301.74458607708164</v>
      </c>
      <c r="R597" s="406">
        <v>312.97979781378905</v>
      </c>
      <c r="S597" s="405">
        <f t="shared" si="103"/>
        <v>282.87991487537863</v>
      </c>
      <c r="T597" s="406">
        <v>309.99553152848489</v>
      </c>
      <c r="U597" s="406">
        <v>322.68504700936467</v>
      </c>
      <c r="V597" s="405">
        <f t="shared" si="104"/>
        <v>292.29794631936289</v>
      </c>
      <c r="W597" s="406">
        <v>318.24974012419142</v>
      </c>
      <c r="X597" s="406">
        <v>334.21322711152249</v>
      </c>
      <c r="Y597" s="405">
        <f t="shared" si="105"/>
        <v>303.22409404130514</v>
      </c>
      <c r="Z597" s="406">
        <v>326.34042881885307</v>
      </c>
      <c r="AA597" s="406">
        <v>343.95580376620086</v>
      </c>
      <c r="AB597" s="442">
        <f t="shared" si="106"/>
        <v>308.93239637648298</v>
      </c>
      <c r="AC597" s="438">
        <f t="shared" si="107"/>
        <v>317.99619363541501</v>
      </c>
      <c r="AD597" s="410"/>
      <c r="AE597" s="411"/>
      <c r="AF597" s="411"/>
      <c r="AG597" s="411"/>
    </row>
    <row r="598" spans="1:33" x14ac:dyDescent="0.2">
      <c r="A598" s="36" t="s">
        <v>515</v>
      </c>
      <c r="B598" s="18" t="str">
        <f>VLOOKUP(LEFT(A598,7),'Tariff Schedule Lookup Table'!$A$8:$G$186,2,FALSE)</f>
        <v>High Pressure Sodium 250</v>
      </c>
      <c r="C598" s="160">
        <f t="shared" si="98"/>
        <v>590</v>
      </c>
      <c r="D598" s="18">
        <f t="shared" si="99"/>
        <v>2</v>
      </c>
      <c r="E598" s="18" t="str">
        <f>VLOOKUP(C598,'Tariff Schedule Lookup Table'!I$7:L$286,2,FALSE)</f>
        <v>HIGH PRESSURE SODIUM 250W (210/220)</v>
      </c>
      <c r="F598" s="18" t="str">
        <f>IF(E598 = "BULKHEADS ETC", "SHARED OR NO POLE", VLOOKUP(C598,'Tariff Schedule Lookup Table'!I$7:L$286,3,FALSE))</f>
        <v>R/BOUT COLUMN</v>
      </c>
      <c r="G598" s="18">
        <f>IF(E598 = "NO CAPITAL", 1, VLOOKUP(C598,'Tariff Schedule Lookup Table'!I$7:L$286,4,FALSE))</f>
        <v>4</v>
      </c>
      <c r="H598" s="18" t="str">
        <f t="shared" si="100"/>
        <v>2-Unmetered, Funded by Others, CE Maintained</v>
      </c>
      <c r="I598" s="123">
        <f>VLOOKUP(F598,'Maintenance Model'!$A$57:$B$61,2,FALSE)</f>
        <v>9.9616182311111103</v>
      </c>
      <c r="J598" s="123">
        <f>IF(D598=1,VLOOKUP(C598,'Capital Code Schedules'!A$15:F$300,2,FALSE),IF(D598=2,VLOOKUP(C598,'Capital Code Schedules'!A$15:F$300,3,FALSE),0))</f>
        <v>0</v>
      </c>
      <c r="K598" s="123">
        <v>0</v>
      </c>
      <c r="L598" s="123">
        <f>VLOOKUP(LEFT(A598,10),'Streetlight Tariff Schedule'!B$11:H$260,7, FALSE)+I598</f>
        <v>75.787319305969277</v>
      </c>
      <c r="M598" s="161">
        <f t="shared" si="101"/>
        <v>75.787319305969277</v>
      </c>
      <c r="N598" s="405">
        <f t="shared" si="102"/>
        <v>78.945272504416678</v>
      </c>
      <c r="O598" s="405">
        <v>45.722567835524657</v>
      </c>
      <c r="P598" s="406">
        <v>45.722567835524657</v>
      </c>
      <c r="Q598" s="406">
        <v>47.960178286534159</v>
      </c>
      <c r="R598" s="406">
        <v>47.960178286534159</v>
      </c>
      <c r="S598" s="405">
        <f t="shared" si="103"/>
        <v>82.808764324235824</v>
      </c>
      <c r="T598" s="406">
        <v>49.929959645121336</v>
      </c>
      <c r="U598" s="406">
        <v>50.112368325583027</v>
      </c>
      <c r="V598" s="405">
        <f t="shared" si="104"/>
        <v>86.524767977512582</v>
      </c>
      <c r="W598" s="406">
        <v>51.747545336714637</v>
      </c>
      <c r="X598" s="406">
        <v>52.400334620360709</v>
      </c>
      <c r="Y598" s="405">
        <f t="shared" si="105"/>
        <v>90.475204953666108</v>
      </c>
      <c r="Z598" s="406">
        <v>53.242304710386243</v>
      </c>
      <c r="AA598" s="406">
        <v>54.111243839040881</v>
      </c>
      <c r="AB598" s="442">
        <f t="shared" si="106"/>
        <v>92.439126840901437</v>
      </c>
      <c r="AC598" s="438">
        <f t="shared" si="107"/>
        <v>95.202969956348085</v>
      </c>
      <c r="AD598" s="410"/>
      <c r="AE598" s="411"/>
      <c r="AF598" s="411"/>
      <c r="AG598" s="411"/>
    </row>
    <row r="599" spans="1:33" x14ac:dyDescent="0.2">
      <c r="A599" s="36" t="s">
        <v>516</v>
      </c>
      <c r="B599" s="18" t="str">
        <f>VLOOKUP(LEFT(A599,7),'Tariff Schedule Lookup Table'!$A$8:$G$186,2,FALSE)</f>
        <v>High Pressure Sodium 250</v>
      </c>
      <c r="C599" s="160">
        <f t="shared" si="98"/>
        <v>610</v>
      </c>
      <c r="D599" s="18">
        <f t="shared" si="99"/>
        <v>1</v>
      </c>
      <c r="E599" s="18" t="str">
        <f>VLOOKUP(C599,'Tariff Schedule Lookup Table'!I$7:L$286,2,FALSE)</f>
        <v>METAL HALIDE/HPS 250W FLOOD (210/220)</v>
      </c>
      <c r="F599" s="18" t="str">
        <f>IF(E599 = "BULKHEADS ETC", "SHARED OR NO POLE", VLOOKUP(C599,'Tariff Schedule Lookup Table'!I$7:L$286,3,FALSE))</f>
        <v>SHARED OR NO POLE</v>
      </c>
      <c r="G599" s="18">
        <f>IF(E599 = "NO CAPITAL", 1, VLOOKUP(C599,'Tariff Schedule Lookup Table'!I$7:L$286,4,FALSE))</f>
        <v>1</v>
      </c>
      <c r="H599" s="18" t="str">
        <f t="shared" si="100"/>
        <v>1-Unmetered, CE Funded, CE Maintained</v>
      </c>
      <c r="I599" s="123">
        <f>VLOOKUP(F599,'Maintenance Model'!$A$57:$B$61,2,FALSE)</f>
        <v>0</v>
      </c>
      <c r="J599" s="123">
        <f>IF(D599=1,VLOOKUP(C599,'Capital Code Schedules'!A$15:F$300,2,FALSE),IF(D599=2,VLOOKUP(C599,'Capital Code Schedules'!A$15:F$300,3,FALSE),0))</f>
        <v>37.215587737644988</v>
      </c>
      <c r="K599" s="123">
        <v>47.206885493274058</v>
      </c>
      <c r="L599" s="123">
        <f>VLOOKUP(LEFT(A599,10),'Streetlight Tariff Schedule'!B$11:H$260,7, FALSE)+I599</f>
        <v>65.825701074858159</v>
      </c>
      <c r="M599" s="161">
        <f t="shared" si="101"/>
        <v>113.03258656813222</v>
      </c>
      <c r="N599" s="405">
        <f t="shared" si="102"/>
        <v>106.70524089789599</v>
      </c>
      <c r="O599" s="405">
        <v>86.645314636825745</v>
      </c>
      <c r="P599" s="406">
        <v>84.503708508658079</v>
      </c>
      <c r="Q599" s="406">
        <v>87.469081459053328</v>
      </c>
      <c r="R599" s="406">
        <v>89.663692338893142</v>
      </c>
      <c r="S599" s="405">
        <f t="shared" si="103"/>
        <v>111.00479124374542</v>
      </c>
      <c r="T599" s="406">
        <v>90.252457634972089</v>
      </c>
      <c r="U599" s="406">
        <v>92.839645236285335</v>
      </c>
      <c r="V599" s="405">
        <f t="shared" si="104"/>
        <v>115.34615270830268</v>
      </c>
      <c r="W599" s="406">
        <v>92.945940137273311</v>
      </c>
      <c r="X599" s="406">
        <v>96.452441485524972</v>
      </c>
      <c r="Y599" s="405">
        <f t="shared" si="105"/>
        <v>120.13992585130417</v>
      </c>
      <c r="Z599" s="406">
        <v>95.41545386537598</v>
      </c>
      <c r="AA599" s="406">
        <v>99.373197083625826</v>
      </c>
      <c r="AB599" s="442">
        <f t="shared" si="106"/>
        <v>122.57710855404686</v>
      </c>
      <c r="AC599" s="438">
        <f t="shared" si="107"/>
        <v>126.20825805465434</v>
      </c>
      <c r="AD599" s="410"/>
      <c r="AE599" s="411"/>
      <c r="AF599" s="411"/>
      <c r="AG599" s="411"/>
    </row>
    <row r="600" spans="1:33" x14ac:dyDescent="0.2">
      <c r="A600" s="36" t="s">
        <v>517</v>
      </c>
      <c r="B600" s="18" t="str">
        <f>VLOOKUP(LEFT(A600,7),'Tariff Schedule Lookup Table'!$A$8:$G$186,2,FALSE)</f>
        <v>High Pressure Sodium 250</v>
      </c>
      <c r="C600" s="160">
        <f t="shared" si="98"/>
        <v>610</v>
      </c>
      <c r="D600" s="18">
        <f t="shared" si="99"/>
        <v>2</v>
      </c>
      <c r="E600" s="18" t="str">
        <f>VLOOKUP(C600,'Tariff Schedule Lookup Table'!I$7:L$286,2,FALSE)</f>
        <v>METAL HALIDE/HPS 250W FLOOD (210/220)</v>
      </c>
      <c r="F600" s="18" t="str">
        <f>IF(E600 = "BULKHEADS ETC", "SHARED OR NO POLE", VLOOKUP(C600,'Tariff Schedule Lookup Table'!I$7:L$286,3,FALSE))</f>
        <v>SHARED OR NO POLE</v>
      </c>
      <c r="G600" s="18">
        <f>IF(E600 = "NO CAPITAL", 1, VLOOKUP(C600,'Tariff Schedule Lookup Table'!I$7:L$286,4,FALSE))</f>
        <v>1</v>
      </c>
      <c r="H600" s="18" t="str">
        <f t="shared" si="100"/>
        <v>2-Unmetered, Funded by Others, CE Maintained</v>
      </c>
      <c r="I600" s="123">
        <f>VLOOKUP(F600,'Maintenance Model'!$A$57:$B$61,2,FALSE)</f>
        <v>0</v>
      </c>
      <c r="J600" s="123">
        <f>IF(D600=1,VLOOKUP(C600,'Capital Code Schedules'!A$15:F$300,2,FALSE),IF(D600=2,VLOOKUP(C600,'Capital Code Schedules'!A$15:F$300,3,FALSE),0))</f>
        <v>0</v>
      </c>
      <c r="K600" s="123">
        <v>0</v>
      </c>
      <c r="L600" s="123">
        <f>VLOOKUP(LEFT(A600,10),'Streetlight Tariff Schedule'!B$11:H$260,7, FALSE)+I600</f>
        <v>65.825701074858159</v>
      </c>
      <c r="M600" s="161">
        <f t="shared" si="101"/>
        <v>65.825701074858159</v>
      </c>
      <c r="N600" s="405">
        <f t="shared" si="102"/>
        <v>68.568567363744279</v>
      </c>
      <c r="O600" s="405">
        <v>36.128452599425493</v>
      </c>
      <c r="P600" s="406">
        <v>36.128452599425493</v>
      </c>
      <c r="Q600" s="406">
        <v>37.896537966067243</v>
      </c>
      <c r="R600" s="406">
        <v>37.896537966067243</v>
      </c>
      <c r="S600" s="405">
        <f t="shared" si="103"/>
        <v>71.92423503962344</v>
      </c>
      <c r="T600" s="406">
        <v>39.452993690534583</v>
      </c>
      <c r="U600" s="406">
        <v>39.597126963833894</v>
      </c>
      <c r="V600" s="405">
        <f t="shared" si="104"/>
        <v>75.151800652363235</v>
      </c>
      <c r="W600" s="406">
        <v>40.889189460210986</v>
      </c>
      <c r="X600" s="406">
        <v>41.405001843637443</v>
      </c>
      <c r="Y600" s="405">
        <f t="shared" si="105"/>
        <v>78.582985260668394</v>
      </c>
      <c r="Z600" s="406">
        <v>42.070298609056358</v>
      </c>
      <c r="AA600" s="406">
        <v>42.75690541194448</v>
      </c>
      <c r="AB600" s="442">
        <f t="shared" si="106"/>
        <v>80.288765809015871</v>
      </c>
      <c r="AC600" s="438">
        <f t="shared" si="107"/>
        <v>82.689324535742955</v>
      </c>
      <c r="AD600" s="410"/>
      <c r="AE600" s="411"/>
      <c r="AF600" s="411"/>
      <c r="AG600" s="411"/>
    </row>
    <row r="601" spans="1:33" x14ac:dyDescent="0.2">
      <c r="A601" s="36" t="s">
        <v>518</v>
      </c>
      <c r="B601" s="18" t="str">
        <f>VLOOKUP(LEFT(A601,7),'Tariff Schedule Lookup Table'!$A$8:$G$186,2,FALSE)</f>
        <v>High Pressure Sodium 250</v>
      </c>
      <c r="C601" s="160">
        <f t="shared" si="98"/>
        <v>650</v>
      </c>
      <c r="D601" s="18">
        <f t="shared" si="99"/>
        <v>2</v>
      </c>
      <c r="E601" s="18" t="str">
        <f>VLOOKUP(C601,'Tariff Schedule Lookup Table'!I$7:L$286,2,FALSE)</f>
        <v>METAL HALIDE/HPS 250W FLOOD (210/220)</v>
      </c>
      <c r="F601" s="18" t="str">
        <f>IF(E601 = "BULKHEADS ETC", "SHARED OR NO POLE", VLOOKUP(C601,'Tariff Schedule Lookup Table'!I$7:L$286,3,FALSE))</f>
        <v>SHARED OR NO POLE</v>
      </c>
      <c r="G601" s="18">
        <f>IF(E601 = "NO CAPITAL", 1, VLOOKUP(C601,'Tariff Schedule Lookup Table'!I$7:L$286,4,FALSE))</f>
        <v>2</v>
      </c>
      <c r="H601" s="18" t="str">
        <f t="shared" si="100"/>
        <v>2-Unmetered, Funded by Others, CE Maintained</v>
      </c>
      <c r="I601" s="123">
        <f>VLOOKUP(F601,'Maintenance Model'!$A$57:$B$61,2,FALSE)</f>
        <v>0</v>
      </c>
      <c r="J601" s="123">
        <f>IF(D601=1,VLOOKUP(C601,'Capital Code Schedules'!A$15:F$300,2,FALSE),IF(D601=2,VLOOKUP(C601,'Capital Code Schedules'!A$15:F$300,3,FALSE),0))</f>
        <v>0</v>
      </c>
      <c r="K601" s="123">
        <v>0</v>
      </c>
      <c r="L601" s="123">
        <f>VLOOKUP(LEFT(A601,10),'Streetlight Tariff Schedule'!B$11:H$260,7, FALSE)+I601</f>
        <v>65.825701074858159</v>
      </c>
      <c r="M601" s="161">
        <f t="shared" si="101"/>
        <v>65.825701074858159</v>
      </c>
      <c r="N601" s="405">
        <f t="shared" si="102"/>
        <v>68.568567363744279</v>
      </c>
      <c r="O601" s="405">
        <v>36.128452599425493</v>
      </c>
      <c r="P601" s="406">
        <v>36.128452599425493</v>
      </c>
      <c r="Q601" s="406">
        <v>37.896537966067243</v>
      </c>
      <c r="R601" s="406">
        <v>37.896537966067243</v>
      </c>
      <c r="S601" s="405">
        <f t="shared" si="103"/>
        <v>71.92423503962344</v>
      </c>
      <c r="T601" s="406">
        <v>39.452993690534583</v>
      </c>
      <c r="U601" s="406">
        <v>39.597126963833894</v>
      </c>
      <c r="V601" s="405">
        <f t="shared" si="104"/>
        <v>75.151800652363235</v>
      </c>
      <c r="W601" s="406">
        <v>40.889189460210986</v>
      </c>
      <c r="X601" s="406">
        <v>41.405001843637443</v>
      </c>
      <c r="Y601" s="405">
        <f t="shared" si="105"/>
        <v>78.582985260668394</v>
      </c>
      <c r="Z601" s="406">
        <v>42.070298609056358</v>
      </c>
      <c r="AA601" s="406">
        <v>42.75690541194448</v>
      </c>
      <c r="AB601" s="442">
        <f t="shared" si="106"/>
        <v>80.288765809015871</v>
      </c>
      <c r="AC601" s="438">
        <f t="shared" si="107"/>
        <v>82.689324535742955</v>
      </c>
      <c r="AD601" s="410"/>
      <c r="AE601" s="411"/>
      <c r="AF601" s="411"/>
      <c r="AG601" s="411"/>
    </row>
    <row r="602" spans="1:33" x14ac:dyDescent="0.2">
      <c r="A602" s="36" t="s">
        <v>519</v>
      </c>
      <c r="B602" s="18" t="str">
        <f>VLOOKUP(LEFT(A602,7),'Tariff Schedule Lookup Table'!$A$8:$G$186,2,FALSE)</f>
        <v>High Pressure Sodium 250</v>
      </c>
      <c r="C602" s="160">
        <f t="shared" si="98"/>
        <v>760</v>
      </c>
      <c r="D602" s="18">
        <f t="shared" si="99"/>
        <v>1</v>
      </c>
      <c r="E602" s="18" t="str">
        <f>VLOOKUP(C602,'Tariff Schedule Lookup Table'!I$7:L$286,2,FALSE)</f>
        <v>HIGH PRESSURE SODIUM 250W (210/220)</v>
      </c>
      <c r="F602" s="18" t="str">
        <f>IF(E602 = "BULKHEADS ETC", "SHARED OR NO POLE", VLOOKUP(C602,'Tariff Schedule Lookup Table'!I$7:L$286,3,FALSE))</f>
        <v>WOOD POLE</v>
      </c>
      <c r="G602" s="18">
        <f>IF(E602 = "NO CAPITAL", 1, VLOOKUP(C602,'Tariff Schedule Lookup Table'!I$7:L$286,4,FALSE))</f>
        <v>2</v>
      </c>
      <c r="H602" s="18" t="str">
        <f t="shared" si="100"/>
        <v>1-Unmetered, CE Funded, CE Maintained</v>
      </c>
      <c r="I602" s="123">
        <f>VLOOKUP(F602,'Maintenance Model'!$A$57:$B$61,2,FALSE)</f>
        <v>10.731618231111112</v>
      </c>
      <c r="J602" s="123">
        <f>IF(D602=1,VLOOKUP(C602,'Capital Code Schedules'!A$15:F$300,2,FALSE),IF(D602=2,VLOOKUP(C602,'Capital Code Schedules'!A$15:F$300,3,FALSE),0))</f>
        <v>78.772854852678023</v>
      </c>
      <c r="K602" s="123">
        <v>99.921064399774139</v>
      </c>
      <c r="L602" s="123">
        <f>VLOOKUP(LEFT(A602,10),'Streetlight Tariff Schedule'!B$11:H$260,7, FALSE)+I602</f>
        <v>76.557319305969273</v>
      </c>
      <c r="M602" s="161">
        <f t="shared" si="101"/>
        <v>176.4783837057434</v>
      </c>
      <c r="N602" s="405">
        <f t="shared" si="102"/>
        <v>160.46984035402349</v>
      </c>
      <c r="O602" s="405">
        <v>153.45182171320448</v>
      </c>
      <c r="P602" s="406">
        <v>148.91876341851821</v>
      </c>
      <c r="Q602" s="406">
        <v>153.72988122993297</v>
      </c>
      <c r="R602" s="406">
        <v>158.37513271741273</v>
      </c>
      <c r="S602" s="405">
        <f t="shared" si="103"/>
        <v>166.37046674784659</v>
      </c>
      <c r="T602" s="406">
        <v>158.33119436890499</v>
      </c>
      <c r="U602" s="406">
        <v>163.6879254640159</v>
      </c>
      <c r="V602" s="405">
        <f t="shared" si="104"/>
        <v>172.48175542647047</v>
      </c>
      <c r="W602" s="406">
        <v>162.8419171409785</v>
      </c>
      <c r="X602" s="406">
        <v>169.8364383899974</v>
      </c>
      <c r="Y602" s="405">
        <f t="shared" si="105"/>
        <v>179.35646952135465</v>
      </c>
      <c r="Z602" s="406">
        <v>167.09001643011669</v>
      </c>
      <c r="AA602" s="406">
        <v>174.89809203855285</v>
      </c>
      <c r="AB602" s="442">
        <f t="shared" si="106"/>
        <v>182.8884767012045</v>
      </c>
      <c r="AC602" s="438">
        <f t="shared" si="107"/>
        <v>188.28514636196829</v>
      </c>
      <c r="AD602" s="410"/>
      <c r="AE602" s="411"/>
      <c r="AF602" s="411"/>
      <c r="AG602" s="411"/>
    </row>
    <row r="603" spans="1:33" x14ac:dyDescent="0.2">
      <c r="A603" s="36" t="s">
        <v>520</v>
      </c>
      <c r="B603" s="18" t="str">
        <f>VLOOKUP(LEFT(A603,7),'Tariff Schedule Lookup Table'!$A$8:$G$186,2,FALSE)</f>
        <v>High Pressure Sodium 250</v>
      </c>
      <c r="C603" s="160">
        <f t="shared" si="98"/>
        <v>760</v>
      </c>
      <c r="D603" s="18">
        <f t="shared" si="99"/>
        <v>2</v>
      </c>
      <c r="E603" s="18" t="str">
        <f>VLOOKUP(C603,'Tariff Schedule Lookup Table'!I$7:L$286,2,FALSE)</f>
        <v>HIGH PRESSURE SODIUM 250W (210/220)</v>
      </c>
      <c r="F603" s="18" t="str">
        <f>IF(E603 = "BULKHEADS ETC", "SHARED OR NO POLE", VLOOKUP(C603,'Tariff Schedule Lookup Table'!I$7:L$286,3,FALSE))</f>
        <v>WOOD POLE</v>
      </c>
      <c r="G603" s="18">
        <f>IF(E603 = "NO CAPITAL", 1, VLOOKUP(C603,'Tariff Schedule Lookup Table'!I$7:L$286,4,FALSE))</f>
        <v>2</v>
      </c>
      <c r="H603" s="18" t="str">
        <f t="shared" si="100"/>
        <v>2-Unmetered, Funded by Others, CE Maintained</v>
      </c>
      <c r="I603" s="123">
        <f>VLOOKUP(F603,'Maintenance Model'!$A$57:$B$61,2,FALSE)</f>
        <v>10.731618231111112</v>
      </c>
      <c r="J603" s="123">
        <f>IF(D603=1,VLOOKUP(C603,'Capital Code Schedules'!A$15:F$300,2,FALSE),IF(D603=2,VLOOKUP(C603,'Capital Code Schedules'!A$15:F$300,3,FALSE),0))</f>
        <v>0</v>
      </c>
      <c r="K603" s="123">
        <v>0</v>
      </c>
      <c r="L603" s="123">
        <f>VLOOKUP(LEFT(A603,10),'Streetlight Tariff Schedule'!B$11:H$260,7, FALSE)+I603</f>
        <v>76.557319305969273</v>
      </c>
      <c r="M603" s="161">
        <f t="shared" si="101"/>
        <v>76.557319305969273</v>
      </c>
      <c r="N603" s="405">
        <f t="shared" si="102"/>
        <v>79.747357343741669</v>
      </c>
      <c r="O603" s="405">
        <v>46.524652674849662</v>
      </c>
      <c r="P603" s="406">
        <v>46.524652674849662</v>
      </c>
      <c r="Q603" s="406">
        <v>48.80151624535862</v>
      </c>
      <c r="R603" s="406">
        <v>48.80151624535862</v>
      </c>
      <c r="S603" s="405">
        <f t="shared" si="103"/>
        <v>83.650102283060278</v>
      </c>
      <c r="T603" s="406">
        <v>50.805852350962439</v>
      </c>
      <c r="U603" s="406">
        <v>50.991460922508246</v>
      </c>
      <c r="V603" s="405">
        <f t="shared" si="104"/>
        <v>87.4038605744378</v>
      </c>
      <c r="W603" s="406">
        <v>52.65532290809184</v>
      </c>
      <c r="X603" s="406">
        <v>53.319563700532647</v>
      </c>
      <c r="Y603" s="405">
        <f t="shared" si="105"/>
        <v>91.394434033838039</v>
      </c>
      <c r="Z603" s="406">
        <v>54.176303989966136</v>
      </c>
      <c r="AA603" s="406">
        <v>55.060486420438323</v>
      </c>
      <c r="AB603" s="442">
        <f t="shared" si="106"/>
        <v>93.378309389107585</v>
      </c>
      <c r="AC603" s="438">
        <f t="shared" si="107"/>
        <v>96.170233181089344</v>
      </c>
      <c r="AD603" s="410"/>
      <c r="AE603" s="411"/>
      <c r="AF603" s="411"/>
      <c r="AG603" s="411"/>
    </row>
    <row r="604" spans="1:33" x14ac:dyDescent="0.2">
      <c r="A604" s="36" t="s">
        <v>521</v>
      </c>
      <c r="B604" s="18" t="str">
        <f>VLOOKUP(LEFT(A604,7),'Tariff Schedule Lookup Table'!$A$8:$G$186,2,FALSE)</f>
        <v>High Pressure Sodium 250</v>
      </c>
      <c r="C604" s="160">
        <f t="shared" si="98"/>
        <v>930</v>
      </c>
      <c r="D604" s="18">
        <f t="shared" si="99"/>
        <v>2</v>
      </c>
      <c r="E604" s="18" t="str">
        <f>VLOOKUP(C604,'Tariff Schedule Lookup Table'!I$7:L$286,2,FALSE)</f>
        <v>HIGH PRESSURE SODIUM 250W (210/220)</v>
      </c>
      <c r="F604" s="18" t="str">
        <f>IF(E604 = "BULKHEADS ETC", "SHARED OR NO POLE", VLOOKUP(C604,'Tariff Schedule Lookup Table'!I$7:L$286,3,FALSE))</f>
        <v>WOOD POLE</v>
      </c>
      <c r="G604" s="18">
        <f>IF(E604 = "NO CAPITAL", 1, VLOOKUP(C604,'Tariff Schedule Lookup Table'!I$7:L$286,4,FALSE))</f>
        <v>3</v>
      </c>
      <c r="H604" s="18" t="str">
        <f t="shared" si="100"/>
        <v>2-Unmetered, Funded by Others, CE Maintained</v>
      </c>
      <c r="I604" s="123">
        <f>VLOOKUP(F604,'Maintenance Model'!$A$57:$B$61,2,FALSE)</f>
        <v>10.731618231111112</v>
      </c>
      <c r="J604" s="123">
        <f>IF(D604=1,VLOOKUP(C604,'Capital Code Schedules'!A$15:F$300,2,FALSE),IF(D604=2,VLOOKUP(C604,'Capital Code Schedules'!A$15:F$300,3,FALSE),0))</f>
        <v>0</v>
      </c>
      <c r="K604" s="123">
        <v>0</v>
      </c>
      <c r="L604" s="123">
        <f>VLOOKUP(LEFT(A604,10),'Streetlight Tariff Schedule'!B$11:H$260,7, FALSE)+I604</f>
        <v>76.557319305969273</v>
      </c>
      <c r="M604" s="161">
        <f t="shared" si="101"/>
        <v>76.557319305969273</v>
      </c>
      <c r="N604" s="405">
        <f t="shared" si="102"/>
        <v>79.747357343741669</v>
      </c>
      <c r="O604" s="405">
        <v>46.524652674849662</v>
      </c>
      <c r="P604" s="406">
        <v>46.524652674849662</v>
      </c>
      <c r="Q604" s="406">
        <v>48.80151624535862</v>
      </c>
      <c r="R604" s="406">
        <v>48.80151624535862</v>
      </c>
      <c r="S604" s="405">
        <f t="shared" si="103"/>
        <v>83.650102283060278</v>
      </c>
      <c r="T604" s="406">
        <v>50.805852350962439</v>
      </c>
      <c r="U604" s="406">
        <v>50.991460922508246</v>
      </c>
      <c r="V604" s="405">
        <f t="shared" si="104"/>
        <v>87.4038605744378</v>
      </c>
      <c r="W604" s="406">
        <v>52.65532290809184</v>
      </c>
      <c r="X604" s="406">
        <v>53.319563700532647</v>
      </c>
      <c r="Y604" s="405">
        <f t="shared" si="105"/>
        <v>91.394434033838039</v>
      </c>
      <c r="Z604" s="406">
        <v>54.176303989966136</v>
      </c>
      <c r="AA604" s="406">
        <v>55.060486420438323</v>
      </c>
      <c r="AB604" s="442">
        <f t="shared" si="106"/>
        <v>93.378309389107585</v>
      </c>
      <c r="AC604" s="438">
        <f t="shared" si="107"/>
        <v>96.170233181089344</v>
      </c>
      <c r="AD604" s="410"/>
      <c r="AE604" s="411"/>
      <c r="AF604" s="411"/>
      <c r="AG604" s="411"/>
    </row>
    <row r="605" spans="1:33" x14ac:dyDescent="0.2">
      <c r="A605" s="36" t="s">
        <v>522</v>
      </c>
      <c r="B605" s="18" t="str">
        <f>VLOOKUP(LEFT(A605,7),'Tariff Schedule Lookup Table'!$A$8:$G$186,2,FALSE)</f>
        <v>High Pressure Sodium 250</v>
      </c>
      <c r="C605" s="160">
        <f t="shared" si="98"/>
        <v>960</v>
      </c>
      <c r="D605" s="18">
        <f t="shared" si="99"/>
        <v>1</v>
      </c>
      <c r="E605" s="18" t="str">
        <f>VLOOKUP(C605,'Tariff Schedule Lookup Table'!I$7:L$286,2,FALSE)</f>
        <v>HIGH PRESSURE SODIUM 250W (210/220)</v>
      </c>
      <c r="F605" s="18" t="str">
        <f>IF(E605 = "BULKHEADS ETC", "SHARED OR NO POLE", VLOOKUP(C605,'Tariff Schedule Lookup Table'!I$7:L$286,3,FALSE))</f>
        <v>SHARED OR NO POLE</v>
      </c>
      <c r="G605" s="18">
        <f>IF(E605 = "NO CAPITAL", 1, VLOOKUP(C605,'Tariff Schedule Lookup Table'!I$7:L$286,4,FALSE))</f>
        <v>2</v>
      </c>
      <c r="H605" s="18" t="str">
        <f t="shared" si="100"/>
        <v>1-Unmetered, CE Funded, CE Maintained</v>
      </c>
      <c r="I605" s="123">
        <f>VLOOKUP(F605,'Maintenance Model'!$A$57:$B$61,2,FALSE)</f>
        <v>0</v>
      </c>
      <c r="J605" s="123">
        <f>IF(D605=1,VLOOKUP(C605,'Capital Code Schedules'!A$15:F$300,2,FALSE),IF(D605=2,VLOOKUP(C605,'Capital Code Schedules'!A$15:F$300,3,FALSE),0))</f>
        <v>44.871736490801723</v>
      </c>
      <c r="K605" s="123">
        <v>56.918486450852114</v>
      </c>
      <c r="L605" s="123">
        <f>VLOOKUP(LEFT(A605,10),'Streetlight Tariff Schedule'!B$11:H$260,7, FALSE)+I605</f>
        <v>65.825701074858159</v>
      </c>
      <c r="M605" s="161">
        <f t="shared" si="101"/>
        <v>122.74418752571027</v>
      </c>
      <c r="N605" s="405">
        <f t="shared" si="102"/>
        <v>114.55087933269334</v>
      </c>
      <c r="O605" s="405">
        <v>97.037858025568354</v>
      </c>
      <c r="P605" s="406">
        <v>94.455671589936216</v>
      </c>
      <c r="Q605" s="406">
        <v>97.667355626593093</v>
      </c>
      <c r="R605" s="406">
        <v>100.31345117650713</v>
      </c>
      <c r="S605" s="405">
        <f t="shared" si="103"/>
        <v>119.04460922980401</v>
      </c>
      <c r="T605" s="406">
        <v>100.70313908815845</v>
      </c>
      <c r="U605" s="406">
        <v>103.79292220077133</v>
      </c>
      <c r="V605" s="405">
        <f t="shared" si="104"/>
        <v>123.61510550696394</v>
      </c>
      <c r="W605" s="406">
        <v>103.65527595642605</v>
      </c>
      <c r="X605" s="406">
        <v>107.77703453910704</v>
      </c>
      <c r="Y605" s="405">
        <f t="shared" si="105"/>
        <v>128.68919614984006</v>
      </c>
      <c r="Z605" s="406">
        <v>106.38984574605274</v>
      </c>
      <c r="AA605" s="406">
        <v>111.02054103923498</v>
      </c>
      <c r="AB605" s="442">
        <f t="shared" si="106"/>
        <v>131.27684600983696</v>
      </c>
      <c r="AC605" s="438">
        <f t="shared" si="107"/>
        <v>135.16115787040795</v>
      </c>
      <c r="AD605" s="410"/>
      <c r="AE605" s="411"/>
      <c r="AF605" s="411"/>
      <c r="AG605" s="411"/>
    </row>
    <row r="606" spans="1:33" x14ac:dyDescent="0.2">
      <c r="A606" s="36" t="s">
        <v>523</v>
      </c>
      <c r="B606" s="18" t="str">
        <f>VLOOKUP(LEFT(A606,7),'Tariff Schedule Lookup Table'!$A$8:$G$186,2,FALSE)</f>
        <v>High Pressure Sodium 250</v>
      </c>
      <c r="C606" s="160">
        <f t="shared" si="98"/>
        <v>960</v>
      </c>
      <c r="D606" s="18">
        <f t="shared" si="99"/>
        <v>2</v>
      </c>
      <c r="E606" s="18" t="str">
        <f>VLOOKUP(C606,'Tariff Schedule Lookup Table'!I$7:L$286,2,FALSE)</f>
        <v>HIGH PRESSURE SODIUM 250W (210/220)</v>
      </c>
      <c r="F606" s="18" t="str">
        <f>IF(E606 = "BULKHEADS ETC", "SHARED OR NO POLE", VLOOKUP(C606,'Tariff Schedule Lookup Table'!I$7:L$286,3,FALSE))</f>
        <v>SHARED OR NO POLE</v>
      </c>
      <c r="G606" s="18">
        <f>IF(E606 = "NO CAPITAL", 1, VLOOKUP(C606,'Tariff Schedule Lookup Table'!I$7:L$286,4,FALSE))</f>
        <v>2</v>
      </c>
      <c r="H606" s="18" t="str">
        <f t="shared" si="100"/>
        <v>2-Unmetered, Funded by Others, CE Maintained</v>
      </c>
      <c r="I606" s="123">
        <f>VLOOKUP(F606,'Maintenance Model'!$A$57:$B$61,2,FALSE)</f>
        <v>0</v>
      </c>
      <c r="J606" s="123">
        <f>IF(D606=1,VLOOKUP(C606,'Capital Code Schedules'!A$15:F$300,2,FALSE),IF(D606=2,VLOOKUP(C606,'Capital Code Schedules'!A$15:F$300,3,FALSE),0))</f>
        <v>0</v>
      </c>
      <c r="K606" s="123">
        <v>0</v>
      </c>
      <c r="L606" s="123">
        <f>VLOOKUP(LEFT(A606,10),'Streetlight Tariff Schedule'!B$11:H$260,7, FALSE)+I606</f>
        <v>65.825701074858159</v>
      </c>
      <c r="M606" s="161">
        <f t="shared" si="101"/>
        <v>65.825701074858159</v>
      </c>
      <c r="N606" s="405">
        <f t="shared" si="102"/>
        <v>68.568567363744279</v>
      </c>
      <c r="O606" s="405">
        <v>36.128452599425493</v>
      </c>
      <c r="P606" s="406">
        <v>36.128452599425493</v>
      </c>
      <c r="Q606" s="406">
        <v>37.896537966067243</v>
      </c>
      <c r="R606" s="406">
        <v>37.896537966067243</v>
      </c>
      <c r="S606" s="405">
        <f t="shared" si="103"/>
        <v>71.92423503962344</v>
      </c>
      <c r="T606" s="406">
        <v>39.452993690534583</v>
      </c>
      <c r="U606" s="406">
        <v>39.597126963833894</v>
      </c>
      <c r="V606" s="405">
        <f t="shared" si="104"/>
        <v>75.151800652363235</v>
      </c>
      <c r="W606" s="406">
        <v>40.889189460210986</v>
      </c>
      <c r="X606" s="406">
        <v>41.405001843637443</v>
      </c>
      <c r="Y606" s="405">
        <f t="shared" si="105"/>
        <v>78.582985260668394</v>
      </c>
      <c r="Z606" s="406">
        <v>42.070298609056358</v>
      </c>
      <c r="AA606" s="406">
        <v>42.75690541194448</v>
      </c>
      <c r="AB606" s="442">
        <f t="shared" si="106"/>
        <v>80.288765809015871</v>
      </c>
      <c r="AC606" s="438">
        <f t="shared" si="107"/>
        <v>82.689324535742955</v>
      </c>
      <c r="AD606" s="410"/>
      <c r="AE606" s="411"/>
      <c r="AF606" s="411"/>
      <c r="AG606" s="411"/>
    </row>
    <row r="607" spans="1:33" x14ac:dyDescent="0.2">
      <c r="A607" s="36" t="s">
        <v>524</v>
      </c>
      <c r="B607" s="18" t="str">
        <f>VLOOKUP(LEFT(A607,7),'Tariff Schedule Lookup Table'!$A$8:$G$186,2,FALSE)</f>
        <v>High Pressure Sodium 250</v>
      </c>
      <c r="C607" s="160">
        <f t="shared" si="98"/>
        <v>970</v>
      </c>
      <c r="D607" s="18">
        <f t="shared" si="99"/>
        <v>2</v>
      </c>
      <c r="E607" s="18" t="str">
        <f>VLOOKUP(C607,'Tariff Schedule Lookup Table'!I$7:L$286,2,FALSE)</f>
        <v>HIGH PRESSURE SODIUM 250W (210/220)</v>
      </c>
      <c r="F607" s="18" t="str">
        <f>IF(E607 = "BULKHEADS ETC", "SHARED OR NO POLE", VLOOKUP(C607,'Tariff Schedule Lookup Table'!I$7:L$286,3,FALSE))</f>
        <v>SHARED OR NO POLE</v>
      </c>
      <c r="G607" s="18">
        <f>IF(E607 = "NO CAPITAL", 1, VLOOKUP(C607,'Tariff Schedule Lookup Table'!I$7:L$286,4,FALSE))</f>
        <v>4</v>
      </c>
      <c r="H607" s="18" t="str">
        <f t="shared" si="100"/>
        <v>2-Unmetered, Funded by Others, CE Maintained</v>
      </c>
      <c r="I607" s="123">
        <f>VLOOKUP(F607,'Maintenance Model'!$A$57:$B$61,2,FALSE)</f>
        <v>0</v>
      </c>
      <c r="J607" s="123">
        <f>IF(D607=1,VLOOKUP(C607,'Capital Code Schedules'!A$15:F$300,2,FALSE),IF(D607=2,VLOOKUP(C607,'Capital Code Schedules'!A$15:F$300,3,FALSE),0))</f>
        <v>0</v>
      </c>
      <c r="K607" s="123">
        <v>0</v>
      </c>
      <c r="L607" s="123">
        <f>VLOOKUP(LEFT(A607,10),'Streetlight Tariff Schedule'!B$11:H$260,7, FALSE)+I607</f>
        <v>65.825701074858159</v>
      </c>
      <c r="M607" s="161">
        <f t="shared" si="101"/>
        <v>65.825701074858159</v>
      </c>
      <c r="N607" s="405">
        <f t="shared" si="102"/>
        <v>68.568567363744279</v>
      </c>
      <c r="O607" s="405">
        <v>36.128452599425493</v>
      </c>
      <c r="P607" s="406">
        <v>36.128452599425493</v>
      </c>
      <c r="Q607" s="406">
        <v>37.896537966067243</v>
      </c>
      <c r="R607" s="406">
        <v>37.896537966067243</v>
      </c>
      <c r="S607" s="405">
        <f t="shared" si="103"/>
        <v>71.92423503962344</v>
      </c>
      <c r="T607" s="406">
        <v>39.452993690534583</v>
      </c>
      <c r="U607" s="406">
        <v>39.597126963833894</v>
      </c>
      <c r="V607" s="405">
        <f t="shared" si="104"/>
        <v>75.151800652363235</v>
      </c>
      <c r="W607" s="406">
        <v>40.889189460210986</v>
      </c>
      <c r="X607" s="406">
        <v>41.405001843637443</v>
      </c>
      <c r="Y607" s="405">
        <f t="shared" si="105"/>
        <v>78.582985260668394</v>
      </c>
      <c r="Z607" s="406">
        <v>42.070298609056358</v>
      </c>
      <c r="AA607" s="406">
        <v>42.75690541194448</v>
      </c>
      <c r="AB607" s="442">
        <f t="shared" si="106"/>
        <v>80.288765809015871</v>
      </c>
      <c r="AC607" s="438">
        <f t="shared" si="107"/>
        <v>82.689324535742955</v>
      </c>
      <c r="AD607" s="410"/>
      <c r="AE607" s="411"/>
      <c r="AF607" s="411"/>
      <c r="AG607" s="411"/>
    </row>
    <row r="608" spans="1:33" x14ac:dyDescent="0.2">
      <c r="A608" s="36" t="s">
        <v>525</v>
      </c>
      <c r="B608" s="18" t="str">
        <f>VLOOKUP(LEFT(A608,7),'Tariff Schedule Lookup Table'!$A$8:$G$186,2,FALSE)</f>
        <v>High Pressure Sodium 250</v>
      </c>
      <c r="C608" s="160">
        <f t="shared" si="98"/>
        <v>1070</v>
      </c>
      <c r="D608" s="18">
        <f t="shared" si="99"/>
        <v>1</v>
      </c>
      <c r="E608" s="18" t="str">
        <f>VLOOKUP(C608,'Tariff Schedule Lookup Table'!I$7:L$286,2,FALSE)</f>
        <v>METAL HALIDE/HPS 250W FLOOD (210/220)</v>
      </c>
      <c r="F608" s="18" t="str">
        <f>IF(E608 = "BULKHEADS ETC", "SHARED OR NO POLE", VLOOKUP(C608,'Tariff Schedule Lookup Table'!I$7:L$286,3,FALSE))</f>
        <v>WOOD POLE</v>
      </c>
      <c r="G608" s="18">
        <f>IF(E608 = "NO CAPITAL", 1, VLOOKUP(C608,'Tariff Schedule Lookup Table'!I$7:L$286,4,FALSE))</f>
        <v>1</v>
      </c>
      <c r="H608" s="18" t="str">
        <f t="shared" si="100"/>
        <v>1-Unmetered, CE Funded, CE Maintained</v>
      </c>
      <c r="I608" s="123">
        <f>VLOOKUP(F608,'Maintenance Model'!$A$57:$B$61,2,FALSE)</f>
        <v>10.731618231111112</v>
      </c>
      <c r="J608" s="123">
        <f>IF(D608=1,VLOOKUP(C608,'Capital Code Schedules'!A$15:F$300,2,FALSE),IF(D608=2,VLOOKUP(C608,'Capital Code Schedules'!A$15:F$300,3,FALSE),0))</f>
        <v>71.116706099521267</v>
      </c>
      <c r="K608" s="123">
        <v>90.209463442196068</v>
      </c>
      <c r="L608" s="123">
        <f>VLOOKUP(LEFT(A608,10),'Streetlight Tariff Schedule'!B$11:H$260,7, FALSE)+I608</f>
        <v>76.557319305969273</v>
      </c>
      <c r="M608" s="161">
        <f t="shared" si="101"/>
        <v>166.76678274816533</v>
      </c>
      <c r="N608" s="405">
        <f t="shared" si="102"/>
        <v>152.6242019192261</v>
      </c>
      <c r="O608" s="405">
        <v>143.05927832446184</v>
      </c>
      <c r="P608" s="406">
        <v>138.96680033724007</v>
      </c>
      <c r="Q608" s="406">
        <v>143.53160706239322</v>
      </c>
      <c r="R608" s="406">
        <v>147.72537387979872</v>
      </c>
      <c r="S608" s="405">
        <f t="shared" si="103"/>
        <v>158.33064876178796</v>
      </c>
      <c r="T608" s="406">
        <v>147.88051291571861</v>
      </c>
      <c r="U608" s="406">
        <v>152.73464849952987</v>
      </c>
      <c r="V608" s="405">
        <f t="shared" si="104"/>
        <v>164.21280262780917</v>
      </c>
      <c r="W608" s="406">
        <v>152.13258132182577</v>
      </c>
      <c r="X608" s="406">
        <v>158.51184533641529</v>
      </c>
      <c r="Y608" s="405">
        <f t="shared" si="105"/>
        <v>170.80719922281875</v>
      </c>
      <c r="Z608" s="406">
        <v>156.11562454943993</v>
      </c>
      <c r="AA608" s="406">
        <v>163.25074808294366</v>
      </c>
      <c r="AB608" s="442">
        <f t="shared" si="106"/>
        <v>174.18873924541435</v>
      </c>
      <c r="AC608" s="438">
        <f t="shared" si="107"/>
        <v>179.33224654621463</v>
      </c>
      <c r="AD608" s="410"/>
      <c r="AE608" s="411"/>
      <c r="AF608" s="411"/>
      <c r="AG608" s="411"/>
    </row>
    <row r="609" spans="1:33" x14ac:dyDescent="0.2">
      <c r="A609" s="36" t="s">
        <v>526</v>
      </c>
      <c r="B609" s="18" t="str">
        <f>VLOOKUP(LEFT(A609,7),'Tariff Schedule Lookup Table'!$A$8:$G$186,2,FALSE)</f>
        <v>High Pressure Sodium 250</v>
      </c>
      <c r="C609" s="160">
        <f t="shared" si="98"/>
        <v>1070</v>
      </c>
      <c r="D609" s="18">
        <f t="shared" si="99"/>
        <v>2</v>
      </c>
      <c r="E609" s="18" t="str">
        <f>VLOOKUP(C609,'Tariff Schedule Lookup Table'!I$7:L$286,2,FALSE)</f>
        <v>METAL HALIDE/HPS 250W FLOOD (210/220)</v>
      </c>
      <c r="F609" s="18" t="str">
        <f>IF(E609 = "BULKHEADS ETC", "SHARED OR NO POLE", VLOOKUP(C609,'Tariff Schedule Lookup Table'!I$7:L$286,3,FALSE))</f>
        <v>WOOD POLE</v>
      </c>
      <c r="G609" s="18">
        <f>IF(E609 = "NO CAPITAL", 1, VLOOKUP(C609,'Tariff Schedule Lookup Table'!I$7:L$286,4,FALSE))</f>
        <v>1</v>
      </c>
      <c r="H609" s="18" t="str">
        <f t="shared" si="100"/>
        <v>2-Unmetered, Funded by Others, CE Maintained</v>
      </c>
      <c r="I609" s="123">
        <f>VLOOKUP(F609,'Maintenance Model'!$A$57:$B$61,2,FALSE)</f>
        <v>10.731618231111112</v>
      </c>
      <c r="J609" s="123">
        <f>IF(D609=1,VLOOKUP(C609,'Capital Code Schedules'!A$15:F$300,2,FALSE),IF(D609=2,VLOOKUP(C609,'Capital Code Schedules'!A$15:F$300,3,FALSE),0))</f>
        <v>0</v>
      </c>
      <c r="K609" s="123">
        <v>0</v>
      </c>
      <c r="L609" s="123">
        <f>VLOOKUP(LEFT(A609,10),'Streetlight Tariff Schedule'!B$11:H$260,7, FALSE)+I609</f>
        <v>76.557319305969273</v>
      </c>
      <c r="M609" s="161">
        <f t="shared" si="101"/>
        <v>76.557319305969273</v>
      </c>
      <c r="N609" s="405">
        <f t="shared" si="102"/>
        <v>79.747357343741669</v>
      </c>
      <c r="O609" s="405">
        <v>46.524652674849662</v>
      </c>
      <c r="P609" s="406">
        <v>46.524652674849662</v>
      </c>
      <c r="Q609" s="406">
        <v>48.80151624535862</v>
      </c>
      <c r="R609" s="406">
        <v>48.80151624535862</v>
      </c>
      <c r="S609" s="405">
        <f t="shared" si="103"/>
        <v>83.650102283060278</v>
      </c>
      <c r="T609" s="406">
        <v>50.805852350962439</v>
      </c>
      <c r="U609" s="406">
        <v>50.991460922508246</v>
      </c>
      <c r="V609" s="405">
        <f t="shared" si="104"/>
        <v>87.4038605744378</v>
      </c>
      <c r="W609" s="406">
        <v>52.65532290809184</v>
      </c>
      <c r="X609" s="406">
        <v>53.319563700532647</v>
      </c>
      <c r="Y609" s="405">
        <f t="shared" si="105"/>
        <v>91.394434033838039</v>
      </c>
      <c r="Z609" s="406">
        <v>54.176303989966136</v>
      </c>
      <c r="AA609" s="406">
        <v>55.060486420438323</v>
      </c>
      <c r="AB609" s="442">
        <f t="shared" si="106"/>
        <v>93.378309389107585</v>
      </c>
      <c r="AC609" s="438">
        <f t="shared" si="107"/>
        <v>96.170233181089344</v>
      </c>
      <c r="AD609" s="410"/>
      <c r="AE609" s="411"/>
      <c r="AF609" s="411"/>
      <c r="AG609" s="411"/>
    </row>
    <row r="610" spans="1:33" x14ac:dyDescent="0.2">
      <c r="A610" s="36" t="s">
        <v>527</v>
      </c>
      <c r="B610" s="18" t="str">
        <f>VLOOKUP(LEFT(A610,7),'Tariff Schedule Lookup Table'!$A$8:$G$186,2,FALSE)</f>
        <v>High Pressure Sodium 250</v>
      </c>
      <c r="C610" s="160">
        <f t="shared" si="98"/>
        <v>1120</v>
      </c>
      <c r="D610" s="18">
        <f t="shared" si="99"/>
        <v>1</v>
      </c>
      <c r="E610" s="18" t="str">
        <f>VLOOKUP(C610,'Tariff Schedule Lookup Table'!I$7:L$286,2,FALSE)</f>
        <v>METAL HALIDE/HPS 250W FLOOD (210/220)</v>
      </c>
      <c r="F610" s="18" t="str">
        <f>IF(E610 = "BULKHEADS ETC", "SHARED OR NO POLE", VLOOKUP(C610,'Tariff Schedule Lookup Table'!I$7:L$286,3,FALSE))</f>
        <v>STEEL POLE</v>
      </c>
      <c r="G610" s="18">
        <f>IF(E610 = "NO CAPITAL", 1, VLOOKUP(C610,'Tariff Schedule Lookup Table'!I$7:L$286,4,FALSE))</f>
        <v>1</v>
      </c>
      <c r="H610" s="18" t="str">
        <f t="shared" si="100"/>
        <v>1-Unmetered, CE Funded, CE Maintained</v>
      </c>
      <c r="I610" s="123">
        <f>VLOOKUP(F610,'Maintenance Model'!$A$57:$B$61,2,FALSE)</f>
        <v>9.9616182311111103</v>
      </c>
      <c r="J610" s="123">
        <f>IF(D610=1,VLOOKUP(C610,'Capital Code Schedules'!A$15:F$300,2,FALSE),IF(D610=2,VLOOKUP(C610,'Capital Code Schedules'!A$15:F$300,3,FALSE),0))</f>
        <v>97.399971273151337</v>
      </c>
      <c r="K610" s="123">
        <v>123.5490172385169</v>
      </c>
      <c r="L610" s="123">
        <f>VLOOKUP(LEFT(A610,10),'Streetlight Tariff Schedule'!B$11:H$260,7, FALSE)+I610</f>
        <v>75.787319305969277</v>
      </c>
      <c r="M610" s="161">
        <f t="shared" si="101"/>
        <v>199.33633654448619</v>
      </c>
      <c r="N610" s="405">
        <f t="shared" si="102"/>
        <v>178.75589306657849</v>
      </c>
      <c r="O610" s="405">
        <v>177.93439654394038</v>
      </c>
      <c r="P610" s="406">
        <v>172.32942325069484</v>
      </c>
      <c r="Q610" s="406">
        <v>177.70055337322981</v>
      </c>
      <c r="R610" s="406">
        <v>183.44424975548316</v>
      </c>
      <c r="S610" s="405">
        <f t="shared" si="103"/>
        <v>185.08969774531113</v>
      </c>
      <c r="T610" s="406">
        <v>182.88140901521271</v>
      </c>
      <c r="U610" s="406">
        <v>189.45773583139706</v>
      </c>
      <c r="V610" s="405">
        <f t="shared" si="104"/>
        <v>191.72070800108855</v>
      </c>
      <c r="W610" s="406">
        <v>187.9895430787158</v>
      </c>
      <c r="X610" s="406">
        <v>196.46951008462185</v>
      </c>
      <c r="Y610" s="405">
        <f t="shared" si="105"/>
        <v>199.23728734404131</v>
      </c>
      <c r="Z610" s="406">
        <v>192.85629189650189</v>
      </c>
      <c r="AA610" s="406">
        <v>202.28639080403349</v>
      </c>
      <c r="AB610" s="442">
        <f t="shared" si="106"/>
        <v>203.11542188134723</v>
      </c>
      <c r="AC610" s="438">
        <f t="shared" si="107"/>
        <v>209.09994518247086</v>
      </c>
      <c r="AD610" s="410"/>
      <c r="AE610" s="411"/>
      <c r="AF610" s="411"/>
      <c r="AG610" s="411"/>
    </row>
    <row r="611" spans="1:33" x14ac:dyDescent="0.2">
      <c r="A611" s="36" t="s">
        <v>528</v>
      </c>
      <c r="B611" s="18" t="str">
        <f>VLOOKUP(LEFT(A611,7),'Tariff Schedule Lookup Table'!$A$8:$G$186,2,FALSE)</f>
        <v>High Pressure Sodium 250</v>
      </c>
      <c r="C611" s="160">
        <f t="shared" si="98"/>
        <v>1120</v>
      </c>
      <c r="D611" s="18">
        <f t="shared" si="99"/>
        <v>2</v>
      </c>
      <c r="E611" s="18" t="str">
        <f>VLOOKUP(C611,'Tariff Schedule Lookup Table'!I$7:L$286,2,FALSE)</f>
        <v>METAL HALIDE/HPS 250W FLOOD (210/220)</v>
      </c>
      <c r="F611" s="18" t="str">
        <f>IF(E611 = "BULKHEADS ETC", "SHARED OR NO POLE", VLOOKUP(C611,'Tariff Schedule Lookup Table'!I$7:L$286,3,FALSE))</f>
        <v>STEEL POLE</v>
      </c>
      <c r="G611" s="18">
        <f>IF(E611 = "NO CAPITAL", 1, VLOOKUP(C611,'Tariff Schedule Lookup Table'!I$7:L$286,4,FALSE))</f>
        <v>1</v>
      </c>
      <c r="H611" s="18" t="str">
        <f t="shared" si="100"/>
        <v>2-Unmetered, Funded by Others, CE Maintained</v>
      </c>
      <c r="I611" s="123">
        <f>VLOOKUP(F611,'Maintenance Model'!$A$57:$B$61,2,FALSE)</f>
        <v>9.9616182311111103</v>
      </c>
      <c r="J611" s="123">
        <f>IF(D611=1,VLOOKUP(C611,'Capital Code Schedules'!A$15:F$300,2,FALSE),IF(D611=2,VLOOKUP(C611,'Capital Code Schedules'!A$15:F$300,3,FALSE),0))</f>
        <v>0</v>
      </c>
      <c r="K611" s="123">
        <v>0</v>
      </c>
      <c r="L611" s="123">
        <f>VLOOKUP(LEFT(A611,10),'Streetlight Tariff Schedule'!B$11:H$260,7, FALSE)+I611</f>
        <v>75.787319305969277</v>
      </c>
      <c r="M611" s="161">
        <f t="shared" si="101"/>
        <v>75.787319305969277</v>
      </c>
      <c r="N611" s="405">
        <f t="shared" si="102"/>
        <v>78.945272504416678</v>
      </c>
      <c r="O611" s="405">
        <v>45.722567835524657</v>
      </c>
      <c r="P611" s="406">
        <v>45.722567835524657</v>
      </c>
      <c r="Q611" s="406">
        <v>47.960178286534159</v>
      </c>
      <c r="R611" s="406">
        <v>47.960178286534159</v>
      </c>
      <c r="S611" s="405">
        <f t="shared" si="103"/>
        <v>82.808764324235824</v>
      </c>
      <c r="T611" s="406">
        <v>49.929959645121336</v>
      </c>
      <c r="U611" s="406">
        <v>50.112368325583027</v>
      </c>
      <c r="V611" s="405">
        <f t="shared" si="104"/>
        <v>86.524767977512582</v>
      </c>
      <c r="W611" s="406">
        <v>51.747545336714637</v>
      </c>
      <c r="X611" s="406">
        <v>52.400334620360709</v>
      </c>
      <c r="Y611" s="405">
        <f t="shared" si="105"/>
        <v>90.475204953666108</v>
      </c>
      <c r="Z611" s="406">
        <v>53.242304710386243</v>
      </c>
      <c r="AA611" s="406">
        <v>54.111243839040881</v>
      </c>
      <c r="AB611" s="442">
        <f t="shared" si="106"/>
        <v>92.439126840901437</v>
      </c>
      <c r="AC611" s="438">
        <f t="shared" si="107"/>
        <v>95.202969956348085</v>
      </c>
      <c r="AD611" s="410"/>
      <c r="AE611" s="411"/>
      <c r="AF611" s="411"/>
      <c r="AG611" s="411"/>
    </row>
    <row r="612" spans="1:33" x14ac:dyDescent="0.2">
      <c r="A612" s="36" t="s">
        <v>529</v>
      </c>
      <c r="B612" s="18" t="str">
        <f>VLOOKUP(LEFT(A612,7),'Tariff Schedule Lookup Table'!$A$8:$G$186,2,FALSE)</f>
        <v>High Pressure Sodium 250</v>
      </c>
      <c r="C612" s="160">
        <f t="shared" si="98"/>
        <v>1160</v>
      </c>
      <c r="D612" s="18">
        <f t="shared" si="99"/>
        <v>1</v>
      </c>
      <c r="E612" s="18" t="str">
        <f>VLOOKUP(C612,'Tariff Schedule Lookup Table'!I$7:L$286,2,FALSE)</f>
        <v>METAL HALIDE/HPS 250W FLOOD (210/220)</v>
      </c>
      <c r="F612" s="18" t="str">
        <f>IF(E612 = "BULKHEADS ETC", "SHARED OR NO POLE", VLOOKUP(C612,'Tariff Schedule Lookup Table'!I$7:L$286,3,FALSE))</f>
        <v>WOOD POLE</v>
      </c>
      <c r="G612" s="18">
        <f>IF(E612 = "NO CAPITAL", 1, VLOOKUP(C612,'Tariff Schedule Lookup Table'!I$7:L$286,4,FALSE))</f>
        <v>2</v>
      </c>
      <c r="H612" s="18" t="str">
        <f t="shared" si="100"/>
        <v>1-Unmetered, CE Funded, CE Maintained</v>
      </c>
      <c r="I612" s="123">
        <f>VLOOKUP(F612,'Maintenance Model'!$A$57:$B$61,2,FALSE)</f>
        <v>10.731618231111112</v>
      </c>
      <c r="J612" s="123">
        <f>IF(D612=1,VLOOKUP(C612,'Capital Code Schedules'!A$15:F$300,2,FALSE),IF(D612=2,VLOOKUP(C612,'Capital Code Schedules'!A$15:F$300,3,FALSE),0))</f>
        <v>88.927770054909942</v>
      </c>
      <c r="K612" s="123">
        <v>112.80227757649784</v>
      </c>
      <c r="L612" s="123">
        <f>VLOOKUP(LEFT(A612,10),'Streetlight Tariff Schedule'!B$11:H$260,7, FALSE)+I612</f>
        <v>76.557319305969273</v>
      </c>
      <c r="M612" s="161">
        <f t="shared" si="101"/>
        <v>189.35959688246712</v>
      </c>
      <c r="N612" s="405">
        <f t="shared" si="102"/>
        <v>170.87608970751063</v>
      </c>
      <c r="O612" s="405">
        <v>167.23621909768366</v>
      </c>
      <c r="P612" s="406">
        <v>162.11878662136584</v>
      </c>
      <c r="Q612" s="406">
        <v>167.25660500705109</v>
      </c>
      <c r="R612" s="406">
        <v>172.50069393715776</v>
      </c>
      <c r="S612" s="405">
        <f t="shared" si="103"/>
        <v>177.03427077283254</v>
      </c>
      <c r="T612" s="406">
        <v>172.19270455950681</v>
      </c>
      <c r="U612" s="406">
        <v>178.21606517852365</v>
      </c>
      <c r="V612" s="405">
        <f t="shared" si="104"/>
        <v>183.44947786616854</v>
      </c>
      <c r="W612" s="406">
        <v>177.04649970879768</v>
      </c>
      <c r="X612" s="406">
        <v>184.85708204082698</v>
      </c>
      <c r="Y612" s="405">
        <f t="shared" si="105"/>
        <v>190.69599775175848</v>
      </c>
      <c r="Z612" s="406">
        <v>181.6461624164894</v>
      </c>
      <c r="AA612" s="406">
        <v>190.34682403343103</v>
      </c>
      <c r="AB612" s="442">
        <f t="shared" si="106"/>
        <v>194.42758062846343</v>
      </c>
      <c r="AC612" s="438">
        <f t="shared" si="107"/>
        <v>200.16003821351043</v>
      </c>
      <c r="AD612" s="410"/>
      <c r="AE612" s="411"/>
      <c r="AF612" s="411"/>
      <c r="AG612" s="411"/>
    </row>
    <row r="613" spans="1:33" ht="22.5" x14ac:dyDescent="0.2">
      <c r="A613" s="36" t="s">
        <v>530</v>
      </c>
      <c r="B613" s="18" t="str">
        <f>VLOOKUP(LEFT(A613,7),'Tariff Schedule Lookup Table'!$A$8:$G$186,2,FALSE)</f>
        <v>High Pressure Sodium 250</v>
      </c>
      <c r="C613" s="160">
        <f t="shared" si="98"/>
        <v>1330</v>
      </c>
      <c r="D613" s="18">
        <f t="shared" si="99"/>
        <v>2</v>
      </c>
      <c r="E613" s="18" t="str">
        <f>VLOOKUP(C613,'Tariff Schedule Lookup Table'!I$7:L$286,2,FALSE)</f>
        <v>HIGH PRESSURE SODIUM DECORATIVE 250W (210/220)</v>
      </c>
      <c r="F613" s="18" t="str">
        <f>IF(E613 = "BULKHEADS ETC", "SHARED OR NO POLE", VLOOKUP(C613,'Tariff Schedule Lookup Table'!I$7:L$286,3,FALSE))</f>
        <v>STEEL POLE</v>
      </c>
      <c r="G613" s="18">
        <f>IF(E613 = "NO CAPITAL", 1, VLOOKUP(C613,'Tariff Schedule Lookup Table'!I$7:L$286,4,FALSE))</f>
        <v>1</v>
      </c>
      <c r="H613" s="18" t="str">
        <f t="shared" si="100"/>
        <v>2-Unmetered, Funded by Others, CE Maintained</v>
      </c>
      <c r="I613" s="123">
        <f>VLOOKUP(F613,'Maintenance Model'!$A$57:$B$61,2,FALSE)</f>
        <v>9.9616182311111103</v>
      </c>
      <c r="J613" s="123">
        <f>IF(D613=1,VLOOKUP(C613,'Capital Code Schedules'!A$15:F$300,2,FALSE),IF(D613=2,VLOOKUP(C613,'Capital Code Schedules'!A$15:F$300,3,FALSE),0))</f>
        <v>0</v>
      </c>
      <c r="K613" s="123">
        <v>0</v>
      </c>
      <c r="L613" s="123">
        <f>VLOOKUP(LEFT(A613,10),'Streetlight Tariff Schedule'!B$11:H$260,7, FALSE)+I613</f>
        <v>75.787319305969277</v>
      </c>
      <c r="M613" s="161">
        <f t="shared" si="101"/>
        <v>75.787319305969277</v>
      </c>
      <c r="N613" s="405">
        <f t="shared" si="102"/>
        <v>78.945272504416678</v>
      </c>
      <c r="O613" s="405">
        <v>45.722567835524657</v>
      </c>
      <c r="P613" s="406">
        <v>45.722567835524657</v>
      </c>
      <c r="Q613" s="406">
        <v>47.960178286534159</v>
      </c>
      <c r="R613" s="406">
        <v>47.960178286534159</v>
      </c>
      <c r="S613" s="405">
        <f t="shared" si="103"/>
        <v>82.808764324235824</v>
      </c>
      <c r="T613" s="406">
        <v>49.929959645121336</v>
      </c>
      <c r="U613" s="406">
        <v>50.112368325583027</v>
      </c>
      <c r="V613" s="405">
        <f t="shared" si="104"/>
        <v>86.524767977512582</v>
      </c>
      <c r="W613" s="406">
        <v>51.747545336714637</v>
      </c>
      <c r="X613" s="406">
        <v>52.400334620360709</v>
      </c>
      <c r="Y613" s="405">
        <f t="shared" si="105"/>
        <v>90.475204953666108</v>
      </c>
      <c r="Z613" s="406">
        <v>53.242304710386243</v>
      </c>
      <c r="AA613" s="406">
        <v>54.111243839040881</v>
      </c>
      <c r="AB613" s="442">
        <f t="shared" si="106"/>
        <v>92.439126840901437</v>
      </c>
      <c r="AC613" s="438">
        <f t="shared" si="107"/>
        <v>95.202969956348085</v>
      </c>
      <c r="AD613" s="410"/>
      <c r="AE613" s="411"/>
      <c r="AF613" s="411"/>
      <c r="AG613" s="411"/>
    </row>
    <row r="614" spans="1:33" ht="22.5" x14ac:dyDescent="0.2">
      <c r="A614" s="36" t="s">
        <v>531</v>
      </c>
      <c r="B614" s="18" t="str">
        <f>VLOOKUP(LEFT(A614,7),'Tariff Schedule Lookup Table'!$A$8:$G$186,2,FALSE)</f>
        <v>High Pressure Sodium 250</v>
      </c>
      <c r="C614" s="160">
        <f t="shared" si="98"/>
        <v>1340</v>
      </c>
      <c r="D614" s="18">
        <f t="shared" si="99"/>
        <v>2</v>
      </c>
      <c r="E614" s="18" t="str">
        <f>VLOOKUP(C614,'Tariff Schedule Lookup Table'!I$7:L$286,2,FALSE)</f>
        <v>HIGH PRESSURE SODIUM DECORATIVE 250W (210/220)</v>
      </c>
      <c r="F614" s="18" t="str">
        <f>IF(E614 = "BULKHEADS ETC", "SHARED OR NO POLE", VLOOKUP(C614,'Tariff Schedule Lookup Table'!I$7:L$286,3,FALSE))</f>
        <v>STEEL POLE</v>
      </c>
      <c r="G614" s="18">
        <f>IF(E614 = "NO CAPITAL", 1, VLOOKUP(C614,'Tariff Schedule Lookup Table'!I$7:L$286,4,FALSE))</f>
        <v>2</v>
      </c>
      <c r="H614" s="18" t="str">
        <f t="shared" si="100"/>
        <v>2-Unmetered, Funded by Others, CE Maintained</v>
      </c>
      <c r="I614" s="123">
        <f>VLOOKUP(F614,'Maintenance Model'!$A$57:$B$61,2,FALSE)</f>
        <v>9.9616182311111103</v>
      </c>
      <c r="J614" s="123">
        <f>IF(D614=1,VLOOKUP(C614,'Capital Code Schedules'!A$15:F$300,2,FALSE),IF(D614=2,VLOOKUP(C614,'Capital Code Schedules'!A$15:F$300,3,FALSE),0))</f>
        <v>0</v>
      </c>
      <c r="K614" s="123">
        <v>0</v>
      </c>
      <c r="L614" s="123">
        <f>VLOOKUP(LEFT(A614,10),'Streetlight Tariff Schedule'!B$11:H$260,7, FALSE)+I614</f>
        <v>75.787319305969277</v>
      </c>
      <c r="M614" s="161">
        <f t="shared" si="101"/>
        <v>75.787319305969277</v>
      </c>
      <c r="N614" s="405">
        <f t="shared" si="102"/>
        <v>78.945272504416678</v>
      </c>
      <c r="O614" s="405">
        <v>45.722567835524657</v>
      </c>
      <c r="P614" s="406">
        <v>45.722567835524657</v>
      </c>
      <c r="Q614" s="406">
        <v>47.960178286534159</v>
      </c>
      <c r="R614" s="406">
        <v>47.960178286534159</v>
      </c>
      <c r="S614" s="405">
        <f t="shared" si="103"/>
        <v>82.808764324235824</v>
      </c>
      <c r="T614" s="406">
        <v>49.929959645121336</v>
      </c>
      <c r="U614" s="406">
        <v>50.112368325583027</v>
      </c>
      <c r="V614" s="405">
        <f t="shared" si="104"/>
        <v>86.524767977512582</v>
      </c>
      <c r="W614" s="406">
        <v>51.747545336714637</v>
      </c>
      <c r="X614" s="406">
        <v>52.400334620360709</v>
      </c>
      <c r="Y614" s="405">
        <f t="shared" si="105"/>
        <v>90.475204953666108</v>
      </c>
      <c r="Z614" s="406">
        <v>53.242304710386243</v>
      </c>
      <c r="AA614" s="406">
        <v>54.111243839040881</v>
      </c>
      <c r="AB614" s="442">
        <f t="shared" si="106"/>
        <v>92.439126840901437</v>
      </c>
      <c r="AC614" s="438">
        <f t="shared" si="107"/>
        <v>95.202969956348085</v>
      </c>
      <c r="AD614" s="410"/>
      <c r="AE614" s="411"/>
      <c r="AF614" s="411"/>
      <c r="AG614" s="411"/>
    </row>
    <row r="615" spans="1:33" x14ac:dyDescent="0.2">
      <c r="A615" s="36" t="s">
        <v>532</v>
      </c>
      <c r="B615" s="18" t="str">
        <f>VLOOKUP(LEFT(A615,7),'Tariff Schedule Lookup Table'!$A$8:$G$186,2,FALSE)</f>
        <v>High Pressure Sodium 250</v>
      </c>
      <c r="C615" s="160">
        <f t="shared" si="98"/>
        <v>1380</v>
      </c>
      <c r="D615" s="18">
        <f t="shared" si="99"/>
        <v>2</v>
      </c>
      <c r="E615" s="18" t="str">
        <f>VLOOKUP(C615,'Tariff Schedule Lookup Table'!I$7:L$286,2,FALSE)</f>
        <v>METAL HALIDE/HPS 250W FLOOD (210/220)</v>
      </c>
      <c r="F615" s="18" t="str">
        <f>IF(E615 = "BULKHEADS ETC", "SHARED OR NO POLE", VLOOKUP(C615,'Tariff Schedule Lookup Table'!I$7:L$286,3,FALSE))</f>
        <v>R/BOUT COLUMN</v>
      </c>
      <c r="G615" s="18">
        <f>IF(E615 = "NO CAPITAL", 1, VLOOKUP(C615,'Tariff Schedule Lookup Table'!I$7:L$286,4,FALSE))</f>
        <v>3</v>
      </c>
      <c r="H615" s="18" t="str">
        <f t="shared" si="100"/>
        <v>2-Unmetered, Funded by Others, CE Maintained</v>
      </c>
      <c r="I615" s="123">
        <f>VLOOKUP(F615,'Maintenance Model'!$A$57:$B$61,2,FALSE)</f>
        <v>9.9616182311111103</v>
      </c>
      <c r="J615" s="123">
        <f>IF(D615=1,VLOOKUP(C615,'Capital Code Schedules'!A$15:F$300,2,FALSE),IF(D615=2,VLOOKUP(C615,'Capital Code Schedules'!A$15:F$300,3,FALSE),0))</f>
        <v>0</v>
      </c>
      <c r="K615" s="123">
        <v>0</v>
      </c>
      <c r="L615" s="123">
        <f>VLOOKUP(LEFT(A615,10),'Streetlight Tariff Schedule'!B$11:H$260,7, FALSE)+I615</f>
        <v>75.787319305969277</v>
      </c>
      <c r="M615" s="161">
        <f t="shared" si="101"/>
        <v>75.787319305969277</v>
      </c>
      <c r="N615" s="405">
        <f t="shared" si="102"/>
        <v>78.945272504416678</v>
      </c>
      <c r="O615" s="405">
        <v>45.722567835524657</v>
      </c>
      <c r="P615" s="406">
        <v>45.722567835524657</v>
      </c>
      <c r="Q615" s="406">
        <v>47.960178286534159</v>
      </c>
      <c r="R615" s="406">
        <v>47.960178286534159</v>
      </c>
      <c r="S615" s="405">
        <f t="shared" si="103"/>
        <v>82.808764324235824</v>
      </c>
      <c r="T615" s="406">
        <v>49.929959645121336</v>
      </c>
      <c r="U615" s="406">
        <v>50.112368325583027</v>
      </c>
      <c r="V615" s="405">
        <f t="shared" si="104"/>
        <v>86.524767977512582</v>
      </c>
      <c r="W615" s="406">
        <v>51.747545336714637</v>
      </c>
      <c r="X615" s="406">
        <v>52.400334620360709</v>
      </c>
      <c r="Y615" s="405">
        <f t="shared" si="105"/>
        <v>90.475204953666108</v>
      </c>
      <c r="Z615" s="406">
        <v>53.242304710386243</v>
      </c>
      <c r="AA615" s="406">
        <v>54.111243839040881</v>
      </c>
      <c r="AB615" s="442">
        <f t="shared" si="106"/>
        <v>92.439126840901437</v>
      </c>
      <c r="AC615" s="438">
        <f t="shared" si="107"/>
        <v>95.202969956348085</v>
      </c>
      <c r="AD615" s="410"/>
      <c r="AE615" s="411"/>
      <c r="AF615" s="411"/>
      <c r="AG615" s="411"/>
    </row>
    <row r="616" spans="1:33" x14ac:dyDescent="0.2">
      <c r="A616" s="36" t="s">
        <v>533</v>
      </c>
      <c r="B616" s="18" t="str">
        <f>VLOOKUP(LEFT(A616,7),'Tariff Schedule Lookup Table'!$A$8:$G$186,2,FALSE)</f>
        <v>High Pressure Sodium 250</v>
      </c>
      <c r="C616" s="160">
        <f t="shared" si="98"/>
        <v>1450</v>
      </c>
      <c r="D616" s="18">
        <f t="shared" si="99"/>
        <v>2</v>
      </c>
      <c r="E616" s="18" t="str">
        <f>VLOOKUP(C616,'Tariff Schedule Lookup Table'!I$7:L$286,2,FALSE)</f>
        <v>METAL HALIDE/HPS 250W FLOOD (210/220)</v>
      </c>
      <c r="F616" s="18" t="str">
        <f>IF(E616 = "BULKHEADS ETC", "SHARED OR NO POLE", VLOOKUP(C616,'Tariff Schedule Lookup Table'!I$7:L$286,3,FALSE))</f>
        <v>R/BOUT COLUMN</v>
      </c>
      <c r="G616" s="18">
        <f>IF(E616 = "NO CAPITAL", 1, VLOOKUP(C616,'Tariff Schedule Lookup Table'!I$7:L$286,4,FALSE))</f>
        <v>4</v>
      </c>
      <c r="H616" s="18" t="str">
        <f t="shared" si="100"/>
        <v>2-Unmetered, Funded by Others, CE Maintained</v>
      </c>
      <c r="I616" s="123">
        <f>VLOOKUP(F616,'Maintenance Model'!$A$57:$B$61,2,FALSE)</f>
        <v>9.9616182311111103</v>
      </c>
      <c r="J616" s="123">
        <f>IF(D616=1,VLOOKUP(C616,'Capital Code Schedules'!A$15:F$300,2,FALSE),IF(D616=2,VLOOKUP(C616,'Capital Code Schedules'!A$15:F$300,3,FALSE),0))</f>
        <v>0</v>
      </c>
      <c r="K616" s="123">
        <v>0</v>
      </c>
      <c r="L616" s="123">
        <f>VLOOKUP(LEFT(A616,10),'Streetlight Tariff Schedule'!B$11:H$260,7, FALSE)+I616</f>
        <v>75.787319305969277</v>
      </c>
      <c r="M616" s="161">
        <f t="shared" si="101"/>
        <v>75.787319305969277</v>
      </c>
      <c r="N616" s="405">
        <f t="shared" si="102"/>
        <v>78.945272504416678</v>
      </c>
      <c r="O616" s="405">
        <v>45.722567835524657</v>
      </c>
      <c r="P616" s="406">
        <v>45.722567835524657</v>
      </c>
      <c r="Q616" s="406">
        <v>47.960178286534159</v>
      </c>
      <c r="R616" s="406">
        <v>47.960178286534159</v>
      </c>
      <c r="S616" s="405">
        <f t="shared" si="103"/>
        <v>82.808764324235824</v>
      </c>
      <c r="T616" s="406">
        <v>49.929959645121336</v>
      </c>
      <c r="U616" s="406">
        <v>50.112368325583027</v>
      </c>
      <c r="V616" s="405">
        <f t="shared" si="104"/>
        <v>86.524767977512582</v>
      </c>
      <c r="W616" s="406">
        <v>51.747545336714637</v>
      </c>
      <c r="X616" s="406">
        <v>52.400334620360709</v>
      </c>
      <c r="Y616" s="405">
        <f t="shared" si="105"/>
        <v>90.475204953666108</v>
      </c>
      <c r="Z616" s="406">
        <v>53.242304710386243</v>
      </c>
      <c r="AA616" s="406">
        <v>54.111243839040881</v>
      </c>
      <c r="AB616" s="442">
        <f t="shared" si="106"/>
        <v>92.439126840901437</v>
      </c>
      <c r="AC616" s="438">
        <f t="shared" si="107"/>
        <v>95.202969956348085</v>
      </c>
      <c r="AD616" s="410"/>
      <c r="AE616" s="411"/>
      <c r="AF616" s="411"/>
      <c r="AG616" s="411"/>
    </row>
    <row r="617" spans="1:33" x14ac:dyDescent="0.2">
      <c r="A617" s="36" t="s">
        <v>534</v>
      </c>
      <c r="B617" s="18" t="str">
        <f>VLOOKUP(LEFT(A617,7),'Tariff Schedule Lookup Table'!$A$8:$G$186,2,FALSE)</f>
        <v>High Pressure Sodium 250</v>
      </c>
      <c r="C617" s="160">
        <f t="shared" si="98"/>
        <v>60</v>
      </c>
      <c r="D617" s="18">
        <f t="shared" si="99"/>
        <v>1</v>
      </c>
      <c r="E617" s="18" t="str">
        <f>VLOOKUP(C617,'Tariff Schedule Lookup Table'!I$7:L$286,2,FALSE)</f>
        <v>HIGH PRESSURE SODIUM 250W (210/220)</v>
      </c>
      <c r="F617" s="18" t="str">
        <f>IF(E617 = "BULKHEADS ETC", "SHARED OR NO POLE", VLOOKUP(C617,'Tariff Schedule Lookup Table'!I$7:L$286,3,FALSE))</f>
        <v>SHARED OR NO POLE</v>
      </c>
      <c r="G617" s="18">
        <f>IF(E617 = "NO CAPITAL", 1, VLOOKUP(C617,'Tariff Schedule Lookup Table'!I$7:L$286,4,FALSE))</f>
        <v>1</v>
      </c>
      <c r="H617" s="18" t="str">
        <f t="shared" si="100"/>
        <v>1-Unmetered, CE Funded, CE Maintained</v>
      </c>
      <c r="I617" s="123">
        <f>VLOOKUP(F617,'Maintenance Model'!$A$57:$B$61,2,FALSE)</f>
        <v>0</v>
      </c>
      <c r="J617" s="123">
        <f>IF(D617=1,VLOOKUP(C617,'Capital Code Schedules'!A$15:F$300,2,FALSE),IF(D617=2,VLOOKUP(C617,'Capital Code Schedules'!A$15:F$300,3,FALSE),0))</f>
        <v>32.138130136529035</v>
      </c>
      <c r="K617" s="123">
        <v>40.766278904912198</v>
      </c>
      <c r="L617" s="123">
        <f>VLOOKUP(LEFT(A617,10),'Streetlight Tariff Schedule'!B$11:H$260,7, FALSE)+I617</f>
        <v>68.864975183821898</v>
      </c>
      <c r="M617" s="161">
        <f t="shared" si="101"/>
        <v>109.6312540887341</v>
      </c>
      <c r="N617" s="405">
        <f t="shared" si="102"/>
        <v>104.66803269563657</v>
      </c>
      <c r="O617" s="405">
        <v>77.879735842414846</v>
      </c>
      <c r="P617" s="406">
        <v>76.030316805062952</v>
      </c>
      <c r="Q617" s="406">
        <v>78.740658377479349</v>
      </c>
      <c r="R617" s="406">
        <v>80.635850536005705</v>
      </c>
      <c r="S617" s="405">
        <f t="shared" si="103"/>
        <v>108.9937420561142</v>
      </c>
      <c r="T617" s="406">
        <v>81.275933954716265</v>
      </c>
      <c r="U617" s="406">
        <v>83.522333005778606</v>
      </c>
      <c r="V617" s="405">
        <f t="shared" si="104"/>
        <v>113.33216599392961</v>
      </c>
      <c r="W617" s="406">
        <v>83.723408754016376</v>
      </c>
      <c r="X617" s="406">
        <v>86.795132977777982</v>
      </c>
      <c r="Y617" s="405">
        <f t="shared" si="105"/>
        <v>118.09845932515825</v>
      </c>
      <c r="Z617" s="406">
        <v>85.955896345839761</v>
      </c>
      <c r="AA617" s="406">
        <v>89.431743719692875</v>
      </c>
      <c r="AB617" s="442">
        <f t="shared" si="106"/>
        <v>120.51461269737008</v>
      </c>
      <c r="AC617" s="438">
        <f t="shared" si="107"/>
        <v>124.08870573344026</v>
      </c>
      <c r="AD617" s="410"/>
      <c r="AE617" s="411"/>
      <c r="AF617" s="411"/>
      <c r="AG617" s="411"/>
    </row>
    <row r="618" spans="1:33" x14ac:dyDescent="0.2">
      <c r="A618" s="36" t="s">
        <v>535</v>
      </c>
      <c r="B618" s="18" t="str">
        <f>VLOOKUP(LEFT(A618,7),'Tariff Schedule Lookup Table'!$A$8:$G$186,2,FALSE)</f>
        <v>High Pressure Sodium 250</v>
      </c>
      <c r="C618" s="160">
        <f t="shared" si="98"/>
        <v>60</v>
      </c>
      <c r="D618" s="18">
        <f t="shared" si="99"/>
        <v>2</v>
      </c>
      <c r="E618" s="18" t="str">
        <f>VLOOKUP(C618,'Tariff Schedule Lookup Table'!I$7:L$286,2,FALSE)</f>
        <v>HIGH PRESSURE SODIUM 250W (210/220)</v>
      </c>
      <c r="F618" s="18" t="str">
        <f>IF(E618 = "BULKHEADS ETC", "SHARED OR NO POLE", VLOOKUP(C618,'Tariff Schedule Lookup Table'!I$7:L$286,3,FALSE))</f>
        <v>SHARED OR NO POLE</v>
      </c>
      <c r="G618" s="18">
        <f>IF(E618 = "NO CAPITAL", 1, VLOOKUP(C618,'Tariff Schedule Lookup Table'!I$7:L$286,4,FALSE))</f>
        <v>1</v>
      </c>
      <c r="H618" s="18" t="str">
        <f t="shared" si="100"/>
        <v>2-Unmetered, Funded by Others, CE Maintained</v>
      </c>
      <c r="I618" s="123">
        <f>VLOOKUP(F618,'Maintenance Model'!$A$57:$B$61,2,FALSE)</f>
        <v>0</v>
      </c>
      <c r="J618" s="123">
        <f>IF(D618=1,VLOOKUP(C618,'Capital Code Schedules'!A$15:F$300,2,FALSE),IF(D618=2,VLOOKUP(C618,'Capital Code Schedules'!A$15:F$300,3,FALSE),0))</f>
        <v>0</v>
      </c>
      <c r="K618" s="123">
        <v>0</v>
      </c>
      <c r="L618" s="123">
        <f>VLOOKUP(LEFT(A618,10),'Streetlight Tariff Schedule'!B$11:H$260,7, FALSE)+I618</f>
        <v>68.864975183821898</v>
      </c>
      <c r="M618" s="161">
        <f t="shared" si="101"/>
        <v>68.864975183821898</v>
      </c>
      <c r="N618" s="405">
        <f t="shared" si="102"/>
        <v>71.734483838228456</v>
      </c>
      <c r="O618" s="405">
        <v>34.255072497254169</v>
      </c>
      <c r="P618" s="406">
        <v>34.255072497254169</v>
      </c>
      <c r="Q618" s="406">
        <v>35.93147677305231</v>
      </c>
      <c r="R618" s="406">
        <v>35.93147677305231</v>
      </c>
      <c r="S618" s="405">
        <f t="shared" si="103"/>
        <v>75.245087864485228</v>
      </c>
      <c r="T618" s="406">
        <v>37.407225105579649</v>
      </c>
      <c r="U618" s="406">
        <v>37.543884590581037</v>
      </c>
      <c r="V618" s="405">
        <f t="shared" si="104"/>
        <v>78.621675157839206</v>
      </c>
      <c r="W618" s="406">
        <v>38.768949360863616</v>
      </c>
      <c r="X618" s="406">
        <v>39.258015161305231</v>
      </c>
      <c r="Y618" s="405">
        <f t="shared" si="105"/>
        <v>82.211282849724384</v>
      </c>
      <c r="Z618" s="406">
        <v>39.888814082706475</v>
      </c>
      <c r="AA618" s="406">
        <v>40.539818045450637</v>
      </c>
      <c r="AB618" s="442">
        <f t="shared" si="106"/>
        <v>83.995821915968577</v>
      </c>
      <c r="AC618" s="438">
        <f t="shared" si="107"/>
        <v>86.507218140299983</v>
      </c>
      <c r="AD618" s="410"/>
      <c r="AE618" s="411"/>
      <c r="AF618" s="411"/>
      <c r="AG618" s="411"/>
    </row>
    <row r="619" spans="1:33" x14ac:dyDescent="0.2">
      <c r="A619" s="6" t="s">
        <v>536</v>
      </c>
      <c r="B619" s="18" t="str">
        <f>VLOOKUP(LEFT(A619,7),'Tariff Schedule Lookup Table'!$A$8:$G$186,2,FALSE)</f>
        <v>High Pressure Sodium 250</v>
      </c>
      <c r="C619" s="160">
        <f t="shared" si="98"/>
        <v>230</v>
      </c>
      <c r="D619" s="18">
        <f t="shared" si="99"/>
        <v>1</v>
      </c>
      <c r="E619" s="18" t="str">
        <f>VLOOKUP(C619,'Tariff Schedule Lookup Table'!I$7:L$286,2,FALSE)</f>
        <v>HIGH PRESSURE SODIUM 250W (210/220)</v>
      </c>
      <c r="F619" s="18" t="str">
        <f>IF(E619 = "BULKHEADS ETC", "SHARED OR NO POLE", VLOOKUP(C619,'Tariff Schedule Lookup Table'!I$7:L$286,3,FALSE))</f>
        <v>WOOD POLE</v>
      </c>
      <c r="G619" s="18">
        <f>IF(E619 = "NO CAPITAL", 1, VLOOKUP(C619,'Tariff Schedule Lookup Table'!I$7:L$286,4,FALSE))</f>
        <v>1</v>
      </c>
      <c r="H619" s="18" t="str">
        <f t="shared" si="100"/>
        <v>1-Unmetered, CE Funded, CE Maintained</v>
      </c>
      <c r="I619" s="123">
        <f>VLOOKUP(F619,'Maintenance Model'!$A$57:$B$61,2,FALSE)</f>
        <v>10.731618231111112</v>
      </c>
      <c r="J619" s="123">
        <f>IF(D619=1,VLOOKUP(C619,'Capital Code Schedules'!A$15:F$300,2,FALSE),IF(D619=2,VLOOKUP(C619,'Capital Code Schedules'!A$15:F$300,3,FALSE),0))</f>
        <v>66.039248498405314</v>
      </c>
      <c r="K619" s="123">
        <v>83.768856853834222</v>
      </c>
      <c r="L619" s="123">
        <f>VLOOKUP(LEFT(A619,10),'Streetlight Tariff Schedule'!B$11:H$260,7, FALSE)+I619</f>
        <v>79.596593414933011</v>
      </c>
      <c r="M619" s="161">
        <f t="shared" si="101"/>
        <v>163.36545026876723</v>
      </c>
      <c r="N619" s="405">
        <f t="shared" si="102"/>
        <v>150.58699371696667</v>
      </c>
      <c r="O619" s="405">
        <v>134.29369953005096</v>
      </c>
      <c r="P619" s="406">
        <v>130.49340863364498</v>
      </c>
      <c r="Q619" s="406">
        <v>134.80318398081926</v>
      </c>
      <c r="R619" s="406">
        <v>138.6975320769113</v>
      </c>
      <c r="S619" s="405">
        <f t="shared" si="103"/>
        <v>156.31959957415674</v>
      </c>
      <c r="T619" s="406">
        <v>138.9039892354628</v>
      </c>
      <c r="U619" s="406">
        <v>143.41733626902317</v>
      </c>
      <c r="V619" s="405">
        <f t="shared" si="104"/>
        <v>162.19881591343611</v>
      </c>
      <c r="W619" s="406">
        <v>142.91004993856882</v>
      </c>
      <c r="X619" s="406">
        <v>148.85453682866833</v>
      </c>
      <c r="Y619" s="405">
        <f t="shared" si="105"/>
        <v>168.76573269667281</v>
      </c>
      <c r="Z619" s="406">
        <v>146.65606702990374</v>
      </c>
      <c r="AA619" s="406">
        <v>153.30929471901072</v>
      </c>
      <c r="AB619" s="442">
        <f t="shared" si="106"/>
        <v>172.12624338873755</v>
      </c>
      <c r="AC619" s="438">
        <f t="shared" si="107"/>
        <v>177.21269422500055</v>
      </c>
      <c r="AD619" s="410"/>
      <c r="AE619" s="411"/>
      <c r="AF619" s="411"/>
      <c r="AG619" s="411"/>
    </row>
    <row r="620" spans="1:33" x14ac:dyDescent="0.2">
      <c r="A620" s="6" t="s">
        <v>537</v>
      </c>
      <c r="B620" s="18" t="str">
        <f>VLOOKUP(LEFT(A620,7),'Tariff Schedule Lookup Table'!$A$8:$G$186,2,FALSE)</f>
        <v>High Pressure Sodium 250</v>
      </c>
      <c r="C620" s="160">
        <f t="shared" si="98"/>
        <v>320</v>
      </c>
      <c r="D620" s="18">
        <f t="shared" si="99"/>
        <v>1</v>
      </c>
      <c r="E620" s="18" t="str">
        <f>VLOOKUP(C620,'Tariff Schedule Lookup Table'!I$7:L$286,2,FALSE)</f>
        <v>HIGH PRESSURE SODIUM 250W (210/220)</v>
      </c>
      <c r="F620" s="18" t="str">
        <f>IF(E620 = "BULKHEADS ETC", "SHARED OR NO POLE", VLOOKUP(C620,'Tariff Schedule Lookup Table'!I$7:L$286,3,FALSE))</f>
        <v>STEEL POLE</v>
      </c>
      <c r="G620" s="18">
        <f>IF(E620 = "NO CAPITAL", 1, VLOOKUP(C620,'Tariff Schedule Lookup Table'!I$7:L$286,4,FALSE))</f>
        <v>1</v>
      </c>
      <c r="H620" s="18" t="str">
        <f t="shared" si="100"/>
        <v>1-Unmetered, CE Funded, CE Maintained</v>
      </c>
      <c r="I620" s="123">
        <f>VLOOKUP(F620,'Maintenance Model'!$A$57:$B$61,2,FALSE)</f>
        <v>9.9616182311111103</v>
      </c>
      <c r="J620" s="123">
        <f>IF(D620=1,VLOOKUP(C620,'Capital Code Schedules'!A$15:F$300,2,FALSE),IF(D620=2,VLOOKUP(C620,'Capital Code Schedules'!A$15:F$300,3,FALSE),0))</f>
        <v>92.322513672035399</v>
      </c>
      <c r="K620" s="123">
        <v>117.10841065015505</v>
      </c>
      <c r="L620" s="123">
        <f>VLOOKUP(LEFT(A620,10),'Streetlight Tariff Schedule'!B$11:H$260,7, FALSE)+I620</f>
        <v>78.826593414933001</v>
      </c>
      <c r="M620" s="161">
        <f t="shared" si="101"/>
        <v>195.93500406508804</v>
      </c>
      <c r="N620" s="405">
        <f t="shared" si="102"/>
        <v>176.7186848643191</v>
      </c>
      <c r="O620" s="405">
        <v>169.16881774952947</v>
      </c>
      <c r="P620" s="406">
        <v>163.85603154709972</v>
      </c>
      <c r="Q620" s="406">
        <v>168.97213029165587</v>
      </c>
      <c r="R620" s="406">
        <v>174.41640795259573</v>
      </c>
      <c r="S620" s="405">
        <f t="shared" si="103"/>
        <v>183.07864855767997</v>
      </c>
      <c r="T620" s="406">
        <v>173.9048853349569</v>
      </c>
      <c r="U620" s="406">
        <v>180.14042360089033</v>
      </c>
      <c r="V620" s="405">
        <f t="shared" si="104"/>
        <v>189.70672128671552</v>
      </c>
      <c r="W620" s="406">
        <v>178.76701169545885</v>
      </c>
      <c r="X620" s="406">
        <v>186.81220157687483</v>
      </c>
      <c r="Y620" s="405">
        <f t="shared" si="105"/>
        <v>197.19582081789542</v>
      </c>
      <c r="Z620" s="406">
        <v>183.3967343769657</v>
      </c>
      <c r="AA620" s="406">
        <v>192.34493744010052</v>
      </c>
      <c r="AB620" s="442">
        <f t="shared" si="106"/>
        <v>201.05292602467048</v>
      </c>
      <c r="AC620" s="438">
        <f t="shared" si="107"/>
        <v>206.9803928612568</v>
      </c>
      <c r="AD620" s="410"/>
      <c r="AE620" s="411"/>
      <c r="AF620" s="411"/>
      <c r="AG620" s="411"/>
    </row>
    <row r="621" spans="1:33" x14ac:dyDescent="0.2">
      <c r="A621" s="6" t="s">
        <v>538</v>
      </c>
      <c r="B621" s="18" t="str">
        <f>VLOOKUP(LEFT(A621,7),'Tariff Schedule Lookup Table'!$A$8:$G$186,2,FALSE)</f>
        <v>High Pressure Sodium 250</v>
      </c>
      <c r="C621" s="160">
        <f t="shared" si="98"/>
        <v>320</v>
      </c>
      <c r="D621" s="18">
        <f t="shared" si="99"/>
        <v>2</v>
      </c>
      <c r="E621" s="18" t="str">
        <f>VLOOKUP(C621,'Tariff Schedule Lookup Table'!I$7:L$286,2,FALSE)</f>
        <v>HIGH PRESSURE SODIUM 250W (210/220)</v>
      </c>
      <c r="F621" s="18" t="str">
        <f>IF(E621 = "BULKHEADS ETC", "SHARED OR NO POLE", VLOOKUP(C621,'Tariff Schedule Lookup Table'!I$7:L$286,3,FALSE))</f>
        <v>STEEL POLE</v>
      </c>
      <c r="G621" s="18">
        <f>IF(E621 = "NO CAPITAL", 1, VLOOKUP(C621,'Tariff Schedule Lookup Table'!I$7:L$286,4,FALSE))</f>
        <v>1</v>
      </c>
      <c r="H621" s="18" t="str">
        <f t="shared" si="100"/>
        <v>2-Unmetered, Funded by Others, CE Maintained</v>
      </c>
      <c r="I621" s="123">
        <f>VLOOKUP(F621,'Maintenance Model'!$A$57:$B$61,2,FALSE)</f>
        <v>9.9616182311111103</v>
      </c>
      <c r="J621" s="123">
        <f>IF(D621=1,VLOOKUP(C621,'Capital Code Schedules'!A$15:F$300,2,FALSE),IF(D621=2,VLOOKUP(C621,'Capital Code Schedules'!A$15:F$300,3,FALSE),0))</f>
        <v>0</v>
      </c>
      <c r="K621" s="123">
        <v>0</v>
      </c>
      <c r="L621" s="123">
        <f>VLOOKUP(LEFT(A621,10),'Streetlight Tariff Schedule'!B$11:H$260,7, FALSE)+I621</f>
        <v>78.826593414933001</v>
      </c>
      <c r="M621" s="161">
        <f t="shared" si="101"/>
        <v>78.826593414933001</v>
      </c>
      <c r="N621" s="405">
        <f t="shared" si="102"/>
        <v>82.111188978900842</v>
      </c>
      <c r="O621" s="405">
        <v>43.84918773335334</v>
      </c>
      <c r="P621" s="406">
        <v>43.84918773335334</v>
      </c>
      <c r="Q621" s="406">
        <v>45.995117093519227</v>
      </c>
      <c r="R621" s="406">
        <v>45.995117093519227</v>
      </c>
      <c r="S621" s="405">
        <f t="shared" si="103"/>
        <v>86.129617149097584</v>
      </c>
      <c r="T621" s="406">
        <v>47.884191060166401</v>
      </c>
      <c r="U621" s="406">
        <v>48.059125952330163</v>
      </c>
      <c r="V621" s="405">
        <f t="shared" si="104"/>
        <v>89.994642482988539</v>
      </c>
      <c r="W621" s="406">
        <v>49.627305237367267</v>
      </c>
      <c r="X621" s="406">
        <v>50.253347938028497</v>
      </c>
      <c r="Y621" s="405">
        <f t="shared" si="105"/>
        <v>94.103502542722097</v>
      </c>
      <c r="Z621" s="406">
        <v>51.060820184036359</v>
      </c>
      <c r="AA621" s="406">
        <v>51.894156472547024</v>
      </c>
      <c r="AB621" s="442">
        <f t="shared" si="106"/>
        <v>96.146182947854101</v>
      </c>
      <c r="AC621" s="438">
        <f t="shared" si="107"/>
        <v>99.020863560905084</v>
      </c>
      <c r="AD621" s="410"/>
      <c r="AE621" s="411"/>
      <c r="AF621" s="411"/>
      <c r="AG621" s="411"/>
    </row>
    <row r="622" spans="1:33" x14ac:dyDescent="0.2">
      <c r="A622" s="6" t="s">
        <v>539</v>
      </c>
      <c r="B622" s="18" t="str">
        <f>VLOOKUP(LEFT(A622,7),'Tariff Schedule Lookup Table'!$A$8:$G$186,2,FALSE)</f>
        <v>High Pressure Sodium 250</v>
      </c>
      <c r="C622" s="160">
        <f t="shared" ref="C622:C651" si="108">1*MID(A622,12,4)</f>
        <v>470</v>
      </c>
      <c r="D622" s="18">
        <f t="shared" ref="D622:D651" si="109">1*(MID(A622,17,3))</f>
        <v>1</v>
      </c>
      <c r="E622" s="18" t="str">
        <f>VLOOKUP(C622,'Tariff Schedule Lookup Table'!I$7:L$286,2,FALSE)</f>
        <v>HIGH PRESSURE SODIUM 250W (210/220)</v>
      </c>
      <c r="F622" s="18" t="str">
        <f>IF(E622 = "BULKHEADS ETC", "SHARED OR NO POLE", VLOOKUP(C622,'Tariff Schedule Lookup Table'!I$7:L$286,3,FALSE))</f>
        <v>STEEL POLE</v>
      </c>
      <c r="G622" s="18">
        <f>IF(E622 = "NO CAPITAL", 1, VLOOKUP(C622,'Tariff Schedule Lookup Table'!I$7:L$286,4,FALSE))</f>
        <v>4</v>
      </c>
      <c r="H622" s="18" t="str">
        <f t="shared" si="100"/>
        <v>1-Unmetered, CE Funded, CE Maintained</v>
      </c>
      <c r="I622" s="123">
        <f>VLOOKUP(F622,'Maintenance Model'!$A$57:$B$61,2,FALSE)</f>
        <v>9.9616182311111103</v>
      </c>
      <c r="J622" s="123">
        <f>IF(D622=1,VLOOKUP(C622,'Capital Code Schedules'!A$15:F$300,2,FALSE),IF(D622=2,VLOOKUP(C622,'Capital Code Schedules'!A$15:F$300,3,FALSE),0))</f>
        <v>130.52333273485345</v>
      </c>
      <c r="K622" s="123">
        <v>165.56503328797476</v>
      </c>
      <c r="L622" s="123">
        <f>VLOOKUP(LEFT(A622,10),'Streetlight Tariff Schedule'!B$11:H$260,7, FALSE)+I622</f>
        <v>78.826593414933001</v>
      </c>
      <c r="M622" s="161">
        <f t="shared" si="101"/>
        <v>244.39162670290776</v>
      </c>
      <c r="N622" s="405">
        <f t="shared" si="102"/>
        <v>215.86497419894189</v>
      </c>
      <c r="O622" s="405">
        <v>221.023043992476</v>
      </c>
      <c r="P622" s="406">
        <v>213.51195559520545</v>
      </c>
      <c r="Q622" s="406">
        <v>219.85703845995221</v>
      </c>
      <c r="R622" s="406">
        <v>227.55402629505519</v>
      </c>
      <c r="S622" s="405">
        <f t="shared" si="103"/>
        <v>223.19380855333469</v>
      </c>
      <c r="T622" s="406">
        <v>226.04919498041858</v>
      </c>
      <c r="U622" s="406">
        <v>234.79246406610989</v>
      </c>
      <c r="V622" s="405">
        <f t="shared" si="104"/>
        <v>230.9651633422464</v>
      </c>
      <c r="W622" s="406">
        <v>232.20189300464571</v>
      </c>
      <c r="X622" s="406">
        <v>243.31694621386535</v>
      </c>
      <c r="Y622" s="405">
        <f t="shared" si="105"/>
        <v>239.8529240591088</v>
      </c>
      <c r="Z622" s="406">
        <v>238.15412899855491</v>
      </c>
      <c r="AA622" s="406">
        <v>250.46006729924525</v>
      </c>
      <c r="AB622" s="442">
        <f t="shared" si="106"/>
        <v>244.46079428292921</v>
      </c>
      <c r="AC622" s="438">
        <f t="shared" si="107"/>
        <v>251.65143008583087</v>
      </c>
      <c r="AD622" s="410"/>
      <c r="AE622" s="411"/>
      <c r="AF622" s="411"/>
      <c r="AG622" s="411"/>
    </row>
    <row r="623" spans="1:33" x14ac:dyDescent="0.2">
      <c r="A623" s="6" t="s">
        <v>540</v>
      </c>
      <c r="B623" s="18" t="str">
        <f>VLOOKUP(LEFT(A623,7),'Tariff Schedule Lookup Table'!$A$8:$G$186,2,FALSE)</f>
        <v>High Pressure Sodium 250</v>
      </c>
      <c r="C623" s="160">
        <f t="shared" si="108"/>
        <v>590</v>
      </c>
      <c r="D623" s="18">
        <f t="shared" si="109"/>
        <v>1</v>
      </c>
      <c r="E623" s="18" t="str">
        <f>VLOOKUP(C623,'Tariff Schedule Lookup Table'!I$7:L$286,2,FALSE)</f>
        <v>HIGH PRESSURE SODIUM 250W (210/220)</v>
      </c>
      <c r="F623" s="18" t="str">
        <f>IF(E623 = "BULKHEADS ETC", "SHARED OR NO POLE", VLOOKUP(C623,'Tariff Schedule Lookup Table'!I$7:L$286,3,FALSE))</f>
        <v>R/BOUT COLUMN</v>
      </c>
      <c r="G623" s="18">
        <f>IF(E623 = "NO CAPITAL", 1, VLOOKUP(C623,'Tariff Schedule Lookup Table'!I$7:L$286,4,FALSE))</f>
        <v>4</v>
      </c>
      <c r="H623" s="18" t="str">
        <f t="shared" si="100"/>
        <v>1-Unmetered, CE Funded, CE Maintained</v>
      </c>
      <c r="I623" s="123">
        <f>VLOOKUP(F623,'Maintenance Model'!$A$57:$B$61,2,FALSE)</f>
        <v>9.9616182311111103</v>
      </c>
      <c r="J623" s="123">
        <f>IF(D623=1,VLOOKUP(C623,'Capital Code Schedules'!A$15:F$300,2,FALSE),IF(D623=2,VLOOKUP(C623,'Capital Code Schedules'!A$15:F$300,3,FALSE),0))</f>
        <v>190.52352832998582</v>
      </c>
      <c r="K623" s="123">
        <v>241.67352801338137</v>
      </c>
      <c r="L623" s="123">
        <f>VLOOKUP(LEFT(A623,10),'Streetlight Tariff Schedule'!B$11:H$260,7, FALSE)+I623</f>
        <v>78.826593414933001</v>
      </c>
      <c r="M623" s="161">
        <f t="shared" si="101"/>
        <v>320.5001214283144</v>
      </c>
      <c r="N623" s="405">
        <f t="shared" si="102"/>
        <v>277.35017463505386</v>
      </c>
      <c r="O623" s="405">
        <v>302.46799185851063</v>
      </c>
      <c r="P623" s="406">
        <v>291.50413556506589</v>
      </c>
      <c r="Q623" s="406">
        <v>299.77952488406669</v>
      </c>
      <c r="R623" s="406">
        <v>311.01473662077416</v>
      </c>
      <c r="S623" s="405">
        <f t="shared" si="103"/>
        <v>286.20076770024036</v>
      </c>
      <c r="T623" s="406">
        <v>307.94976294352989</v>
      </c>
      <c r="U623" s="406">
        <v>320.63180463611189</v>
      </c>
      <c r="V623" s="405">
        <f t="shared" si="104"/>
        <v>295.76782082483885</v>
      </c>
      <c r="W623" s="406">
        <v>316.12950002484399</v>
      </c>
      <c r="X623" s="406">
        <v>332.06624042919037</v>
      </c>
      <c r="Y623" s="405">
        <f t="shared" si="105"/>
        <v>306.85239163036113</v>
      </c>
      <c r="Z623" s="406">
        <v>324.15894429250312</v>
      </c>
      <c r="AA623" s="406">
        <v>341.73871639970707</v>
      </c>
      <c r="AB623" s="442">
        <f t="shared" si="106"/>
        <v>312.63945248343566</v>
      </c>
      <c r="AC623" s="438">
        <f t="shared" si="107"/>
        <v>321.81408723997208</v>
      </c>
      <c r="AD623" s="410"/>
      <c r="AE623" s="411"/>
      <c r="AF623" s="411"/>
      <c r="AG623" s="411"/>
    </row>
    <row r="624" spans="1:33" x14ac:dyDescent="0.2">
      <c r="A624" s="6" t="s">
        <v>541</v>
      </c>
      <c r="B624" s="18" t="str">
        <f>VLOOKUP(LEFT(A624,7),'Tariff Schedule Lookup Table'!$A$8:$G$186,2,FALSE)</f>
        <v>High Pressure Sodium 250</v>
      </c>
      <c r="C624" s="160">
        <f t="shared" si="108"/>
        <v>590</v>
      </c>
      <c r="D624" s="18">
        <f t="shared" si="109"/>
        <v>2</v>
      </c>
      <c r="E624" s="18" t="str">
        <f>VLOOKUP(C624,'Tariff Schedule Lookup Table'!I$7:L$286,2,FALSE)</f>
        <v>HIGH PRESSURE SODIUM 250W (210/220)</v>
      </c>
      <c r="F624" s="18" t="str">
        <f>IF(E624 = "BULKHEADS ETC", "SHARED OR NO POLE", VLOOKUP(C624,'Tariff Schedule Lookup Table'!I$7:L$286,3,FALSE))</f>
        <v>R/BOUT COLUMN</v>
      </c>
      <c r="G624" s="18">
        <f>IF(E624 = "NO CAPITAL", 1, VLOOKUP(C624,'Tariff Schedule Lookup Table'!I$7:L$286,4,FALSE))</f>
        <v>4</v>
      </c>
      <c r="H624" s="18" t="str">
        <f t="shared" si="100"/>
        <v>2-Unmetered, Funded by Others, CE Maintained</v>
      </c>
      <c r="I624" s="123">
        <f>VLOOKUP(F624,'Maintenance Model'!$A$57:$B$61,2,FALSE)</f>
        <v>9.9616182311111103</v>
      </c>
      <c r="J624" s="123">
        <f>IF(D624=1,VLOOKUP(C624,'Capital Code Schedules'!A$15:F$300,2,FALSE),IF(D624=2,VLOOKUP(C624,'Capital Code Schedules'!A$15:F$300,3,FALSE),0))</f>
        <v>0</v>
      </c>
      <c r="K624" s="123">
        <v>0</v>
      </c>
      <c r="L624" s="123">
        <f>VLOOKUP(LEFT(A624,10),'Streetlight Tariff Schedule'!B$11:H$260,7, FALSE)+I624</f>
        <v>78.826593414933001</v>
      </c>
      <c r="M624" s="161">
        <f t="shared" si="101"/>
        <v>78.826593414933001</v>
      </c>
      <c r="N624" s="405">
        <f t="shared" si="102"/>
        <v>82.111188978900842</v>
      </c>
      <c r="O624" s="405">
        <v>43.84918773335334</v>
      </c>
      <c r="P624" s="406">
        <v>43.84918773335334</v>
      </c>
      <c r="Q624" s="406">
        <v>45.995117093519227</v>
      </c>
      <c r="R624" s="406">
        <v>45.995117093519227</v>
      </c>
      <c r="S624" s="405">
        <f t="shared" si="103"/>
        <v>86.129617149097584</v>
      </c>
      <c r="T624" s="406">
        <v>47.884191060166401</v>
      </c>
      <c r="U624" s="406">
        <v>48.059125952330163</v>
      </c>
      <c r="V624" s="405">
        <f t="shared" si="104"/>
        <v>89.994642482988539</v>
      </c>
      <c r="W624" s="406">
        <v>49.627305237367267</v>
      </c>
      <c r="X624" s="406">
        <v>50.253347938028497</v>
      </c>
      <c r="Y624" s="405">
        <f t="shared" si="105"/>
        <v>94.103502542722097</v>
      </c>
      <c r="Z624" s="406">
        <v>51.060820184036359</v>
      </c>
      <c r="AA624" s="406">
        <v>51.894156472547024</v>
      </c>
      <c r="AB624" s="442">
        <f t="shared" si="106"/>
        <v>96.146182947854101</v>
      </c>
      <c r="AC624" s="438">
        <f t="shared" si="107"/>
        <v>99.020863560905084</v>
      </c>
      <c r="AD624" s="410"/>
      <c r="AE624" s="411"/>
      <c r="AF624" s="411"/>
      <c r="AG624" s="411"/>
    </row>
    <row r="625" spans="1:33" x14ac:dyDescent="0.2">
      <c r="A625" s="6" t="s">
        <v>542</v>
      </c>
      <c r="B625" s="18" t="str">
        <f>VLOOKUP(LEFT(A625,7),'Tariff Schedule Lookup Table'!$A$8:$G$186,2,FALSE)</f>
        <v>High Pressure Sodium 250</v>
      </c>
      <c r="C625" s="160">
        <f t="shared" si="108"/>
        <v>960</v>
      </c>
      <c r="D625" s="18">
        <f t="shared" si="109"/>
        <v>1</v>
      </c>
      <c r="E625" s="18" t="str">
        <f>VLOOKUP(C625,'Tariff Schedule Lookup Table'!I$7:L$286,2,FALSE)</f>
        <v>HIGH PRESSURE SODIUM 250W (210/220)</v>
      </c>
      <c r="F625" s="18" t="str">
        <f>IF(E625 = "BULKHEADS ETC", "SHARED OR NO POLE", VLOOKUP(C625,'Tariff Schedule Lookup Table'!I$7:L$286,3,FALSE))</f>
        <v>SHARED OR NO POLE</v>
      </c>
      <c r="G625" s="18">
        <f>IF(E625 = "NO CAPITAL", 1, VLOOKUP(C625,'Tariff Schedule Lookup Table'!I$7:L$286,4,FALSE))</f>
        <v>2</v>
      </c>
      <c r="H625" s="18" t="str">
        <f t="shared" si="100"/>
        <v>1-Unmetered, CE Funded, CE Maintained</v>
      </c>
      <c r="I625" s="123">
        <f>VLOOKUP(F625,'Maintenance Model'!$A$57:$B$61,2,FALSE)</f>
        <v>0</v>
      </c>
      <c r="J625" s="123">
        <f>IF(D625=1,VLOOKUP(C625,'Capital Code Schedules'!A$15:F$300,2,FALSE),IF(D625=2,VLOOKUP(C625,'Capital Code Schedules'!A$15:F$300,3,FALSE),0))</f>
        <v>44.871736490801723</v>
      </c>
      <c r="K625" s="123">
        <v>56.918486450852114</v>
      </c>
      <c r="L625" s="123">
        <f>VLOOKUP(LEFT(A625,10),'Streetlight Tariff Schedule'!B$11:H$260,7, FALSE)+I625</f>
        <v>68.864975183821898</v>
      </c>
      <c r="M625" s="161">
        <f t="shared" si="101"/>
        <v>125.78346163467401</v>
      </c>
      <c r="N625" s="405">
        <f t="shared" si="102"/>
        <v>117.71679580717752</v>
      </c>
      <c r="O625" s="405">
        <v>95.164477923397044</v>
      </c>
      <c r="P625" s="406">
        <v>92.582291487764891</v>
      </c>
      <c r="Q625" s="406">
        <v>95.70229443357816</v>
      </c>
      <c r="R625" s="406">
        <v>98.348389983492211</v>
      </c>
      <c r="S625" s="405">
        <f t="shared" si="103"/>
        <v>122.36546205466578</v>
      </c>
      <c r="T625" s="406">
        <v>98.657370503203524</v>
      </c>
      <c r="U625" s="406">
        <v>101.73967982751847</v>
      </c>
      <c r="V625" s="405">
        <f t="shared" si="104"/>
        <v>127.0849800124399</v>
      </c>
      <c r="W625" s="406">
        <v>101.53503585707868</v>
      </c>
      <c r="X625" s="406">
        <v>105.63004785677484</v>
      </c>
      <c r="Y625" s="405">
        <f t="shared" si="105"/>
        <v>132.31749373889605</v>
      </c>
      <c r="Z625" s="406">
        <v>104.20836121970285</v>
      </c>
      <c r="AA625" s="406">
        <v>108.80345367274114</v>
      </c>
      <c r="AB625" s="442">
        <f t="shared" si="106"/>
        <v>134.98390211678966</v>
      </c>
      <c r="AC625" s="438">
        <f t="shared" si="107"/>
        <v>138.97905147496496</v>
      </c>
      <c r="AD625" s="410"/>
      <c r="AE625" s="411"/>
      <c r="AF625" s="411"/>
      <c r="AG625" s="411"/>
    </row>
    <row r="626" spans="1:33" x14ac:dyDescent="0.2">
      <c r="A626" s="6" t="s">
        <v>543</v>
      </c>
      <c r="B626" s="18" t="str">
        <f>VLOOKUP(LEFT(A626,7),'Tariff Schedule Lookup Table'!$A$8:$G$186,2,FALSE)</f>
        <v>High Pressure Sodium 250</v>
      </c>
      <c r="C626" s="160">
        <f t="shared" si="108"/>
        <v>1120</v>
      </c>
      <c r="D626" s="18">
        <f t="shared" si="109"/>
        <v>2</v>
      </c>
      <c r="E626" s="18" t="str">
        <f>VLOOKUP(C626,'Tariff Schedule Lookup Table'!I$7:L$286,2,FALSE)</f>
        <v>METAL HALIDE/HPS 250W FLOOD (210/220)</v>
      </c>
      <c r="F626" s="18" t="str">
        <f>IF(E626 = "BULKHEADS ETC", "SHARED OR NO POLE", VLOOKUP(C626,'Tariff Schedule Lookup Table'!I$7:L$286,3,FALSE))</f>
        <v>STEEL POLE</v>
      </c>
      <c r="G626" s="18">
        <f>IF(E626 = "NO CAPITAL", 1, VLOOKUP(C626,'Tariff Schedule Lookup Table'!I$7:L$286,4,FALSE))</f>
        <v>1</v>
      </c>
      <c r="H626" s="18" t="str">
        <f t="shared" si="100"/>
        <v>2-Unmetered, Funded by Others, CE Maintained</v>
      </c>
      <c r="I626" s="123">
        <f>VLOOKUP(F626,'Maintenance Model'!$A$57:$B$61,2,FALSE)</f>
        <v>9.9616182311111103</v>
      </c>
      <c r="J626" s="123">
        <f>IF(D626=1,VLOOKUP(C626,'Capital Code Schedules'!A$15:F$300,2,FALSE),IF(D626=2,VLOOKUP(C626,'Capital Code Schedules'!A$15:F$300,3,FALSE),0))</f>
        <v>0</v>
      </c>
      <c r="K626" s="123">
        <v>0</v>
      </c>
      <c r="L626" s="123">
        <f>VLOOKUP(LEFT(A626,10),'Streetlight Tariff Schedule'!B$11:H$260,7, FALSE)+I626</f>
        <v>78.826593414933001</v>
      </c>
      <c r="M626" s="161">
        <f t="shared" si="101"/>
        <v>78.826593414933001</v>
      </c>
      <c r="N626" s="405">
        <f t="shared" si="102"/>
        <v>82.111188978900842</v>
      </c>
      <c r="O626" s="405">
        <v>43.84918773335334</v>
      </c>
      <c r="P626" s="406">
        <v>43.84918773335334</v>
      </c>
      <c r="Q626" s="406">
        <v>45.995117093519227</v>
      </c>
      <c r="R626" s="406">
        <v>45.995117093519227</v>
      </c>
      <c r="S626" s="405">
        <f t="shared" si="103"/>
        <v>86.129617149097584</v>
      </c>
      <c r="T626" s="406">
        <v>47.884191060166401</v>
      </c>
      <c r="U626" s="406">
        <v>48.059125952330163</v>
      </c>
      <c r="V626" s="405">
        <f t="shared" si="104"/>
        <v>89.994642482988539</v>
      </c>
      <c r="W626" s="406">
        <v>49.627305237367267</v>
      </c>
      <c r="X626" s="406">
        <v>50.253347938028497</v>
      </c>
      <c r="Y626" s="405">
        <f t="shared" si="105"/>
        <v>94.103502542722097</v>
      </c>
      <c r="Z626" s="406">
        <v>51.060820184036359</v>
      </c>
      <c r="AA626" s="406">
        <v>51.894156472547024</v>
      </c>
      <c r="AB626" s="442">
        <f t="shared" si="106"/>
        <v>96.146182947854101</v>
      </c>
      <c r="AC626" s="438">
        <f t="shared" si="107"/>
        <v>99.020863560905084</v>
      </c>
      <c r="AD626" s="410"/>
      <c r="AE626" s="411"/>
      <c r="AF626" s="411"/>
      <c r="AG626" s="411"/>
    </row>
    <row r="627" spans="1:33" ht="22.5" x14ac:dyDescent="0.2">
      <c r="A627" s="6" t="s">
        <v>544</v>
      </c>
      <c r="B627" s="18" t="str">
        <f>VLOOKUP(LEFT(A627,7),'Tariff Schedule Lookup Table'!$A$8:$G$186,2,FALSE)</f>
        <v>High Pressure Sodium 2x250</v>
      </c>
      <c r="C627" s="160">
        <f t="shared" si="108"/>
        <v>860</v>
      </c>
      <c r="D627" s="18">
        <f t="shared" si="109"/>
        <v>2</v>
      </c>
      <c r="E627" s="18" t="str">
        <f>VLOOKUP(C627,'Tariff Schedule Lookup Table'!I$7:L$286,2,FALSE)</f>
        <v>HIGH PRESSURE SODIUM 2X250 W OR 2X400 W FLOOD</v>
      </c>
      <c r="F627" s="18" t="str">
        <f>IF(E627 = "BULKHEADS ETC", "SHARED OR NO POLE", VLOOKUP(C627,'Tariff Schedule Lookup Table'!I$7:L$286,3,FALSE))</f>
        <v>R/BOUT COLUMN</v>
      </c>
      <c r="G627" s="18">
        <f>IF(E627 = "NO CAPITAL", 1, VLOOKUP(C627,'Tariff Schedule Lookup Table'!I$7:L$286,4,FALSE))</f>
        <v>3</v>
      </c>
      <c r="H627" s="18" t="str">
        <f t="shared" si="100"/>
        <v>2-Unmetered, Funded by Others, CE Maintained</v>
      </c>
      <c r="I627" s="123">
        <f>VLOOKUP(F627,'Maintenance Model'!$A$57:$B$61,2,FALSE)</f>
        <v>9.9616182311111103</v>
      </c>
      <c r="J627" s="123">
        <f>IF(D627=1,VLOOKUP(C627,'Capital Code Schedules'!A$15:F$300,2,FALSE),IF(D627=2,VLOOKUP(C627,'Capital Code Schedules'!A$15:F$300,3,FALSE),0))</f>
        <v>0</v>
      </c>
      <c r="K627" s="123">
        <v>0</v>
      </c>
      <c r="L627" s="123">
        <f>VLOOKUP(LEFT(A627,10),'Streetlight Tariff Schedule'!B$11:H$260,7, FALSE)+I627</f>
        <v>93.337767025102579</v>
      </c>
      <c r="M627" s="161">
        <f t="shared" si="101"/>
        <v>93.337767025102579</v>
      </c>
      <c r="N627" s="405">
        <f t="shared" si="102"/>
        <v>97.227023204264526</v>
      </c>
      <c r="O627" s="405">
        <v>60.54013478401945</v>
      </c>
      <c r="P627" s="406">
        <v>60.54013478401945</v>
      </c>
      <c r="Q627" s="406">
        <v>63.502900103446557</v>
      </c>
      <c r="R627" s="406">
        <v>63.502900103446557</v>
      </c>
      <c r="S627" s="405">
        <f t="shared" si="103"/>
        <v>101.98520310406825</v>
      </c>
      <c r="T627" s="406">
        <v>66.111039466329487</v>
      </c>
      <c r="U627" s="406">
        <v>66.352562342749081</v>
      </c>
      <c r="V627" s="405">
        <f t="shared" si="104"/>
        <v>106.56174026662042</v>
      </c>
      <c r="W627" s="406">
        <v>68.517660265633523</v>
      </c>
      <c r="X627" s="406">
        <v>69.382002604402871</v>
      </c>
      <c r="Y627" s="405">
        <f t="shared" si="105"/>
        <v>111.42699964647721</v>
      </c>
      <c r="Z627" s="406">
        <v>70.4968346260343</v>
      </c>
      <c r="AA627" s="406">
        <v>71.647375692693018</v>
      </c>
      <c r="AB627" s="442">
        <f t="shared" si="106"/>
        <v>113.84571672533598</v>
      </c>
      <c r="AC627" s="438">
        <f t="shared" si="107"/>
        <v>117.249596782922</v>
      </c>
      <c r="AD627" s="410"/>
      <c r="AE627" s="411"/>
      <c r="AF627" s="411"/>
      <c r="AG627" s="411"/>
    </row>
    <row r="628" spans="1:33" ht="22.5" x14ac:dyDescent="0.2">
      <c r="A628" s="6" t="s">
        <v>545</v>
      </c>
      <c r="B628" s="18" t="str">
        <f>VLOOKUP(LEFT(A628,7),'Tariff Schedule Lookup Table'!$A$8:$G$186,2,FALSE)</f>
        <v>High Pressure Sodium 2x250</v>
      </c>
      <c r="C628" s="160">
        <f t="shared" si="108"/>
        <v>870</v>
      </c>
      <c r="D628" s="18">
        <f t="shared" si="109"/>
        <v>2</v>
      </c>
      <c r="E628" s="18" t="str">
        <f>VLOOKUP(C628,'Tariff Schedule Lookup Table'!I$7:L$286,2,FALSE)</f>
        <v>HIGH PRESSURE SODIUM 2X250 W OR 2X400 W FLOOD</v>
      </c>
      <c r="F628" s="18" t="str">
        <f>IF(E628 = "BULKHEADS ETC", "SHARED OR NO POLE", VLOOKUP(C628,'Tariff Schedule Lookup Table'!I$7:L$286,3,FALSE))</f>
        <v>R/BOUT COLUMN</v>
      </c>
      <c r="G628" s="18">
        <f>IF(E628 = "NO CAPITAL", 1, VLOOKUP(C628,'Tariff Schedule Lookup Table'!I$7:L$286,4,FALSE))</f>
        <v>4</v>
      </c>
      <c r="H628" s="18" t="str">
        <f t="shared" si="100"/>
        <v>2-Unmetered, Funded by Others, CE Maintained</v>
      </c>
      <c r="I628" s="123">
        <f>VLOOKUP(F628,'Maintenance Model'!$A$57:$B$61,2,FALSE)</f>
        <v>9.9616182311111103</v>
      </c>
      <c r="J628" s="123">
        <f>IF(D628=1,VLOOKUP(C628,'Capital Code Schedules'!A$15:F$300,2,FALSE),IF(D628=2,VLOOKUP(C628,'Capital Code Schedules'!A$15:F$300,3,FALSE),0))</f>
        <v>0</v>
      </c>
      <c r="K628" s="123">
        <v>0</v>
      </c>
      <c r="L628" s="123">
        <f>VLOOKUP(LEFT(A628,10),'Streetlight Tariff Schedule'!B$11:H$260,7, FALSE)+I628</f>
        <v>93.337767025102579</v>
      </c>
      <c r="M628" s="161">
        <f t="shared" si="101"/>
        <v>93.337767025102579</v>
      </c>
      <c r="N628" s="405">
        <f t="shared" si="102"/>
        <v>97.227023204264526</v>
      </c>
      <c r="O628" s="405">
        <v>60.54013478401945</v>
      </c>
      <c r="P628" s="406">
        <v>60.54013478401945</v>
      </c>
      <c r="Q628" s="406">
        <v>63.502900103446557</v>
      </c>
      <c r="R628" s="406">
        <v>63.502900103446557</v>
      </c>
      <c r="S628" s="405">
        <f t="shared" si="103"/>
        <v>101.98520310406825</v>
      </c>
      <c r="T628" s="406">
        <v>66.111039466329487</v>
      </c>
      <c r="U628" s="406">
        <v>66.352562342749081</v>
      </c>
      <c r="V628" s="405">
        <f t="shared" si="104"/>
        <v>106.56174026662042</v>
      </c>
      <c r="W628" s="406">
        <v>68.517660265633523</v>
      </c>
      <c r="X628" s="406">
        <v>69.382002604402871</v>
      </c>
      <c r="Y628" s="405">
        <f t="shared" si="105"/>
        <v>111.42699964647721</v>
      </c>
      <c r="Z628" s="406">
        <v>70.4968346260343</v>
      </c>
      <c r="AA628" s="406">
        <v>71.647375692693018</v>
      </c>
      <c r="AB628" s="442">
        <f t="shared" si="106"/>
        <v>113.84571672533598</v>
      </c>
      <c r="AC628" s="438">
        <f t="shared" si="107"/>
        <v>117.249596782922</v>
      </c>
      <c r="AD628" s="410"/>
      <c r="AE628" s="411"/>
      <c r="AF628" s="411"/>
      <c r="AG628" s="411"/>
    </row>
    <row r="629" spans="1:33" x14ac:dyDescent="0.2">
      <c r="A629" s="6" t="s">
        <v>546</v>
      </c>
      <c r="B629" s="18" t="str">
        <f>VLOOKUP(LEFT(A629,7),'Tariff Schedule Lookup Table'!$A$8:$G$186,2,FALSE)</f>
        <v>High Pressure Sodium 310 (Retrofit)</v>
      </c>
      <c r="C629" s="160">
        <f t="shared" si="108"/>
        <v>70</v>
      </c>
      <c r="D629" s="18">
        <f t="shared" si="109"/>
        <v>1</v>
      </c>
      <c r="E629" s="18" t="str">
        <f>VLOOKUP(C629,'Tariff Schedule Lookup Table'!I$7:L$286,2,FALSE)</f>
        <v>HIGH PRESSURE SODIUM 400W (310/360)</v>
      </c>
      <c r="F629" s="18" t="str">
        <f>IF(E629 = "BULKHEADS ETC", "SHARED OR NO POLE", VLOOKUP(C629,'Tariff Schedule Lookup Table'!I$7:L$286,3,FALSE))</f>
        <v>SHARED OR NO POLE</v>
      </c>
      <c r="G629" s="18">
        <f>IF(E629 = "NO CAPITAL", 1, VLOOKUP(C629,'Tariff Schedule Lookup Table'!I$7:L$286,4,FALSE))</f>
        <v>1</v>
      </c>
      <c r="H629" s="18" t="str">
        <f t="shared" si="100"/>
        <v>1-Unmetered, CE Funded, CE Maintained</v>
      </c>
      <c r="I629" s="123">
        <f>VLOOKUP(F629,'Maintenance Model'!$A$57:$B$61,2,FALSE)</f>
        <v>0</v>
      </c>
      <c r="J629" s="123">
        <f>IF(D629=1,VLOOKUP(C629,'Capital Code Schedules'!A$15:F$300,2,FALSE),IF(D629=2,VLOOKUP(C629,'Capital Code Schedules'!A$15:F$300,3,FALSE),0))</f>
        <v>35.784047435083579</v>
      </c>
      <c r="K629" s="123">
        <v>45.391018453408257</v>
      </c>
      <c r="L629" s="123">
        <f>VLOOKUP(LEFT(A629,10),'Streetlight Tariff Schedule'!B$11:H$260,7, FALSE)+I629</f>
        <v>65.825701074858159</v>
      </c>
      <c r="M629" s="161">
        <f t="shared" si="101"/>
        <v>111.21671952826642</v>
      </c>
      <c r="N629" s="405">
        <f t="shared" si="102"/>
        <v>105.23826997284617</v>
      </c>
      <c r="O629" s="405">
        <v>91.033314398341332</v>
      </c>
      <c r="P629" s="406">
        <v>88.97408760826977</v>
      </c>
      <c r="Q629" s="406">
        <v>92.20324669659631</v>
      </c>
      <c r="R629" s="406">
        <v>94.313439349722145</v>
      </c>
      <c r="S629" s="405">
        <f t="shared" si="103"/>
        <v>109.50151278830062</v>
      </c>
      <c r="T629" s="406">
        <v>95.212182942312026</v>
      </c>
      <c r="U629" s="406">
        <v>97.730653724150869</v>
      </c>
      <c r="V629" s="405">
        <f t="shared" si="104"/>
        <v>113.80003081687771</v>
      </c>
      <c r="W629" s="406">
        <v>98.108982956866257</v>
      </c>
      <c r="X629" s="406">
        <v>101.5908355372802</v>
      </c>
      <c r="Y629" s="405">
        <f t="shared" si="105"/>
        <v>118.54139042775989</v>
      </c>
      <c r="Z629" s="406">
        <v>100.73591556003974</v>
      </c>
      <c r="AA629" s="406">
        <v>104.68815247490011</v>
      </c>
      <c r="AB629" s="442">
        <f t="shared" si="106"/>
        <v>120.95043890704819</v>
      </c>
      <c r="AC629" s="438">
        <f t="shared" si="107"/>
        <v>124.53425232092802</v>
      </c>
      <c r="AD629" s="410"/>
      <c r="AE629" s="411"/>
      <c r="AF629" s="411"/>
      <c r="AG629" s="411"/>
    </row>
    <row r="630" spans="1:33" x14ac:dyDescent="0.2">
      <c r="A630" s="6" t="s">
        <v>547</v>
      </c>
      <c r="B630" s="18" t="str">
        <f>VLOOKUP(LEFT(A630,7),'Tariff Schedule Lookup Table'!$A$8:$G$186,2,FALSE)</f>
        <v>High Pressure Sodium 310 (Retrofit)</v>
      </c>
      <c r="C630" s="160">
        <f t="shared" si="108"/>
        <v>70</v>
      </c>
      <c r="D630" s="18">
        <f t="shared" si="109"/>
        <v>2</v>
      </c>
      <c r="E630" s="18" t="str">
        <f>VLOOKUP(C630,'Tariff Schedule Lookup Table'!I$7:L$286,2,FALSE)</f>
        <v>HIGH PRESSURE SODIUM 400W (310/360)</v>
      </c>
      <c r="F630" s="18" t="str">
        <f>IF(E630 = "BULKHEADS ETC", "SHARED OR NO POLE", VLOOKUP(C630,'Tariff Schedule Lookup Table'!I$7:L$286,3,FALSE))</f>
        <v>SHARED OR NO POLE</v>
      </c>
      <c r="G630" s="18">
        <f>IF(E630 = "NO CAPITAL", 1, VLOOKUP(C630,'Tariff Schedule Lookup Table'!I$7:L$286,4,FALSE))</f>
        <v>1</v>
      </c>
      <c r="H630" s="18" t="str">
        <f t="shared" si="100"/>
        <v>2-Unmetered, Funded by Others, CE Maintained</v>
      </c>
      <c r="I630" s="123">
        <f>VLOOKUP(F630,'Maintenance Model'!$A$57:$B$61,2,FALSE)</f>
        <v>0</v>
      </c>
      <c r="J630" s="123">
        <f>IF(D630=1,VLOOKUP(C630,'Capital Code Schedules'!A$15:F$300,2,FALSE),IF(D630=2,VLOOKUP(C630,'Capital Code Schedules'!A$15:F$300,3,FALSE),0))</f>
        <v>0</v>
      </c>
      <c r="K630" s="123">
        <v>0</v>
      </c>
      <c r="L630" s="123">
        <f>VLOOKUP(LEFT(A630,10),'Streetlight Tariff Schedule'!B$11:H$260,7, FALSE)+I630</f>
        <v>65.825701074858159</v>
      </c>
      <c r="M630" s="161">
        <f t="shared" si="101"/>
        <v>65.825701074858159</v>
      </c>
      <c r="N630" s="405">
        <f t="shared" si="102"/>
        <v>68.568567363744279</v>
      </c>
      <c r="O630" s="405">
        <v>42.459641448139642</v>
      </c>
      <c r="P630" s="406">
        <v>42.459641448139642</v>
      </c>
      <c r="Q630" s="406">
        <v>44.53756799400297</v>
      </c>
      <c r="R630" s="406">
        <v>44.53756799400297</v>
      </c>
      <c r="S630" s="405">
        <f t="shared" si="103"/>
        <v>71.92423503962344</v>
      </c>
      <c r="T630" s="406">
        <v>46.366778691829502</v>
      </c>
      <c r="U630" s="406">
        <v>46.536170034793706</v>
      </c>
      <c r="V630" s="405">
        <f t="shared" si="104"/>
        <v>75.151800652363235</v>
      </c>
      <c r="W630" s="406">
        <v>48.054654951184283</v>
      </c>
      <c r="X630" s="406">
        <v>48.66085885085382</v>
      </c>
      <c r="Y630" s="405">
        <f t="shared" si="105"/>
        <v>78.582985260668394</v>
      </c>
      <c r="Z630" s="406">
        <v>49.442742936217151</v>
      </c>
      <c r="AA630" s="406">
        <v>50.249671452910576</v>
      </c>
      <c r="AB630" s="442">
        <f t="shared" si="106"/>
        <v>80.288765809015871</v>
      </c>
      <c r="AC630" s="438">
        <f t="shared" si="107"/>
        <v>82.689324535742955</v>
      </c>
      <c r="AD630" s="410"/>
      <c r="AE630" s="411"/>
      <c r="AF630" s="411"/>
      <c r="AG630" s="411"/>
    </row>
    <row r="631" spans="1:33" x14ac:dyDescent="0.2">
      <c r="A631" s="6" t="s">
        <v>548</v>
      </c>
      <c r="B631" s="18" t="str">
        <f>VLOOKUP(LEFT(A631,7),'Tariff Schedule Lookup Table'!$A$8:$G$186,2,FALSE)</f>
        <v>High Pressure Sodium 310 (Retrofit)</v>
      </c>
      <c r="C631" s="160">
        <f t="shared" si="108"/>
        <v>240</v>
      </c>
      <c r="D631" s="18">
        <f t="shared" si="109"/>
        <v>2</v>
      </c>
      <c r="E631" s="18" t="str">
        <f>VLOOKUP(C631,'Tariff Schedule Lookup Table'!I$7:L$286,2,FALSE)</f>
        <v>HIGH PRESSURE SODIUM 400W (310/360)</v>
      </c>
      <c r="F631" s="18" t="str">
        <f>IF(E631 = "BULKHEADS ETC", "SHARED OR NO POLE", VLOOKUP(C631,'Tariff Schedule Lookup Table'!I$7:L$286,3,FALSE))</f>
        <v>WOOD POLE</v>
      </c>
      <c r="G631" s="18">
        <f>IF(E631 = "NO CAPITAL", 1, VLOOKUP(C631,'Tariff Schedule Lookup Table'!I$7:L$286,4,FALSE))</f>
        <v>1</v>
      </c>
      <c r="H631" s="18" t="str">
        <f t="shared" si="100"/>
        <v>2-Unmetered, Funded by Others, CE Maintained</v>
      </c>
      <c r="I631" s="123">
        <f>VLOOKUP(F631,'Maintenance Model'!$A$57:$B$61,2,FALSE)</f>
        <v>10.731618231111112</v>
      </c>
      <c r="J631" s="123">
        <f>IF(D631=1,VLOOKUP(C631,'Capital Code Schedules'!A$15:F$300,2,FALSE),IF(D631=2,VLOOKUP(C631,'Capital Code Schedules'!A$15:F$300,3,FALSE),0))</f>
        <v>0</v>
      </c>
      <c r="K631" s="123">
        <v>0</v>
      </c>
      <c r="L631" s="123">
        <f>VLOOKUP(LEFT(A631,10),'Streetlight Tariff Schedule'!B$11:H$260,7, FALSE)+I631</f>
        <v>76.557319305969273</v>
      </c>
      <c r="M631" s="161">
        <f t="shared" si="101"/>
        <v>76.557319305969273</v>
      </c>
      <c r="N631" s="405">
        <f t="shared" si="102"/>
        <v>79.747357343741669</v>
      </c>
      <c r="O631" s="405">
        <v>52.855841523563811</v>
      </c>
      <c r="P631" s="406">
        <v>52.855841523563811</v>
      </c>
      <c r="Q631" s="406">
        <v>55.44254627329434</v>
      </c>
      <c r="R631" s="406">
        <v>55.44254627329434</v>
      </c>
      <c r="S631" s="405">
        <f t="shared" si="103"/>
        <v>83.650102283060278</v>
      </c>
      <c r="T631" s="406">
        <v>57.719637352257358</v>
      </c>
      <c r="U631" s="406">
        <v>57.930503993468051</v>
      </c>
      <c r="V631" s="405">
        <f t="shared" si="104"/>
        <v>87.4038605744378</v>
      </c>
      <c r="W631" s="406">
        <v>59.820788399065137</v>
      </c>
      <c r="X631" s="406">
        <v>60.575420707749025</v>
      </c>
      <c r="Y631" s="405">
        <f t="shared" si="105"/>
        <v>91.394434033838039</v>
      </c>
      <c r="Z631" s="406">
        <v>61.548748317126936</v>
      </c>
      <c r="AA631" s="406">
        <v>62.553252461404412</v>
      </c>
      <c r="AB631" s="442">
        <f t="shared" si="106"/>
        <v>93.378309389107585</v>
      </c>
      <c r="AC631" s="438">
        <f t="shared" si="107"/>
        <v>96.170233181089344</v>
      </c>
      <c r="AD631" s="410"/>
      <c r="AE631" s="411"/>
      <c r="AF631" s="411"/>
      <c r="AG631" s="411"/>
    </row>
    <row r="632" spans="1:33" x14ac:dyDescent="0.2">
      <c r="A632" s="6" t="s">
        <v>549</v>
      </c>
      <c r="B632" s="18" t="str">
        <f>VLOOKUP(LEFT(A632,7),'Tariff Schedule Lookup Table'!$A$8:$G$186,2,FALSE)</f>
        <v>High Pressure Sodium 310 (Retrofit)</v>
      </c>
      <c r="C632" s="160">
        <f t="shared" si="108"/>
        <v>330</v>
      </c>
      <c r="D632" s="18">
        <f t="shared" si="109"/>
        <v>2</v>
      </c>
      <c r="E632" s="18" t="str">
        <f>VLOOKUP(C632,'Tariff Schedule Lookup Table'!I$7:L$286,2,FALSE)</f>
        <v>HIGH PRESSURE SODIUM 400W (310/360)</v>
      </c>
      <c r="F632" s="18" t="str">
        <f>IF(E632 = "BULKHEADS ETC", "SHARED OR NO POLE", VLOOKUP(C632,'Tariff Schedule Lookup Table'!I$7:L$286,3,FALSE))</f>
        <v>STEEL POLE</v>
      </c>
      <c r="G632" s="18">
        <f>IF(E632 = "NO CAPITAL", 1, VLOOKUP(C632,'Tariff Schedule Lookup Table'!I$7:L$286,4,FALSE))</f>
        <v>1</v>
      </c>
      <c r="H632" s="18" t="str">
        <f t="shared" si="100"/>
        <v>2-Unmetered, Funded by Others, CE Maintained</v>
      </c>
      <c r="I632" s="123">
        <f>VLOOKUP(F632,'Maintenance Model'!$A$57:$B$61,2,FALSE)</f>
        <v>9.9616182311111103</v>
      </c>
      <c r="J632" s="123">
        <f>IF(D632=1,VLOOKUP(C632,'Capital Code Schedules'!A$15:F$300,2,FALSE),IF(D632=2,VLOOKUP(C632,'Capital Code Schedules'!A$15:F$300,3,FALSE),0))</f>
        <v>0</v>
      </c>
      <c r="K632" s="123">
        <v>0</v>
      </c>
      <c r="L632" s="123">
        <f>VLOOKUP(LEFT(A632,10),'Streetlight Tariff Schedule'!B$11:H$260,7, FALSE)+I632</f>
        <v>75.787319305969277</v>
      </c>
      <c r="M632" s="161">
        <f t="shared" si="101"/>
        <v>75.787319305969277</v>
      </c>
      <c r="N632" s="405">
        <f t="shared" si="102"/>
        <v>78.945272504416678</v>
      </c>
      <c r="O632" s="405">
        <v>52.053756684238806</v>
      </c>
      <c r="P632" s="406">
        <v>52.053756684238806</v>
      </c>
      <c r="Q632" s="406">
        <v>54.601208314469886</v>
      </c>
      <c r="R632" s="406">
        <v>54.601208314469886</v>
      </c>
      <c r="S632" s="405">
        <f t="shared" si="103"/>
        <v>82.808764324235824</v>
      </c>
      <c r="T632" s="406">
        <v>56.843744646416255</v>
      </c>
      <c r="U632" s="406">
        <v>57.051411396542839</v>
      </c>
      <c r="V632" s="405">
        <f t="shared" si="104"/>
        <v>86.524767977512582</v>
      </c>
      <c r="W632" s="406">
        <v>58.913010827687941</v>
      </c>
      <c r="X632" s="406">
        <v>59.656191627577087</v>
      </c>
      <c r="Y632" s="405">
        <f t="shared" si="105"/>
        <v>90.475204953666108</v>
      </c>
      <c r="Z632" s="406">
        <v>60.614749037547035</v>
      </c>
      <c r="AA632" s="406">
        <v>61.60400988000697</v>
      </c>
      <c r="AB632" s="442">
        <f t="shared" si="106"/>
        <v>92.439126840901437</v>
      </c>
      <c r="AC632" s="438">
        <f t="shared" si="107"/>
        <v>95.202969956348085</v>
      </c>
      <c r="AD632" s="410"/>
      <c r="AE632" s="411"/>
      <c r="AF632" s="411"/>
      <c r="AG632" s="411"/>
    </row>
    <row r="633" spans="1:33" x14ac:dyDescent="0.2">
      <c r="A633" s="6" t="s">
        <v>550</v>
      </c>
      <c r="B633" s="18" t="str">
        <f>VLOOKUP(LEFT(A633,7),'Tariff Schedule Lookup Table'!$A$8:$G$186,2,FALSE)</f>
        <v>High Pressure Sodium 310 (Retrofit)</v>
      </c>
      <c r="C633" s="160">
        <f t="shared" si="108"/>
        <v>400</v>
      </c>
      <c r="D633" s="18">
        <f t="shared" si="109"/>
        <v>2</v>
      </c>
      <c r="E633" s="18" t="str">
        <f>VLOOKUP(C633,'Tariff Schedule Lookup Table'!I$7:L$286,2,FALSE)</f>
        <v>HIGH PRESSURE SODIUM 400W (310/360)</v>
      </c>
      <c r="F633" s="18" t="str">
        <f>IF(E633 = "BULKHEADS ETC", "SHARED OR NO POLE", VLOOKUP(C633,'Tariff Schedule Lookup Table'!I$7:L$286,3,FALSE))</f>
        <v>STEEL POLE</v>
      </c>
      <c r="G633" s="18">
        <f>IF(E633 = "NO CAPITAL", 1, VLOOKUP(C633,'Tariff Schedule Lookup Table'!I$7:L$286,4,FALSE))</f>
        <v>2</v>
      </c>
      <c r="H633" s="18" t="str">
        <f t="shared" si="100"/>
        <v>2-Unmetered, Funded by Others, CE Maintained</v>
      </c>
      <c r="I633" s="123">
        <f>VLOOKUP(F633,'Maintenance Model'!$A$57:$B$61,2,FALSE)</f>
        <v>9.9616182311111103</v>
      </c>
      <c r="J633" s="123">
        <f>IF(D633=1,VLOOKUP(C633,'Capital Code Schedules'!A$15:F$300,2,FALSE),IF(D633=2,VLOOKUP(C633,'Capital Code Schedules'!A$15:F$300,3,FALSE),0))</f>
        <v>0</v>
      </c>
      <c r="K633" s="123">
        <v>0</v>
      </c>
      <c r="L633" s="123">
        <f>VLOOKUP(LEFT(A633,10),'Streetlight Tariff Schedule'!B$11:H$260,7, FALSE)+I633</f>
        <v>75.787319305969277</v>
      </c>
      <c r="M633" s="161">
        <f t="shared" si="101"/>
        <v>75.787319305969277</v>
      </c>
      <c r="N633" s="405">
        <f t="shared" si="102"/>
        <v>78.945272504416678</v>
      </c>
      <c r="O633" s="405">
        <v>52.053756684238806</v>
      </c>
      <c r="P633" s="406">
        <v>52.053756684238806</v>
      </c>
      <c r="Q633" s="406">
        <v>54.601208314469886</v>
      </c>
      <c r="R633" s="406">
        <v>54.601208314469886</v>
      </c>
      <c r="S633" s="405">
        <f t="shared" si="103"/>
        <v>82.808764324235824</v>
      </c>
      <c r="T633" s="406">
        <v>56.843744646416255</v>
      </c>
      <c r="U633" s="406">
        <v>57.051411396542839</v>
      </c>
      <c r="V633" s="405">
        <f t="shared" si="104"/>
        <v>86.524767977512582</v>
      </c>
      <c r="W633" s="406">
        <v>58.913010827687941</v>
      </c>
      <c r="X633" s="406">
        <v>59.656191627577087</v>
      </c>
      <c r="Y633" s="405">
        <f t="shared" si="105"/>
        <v>90.475204953666108</v>
      </c>
      <c r="Z633" s="406">
        <v>60.614749037547035</v>
      </c>
      <c r="AA633" s="406">
        <v>61.60400988000697</v>
      </c>
      <c r="AB633" s="442">
        <f t="shared" si="106"/>
        <v>92.439126840901437</v>
      </c>
      <c r="AC633" s="438">
        <f t="shared" si="107"/>
        <v>95.202969956348085</v>
      </c>
      <c r="AD633" s="410"/>
      <c r="AE633" s="411"/>
      <c r="AF633" s="411"/>
      <c r="AG633" s="411"/>
    </row>
    <row r="634" spans="1:33" x14ac:dyDescent="0.2">
      <c r="A634" s="6" t="s">
        <v>551</v>
      </c>
      <c r="B634" s="18" t="str">
        <f>VLOOKUP(LEFT(A634,7),'Tariff Schedule Lookup Table'!$A$8:$G$186,2,FALSE)</f>
        <v>High Pressure Sodium 310 (Retrofit)</v>
      </c>
      <c r="C634" s="160">
        <f t="shared" si="108"/>
        <v>1030</v>
      </c>
      <c r="D634" s="18">
        <f t="shared" si="109"/>
        <v>1</v>
      </c>
      <c r="E634" s="18" t="str">
        <f>VLOOKUP(C634,'Tariff Schedule Lookup Table'!I$7:L$286,2,FALSE)</f>
        <v>HIGH PRESSURE SODIUM 400W (310/360)</v>
      </c>
      <c r="F634" s="18" t="str">
        <f>IF(E634 = "BULKHEADS ETC", "SHARED OR NO POLE", VLOOKUP(C634,'Tariff Schedule Lookup Table'!I$7:L$286,3,FALSE))</f>
        <v>SHARED OR NO POLE</v>
      </c>
      <c r="G634" s="18">
        <f>IF(E634 = "NO CAPITAL", 1, VLOOKUP(C634,'Tariff Schedule Lookup Table'!I$7:L$286,4,FALSE))</f>
        <v>2</v>
      </c>
      <c r="H634" s="18" t="str">
        <f t="shared" si="100"/>
        <v>1-Unmetered, CE Funded, CE Maintained</v>
      </c>
      <c r="I634" s="123">
        <f>VLOOKUP(F634,'Maintenance Model'!$A$57:$B$61,2,FALSE)</f>
        <v>0</v>
      </c>
      <c r="J634" s="123">
        <f>IF(D634=1,VLOOKUP(C634,'Capital Code Schedules'!A$15:F$300,2,FALSE),IF(D634=2,VLOOKUP(C634,'Capital Code Schedules'!A$15:F$300,3,FALSE),0))</f>
        <v>52.163571087910817</v>
      </c>
      <c r="K634" s="123">
        <v>66.167965547844219</v>
      </c>
      <c r="L634" s="123">
        <f>VLOOKUP(LEFT(A634,10),'Streetlight Tariff Schedule'!B$11:H$260,7, FALSE)+I634</f>
        <v>65.825701074858159</v>
      </c>
      <c r="M634" s="161">
        <f t="shared" si="101"/>
        <v>131.99366662270239</v>
      </c>
      <c r="N634" s="405">
        <f t="shared" si="102"/>
        <v>122.02318683608088</v>
      </c>
      <c r="O634" s="405">
        <v>113.2670660843645</v>
      </c>
      <c r="P634" s="406">
        <v>110.26526414329301</v>
      </c>
      <c r="Q634" s="406">
        <v>114.02137985086138</v>
      </c>
      <c r="R634" s="406">
        <v>117.09747638997439</v>
      </c>
      <c r="S634" s="405">
        <f t="shared" si="103"/>
        <v>126.70185634390039</v>
      </c>
      <c r="T634" s="406">
        <v>117.57031489214515</v>
      </c>
      <c r="U634" s="406">
        <v>121.1640358200503</v>
      </c>
      <c r="V634" s="405">
        <f t="shared" si="104"/>
        <v>131.49058416381206</v>
      </c>
      <c r="W634" s="406">
        <v>121.02047867245776</v>
      </c>
      <c r="X634" s="406">
        <v>125.81860928623061</v>
      </c>
      <c r="Y634" s="405">
        <f t="shared" si="105"/>
        <v>136.83165353315533</v>
      </c>
      <c r="Z634" s="406">
        <v>124.21447079459213</v>
      </c>
      <c r="AA634" s="406">
        <v>129.6064177756956</v>
      </c>
      <c r="AB634" s="442">
        <f t="shared" si="106"/>
        <v>139.56261064309859</v>
      </c>
      <c r="AC634" s="438">
        <f t="shared" si="107"/>
        <v>143.68803825449749</v>
      </c>
      <c r="AD634" s="410"/>
      <c r="AE634" s="411"/>
      <c r="AF634" s="411"/>
      <c r="AG634" s="411"/>
    </row>
    <row r="635" spans="1:33" x14ac:dyDescent="0.2">
      <c r="A635" s="6" t="s">
        <v>552</v>
      </c>
      <c r="B635" s="18" t="str">
        <f>VLOOKUP(LEFT(A635,7),'Tariff Schedule Lookup Table'!$A$8:$G$186,2,FALSE)</f>
        <v>High Pressure Sodium 360</v>
      </c>
      <c r="C635" s="160">
        <f t="shared" si="108"/>
        <v>70</v>
      </c>
      <c r="D635" s="18">
        <f t="shared" si="109"/>
        <v>1</v>
      </c>
      <c r="E635" s="18" t="str">
        <f>VLOOKUP(C635,'Tariff Schedule Lookup Table'!I$7:L$286,2,FALSE)</f>
        <v>HIGH PRESSURE SODIUM 400W (310/360)</v>
      </c>
      <c r="F635" s="18" t="str">
        <f>IF(E635 = "BULKHEADS ETC", "SHARED OR NO POLE", VLOOKUP(C635,'Tariff Schedule Lookup Table'!I$7:L$286,3,FALSE))</f>
        <v>SHARED OR NO POLE</v>
      </c>
      <c r="G635" s="18">
        <f>IF(E635 = "NO CAPITAL", 1, VLOOKUP(C635,'Tariff Schedule Lookup Table'!I$7:L$286,4,FALSE))</f>
        <v>1</v>
      </c>
      <c r="H635" s="18" t="str">
        <f t="shared" si="100"/>
        <v>1-Unmetered, CE Funded, CE Maintained</v>
      </c>
      <c r="I635" s="123">
        <f>VLOOKUP(F635,'Maintenance Model'!$A$57:$B$61,2,FALSE)</f>
        <v>0</v>
      </c>
      <c r="J635" s="123">
        <f>IF(D635=1,VLOOKUP(C635,'Capital Code Schedules'!A$15:F$300,2,FALSE),IF(D635=2,VLOOKUP(C635,'Capital Code Schedules'!A$15:F$300,3,FALSE),0))</f>
        <v>35.784047435083579</v>
      </c>
      <c r="K635" s="123">
        <v>45.391018453408257</v>
      </c>
      <c r="L635" s="123">
        <f>VLOOKUP(LEFT(A635,10),'Streetlight Tariff Schedule'!B$11:H$260,7, FALSE)+I635</f>
        <v>70.417216134374826</v>
      </c>
      <c r="M635" s="161">
        <f t="shared" si="101"/>
        <v>115.80823458778309</v>
      </c>
      <c r="N635" s="405">
        <f t="shared" si="102"/>
        <v>110.0211071400809</v>
      </c>
      <c r="O635" s="405">
        <v>95.372511494213612</v>
      </c>
      <c r="P635" s="406">
        <v>93.313284704142049</v>
      </c>
      <c r="Q635" s="406">
        <v>96.754799161607991</v>
      </c>
      <c r="R635" s="406">
        <v>98.864991814733827</v>
      </c>
      <c r="S635" s="405">
        <f t="shared" si="103"/>
        <v>114.51841656503504</v>
      </c>
      <c r="T635" s="406">
        <v>99.950673060988123</v>
      </c>
      <c r="U635" s="406">
        <v>102.48645492691499</v>
      </c>
      <c r="V635" s="405">
        <f t="shared" si="104"/>
        <v>119.04206574868513</v>
      </c>
      <c r="W635" s="406">
        <v>103.01996694296537</v>
      </c>
      <c r="X635" s="406">
        <v>106.56377101687379</v>
      </c>
      <c r="Y635" s="405">
        <f t="shared" si="105"/>
        <v>124.02275947289637</v>
      </c>
      <c r="Z635" s="406">
        <v>105.78875631054008</v>
      </c>
      <c r="AA635" s="406">
        <v>109.82345793204404</v>
      </c>
      <c r="AB635" s="442">
        <f t="shared" si="106"/>
        <v>126.55079061318303</v>
      </c>
      <c r="AC635" s="438">
        <f t="shared" si="107"/>
        <v>130.30204928575424</v>
      </c>
      <c r="AD635" s="410"/>
      <c r="AE635" s="411"/>
      <c r="AF635" s="411"/>
      <c r="AG635" s="411"/>
    </row>
    <row r="636" spans="1:33" x14ac:dyDescent="0.2">
      <c r="A636" s="6" t="s">
        <v>553</v>
      </c>
      <c r="B636" s="18" t="str">
        <f>VLOOKUP(LEFT(A636,7),'Tariff Schedule Lookup Table'!$A$8:$G$186,2,FALSE)</f>
        <v>High Pressure Sodium 360</v>
      </c>
      <c r="C636" s="160">
        <f t="shared" si="108"/>
        <v>70</v>
      </c>
      <c r="D636" s="18">
        <f t="shared" si="109"/>
        <v>2</v>
      </c>
      <c r="E636" s="18" t="str">
        <f>VLOOKUP(C636,'Tariff Schedule Lookup Table'!I$7:L$286,2,FALSE)</f>
        <v>HIGH PRESSURE SODIUM 400W (310/360)</v>
      </c>
      <c r="F636" s="18" t="str">
        <f>IF(E636 = "BULKHEADS ETC", "SHARED OR NO POLE", VLOOKUP(C636,'Tariff Schedule Lookup Table'!I$7:L$286,3,FALSE))</f>
        <v>SHARED OR NO POLE</v>
      </c>
      <c r="G636" s="18">
        <f>IF(E636 = "NO CAPITAL", 1, VLOOKUP(C636,'Tariff Schedule Lookup Table'!I$7:L$286,4,FALSE))</f>
        <v>1</v>
      </c>
      <c r="H636" s="18" t="str">
        <f t="shared" si="100"/>
        <v>2-Unmetered, Funded by Others, CE Maintained</v>
      </c>
      <c r="I636" s="123">
        <f>VLOOKUP(F636,'Maintenance Model'!$A$57:$B$61,2,FALSE)</f>
        <v>0</v>
      </c>
      <c r="J636" s="123">
        <f>IF(D636=1,VLOOKUP(C636,'Capital Code Schedules'!A$15:F$300,2,FALSE),IF(D636=2,VLOOKUP(C636,'Capital Code Schedules'!A$15:F$300,3,FALSE),0))</f>
        <v>0</v>
      </c>
      <c r="K636" s="123">
        <v>0</v>
      </c>
      <c r="L636" s="123">
        <f>VLOOKUP(LEFT(A636,10),'Streetlight Tariff Schedule'!B$11:H$260,7, FALSE)+I636</f>
        <v>70.417216134374826</v>
      </c>
      <c r="M636" s="161">
        <f t="shared" si="101"/>
        <v>70.417216134374826</v>
      </c>
      <c r="N636" s="405">
        <f t="shared" si="102"/>
        <v>73.351404530979011</v>
      </c>
      <c r="O636" s="405">
        <v>46.798838544011929</v>
      </c>
      <c r="P636" s="406">
        <v>46.798838544011929</v>
      </c>
      <c r="Q636" s="406">
        <v>49.089120459014651</v>
      </c>
      <c r="R636" s="406">
        <v>49.089120459014651</v>
      </c>
      <c r="S636" s="405">
        <f t="shared" si="103"/>
        <v>76.941138816357864</v>
      </c>
      <c r="T636" s="406">
        <v>51.105268810505599</v>
      </c>
      <c r="U636" s="406">
        <v>51.291971237557831</v>
      </c>
      <c r="V636" s="405">
        <f t="shared" si="104"/>
        <v>80.393835584170674</v>
      </c>
      <c r="W636" s="406">
        <v>52.965638937283387</v>
      </c>
      <c r="X636" s="406">
        <v>53.633794330447408</v>
      </c>
      <c r="Y636" s="405">
        <f t="shared" si="105"/>
        <v>84.064354305804869</v>
      </c>
      <c r="Z636" s="406">
        <v>54.495583686717495</v>
      </c>
      <c r="AA636" s="406">
        <v>55.384976910054512</v>
      </c>
      <c r="AB636" s="442">
        <f t="shared" si="106"/>
        <v>85.889117515150701</v>
      </c>
      <c r="AC636" s="438">
        <f t="shared" si="107"/>
        <v>88.457121500569158</v>
      </c>
      <c r="AD636" s="410"/>
      <c r="AE636" s="411"/>
      <c r="AF636" s="411"/>
      <c r="AG636" s="411"/>
    </row>
    <row r="637" spans="1:33" x14ac:dyDescent="0.2">
      <c r="A637" s="6" t="s">
        <v>554</v>
      </c>
      <c r="B637" s="18" t="str">
        <f>VLOOKUP(LEFT(A637,7),'Tariff Schedule Lookup Table'!$A$8:$G$186,2,FALSE)</f>
        <v>High Pressure Sodium 360</v>
      </c>
      <c r="C637" s="160">
        <f t="shared" si="108"/>
        <v>240</v>
      </c>
      <c r="D637" s="18">
        <f t="shared" si="109"/>
        <v>1</v>
      </c>
      <c r="E637" s="18" t="str">
        <f>VLOOKUP(C637,'Tariff Schedule Lookup Table'!I$7:L$286,2,FALSE)</f>
        <v>HIGH PRESSURE SODIUM 400W (310/360)</v>
      </c>
      <c r="F637" s="18" t="str">
        <f>IF(E637 = "BULKHEADS ETC", "SHARED OR NO POLE", VLOOKUP(C637,'Tariff Schedule Lookup Table'!I$7:L$286,3,FALSE))</f>
        <v>WOOD POLE</v>
      </c>
      <c r="G637" s="18">
        <f>IF(E637 = "NO CAPITAL", 1, VLOOKUP(C637,'Tariff Schedule Lookup Table'!I$7:L$286,4,FALSE))</f>
        <v>1</v>
      </c>
      <c r="H637" s="18" t="str">
        <f t="shared" si="100"/>
        <v>1-Unmetered, CE Funded, CE Maintained</v>
      </c>
      <c r="I637" s="123">
        <f>VLOOKUP(F637,'Maintenance Model'!$A$57:$B$61,2,FALSE)</f>
        <v>10.731618231111112</v>
      </c>
      <c r="J637" s="123">
        <f>IF(D637=1,VLOOKUP(C637,'Capital Code Schedules'!A$15:F$300,2,FALSE),IF(D637=2,VLOOKUP(C637,'Capital Code Schedules'!A$15:F$300,3,FALSE),0))</f>
        <v>69.685165796959865</v>
      </c>
      <c r="K637" s="123">
        <v>88.393596402330274</v>
      </c>
      <c r="L637" s="123">
        <f>VLOOKUP(LEFT(A637,10),'Streetlight Tariff Schedule'!B$11:H$260,7, FALSE)+I637</f>
        <v>81.148834365485939</v>
      </c>
      <c r="M637" s="161">
        <f t="shared" si="101"/>
        <v>169.5424307678162</v>
      </c>
      <c r="N637" s="405">
        <f t="shared" si="102"/>
        <v>155.94006816141103</v>
      </c>
      <c r="O637" s="405">
        <v>151.78647518184974</v>
      </c>
      <c r="P637" s="406">
        <v>147.77637653272404</v>
      </c>
      <c r="Q637" s="406">
        <v>152.81732476494787</v>
      </c>
      <c r="R637" s="406">
        <v>156.92667335563942</v>
      </c>
      <c r="S637" s="405">
        <f t="shared" si="103"/>
        <v>161.84427408307761</v>
      </c>
      <c r="T637" s="406">
        <v>157.57872834173469</v>
      </c>
      <c r="U637" s="406">
        <v>162.38145819015955</v>
      </c>
      <c r="V637" s="405">
        <f t="shared" si="104"/>
        <v>167.90871566819169</v>
      </c>
      <c r="W637" s="406">
        <v>162.2066081275178</v>
      </c>
      <c r="X637" s="406">
        <v>168.62317486776413</v>
      </c>
      <c r="Y637" s="405">
        <f t="shared" si="105"/>
        <v>174.69003284441095</v>
      </c>
      <c r="Z637" s="406">
        <v>166.48892699460407</v>
      </c>
      <c r="AA637" s="406">
        <v>173.70100893136188</v>
      </c>
      <c r="AB637" s="442">
        <f t="shared" si="106"/>
        <v>178.16242130455055</v>
      </c>
      <c r="AC637" s="438">
        <f t="shared" si="107"/>
        <v>183.42603777731455</v>
      </c>
      <c r="AD637" s="410"/>
      <c r="AE637" s="411"/>
      <c r="AF637" s="411"/>
      <c r="AG637" s="411"/>
    </row>
    <row r="638" spans="1:33" x14ac:dyDescent="0.2">
      <c r="A638" s="6" t="s">
        <v>555</v>
      </c>
      <c r="B638" s="18" t="str">
        <f>VLOOKUP(LEFT(A638,7),'Tariff Schedule Lookup Table'!$A$8:$G$186,2,FALSE)</f>
        <v>High Pressure Sodium 360</v>
      </c>
      <c r="C638" s="160">
        <f t="shared" si="108"/>
        <v>240</v>
      </c>
      <c r="D638" s="18">
        <f t="shared" si="109"/>
        <v>2</v>
      </c>
      <c r="E638" s="18" t="str">
        <f>VLOOKUP(C638,'Tariff Schedule Lookup Table'!I$7:L$286,2,FALSE)</f>
        <v>HIGH PRESSURE SODIUM 400W (310/360)</v>
      </c>
      <c r="F638" s="18" t="str">
        <f>IF(E638 = "BULKHEADS ETC", "SHARED OR NO POLE", VLOOKUP(C638,'Tariff Schedule Lookup Table'!I$7:L$286,3,FALSE))</f>
        <v>WOOD POLE</v>
      </c>
      <c r="G638" s="18">
        <f>IF(E638 = "NO CAPITAL", 1, VLOOKUP(C638,'Tariff Schedule Lookup Table'!I$7:L$286,4,FALSE))</f>
        <v>1</v>
      </c>
      <c r="H638" s="18" t="str">
        <f t="shared" si="100"/>
        <v>2-Unmetered, Funded by Others, CE Maintained</v>
      </c>
      <c r="I638" s="123">
        <f>VLOOKUP(F638,'Maintenance Model'!$A$57:$B$61,2,FALSE)</f>
        <v>10.731618231111112</v>
      </c>
      <c r="J638" s="123">
        <f>IF(D638=1,VLOOKUP(C638,'Capital Code Schedules'!A$15:F$300,2,FALSE),IF(D638=2,VLOOKUP(C638,'Capital Code Schedules'!A$15:F$300,3,FALSE),0))</f>
        <v>0</v>
      </c>
      <c r="K638" s="123">
        <v>0</v>
      </c>
      <c r="L638" s="123">
        <f>VLOOKUP(LEFT(A638,10),'Streetlight Tariff Schedule'!B$11:H$260,7, FALSE)+I638</f>
        <v>81.148834365485939</v>
      </c>
      <c r="M638" s="161">
        <f t="shared" si="101"/>
        <v>81.148834365485939</v>
      </c>
      <c r="N638" s="405">
        <f t="shared" si="102"/>
        <v>84.530194510976401</v>
      </c>
      <c r="O638" s="405">
        <v>57.195038619436104</v>
      </c>
      <c r="P638" s="406">
        <v>57.195038619436104</v>
      </c>
      <c r="Q638" s="406">
        <v>59.994098738306029</v>
      </c>
      <c r="R638" s="406">
        <v>59.994098738306029</v>
      </c>
      <c r="S638" s="405">
        <f t="shared" si="103"/>
        <v>88.667006059794701</v>
      </c>
      <c r="T638" s="406">
        <v>62.458127470933448</v>
      </c>
      <c r="U638" s="406">
        <v>62.686305196232176</v>
      </c>
      <c r="V638" s="405">
        <f t="shared" si="104"/>
        <v>92.645895506245225</v>
      </c>
      <c r="W638" s="406">
        <v>64.731772385164248</v>
      </c>
      <c r="X638" s="406">
        <v>65.54835618734262</v>
      </c>
      <c r="Y638" s="405">
        <f t="shared" si="105"/>
        <v>96.875803078974542</v>
      </c>
      <c r="Z638" s="406">
        <v>66.601589067627273</v>
      </c>
      <c r="AA638" s="406">
        <v>67.688557918548341</v>
      </c>
      <c r="AB638" s="442">
        <f t="shared" si="106"/>
        <v>98.978661095242416</v>
      </c>
      <c r="AC638" s="438">
        <f t="shared" si="107"/>
        <v>101.93803014591556</v>
      </c>
      <c r="AD638" s="410"/>
      <c r="AE638" s="411"/>
      <c r="AF638" s="411"/>
      <c r="AG638" s="411"/>
    </row>
    <row r="639" spans="1:33" x14ac:dyDescent="0.2">
      <c r="A639" s="6" t="s">
        <v>556</v>
      </c>
      <c r="B639" s="18" t="str">
        <f>VLOOKUP(LEFT(A639,7),'Tariff Schedule Lookup Table'!$A$8:$G$186,2,FALSE)</f>
        <v>High Pressure Sodium 360</v>
      </c>
      <c r="C639" s="160">
        <f t="shared" si="108"/>
        <v>330</v>
      </c>
      <c r="D639" s="18">
        <f t="shared" si="109"/>
        <v>1</v>
      </c>
      <c r="E639" s="18" t="str">
        <f>VLOOKUP(C639,'Tariff Schedule Lookup Table'!I$7:L$286,2,FALSE)</f>
        <v>HIGH PRESSURE SODIUM 400W (310/360)</v>
      </c>
      <c r="F639" s="18" t="str">
        <f>IF(E639 = "BULKHEADS ETC", "SHARED OR NO POLE", VLOOKUP(C639,'Tariff Schedule Lookup Table'!I$7:L$286,3,FALSE))</f>
        <v>STEEL POLE</v>
      </c>
      <c r="G639" s="18">
        <f>IF(E639 = "NO CAPITAL", 1, VLOOKUP(C639,'Tariff Schedule Lookup Table'!I$7:L$286,4,FALSE))</f>
        <v>1</v>
      </c>
      <c r="H639" s="18" t="str">
        <f t="shared" si="100"/>
        <v>1-Unmetered, CE Funded, CE Maintained</v>
      </c>
      <c r="I639" s="123">
        <f>VLOOKUP(F639,'Maintenance Model'!$A$57:$B$61,2,FALSE)</f>
        <v>9.9616182311111103</v>
      </c>
      <c r="J639" s="123">
        <f>IF(D639=1,VLOOKUP(C639,'Capital Code Schedules'!A$15:F$300,2,FALSE),IF(D639=2,VLOOKUP(C639,'Capital Code Schedules'!A$15:F$300,3,FALSE),0))</f>
        <v>95.968430970589921</v>
      </c>
      <c r="K639" s="123">
        <v>121.73315019865107</v>
      </c>
      <c r="L639" s="123">
        <f>VLOOKUP(LEFT(A639,10),'Streetlight Tariff Schedule'!B$11:H$260,7, FALSE)+I639</f>
        <v>80.378834365485943</v>
      </c>
      <c r="M639" s="161">
        <f t="shared" si="101"/>
        <v>202.111984564137</v>
      </c>
      <c r="N639" s="405">
        <f t="shared" si="102"/>
        <v>182.0717593087634</v>
      </c>
      <c r="O639" s="405">
        <v>186.66159340132816</v>
      </c>
      <c r="P639" s="406">
        <v>181.13899944617879</v>
      </c>
      <c r="Q639" s="406">
        <v>186.98627107578443</v>
      </c>
      <c r="R639" s="406">
        <v>192.64554923132377</v>
      </c>
      <c r="S639" s="405">
        <f t="shared" si="103"/>
        <v>188.60332306660081</v>
      </c>
      <c r="T639" s="406">
        <v>192.57962444122873</v>
      </c>
      <c r="U639" s="406">
        <v>199.10454552202668</v>
      </c>
      <c r="V639" s="405">
        <f t="shared" si="104"/>
        <v>195.41662104147099</v>
      </c>
      <c r="W639" s="406">
        <v>198.0635698844078</v>
      </c>
      <c r="X639" s="406">
        <v>206.58083961597058</v>
      </c>
      <c r="Y639" s="405">
        <f t="shared" si="105"/>
        <v>203.1201209656335</v>
      </c>
      <c r="Z639" s="406">
        <v>203.229594341666</v>
      </c>
      <c r="AA639" s="406">
        <v>212.73665165245163</v>
      </c>
      <c r="AB639" s="442">
        <f t="shared" si="106"/>
        <v>207.0891039404834</v>
      </c>
      <c r="AC639" s="438">
        <f t="shared" si="107"/>
        <v>213.19373641357075</v>
      </c>
      <c r="AD639" s="410"/>
      <c r="AE639" s="411"/>
      <c r="AF639" s="411"/>
      <c r="AG639" s="411"/>
    </row>
    <row r="640" spans="1:33" x14ac:dyDescent="0.2">
      <c r="A640" s="6" t="s">
        <v>557</v>
      </c>
      <c r="B640" s="18" t="str">
        <f>VLOOKUP(LEFT(A640,7),'Tariff Schedule Lookup Table'!$A$8:$G$186,2,FALSE)</f>
        <v>High Pressure Sodium 360</v>
      </c>
      <c r="C640" s="160">
        <f t="shared" si="108"/>
        <v>330</v>
      </c>
      <c r="D640" s="18">
        <f t="shared" si="109"/>
        <v>2</v>
      </c>
      <c r="E640" s="18" t="str">
        <f>VLOOKUP(C640,'Tariff Schedule Lookup Table'!I$7:L$286,2,FALSE)</f>
        <v>HIGH PRESSURE SODIUM 400W (310/360)</v>
      </c>
      <c r="F640" s="18" t="str">
        <f>IF(E640 = "BULKHEADS ETC", "SHARED OR NO POLE", VLOOKUP(C640,'Tariff Schedule Lookup Table'!I$7:L$286,3,FALSE))</f>
        <v>STEEL POLE</v>
      </c>
      <c r="G640" s="18">
        <f>IF(E640 = "NO CAPITAL", 1, VLOOKUP(C640,'Tariff Schedule Lookup Table'!I$7:L$286,4,FALSE))</f>
        <v>1</v>
      </c>
      <c r="H640" s="18" t="str">
        <f t="shared" si="100"/>
        <v>2-Unmetered, Funded by Others, CE Maintained</v>
      </c>
      <c r="I640" s="123">
        <f>VLOOKUP(F640,'Maintenance Model'!$A$57:$B$61,2,FALSE)</f>
        <v>9.9616182311111103</v>
      </c>
      <c r="J640" s="123">
        <f>IF(D640=1,VLOOKUP(C640,'Capital Code Schedules'!A$15:F$300,2,FALSE),IF(D640=2,VLOOKUP(C640,'Capital Code Schedules'!A$15:F$300,3,FALSE),0))</f>
        <v>0</v>
      </c>
      <c r="K640" s="123">
        <v>0</v>
      </c>
      <c r="L640" s="123">
        <f>VLOOKUP(LEFT(A640,10),'Streetlight Tariff Schedule'!B$11:H$260,7, FALSE)+I640</f>
        <v>80.378834365485943</v>
      </c>
      <c r="M640" s="161">
        <f t="shared" si="101"/>
        <v>80.378834365485943</v>
      </c>
      <c r="N640" s="405">
        <f t="shared" si="102"/>
        <v>83.72810967165141</v>
      </c>
      <c r="O640" s="405">
        <v>56.3929537801111</v>
      </c>
      <c r="P640" s="406">
        <v>56.3929537801111</v>
      </c>
      <c r="Q640" s="406">
        <v>59.152760779481568</v>
      </c>
      <c r="R640" s="406">
        <v>59.152760779481568</v>
      </c>
      <c r="S640" s="405">
        <f t="shared" si="103"/>
        <v>87.825668100970248</v>
      </c>
      <c r="T640" s="406">
        <v>61.582234765092345</v>
      </c>
      <c r="U640" s="406">
        <v>61.807212599306965</v>
      </c>
      <c r="V640" s="405">
        <f t="shared" si="104"/>
        <v>91.76680290932002</v>
      </c>
      <c r="W640" s="406">
        <v>63.823994813787046</v>
      </c>
      <c r="X640" s="406">
        <v>64.629127107170675</v>
      </c>
      <c r="Y640" s="405">
        <f t="shared" si="105"/>
        <v>95.956573998802611</v>
      </c>
      <c r="Z640" s="406">
        <v>65.66758978804738</v>
      </c>
      <c r="AA640" s="406">
        <v>66.739315337150899</v>
      </c>
      <c r="AB640" s="442">
        <f t="shared" si="106"/>
        <v>98.039478547036268</v>
      </c>
      <c r="AC640" s="438">
        <f t="shared" si="107"/>
        <v>100.9707669211743</v>
      </c>
      <c r="AD640" s="410"/>
      <c r="AE640" s="411"/>
      <c r="AF640" s="411"/>
      <c r="AG640" s="411"/>
    </row>
    <row r="641" spans="1:33" x14ac:dyDescent="0.2">
      <c r="A641" s="6" t="s">
        <v>558</v>
      </c>
      <c r="B641" s="18" t="str">
        <f>VLOOKUP(LEFT(A641,7),'Tariff Schedule Lookup Table'!$A$8:$G$186,2,FALSE)</f>
        <v>High Pressure Sodium 360</v>
      </c>
      <c r="C641" s="160">
        <f t="shared" si="108"/>
        <v>1020</v>
      </c>
      <c r="D641" s="18">
        <f t="shared" si="109"/>
        <v>1</v>
      </c>
      <c r="E641" s="18" t="str">
        <f>VLOOKUP(C641,'Tariff Schedule Lookup Table'!I$7:L$286,2,FALSE)</f>
        <v>HIGH PRESSURE SODIUM 250W (210/220)</v>
      </c>
      <c r="F641" s="18" t="str">
        <f>IF(E641 = "BULKHEADS ETC", "SHARED OR NO POLE", VLOOKUP(C641,'Tariff Schedule Lookup Table'!I$7:L$286,3,FALSE))</f>
        <v>SHARED OR NO POLE</v>
      </c>
      <c r="G641" s="18">
        <f>IF(E641 = "NO CAPITAL", 1, VLOOKUP(C641,'Tariff Schedule Lookup Table'!I$7:L$286,4,FALSE))</f>
        <v>3</v>
      </c>
      <c r="H641" s="18" t="str">
        <f t="shared" si="100"/>
        <v>1-Unmetered, CE Funded, CE Maintained</v>
      </c>
      <c r="I641" s="123">
        <f>VLOOKUP(F641,'Maintenance Model'!$A$57:$B$61,2,FALSE)</f>
        <v>0</v>
      </c>
      <c r="J641" s="123">
        <f>IF(D641=1,VLOOKUP(C641,'Capital Code Schedules'!A$15:F$300,2,FALSE),IF(D641=2,VLOOKUP(C641,'Capital Code Schedules'!A$15:F$300,3,FALSE),0))</f>
        <v>57.605342845074404</v>
      </c>
      <c r="K641" s="123">
        <v>73.070693996792002</v>
      </c>
      <c r="L641" s="123">
        <f>VLOOKUP(LEFT(A641,10),'Streetlight Tariff Schedule'!B$11:H$260,7, FALSE)+I641</f>
        <v>70.417216134374826</v>
      </c>
      <c r="M641" s="161">
        <f t="shared" si="101"/>
        <v>143.48791013116681</v>
      </c>
      <c r="N641" s="405">
        <f t="shared" si="102"/>
        <v>132.38247961146899</v>
      </c>
      <c r="O641" s="405">
        <v>124.99298605113697</v>
      </c>
      <c r="P641" s="406">
        <v>121.67803221722454</v>
      </c>
      <c r="Q641" s="406">
        <v>125.82157417563927</v>
      </c>
      <c r="R641" s="406">
        <v>129.21857311694103</v>
      </c>
      <c r="S641" s="405">
        <f t="shared" si="103"/>
        <v>137.43323300509002</v>
      </c>
      <c r="T641" s="406">
        <v>129.73685075661666</v>
      </c>
      <c r="U641" s="406">
        <v>133.70511329623511</v>
      </c>
      <c r="V641" s="405">
        <f t="shared" si="104"/>
        <v>142.60995445728165</v>
      </c>
      <c r="W641" s="406">
        <v>133.54335253656072</v>
      </c>
      <c r="X641" s="406">
        <v>138.84074190491384</v>
      </c>
      <c r="Y641" s="405">
        <f t="shared" si="105"/>
        <v>148.38959960871432</v>
      </c>
      <c r="Z641" s="406">
        <v>137.06759569757693</v>
      </c>
      <c r="AA641" s="406">
        <v>143.02032249039326</v>
      </c>
      <c r="AB641" s="442">
        <f t="shared" si="106"/>
        <v>151.34648713539138</v>
      </c>
      <c r="AC641" s="438">
        <f t="shared" si="107"/>
        <v>155.81930057675885</v>
      </c>
      <c r="AD641" s="410"/>
      <c r="AE641" s="411"/>
      <c r="AF641" s="411"/>
      <c r="AG641" s="411"/>
    </row>
    <row r="642" spans="1:33" x14ac:dyDescent="0.2">
      <c r="A642" s="6" t="s">
        <v>559</v>
      </c>
      <c r="B642" s="18" t="str">
        <f>VLOOKUP(LEFT(A642,7),'Tariff Schedule Lookup Table'!$A$8:$G$186,2,FALSE)</f>
        <v>High Pressure Sodium 360</v>
      </c>
      <c r="C642" s="160">
        <f t="shared" si="108"/>
        <v>1030</v>
      </c>
      <c r="D642" s="18">
        <f t="shared" si="109"/>
        <v>1</v>
      </c>
      <c r="E642" s="18" t="str">
        <f>VLOOKUP(C642,'Tariff Schedule Lookup Table'!I$7:L$286,2,FALSE)</f>
        <v>HIGH PRESSURE SODIUM 400W (310/360)</v>
      </c>
      <c r="F642" s="18" t="str">
        <f>IF(E642 = "BULKHEADS ETC", "SHARED OR NO POLE", VLOOKUP(C642,'Tariff Schedule Lookup Table'!I$7:L$286,3,FALSE))</f>
        <v>SHARED OR NO POLE</v>
      </c>
      <c r="G642" s="18">
        <f>IF(E642 = "NO CAPITAL", 1, VLOOKUP(C642,'Tariff Schedule Lookup Table'!I$7:L$286,4,FALSE))</f>
        <v>2</v>
      </c>
      <c r="H642" s="18" t="str">
        <f t="shared" si="100"/>
        <v>1-Unmetered, CE Funded, CE Maintained</v>
      </c>
      <c r="I642" s="123">
        <f>VLOOKUP(F642,'Maintenance Model'!$A$57:$B$61,2,FALSE)</f>
        <v>0</v>
      </c>
      <c r="J642" s="123">
        <f>IF(D642=1,VLOOKUP(C642,'Capital Code Schedules'!A$15:F$300,2,FALSE),IF(D642=2,VLOOKUP(C642,'Capital Code Schedules'!A$15:F$300,3,FALSE),0))</f>
        <v>52.163571087910817</v>
      </c>
      <c r="K642" s="123">
        <v>66.167965547844219</v>
      </c>
      <c r="L642" s="123">
        <f>VLOOKUP(LEFT(A642,10),'Streetlight Tariff Schedule'!B$11:H$260,7, FALSE)+I642</f>
        <v>70.417216134374826</v>
      </c>
      <c r="M642" s="161">
        <f t="shared" si="101"/>
        <v>136.58518168221906</v>
      </c>
      <c r="N642" s="405">
        <f t="shared" si="102"/>
        <v>126.80602400331561</v>
      </c>
      <c r="O642" s="405">
        <v>117.60626318023678</v>
      </c>
      <c r="P642" s="406">
        <v>114.6044612391653</v>
      </c>
      <c r="Q642" s="406">
        <v>118.57293231587306</v>
      </c>
      <c r="R642" s="406">
        <v>121.64902885498607</v>
      </c>
      <c r="S642" s="405">
        <f t="shared" si="103"/>
        <v>131.71876012063481</v>
      </c>
      <c r="T642" s="406">
        <v>122.30880501082125</v>
      </c>
      <c r="U642" s="406">
        <v>125.91983702281443</v>
      </c>
      <c r="V642" s="405">
        <f t="shared" si="104"/>
        <v>136.7326190956195</v>
      </c>
      <c r="W642" s="406">
        <v>125.93146265855687</v>
      </c>
      <c r="X642" s="406">
        <v>130.7915447658242</v>
      </c>
      <c r="Y642" s="405">
        <f t="shared" si="105"/>
        <v>142.31302257829179</v>
      </c>
      <c r="Z642" s="406">
        <v>129.26731154509247</v>
      </c>
      <c r="AA642" s="406">
        <v>134.74172323283955</v>
      </c>
      <c r="AB642" s="442">
        <f t="shared" si="106"/>
        <v>145.16296234923342</v>
      </c>
      <c r="AC642" s="438">
        <f t="shared" si="107"/>
        <v>149.45583521932369</v>
      </c>
      <c r="AD642" s="410"/>
      <c r="AE642" s="411"/>
      <c r="AF642" s="411"/>
      <c r="AG642" s="411"/>
    </row>
    <row r="643" spans="1:33" x14ac:dyDescent="0.2">
      <c r="A643" s="6" t="s">
        <v>560</v>
      </c>
      <c r="B643" s="18" t="str">
        <f>VLOOKUP(LEFT(A643,7),'Tariff Schedule Lookup Table'!$A$8:$G$186,2,FALSE)</f>
        <v>High Pressure Sodium 400</v>
      </c>
      <c r="C643" s="160">
        <f t="shared" si="108"/>
        <v>70</v>
      </c>
      <c r="D643" s="18">
        <f t="shared" si="109"/>
        <v>1</v>
      </c>
      <c r="E643" s="18" t="str">
        <f>VLOOKUP(C643,'Tariff Schedule Lookup Table'!I$7:L$286,2,FALSE)</f>
        <v>HIGH PRESSURE SODIUM 400W (310/360)</v>
      </c>
      <c r="F643" s="18" t="str">
        <f>IF(E643 = "BULKHEADS ETC", "SHARED OR NO POLE", VLOOKUP(C643,'Tariff Schedule Lookup Table'!I$7:L$286,3,FALSE))</f>
        <v>SHARED OR NO POLE</v>
      </c>
      <c r="G643" s="18">
        <f>IF(E643 = "NO CAPITAL", 1, VLOOKUP(C643,'Tariff Schedule Lookup Table'!I$7:L$286,4,FALSE))</f>
        <v>1</v>
      </c>
      <c r="H643" s="18" t="str">
        <f t="shared" si="100"/>
        <v>1-Unmetered, CE Funded, CE Maintained</v>
      </c>
      <c r="I643" s="123">
        <f>VLOOKUP(F643,'Maintenance Model'!$A$57:$B$61,2,FALSE)</f>
        <v>0</v>
      </c>
      <c r="J643" s="123">
        <f>IF(D643=1,VLOOKUP(C643,'Capital Code Schedules'!A$15:F$300,2,FALSE),IF(D643=2,VLOOKUP(C643,'Capital Code Schedules'!A$15:F$300,3,FALSE),0))</f>
        <v>35.784047435083579</v>
      </c>
      <c r="K643" s="123">
        <v>45.391018453408257</v>
      </c>
      <c r="L643" s="123">
        <f>VLOOKUP(LEFT(A643,10),'Streetlight Tariff Schedule'!B$11:H$260,7, FALSE)+I643</f>
        <v>70.417216134374826</v>
      </c>
      <c r="M643" s="161">
        <f t="shared" si="101"/>
        <v>115.80823458778309</v>
      </c>
      <c r="N643" s="405">
        <f t="shared" si="102"/>
        <v>110.0211071400809</v>
      </c>
      <c r="O643" s="405">
        <v>88.371289312794445</v>
      </c>
      <c r="P643" s="406">
        <v>86.312062522722897</v>
      </c>
      <c r="Q643" s="406">
        <v>89.410945131965931</v>
      </c>
      <c r="R643" s="406">
        <v>91.521137785091753</v>
      </c>
      <c r="S643" s="405">
        <f t="shared" si="103"/>
        <v>114.51841656503504</v>
      </c>
      <c r="T643" s="406">
        <v>92.305198243338353</v>
      </c>
      <c r="U643" s="406">
        <v>94.813048963658403</v>
      </c>
      <c r="V643" s="405">
        <f t="shared" si="104"/>
        <v>119.04206574868513</v>
      </c>
      <c r="W643" s="406">
        <v>95.096176145635951</v>
      </c>
      <c r="X643" s="406">
        <v>98.540022517498926</v>
      </c>
      <c r="Y643" s="405">
        <f t="shared" si="105"/>
        <v>124.02275947289637</v>
      </c>
      <c r="Z643" s="406">
        <v>97.636081988547772</v>
      </c>
      <c r="AA643" s="406">
        <v>101.53772818053768</v>
      </c>
      <c r="AB643" s="442">
        <f t="shared" si="106"/>
        <v>126.55079061318303</v>
      </c>
      <c r="AC643" s="438">
        <f t="shared" si="107"/>
        <v>130.30204928575424</v>
      </c>
      <c r="AD643" s="410"/>
      <c r="AE643" s="411"/>
      <c r="AF643" s="411"/>
      <c r="AG643" s="411"/>
    </row>
    <row r="644" spans="1:33" x14ac:dyDescent="0.2">
      <c r="A644" s="6" t="s">
        <v>561</v>
      </c>
      <c r="B644" s="18" t="str">
        <f>VLOOKUP(LEFT(A644,7),'Tariff Schedule Lookup Table'!$A$8:$G$186,2,FALSE)</f>
        <v>High Pressure Sodium 400</v>
      </c>
      <c r="C644" s="160">
        <f t="shared" si="108"/>
        <v>70</v>
      </c>
      <c r="D644" s="18">
        <f t="shared" si="109"/>
        <v>2</v>
      </c>
      <c r="E644" s="18" t="str">
        <f>VLOOKUP(C644,'Tariff Schedule Lookup Table'!I$7:L$286,2,FALSE)</f>
        <v>HIGH PRESSURE SODIUM 400W (310/360)</v>
      </c>
      <c r="F644" s="18" t="str">
        <f>IF(E644 = "BULKHEADS ETC", "SHARED OR NO POLE", VLOOKUP(C644,'Tariff Schedule Lookup Table'!I$7:L$286,3,FALSE))</f>
        <v>SHARED OR NO POLE</v>
      </c>
      <c r="G644" s="18">
        <f>IF(E644 = "NO CAPITAL", 1, VLOOKUP(C644,'Tariff Schedule Lookup Table'!I$7:L$286,4,FALSE))</f>
        <v>1</v>
      </c>
      <c r="H644" s="18" t="str">
        <f t="shared" si="100"/>
        <v>2-Unmetered, Funded by Others, CE Maintained</v>
      </c>
      <c r="I644" s="123">
        <f>VLOOKUP(F644,'Maintenance Model'!$A$57:$B$61,2,FALSE)</f>
        <v>0</v>
      </c>
      <c r="J644" s="123">
        <f>IF(D644=1,VLOOKUP(C644,'Capital Code Schedules'!A$15:F$300,2,FALSE),IF(D644=2,VLOOKUP(C644,'Capital Code Schedules'!A$15:F$300,3,FALSE),0))</f>
        <v>0</v>
      </c>
      <c r="K644" s="123">
        <v>0</v>
      </c>
      <c r="L644" s="123">
        <f>VLOOKUP(LEFT(A644,10),'Streetlight Tariff Schedule'!B$11:H$260,7, FALSE)+I644</f>
        <v>70.417216134374826</v>
      </c>
      <c r="M644" s="161">
        <f t="shared" si="101"/>
        <v>70.417216134374826</v>
      </c>
      <c r="N644" s="405">
        <f t="shared" si="102"/>
        <v>73.351404530979011</v>
      </c>
      <c r="O644" s="405">
        <v>39.797616362592777</v>
      </c>
      <c r="P644" s="406">
        <v>39.797616362592777</v>
      </c>
      <c r="Q644" s="406">
        <v>41.745266429372592</v>
      </c>
      <c r="R644" s="406">
        <v>41.745266429372592</v>
      </c>
      <c r="S644" s="405">
        <f t="shared" si="103"/>
        <v>76.941138816357864</v>
      </c>
      <c r="T644" s="406">
        <v>43.459793992855836</v>
      </c>
      <c r="U644" s="406">
        <v>43.618565274301254</v>
      </c>
      <c r="V644" s="405">
        <f t="shared" si="104"/>
        <v>80.393835584170674</v>
      </c>
      <c r="W644" s="406">
        <v>45.041848139953977</v>
      </c>
      <c r="X644" s="406">
        <v>45.610045831072576</v>
      </c>
      <c r="Y644" s="405">
        <f t="shared" si="105"/>
        <v>84.064354305804869</v>
      </c>
      <c r="Z644" s="406">
        <v>46.34290936472518</v>
      </c>
      <c r="AA644" s="406">
        <v>47.099247158548174</v>
      </c>
      <c r="AB644" s="442">
        <f t="shared" si="106"/>
        <v>85.889117515150701</v>
      </c>
      <c r="AC644" s="438">
        <f t="shared" si="107"/>
        <v>88.457121500569158</v>
      </c>
      <c r="AD644" s="410"/>
      <c r="AE644" s="411"/>
      <c r="AF644" s="411"/>
      <c r="AG644" s="411"/>
    </row>
    <row r="645" spans="1:33" x14ac:dyDescent="0.2">
      <c r="A645" s="6" t="s">
        <v>562</v>
      </c>
      <c r="B645" s="18" t="str">
        <f>VLOOKUP(LEFT(A645,7),'Tariff Schedule Lookup Table'!$A$8:$G$186,2,FALSE)</f>
        <v>High Pressure Sodium 400</v>
      </c>
      <c r="C645" s="160">
        <f t="shared" si="108"/>
        <v>240</v>
      </c>
      <c r="D645" s="18">
        <f t="shared" si="109"/>
        <v>1</v>
      </c>
      <c r="E645" s="18" t="str">
        <f>VLOOKUP(C645,'Tariff Schedule Lookup Table'!I$7:L$286,2,FALSE)</f>
        <v>HIGH PRESSURE SODIUM 400W (310/360)</v>
      </c>
      <c r="F645" s="18" t="str">
        <f>IF(E645 = "BULKHEADS ETC", "SHARED OR NO POLE", VLOOKUP(C645,'Tariff Schedule Lookup Table'!I$7:L$286,3,FALSE))</f>
        <v>WOOD POLE</v>
      </c>
      <c r="G645" s="18">
        <f>IF(E645 = "NO CAPITAL", 1, VLOOKUP(C645,'Tariff Schedule Lookup Table'!I$7:L$286,4,FALSE))</f>
        <v>1</v>
      </c>
      <c r="H645" s="18" t="str">
        <f t="shared" si="100"/>
        <v>1-Unmetered, CE Funded, CE Maintained</v>
      </c>
      <c r="I645" s="123">
        <f>VLOOKUP(F645,'Maintenance Model'!$A$57:$B$61,2,FALSE)</f>
        <v>10.731618231111112</v>
      </c>
      <c r="J645" s="123">
        <f>IF(D645=1,VLOOKUP(C645,'Capital Code Schedules'!A$15:F$300,2,FALSE),IF(D645=2,VLOOKUP(C645,'Capital Code Schedules'!A$15:F$300,3,FALSE),0))</f>
        <v>69.685165796959865</v>
      </c>
      <c r="K645" s="123">
        <v>88.393596402330274</v>
      </c>
      <c r="L645" s="123">
        <f>VLOOKUP(LEFT(A645,10),'Streetlight Tariff Schedule'!B$11:H$260,7, FALSE)+I645</f>
        <v>81.148834365485939</v>
      </c>
      <c r="M645" s="161">
        <f t="shared" si="101"/>
        <v>169.5424307678162</v>
      </c>
      <c r="N645" s="405">
        <f t="shared" si="102"/>
        <v>155.94006816141103</v>
      </c>
      <c r="O645" s="405">
        <v>144.78525300043057</v>
      </c>
      <c r="P645" s="406">
        <v>140.77515435130488</v>
      </c>
      <c r="Q645" s="406">
        <v>145.4734707353058</v>
      </c>
      <c r="R645" s="406">
        <v>149.58281932599735</v>
      </c>
      <c r="S645" s="405">
        <f t="shared" si="103"/>
        <v>161.84427408307761</v>
      </c>
      <c r="T645" s="406">
        <v>149.9332535240849</v>
      </c>
      <c r="U645" s="406">
        <v>154.70805222690296</v>
      </c>
      <c r="V645" s="405">
        <f t="shared" si="104"/>
        <v>167.90871566819169</v>
      </c>
      <c r="W645" s="406">
        <v>154.28281733018838</v>
      </c>
      <c r="X645" s="406">
        <v>160.59942636838929</v>
      </c>
      <c r="Y645" s="405">
        <f t="shared" si="105"/>
        <v>174.69003284441095</v>
      </c>
      <c r="Z645" s="406">
        <v>158.33625267261175</v>
      </c>
      <c r="AA645" s="406">
        <v>165.41527917985553</v>
      </c>
      <c r="AB645" s="442">
        <f t="shared" si="106"/>
        <v>178.16242130455055</v>
      </c>
      <c r="AC645" s="438">
        <f t="shared" si="107"/>
        <v>183.42603777731455</v>
      </c>
      <c r="AD645" s="410"/>
      <c r="AE645" s="411"/>
      <c r="AF645" s="411"/>
      <c r="AG645" s="411"/>
    </row>
    <row r="646" spans="1:33" x14ac:dyDescent="0.2">
      <c r="A646" s="6" t="s">
        <v>563</v>
      </c>
      <c r="B646" s="18" t="str">
        <f>VLOOKUP(LEFT(A646,7),'Tariff Schedule Lookup Table'!$A$8:$G$186,2,FALSE)</f>
        <v>High Pressure Sodium 400</v>
      </c>
      <c r="C646" s="160">
        <f t="shared" si="108"/>
        <v>240</v>
      </c>
      <c r="D646" s="18">
        <f t="shared" si="109"/>
        <v>2</v>
      </c>
      <c r="E646" s="18" t="str">
        <f>VLOOKUP(C646,'Tariff Schedule Lookup Table'!I$7:L$286,2,FALSE)</f>
        <v>HIGH PRESSURE SODIUM 400W (310/360)</v>
      </c>
      <c r="F646" s="18" t="str">
        <f>IF(E646 = "BULKHEADS ETC", "SHARED OR NO POLE", VLOOKUP(C646,'Tariff Schedule Lookup Table'!I$7:L$286,3,FALSE))</f>
        <v>WOOD POLE</v>
      </c>
      <c r="G646" s="18">
        <f>IF(E646 = "NO CAPITAL", 1, VLOOKUP(C646,'Tariff Schedule Lookup Table'!I$7:L$286,4,FALSE))</f>
        <v>1</v>
      </c>
      <c r="H646" s="18" t="str">
        <f t="shared" si="100"/>
        <v>2-Unmetered, Funded by Others, CE Maintained</v>
      </c>
      <c r="I646" s="123">
        <f>VLOOKUP(F646,'Maintenance Model'!$A$57:$B$61,2,FALSE)</f>
        <v>10.731618231111112</v>
      </c>
      <c r="J646" s="123">
        <f>IF(D646=1,VLOOKUP(C646,'Capital Code Schedules'!A$15:F$300,2,FALSE),IF(D646=2,VLOOKUP(C646,'Capital Code Schedules'!A$15:F$300,3,FALSE),0))</f>
        <v>0</v>
      </c>
      <c r="K646" s="123">
        <v>0</v>
      </c>
      <c r="L646" s="123">
        <f>VLOOKUP(LEFT(A646,10),'Streetlight Tariff Schedule'!B$11:H$260,7, FALSE)+I646</f>
        <v>81.148834365485939</v>
      </c>
      <c r="M646" s="161">
        <f t="shared" si="101"/>
        <v>81.148834365485939</v>
      </c>
      <c r="N646" s="405">
        <f t="shared" si="102"/>
        <v>84.530194510976401</v>
      </c>
      <c r="O646" s="405">
        <v>50.193816438016945</v>
      </c>
      <c r="P646" s="406">
        <v>50.193816438016945</v>
      </c>
      <c r="Q646" s="406">
        <v>52.650244708663969</v>
      </c>
      <c r="R646" s="406">
        <v>52.650244708663969</v>
      </c>
      <c r="S646" s="405">
        <f t="shared" si="103"/>
        <v>88.667006059794701</v>
      </c>
      <c r="T646" s="406">
        <v>54.812652653283685</v>
      </c>
      <c r="U646" s="406">
        <v>55.012899232975592</v>
      </c>
      <c r="V646" s="405">
        <f t="shared" si="104"/>
        <v>92.645895506245225</v>
      </c>
      <c r="W646" s="406">
        <v>56.807981587834846</v>
      </c>
      <c r="X646" s="406">
        <v>57.524607687967773</v>
      </c>
      <c r="Y646" s="405">
        <f t="shared" si="105"/>
        <v>96.875803078974542</v>
      </c>
      <c r="Z646" s="406">
        <v>58.448914745634958</v>
      </c>
      <c r="AA646" s="406">
        <v>59.402828167042003</v>
      </c>
      <c r="AB646" s="442">
        <f t="shared" si="106"/>
        <v>98.978661095242416</v>
      </c>
      <c r="AC646" s="438">
        <f t="shared" si="107"/>
        <v>101.93803014591556</v>
      </c>
      <c r="AD646" s="410"/>
      <c r="AE646" s="411"/>
      <c r="AF646" s="411"/>
      <c r="AG646" s="411"/>
    </row>
    <row r="647" spans="1:33" x14ac:dyDescent="0.2">
      <c r="A647" s="6" t="s">
        <v>564</v>
      </c>
      <c r="B647" s="18" t="str">
        <f>VLOOKUP(LEFT(A647,7),'Tariff Schedule Lookup Table'!$A$8:$G$186,2,FALSE)</f>
        <v>High Pressure Sodium 400</v>
      </c>
      <c r="C647" s="160">
        <f t="shared" si="108"/>
        <v>270</v>
      </c>
      <c r="D647" s="18">
        <f t="shared" si="109"/>
        <v>2</v>
      </c>
      <c r="E647" s="18" t="str">
        <f>VLOOKUP(C647,'Tariff Schedule Lookup Table'!I$7:L$286,2,FALSE)</f>
        <v>METAL HALIDE/HPS 400W FLOOD (310/360)</v>
      </c>
      <c r="F647" s="18" t="str">
        <f>IF(E647 = "BULKHEADS ETC", "SHARED OR NO POLE", VLOOKUP(C647,'Tariff Schedule Lookup Table'!I$7:L$286,3,FALSE))</f>
        <v>R/BOUT COLUMN</v>
      </c>
      <c r="G647" s="18">
        <f>IF(E647 = "NO CAPITAL", 1, VLOOKUP(C647,'Tariff Schedule Lookup Table'!I$7:L$286,4,FALSE))</f>
        <v>3</v>
      </c>
      <c r="H647" s="18" t="str">
        <f t="shared" si="100"/>
        <v>2-Unmetered, Funded by Others, CE Maintained</v>
      </c>
      <c r="I647" s="123">
        <f>VLOOKUP(F647,'Maintenance Model'!$A$57:$B$61,2,FALSE)</f>
        <v>9.9616182311111103</v>
      </c>
      <c r="J647" s="123">
        <f>IF(D647=1,VLOOKUP(C647,'Capital Code Schedules'!A$15:F$300,2,FALSE),IF(D647=2,VLOOKUP(C647,'Capital Code Schedules'!A$15:F$300,3,FALSE),0))</f>
        <v>0</v>
      </c>
      <c r="K647" s="123">
        <v>0</v>
      </c>
      <c r="L647" s="123">
        <f>VLOOKUP(LEFT(A647,10),'Streetlight Tariff Schedule'!B$11:H$260,7, FALSE)+I647</f>
        <v>80.378834365485943</v>
      </c>
      <c r="M647" s="161">
        <f t="shared" si="101"/>
        <v>80.378834365485943</v>
      </c>
      <c r="N647" s="405">
        <f t="shared" si="102"/>
        <v>83.72810967165141</v>
      </c>
      <c r="O647" s="405">
        <v>49.391731598691941</v>
      </c>
      <c r="P647" s="406">
        <v>49.391731598691941</v>
      </c>
      <c r="Q647" s="406">
        <v>51.808906749839515</v>
      </c>
      <c r="R647" s="406">
        <v>51.808906749839515</v>
      </c>
      <c r="S647" s="405">
        <f t="shared" si="103"/>
        <v>87.825668100970248</v>
      </c>
      <c r="T647" s="406">
        <v>53.936759947442589</v>
      </c>
      <c r="U647" s="406">
        <v>54.13380663605038</v>
      </c>
      <c r="V647" s="405">
        <f t="shared" si="104"/>
        <v>91.76680290932002</v>
      </c>
      <c r="W647" s="406">
        <v>55.900204016457636</v>
      </c>
      <c r="X647" s="406">
        <v>56.605378607795835</v>
      </c>
      <c r="Y647" s="405">
        <f t="shared" si="105"/>
        <v>95.956573998802611</v>
      </c>
      <c r="Z647" s="406">
        <v>57.514915466055065</v>
      </c>
      <c r="AA647" s="406">
        <v>58.453585585644561</v>
      </c>
      <c r="AB647" s="442">
        <f t="shared" si="106"/>
        <v>98.039478547036268</v>
      </c>
      <c r="AC647" s="438">
        <f t="shared" si="107"/>
        <v>100.9707669211743</v>
      </c>
      <c r="AD647" s="410"/>
      <c r="AE647" s="411"/>
      <c r="AF647" s="411"/>
      <c r="AG647" s="411"/>
    </row>
    <row r="648" spans="1:33" x14ac:dyDescent="0.2">
      <c r="A648" s="6" t="s">
        <v>565</v>
      </c>
      <c r="B648" s="18" t="str">
        <f>VLOOKUP(LEFT(A648,7),'Tariff Schedule Lookup Table'!$A$8:$G$186,2,FALSE)</f>
        <v>High Pressure Sodium 400</v>
      </c>
      <c r="C648" s="160">
        <f t="shared" si="108"/>
        <v>330</v>
      </c>
      <c r="D648" s="18">
        <f t="shared" si="109"/>
        <v>1</v>
      </c>
      <c r="E648" s="18" t="str">
        <f>VLOOKUP(C648,'Tariff Schedule Lookup Table'!I$7:L$286,2,FALSE)</f>
        <v>HIGH PRESSURE SODIUM 400W (310/360)</v>
      </c>
      <c r="F648" s="18" t="str">
        <f>IF(E648 = "BULKHEADS ETC", "SHARED OR NO POLE", VLOOKUP(C648,'Tariff Schedule Lookup Table'!I$7:L$286,3,FALSE))</f>
        <v>STEEL POLE</v>
      </c>
      <c r="G648" s="18">
        <f>IF(E648 = "NO CAPITAL", 1, VLOOKUP(C648,'Tariff Schedule Lookup Table'!I$7:L$286,4,FALSE))</f>
        <v>1</v>
      </c>
      <c r="H648" s="18" t="str">
        <f t="shared" si="100"/>
        <v>1-Unmetered, CE Funded, CE Maintained</v>
      </c>
      <c r="I648" s="123">
        <f>VLOOKUP(F648,'Maintenance Model'!$A$57:$B$61,2,FALSE)</f>
        <v>9.9616182311111103</v>
      </c>
      <c r="J648" s="123">
        <f>IF(D648=1,VLOOKUP(C648,'Capital Code Schedules'!A$15:F$300,2,FALSE),IF(D648=2,VLOOKUP(C648,'Capital Code Schedules'!A$15:F$300,3,FALSE),0))</f>
        <v>95.968430970589921</v>
      </c>
      <c r="K648" s="123">
        <v>121.73315019865107</v>
      </c>
      <c r="L648" s="123">
        <f>VLOOKUP(LEFT(A648,10),'Streetlight Tariff Schedule'!B$11:H$260,7, FALSE)+I648</f>
        <v>80.378834365485943</v>
      </c>
      <c r="M648" s="161">
        <f t="shared" si="101"/>
        <v>202.111984564137</v>
      </c>
      <c r="N648" s="405">
        <f t="shared" si="102"/>
        <v>182.0717593087634</v>
      </c>
      <c r="O648" s="405">
        <v>179.66037121990902</v>
      </c>
      <c r="P648" s="406">
        <v>174.13777726475962</v>
      </c>
      <c r="Q648" s="406">
        <v>179.64241704614236</v>
      </c>
      <c r="R648" s="406">
        <v>185.3016952016817</v>
      </c>
      <c r="S648" s="405">
        <f t="shared" si="103"/>
        <v>188.60332306660081</v>
      </c>
      <c r="T648" s="406">
        <v>184.93414962357895</v>
      </c>
      <c r="U648" s="406">
        <v>191.4311395587701</v>
      </c>
      <c r="V648" s="405">
        <f t="shared" si="104"/>
        <v>195.41662104147099</v>
      </c>
      <c r="W648" s="406">
        <v>190.13977908707838</v>
      </c>
      <c r="X648" s="406">
        <v>198.55709111659573</v>
      </c>
      <c r="Y648" s="405">
        <f t="shared" si="105"/>
        <v>203.1201209656335</v>
      </c>
      <c r="Z648" s="406">
        <v>195.07692001967368</v>
      </c>
      <c r="AA648" s="406">
        <v>204.45092190094527</v>
      </c>
      <c r="AB648" s="442">
        <f t="shared" si="106"/>
        <v>207.0891039404834</v>
      </c>
      <c r="AC648" s="438">
        <f t="shared" si="107"/>
        <v>213.19373641357075</v>
      </c>
      <c r="AD648" s="410"/>
      <c r="AE648" s="411"/>
      <c r="AF648" s="411"/>
      <c r="AG648" s="411"/>
    </row>
    <row r="649" spans="1:33" x14ac:dyDescent="0.2">
      <c r="A649" s="6" t="s">
        <v>566</v>
      </c>
      <c r="B649" s="18" t="str">
        <f>VLOOKUP(LEFT(A649,7),'Tariff Schedule Lookup Table'!$A$8:$G$186,2,FALSE)</f>
        <v>High Pressure Sodium 400</v>
      </c>
      <c r="C649" s="160">
        <f t="shared" si="108"/>
        <v>330</v>
      </c>
      <c r="D649" s="18">
        <f t="shared" si="109"/>
        <v>2</v>
      </c>
      <c r="E649" s="18" t="str">
        <f>VLOOKUP(C649,'Tariff Schedule Lookup Table'!I$7:L$286,2,FALSE)</f>
        <v>HIGH PRESSURE SODIUM 400W (310/360)</v>
      </c>
      <c r="F649" s="18" t="str">
        <f>IF(E649 = "BULKHEADS ETC", "SHARED OR NO POLE", VLOOKUP(C649,'Tariff Schedule Lookup Table'!I$7:L$286,3,FALSE))</f>
        <v>STEEL POLE</v>
      </c>
      <c r="G649" s="18">
        <f>IF(E649 = "NO CAPITAL", 1, VLOOKUP(C649,'Tariff Schedule Lookup Table'!I$7:L$286,4,FALSE))</f>
        <v>1</v>
      </c>
      <c r="H649" s="18" t="str">
        <f t="shared" si="100"/>
        <v>2-Unmetered, Funded by Others, CE Maintained</v>
      </c>
      <c r="I649" s="123">
        <f>VLOOKUP(F649,'Maintenance Model'!$A$57:$B$61,2,FALSE)</f>
        <v>9.9616182311111103</v>
      </c>
      <c r="J649" s="123">
        <f>IF(D649=1,VLOOKUP(C649,'Capital Code Schedules'!A$15:F$300,2,FALSE),IF(D649=2,VLOOKUP(C649,'Capital Code Schedules'!A$15:F$300,3,FALSE),0))</f>
        <v>0</v>
      </c>
      <c r="K649" s="123">
        <v>0</v>
      </c>
      <c r="L649" s="123">
        <f>VLOOKUP(LEFT(A649,10),'Streetlight Tariff Schedule'!B$11:H$260,7, FALSE)+I649</f>
        <v>80.378834365485943</v>
      </c>
      <c r="M649" s="161">
        <f t="shared" si="101"/>
        <v>80.378834365485943</v>
      </c>
      <c r="N649" s="405">
        <f t="shared" si="102"/>
        <v>83.72810967165141</v>
      </c>
      <c r="O649" s="405">
        <v>49.391731598691941</v>
      </c>
      <c r="P649" s="406">
        <v>49.391731598691941</v>
      </c>
      <c r="Q649" s="406">
        <v>51.808906749839515</v>
      </c>
      <c r="R649" s="406">
        <v>51.808906749839515</v>
      </c>
      <c r="S649" s="405">
        <f t="shared" si="103"/>
        <v>87.825668100970248</v>
      </c>
      <c r="T649" s="406">
        <v>53.936759947442589</v>
      </c>
      <c r="U649" s="406">
        <v>54.13380663605038</v>
      </c>
      <c r="V649" s="405">
        <f t="shared" si="104"/>
        <v>91.76680290932002</v>
      </c>
      <c r="W649" s="406">
        <v>55.900204016457636</v>
      </c>
      <c r="X649" s="406">
        <v>56.605378607795835</v>
      </c>
      <c r="Y649" s="405">
        <f t="shared" si="105"/>
        <v>95.956573998802611</v>
      </c>
      <c r="Z649" s="406">
        <v>57.514915466055065</v>
      </c>
      <c r="AA649" s="406">
        <v>58.453585585644561</v>
      </c>
      <c r="AB649" s="442">
        <f t="shared" si="106"/>
        <v>98.039478547036268</v>
      </c>
      <c r="AC649" s="438">
        <f t="shared" si="107"/>
        <v>100.9707669211743</v>
      </c>
      <c r="AD649" s="410"/>
      <c r="AE649" s="411"/>
      <c r="AF649" s="411"/>
      <c r="AG649" s="411"/>
    </row>
    <row r="650" spans="1:33" x14ac:dyDescent="0.2">
      <c r="A650" s="6" t="s">
        <v>567</v>
      </c>
      <c r="B650" s="18" t="str">
        <f>VLOOKUP(LEFT(A650,7),'Tariff Schedule Lookup Table'!$A$8:$G$186,2,FALSE)</f>
        <v>High Pressure Sodium 400</v>
      </c>
      <c r="C650" s="160">
        <f t="shared" si="108"/>
        <v>400</v>
      </c>
      <c r="D650" s="18">
        <f t="shared" si="109"/>
        <v>1</v>
      </c>
      <c r="E650" s="18" t="str">
        <f>VLOOKUP(C650,'Tariff Schedule Lookup Table'!I$7:L$286,2,FALSE)</f>
        <v>HIGH PRESSURE SODIUM 400W (310/360)</v>
      </c>
      <c r="F650" s="18" t="str">
        <f>IF(E650 = "BULKHEADS ETC", "SHARED OR NO POLE", VLOOKUP(C650,'Tariff Schedule Lookup Table'!I$7:L$286,3,FALSE))</f>
        <v>STEEL POLE</v>
      </c>
      <c r="G650" s="18">
        <f>IF(E650 = "NO CAPITAL", 1, VLOOKUP(C650,'Tariff Schedule Lookup Table'!I$7:L$286,4,FALSE))</f>
        <v>2</v>
      </c>
      <c r="H650" s="18" t="str">
        <f t="shared" si="100"/>
        <v>1-Unmetered, CE Funded, CE Maintained</v>
      </c>
      <c r="I650" s="123">
        <f>VLOOKUP(F650,'Maintenance Model'!$A$57:$B$61,2,FALSE)</f>
        <v>9.9616182311111103</v>
      </c>
      <c r="J650" s="123">
        <f>IF(D650=1,VLOOKUP(C650,'Capital Code Schedules'!A$15:F$300,2,FALSE),IF(D650=2,VLOOKUP(C650,'Capital Code Schedules'!A$15:F$300,3,FALSE),0))</f>
        <v>112.34795462341719</v>
      </c>
      <c r="K650" s="123">
        <v>142.51009729308706</v>
      </c>
      <c r="L650" s="123">
        <f>VLOOKUP(LEFT(A650,10),'Streetlight Tariff Schedule'!B$11:H$260,7, FALSE)+I650</f>
        <v>80.378834365485943</v>
      </c>
      <c r="M650" s="161">
        <f t="shared" si="101"/>
        <v>222.888931658573</v>
      </c>
      <c r="N650" s="405">
        <f t="shared" si="102"/>
        <v>198.85667617199817</v>
      </c>
      <c r="O650" s="405">
        <v>201.89412290593219</v>
      </c>
      <c r="P650" s="406">
        <v>195.42895379978287</v>
      </c>
      <c r="Q650" s="406">
        <v>201.46055020040745</v>
      </c>
      <c r="R650" s="406">
        <v>208.08573224193395</v>
      </c>
      <c r="S650" s="405">
        <f t="shared" si="103"/>
        <v>205.80366662220064</v>
      </c>
      <c r="T650" s="406">
        <v>207.29228157341208</v>
      </c>
      <c r="U650" s="406">
        <v>214.86452165466952</v>
      </c>
      <c r="V650" s="405">
        <f t="shared" si="104"/>
        <v>213.10717438840541</v>
      </c>
      <c r="W650" s="406">
        <v>213.05127480266989</v>
      </c>
      <c r="X650" s="406">
        <v>222.78486486554615</v>
      </c>
      <c r="Y650" s="405">
        <f t="shared" si="105"/>
        <v>221.410384071029</v>
      </c>
      <c r="Z650" s="406">
        <v>218.55547525422608</v>
      </c>
      <c r="AA650" s="406">
        <v>229.3691872017408</v>
      </c>
      <c r="AB650" s="442">
        <f t="shared" si="106"/>
        <v>225.70127567653387</v>
      </c>
      <c r="AC650" s="438">
        <f t="shared" si="107"/>
        <v>232.34752234714028</v>
      </c>
      <c r="AD650" s="410"/>
      <c r="AE650" s="411"/>
      <c r="AF650" s="411"/>
      <c r="AG650" s="411"/>
    </row>
    <row r="651" spans="1:33" x14ac:dyDescent="0.2">
      <c r="A651" s="6" t="s">
        <v>568</v>
      </c>
      <c r="B651" s="18" t="str">
        <f>VLOOKUP(LEFT(A651,7),'Tariff Schedule Lookup Table'!$A$8:$G$186,2,FALSE)</f>
        <v>High Pressure Sodium 400</v>
      </c>
      <c r="C651" s="160">
        <f t="shared" si="108"/>
        <v>400</v>
      </c>
      <c r="D651" s="18">
        <f t="shared" si="109"/>
        <v>2</v>
      </c>
      <c r="E651" s="18" t="str">
        <f>VLOOKUP(C651,'Tariff Schedule Lookup Table'!I$7:L$286,2,FALSE)</f>
        <v>HIGH PRESSURE SODIUM 400W (310/360)</v>
      </c>
      <c r="F651" s="18" t="str">
        <f>IF(E651 = "BULKHEADS ETC", "SHARED OR NO POLE", VLOOKUP(C651,'Tariff Schedule Lookup Table'!I$7:L$286,3,FALSE))</f>
        <v>STEEL POLE</v>
      </c>
      <c r="G651" s="18">
        <f>IF(E651 = "NO CAPITAL", 1, VLOOKUP(C651,'Tariff Schedule Lookup Table'!I$7:L$286,4,FALSE))</f>
        <v>2</v>
      </c>
      <c r="H651" s="18" t="str">
        <f t="shared" si="100"/>
        <v>2-Unmetered, Funded by Others, CE Maintained</v>
      </c>
      <c r="I651" s="123">
        <f>VLOOKUP(F651,'Maintenance Model'!$A$57:$B$61,2,FALSE)</f>
        <v>9.9616182311111103</v>
      </c>
      <c r="J651" s="123">
        <f>IF(D651=1,VLOOKUP(C651,'Capital Code Schedules'!A$15:F$300,2,FALSE),IF(D651=2,VLOOKUP(C651,'Capital Code Schedules'!A$15:F$300,3,FALSE),0))</f>
        <v>0</v>
      </c>
      <c r="K651" s="123">
        <v>0</v>
      </c>
      <c r="L651" s="123">
        <f>VLOOKUP(LEFT(A651,10),'Streetlight Tariff Schedule'!B$11:H$260,7, FALSE)+I651</f>
        <v>80.378834365485943</v>
      </c>
      <c r="M651" s="161">
        <f t="shared" si="101"/>
        <v>80.378834365485943</v>
      </c>
      <c r="N651" s="405">
        <f t="shared" si="102"/>
        <v>83.72810967165141</v>
      </c>
      <c r="O651" s="405">
        <v>49.391731598691941</v>
      </c>
      <c r="P651" s="406">
        <v>49.391731598691941</v>
      </c>
      <c r="Q651" s="406">
        <v>51.808906749839515</v>
      </c>
      <c r="R651" s="406">
        <v>51.808906749839515</v>
      </c>
      <c r="S651" s="405">
        <f t="shared" si="103"/>
        <v>87.825668100970248</v>
      </c>
      <c r="T651" s="406">
        <v>53.936759947442589</v>
      </c>
      <c r="U651" s="406">
        <v>54.13380663605038</v>
      </c>
      <c r="V651" s="405">
        <f t="shared" si="104"/>
        <v>91.76680290932002</v>
      </c>
      <c r="W651" s="406">
        <v>55.900204016457636</v>
      </c>
      <c r="X651" s="406">
        <v>56.605378607795835</v>
      </c>
      <c r="Y651" s="405">
        <f t="shared" si="105"/>
        <v>95.956573998802611</v>
      </c>
      <c r="Z651" s="406">
        <v>57.514915466055065</v>
      </c>
      <c r="AA651" s="406">
        <v>58.453585585644561</v>
      </c>
      <c r="AB651" s="442">
        <f t="shared" si="106"/>
        <v>98.039478547036268</v>
      </c>
      <c r="AC651" s="438">
        <f t="shared" si="107"/>
        <v>100.9707669211743</v>
      </c>
      <c r="AD651" s="410"/>
      <c r="AE651" s="411"/>
      <c r="AF651" s="411"/>
      <c r="AG651" s="411"/>
    </row>
    <row r="652" spans="1:33" x14ac:dyDescent="0.2">
      <c r="A652" s="6" t="s">
        <v>569</v>
      </c>
      <c r="B652" s="18" t="str">
        <f>VLOOKUP(LEFT(A652,7),'Tariff Schedule Lookup Table'!$A$8:$G$186,2,FALSE)</f>
        <v>High Pressure Sodium 400</v>
      </c>
      <c r="C652" s="160">
        <f t="shared" ref="C652:C702" si="110">1*MID(A652,12,4)</f>
        <v>440</v>
      </c>
      <c r="D652" s="18">
        <f t="shared" ref="D652:D702" si="111">1*(MID(A652,17,3))</f>
        <v>1</v>
      </c>
      <c r="E652" s="18" t="str">
        <f>VLOOKUP(C652,'Tariff Schedule Lookup Table'!I$7:L$286,2,FALSE)</f>
        <v>HIGH PRESSURE SODIUM 400W (310/360)</v>
      </c>
      <c r="F652" s="18" t="str">
        <f>IF(E652 = "BULKHEADS ETC", "SHARED OR NO POLE", VLOOKUP(C652,'Tariff Schedule Lookup Table'!I$7:L$286,3,FALSE))</f>
        <v>STEEL POLE</v>
      </c>
      <c r="G652" s="18">
        <f>IF(E652 = "NO CAPITAL", 1, VLOOKUP(C652,'Tariff Schedule Lookup Table'!I$7:L$286,4,FALSE))</f>
        <v>3</v>
      </c>
      <c r="H652" s="18" t="str">
        <f t="shared" ref="H652:H702" si="112">VLOOKUP(D652,A$11:B$15, 2, FALSE)</f>
        <v>1-Unmetered, CE Funded, CE Maintained</v>
      </c>
      <c r="I652" s="123">
        <f>VLOOKUP(F652,'Maintenance Model'!$A$57:$B$61,2,FALSE)</f>
        <v>9.9616182311111103</v>
      </c>
      <c r="J652" s="123">
        <f>IF(D652=1,VLOOKUP(C652,'Capital Code Schedules'!A$15:F$300,2,FALSE),IF(D652=2,VLOOKUP(C652,'Capital Code Schedules'!A$15:F$300,3,FALSE),0))</f>
        <v>128.72747827624443</v>
      </c>
      <c r="K652" s="123">
        <v>163.28704438752303</v>
      </c>
      <c r="L652" s="123">
        <f>VLOOKUP(LEFT(A652,10),'Streetlight Tariff Schedule'!B$11:H$260,7, FALSE)+I652</f>
        <v>80.378834365485943</v>
      </c>
      <c r="M652" s="161">
        <f t="shared" si="101"/>
        <v>243.66587875300897</v>
      </c>
      <c r="N652" s="405">
        <f t="shared" si="102"/>
        <v>215.64159303523289</v>
      </c>
      <c r="O652" s="405">
        <v>224.12787459195542</v>
      </c>
      <c r="P652" s="406">
        <v>216.72013033480613</v>
      </c>
      <c r="Q652" s="406">
        <v>223.27868335467255</v>
      </c>
      <c r="R652" s="406">
        <v>230.86976928218627</v>
      </c>
      <c r="S652" s="405">
        <f t="shared" si="103"/>
        <v>223.00401017780038</v>
      </c>
      <c r="T652" s="406">
        <v>229.65041352324525</v>
      </c>
      <c r="U652" s="406">
        <v>238.29790375056902</v>
      </c>
      <c r="V652" s="405">
        <f t="shared" si="104"/>
        <v>230.79772773533978</v>
      </c>
      <c r="W652" s="406">
        <v>235.96277051826144</v>
      </c>
      <c r="X652" s="406">
        <v>247.01263861449664</v>
      </c>
      <c r="Y652" s="405">
        <f t="shared" si="105"/>
        <v>239.70064717642444</v>
      </c>
      <c r="Z652" s="406">
        <v>242.03403048877848</v>
      </c>
      <c r="AA652" s="406">
        <v>254.28745250253638</v>
      </c>
      <c r="AB652" s="442">
        <f t="shared" si="106"/>
        <v>244.31344741258425</v>
      </c>
      <c r="AC652" s="438">
        <f t="shared" si="107"/>
        <v>251.50130828070974</v>
      </c>
      <c r="AD652" s="410"/>
      <c r="AE652" s="411"/>
      <c r="AF652" s="411"/>
      <c r="AG652" s="411"/>
    </row>
    <row r="653" spans="1:33" x14ac:dyDescent="0.2">
      <c r="A653" s="6" t="s">
        <v>570</v>
      </c>
      <c r="B653" s="18" t="str">
        <f>VLOOKUP(LEFT(A653,7),'Tariff Schedule Lookup Table'!$A$8:$G$186,2,FALSE)</f>
        <v>High Pressure Sodium 400</v>
      </c>
      <c r="C653" s="160">
        <f t="shared" si="110"/>
        <v>440</v>
      </c>
      <c r="D653" s="18">
        <f t="shared" si="111"/>
        <v>2</v>
      </c>
      <c r="E653" s="18" t="str">
        <f>VLOOKUP(C653,'Tariff Schedule Lookup Table'!I$7:L$286,2,FALSE)</f>
        <v>HIGH PRESSURE SODIUM 400W (310/360)</v>
      </c>
      <c r="F653" s="18" t="str">
        <f>IF(E653 = "BULKHEADS ETC", "SHARED OR NO POLE", VLOOKUP(C653,'Tariff Schedule Lookup Table'!I$7:L$286,3,FALSE))</f>
        <v>STEEL POLE</v>
      </c>
      <c r="G653" s="18">
        <f>IF(E653 = "NO CAPITAL", 1, VLOOKUP(C653,'Tariff Schedule Lookup Table'!I$7:L$286,4,FALSE))</f>
        <v>3</v>
      </c>
      <c r="H653" s="18" t="str">
        <f t="shared" si="112"/>
        <v>2-Unmetered, Funded by Others, CE Maintained</v>
      </c>
      <c r="I653" s="123">
        <f>VLOOKUP(F653,'Maintenance Model'!$A$57:$B$61,2,FALSE)</f>
        <v>9.9616182311111103</v>
      </c>
      <c r="J653" s="123">
        <f>IF(D653=1,VLOOKUP(C653,'Capital Code Schedules'!A$15:F$300,2,FALSE),IF(D653=2,VLOOKUP(C653,'Capital Code Schedules'!A$15:F$300,3,FALSE),0))</f>
        <v>0</v>
      </c>
      <c r="K653" s="123">
        <v>0</v>
      </c>
      <c r="L653" s="123">
        <f>VLOOKUP(LEFT(A653,10),'Streetlight Tariff Schedule'!B$11:H$260,7, FALSE)+I653</f>
        <v>80.378834365485943</v>
      </c>
      <c r="M653" s="161">
        <f t="shared" si="101"/>
        <v>80.378834365485943</v>
      </c>
      <c r="N653" s="405">
        <f t="shared" si="102"/>
        <v>83.72810967165141</v>
      </c>
      <c r="O653" s="405">
        <v>49.391731598691941</v>
      </c>
      <c r="P653" s="406">
        <v>49.391731598691941</v>
      </c>
      <c r="Q653" s="406">
        <v>51.808906749839515</v>
      </c>
      <c r="R653" s="406">
        <v>51.808906749839515</v>
      </c>
      <c r="S653" s="405">
        <f t="shared" si="103"/>
        <v>87.825668100970248</v>
      </c>
      <c r="T653" s="406">
        <v>53.936759947442589</v>
      </c>
      <c r="U653" s="406">
        <v>54.13380663605038</v>
      </c>
      <c r="V653" s="405">
        <f t="shared" si="104"/>
        <v>91.76680290932002</v>
      </c>
      <c r="W653" s="406">
        <v>55.900204016457636</v>
      </c>
      <c r="X653" s="406">
        <v>56.605378607795835</v>
      </c>
      <c r="Y653" s="405">
        <f t="shared" si="105"/>
        <v>95.956573998802611</v>
      </c>
      <c r="Z653" s="406">
        <v>57.514915466055065</v>
      </c>
      <c r="AA653" s="406">
        <v>58.453585585644561</v>
      </c>
      <c r="AB653" s="442">
        <f t="shared" si="106"/>
        <v>98.039478547036268</v>
      </c>
      <c r="AC653" s="438">
        <f t="shared" si="107"/>
        <v>100.9707669211743</v>
      </c>
      <c r="AD653" s="410"/>
      <c r="AE653" s="411"/>
      <c r="AF653" s="411"/>
      <c r="AG653" s="411"/>
    </row>
    <row r="654" spans="1:33" x14ac:dyDescent="0.2">
      <c r="A654" s="6" t="s">
        <v>571</v>
      </c>
      <c r="B654" s="18" t="str">
        <f>VLOOKUP(LEFT(A654,7),'Tariff Schedule Lookup Table'!$A$8:$G$186,2,FALSE)</f>
        <v>High Pressure Sodium 400</v>
      </c>
      <c r="C654" s="160">
        <f t="shared" si="110"/>
        <v>480</v>
      </c>
      <c r="D654" s="18">
        <f t="shared" si="111"/>
        <v>2</v>
      </c>
      <c r="E654" s="18" t="str">
        <f>VLOOKUP(C654,'Tariff Schedule Lookup Table'!I$7:L$286,2,FALSE)</f>
        <v>HIGH PRESSURE SODIUM 400W (310/360)</v>
      </c>
      <c r="F654" s="18" t="str">
        <f>IF(E654 = "BULKHEADS ETC", "SHARED OR NO POLE", VLOOKUP(C654,'Tariff Schedule Lookup Table'!I$7:L$286,3,FALSE))</f>
        <v>STEEL POLE</v>
      </c>
      <c r="G654" s="18">
        <f>IF(E654 = "NO CAPITAL", 1, VLOOKUP(C654,'Tariff Schedule Lookup Table'!I$7:L$286,4,FALSE))</f>
        <v>4</v>
      </c>
      <c r="H654" s="18" t="str">
        <f t="shared" si="112"/>
        <v>2-Unmetered, Funded by Others, CE Maintained</v>
      </c>
      <c r="I654" s="123">
        <f>VLOOKUP(F654,'Maintenance Model'!$A$57:$B$61,2,FALSE)</f>
        <v>9.9616182311111103</v>
      </c>
      <c r="J654" s="123">
        <f>IF(D654=1,VLOOKUP(C654,'Capital Code Schedules'!A$15:F$300,2,FALSE),IF(D654=2,VLOOKUP(C654,'Capital Code Schedules'!A$15:F$300,3,FALSE),0))</f>
        <v>0</v>
      </c>
      <c r="K654" s="123">
        <v>0</v>
      </c>
      <c r="L654" s="123">
        <f>VLOOKUP(LEFT(A654,10),'Streetlight Tariff Schedule'!B$11:H$260,7, FALSE)+I654</f>
        <v>80.378834365485943</v>
      </c>
      <c r="M654" s="161">
        <f t="shared" si="101"/>
        <v>80.378834365485943</v>
      </c>
      <c r="N654" s="405">
        <f t="shared" si="102"/>
        <v>83.72810967165141</v>
      </c>
      <c r="O654" s="405">
        <v>49.391731598691941</v>
      </c>
      <c r="P654" s="406">
        <v>49.391731598691941</v>
      </c>
      <c r="Q654" s="406">
        <v>51.808906749839515</v>
      </c>
      <c r="R654" s="406">
        <v>51.808906749839515</v>
      </c>
      <c r="S654" s="405">
        <f t="shared" si="103"/>
        <v>87.825668100970248</v>
      </c>
      <c r="T654" s="406">
        <v>53.936759947442589</v>
      </c>
      <c r="U654" s="406">
        <v>54.13380663605038</v>
      </c>
      <c r="V654" s="405">
        <f t="shared" si="104"/>
        <v>91.76680290932002</v>
      </c>
      <c r="W654" s="406">
        <v>55.900204016457636</v>
      </c>
      <c r="X654" s="406">
        <v>56.605378607795835</v>
      </c>
      <c r="Y654" s="405">
        <f t="shared" si="105"/>
        <v>95.956573998802611</v>
      </c>
      <c r="Z654" s="406">
        <v>57.514915466055065</v>
      </c>
      <c r="AA654" s="406">
        <v>58.453585585644561</v>
      </c>
      <c r="AB654" s="442">
        <f t="shared" si="106"/>
        <v>98.039478547036268</v>
      </c>
      <c r="AC654" s="438">
        <f t="shared" si="107"/>
        <v>100.9707669211743</v>
      </c>
      <c r="AD654" s="410"/>
      <c r="AE654" s="411"/>
      <c r="AF654" s="411"/>
      <c r="AG654" s="411"/>
    </row>
    <row r="655" spans="1:33" x14ac:dyDescent="0.2">
      <c r="A655" s="6" t="s">
        <v>572</v>
      </c>
      <c r="B655" s="18" t="str">
        <f>VLOOKUP(LEFT(A655,7),'Tariff Schedule Lookup Table'!$A$8:$G$186,2,FALSE)</f>
        <v>High Pressure Sodium 400</v>
      </c>
      <c r="C655" s="160">
        <f t="shared" si="110"/>
        <v>560</v>
      </c>
      <c r="D655" s="18">
        <f t="shared" si="111"/>
        <v>2</v>
      </c>
      <c r="E655" s="18" t="str">
        <f>VLOOKUP(C655,'Tariff Schedule Lookup Table'!I$7:L$286,2,FALSE)</f>
        <v>HIGH PRESSURE SODIUM 400W (310/360)</v>
      </c>
      <c r="F655" s="18" t="str">
        <f>IF(E655 = "BULKHEADS ETC", "SHARED OR NO POLE", VLOOKUP(C655,'Tariff Schedule Lookup Table'!I$7:L$286,3,FALSE))</f>
        <v>R/BOUT COLUMN</v>
      </c>
      <c r="G655" s="18">
        <f>IF(E655 = "NO CAPITAL", 1, VLOOKUP(C655,'Tariff Schedule Lookup Table'!I$7:L$286,4,FALSE))</f>
        <v>3</v>
      </c>
      <c r="H655" s="18" t="str">
        <f t="shared" si="112"/>
        <v>2-Unmetered, Funded by Others, CE Maintained</v>
      </c>
      <c r="I655" s="123">
        <f>VLOOKUP(F655,'Maintenance Model'!$A$57:$B$61,2,FALSE)</f>
        <v>9.9616182311111103</v>
      </c>
      <c r="J655" s="123">
        <f>IF(D655=1,VLOOKUP(C655,'Capital Code Schedules'!A$15:F$300,2,FALSE),IF(D655=2,VLOOKUP(C655,'Capital Code Schedules'!A$15:F$300,3,FALSE),0))</f>
        <v>0</v>
      </c>
      <c r="K655" s="123">
        <v>0</v>
      </c>
      <c r="L655" s="123">
        <f>VLOOKUP(LEFT(A655,10),'Streetlight Tariff Schedule'!B$11:H$260,7, FALSE)+I655</f>
        <v>80.378834365485943</v>
      </c>
      <c r="M655" s="161">
        <f t="shared" si="101"/>
        <v>80.378834365485943</v>
      </c>
      <c r="N655" s="405">
        <f t="shared" si="102"/>
        <v>83.72810967165141</v>
      </c>
      <c r="O655" s="405">
        <v>49.391731598691941</v>
      </c>
      <c r="P655" s="406">
        <v>49.391731598691941</v>
      </c>
      <c r="Q655" s="406">
        <v>51.808906749839515</v>
      </c>
      <c r="R655" s="406">
        <v>51.808906749839515</v>
      </c>
      <c r="S655" s="405">
        <f t="shared" si="103"/>
        <v>87.825668100970248</v>
      </c>
      <c r="T655" s="406">
        <v>53.936759947442589</v>
      </c>
      <c r="U655" s="406">
        <v>54.13380663605038</v>
      </c>
      <c r="V655" s="405">
        <f t="shared" si="104"/>
        <v>91.76680290932002</v>
      </c>
      <c r="W655" s="406">
        <v>55.900204016457636</v>
      </c>
      <c r="X655" s="406">
        <v>56.605378607795835</v>
      </c>
      <c r="Y655" s="405">
        <f t="shared" si="105"/>
        <v>95.956573998802611</v>
      </c>
      <c r="Z655" s="406">
        <v>57.514915466055065</v>
      </c>
      <c r="AA655" s="406">
        <v>58.453585585644561</v>
      </c>
      <c r="AB655" s="442">
        <f t="shared" si="106"/>
        <v>98.039478547036268</v>
      </c>
      <c r="AC655" s="438">
        <f t="shared" si="107"/>
        <v>100.9707669211743</v>
      </c>
      <c r="AD655" s="410"/>
      <c r="AE655" s="411"/>
      <c r="AF655" s="411"/>
      <c r="AG655" s="411"/>
    </row>
    <row r="656" spans="1:33" x14ac:dyDescent="0.2">
      <c r="A656" s="6" t="s">
        <v>573</v>
      </c>
      <c r="B656" s="18" t="str">
        <f>VLOOKUP(LEFT(A656,7),'Tariff Schedule Lookup Table'!$A$8:$G$186,2,FALSE)</f>
        <v>High Pressure Sodium 400</v>
      </c>
      <c r="C656" s="160">
        <f t="shared" si="110"/>
        <v>600</v>
      </c>
      <c r="D656" s="18">
        <f t="shared" si="111"/>
        <v>2</v>
      </c>
      <c r="E656" s="18" t="str">
        <f>VLOOKUP(C656,'Tariff Schedule Lookup Table'!I$7:L$286,2,FALSE)</f>
        <v>HIGH PRESSURE SODIUM 400W (310/360)</v>
      </c>
      <c r="F656" s="18" t="str">
        <f>IF(E656 = "BULKHEADS ETC", "SHARED OR NO POLE", VLOOKUP(C656,'Tariff Schedule Lookup Table'!I$7:L$286,3,FALSE))</f>
        <v>R/BOUT COLUMN</v>
      </c>
      <c r="G656" s="18">
        <f>IF(E656 = "NO CAPITAL", 1, VLOOKUP(C656,'Tariff Schedule Lookup Table'!I$7:L$286,4,FALSE))</f>
        <v>4</v>
      </c>
      <c r="H656" s="18" t="str">
        <f t="shared" si="112"/>
        <v>2-Unmetered, Funded by Others, CE Maintained</v>
      </c>
      <c r="I656" s="123">
        <f>VLOOKUP(F656,'Maintenance Model'!$A$57:$B$61,2,FALSE)</f>
        <v>9.9616182311111103</v>
      </c>
      <c r="J656" s="123">
        <f>IF(D656=1,VLOOKUP(C656,'Capital Code Schedules'!A$15:F$300,2,FALSE),IF(D656=2,VLOOKUP(C656,'Capital Code Schedules'!A$15:F$300,3,FALSE),0))</f>
        <v>0</v>
      </c>
      <c r="K656" s="123">
        <v>0</v>
      </c>
      <c r="L656" s="123">
        <f>VLOOKUP(LEFT(A656,10),'Streetlight Tariff Schedule'!B$11:H$260,7, FALSE)+I656</f>
        <v>80.378834365485943</v>
      </c>
      <c r="M656" s="161">
        <f t="shared" si="101"/>
        <v>80.378834365485943</v>
      </c>
      <c r="N656" s="405">
        <f t="shared" si="102"/>
        <v>83.72810967165141</v>
      </c>
      <c r="O656" s="405">
        <v>49.391731598691941</v>
      </c>
      <c r="P656" s="406">
        <v>49.391731598691941</v>
      </c>
      <c r="Q656" s="406">
        <v>51.808906749839515</v>
      </c>
      <c r="R656" s="406">
        <v>51.808906749839515</v>
      </c>
      <c r="S656" s="405">
        <f t="shared" si="103"/>
        <v>87.825668100970248</v>
      </c>
      <c r="T656" s="406">
        <v>53.936759947442589</v>
      </c>
      <c r="U656" s="406">
        <v>54.13380663605038</v>
      </c>
      <c r="V656" s="405">
        <f t="shared" si="104"/>
        <v>91.76680290932002</v>
      </c>
      <c r="W656" s="406">
        <v>55.900204016457636</v>
      </c>
      <c r="X656" s="406">
        <v>56.605378607795835</v>
      </c>
      <c r="Y656" s="405">
        <f t="shared" si="105"/>
        <v>95.956573998802611</v>
      </c>
      <c r="Z656" s="406">
        <v>57.514915466055065</v>
      </c>
      <c r="AA656" s="406">
        <v>58.453585585644561</v>
      </c>
      <c r="AB656" s="442">
        <f t="shared" si="106"/>
        <v>98.039478547036268</v>
      </c>
      <c r="AC656" s="438">
        <f t="shared" si="107"/>
        <v>100.9707669211743</v>
      </c>
      <c r="AD656" s="410"/>
      <c r="AE656" s="411"/>
      <c r="AF656" s="411"/>
      <c r="AG656" s="411"/>
    </row>
    <row r="657" spans="1:33" x14ac:dyDescent="0.2">
      <c r="A657" s="6" t="s">
        <v>574</v>
      </c>
      <c r="B657" s="18" t="str">
        <f>VLOOKUP(LEFT(A657,7),'Tariff Schedule Lookup Table'!$A$8:$G$186,2,FALSE)</f>
        <v>High Pressure Sodium 400</v>
      </c>
      <c r="C657" s="160">
        <f t="shared" si="110"/>
        <v>620</v>
      </c>
      <c r="D657" s="18">
        <f t="shared" si="111"/>
        <v>1</v>
      </c>
      <c r="E657" s="18" t="str">
        <f>VLOOKUP(C657,'Tariff Schedule Lookup Table'!I$7:L$286,2,FALSE)</f>
        <v>METAL HALIDE/HPS 400W FLOOD (310/360)</v>
      </c>
      <c r="F657" s="18" t="str">
        <f>IF(E657 = "BULKHEADS ETC", "SHARED OR NO POLE", VLOOKUP(C657,'Tariff Schedule Lookup Table'!I$7:L$286,3,FALSE))</f>
        <v>SHARED OR NO POLE</v>
      </c>
      <c r="G657" s="18">
        <f>IF(E657 = "NO CAPITAL", 1, VLOOKUP(C657,'Tariff Schedule Lookup Table'!I$7:L$286,4,FALSE))</f>
        <v>1</v>
      </c>
      <c r="H657" s="18" t="str">
        <f t="shared" si="112"/>
        <v>1-Unmetered, CE Funded, CE Maintained</v>
      </c>
      <c r="I657" s="123">
        <f>VLOOKUP(F657,'Maintenance Model'!$A$57:$B$61,2,FALSE)</f>
        <v>0</v>
      </c>
      <c r="J657" s="123">
        <f>IF(D657=1,VLOOKUP(C657,'Capital Code Schedules'!A$15:F$300,2,FALSE),IF(D657=2,VLOOKUP(C657,'Capital Code Schedules'!A$15:F$300,3,FALSE),0))</f>
        <v>34.455205908772193</v>
      </c>
      <c r="K657" s="123">
        <v>43.705421810047042</v>
      </c>
      <c r="L657" s="123">
        <f>VLOOKUP(LEFT(A657,10),'Streetlight Tariff Schedule'!B$11:H$260,7, FALSE)+I657</f>
        <v>70.417216134374826</v>
      </c>
      <c r="M657" s="161">
        <f t="shared" si="101"/>
        <v>114.12263794442187</v>
      </c>
      <c r="N657" s="405">
        <f t="shared" si="102"/>
        <v>108.65937678599332</v>
      </c>
      <c r="O657" s="405">
        <v>86.567504712441689</v>
      </c>
      <c r="P657" s="406">
        <v>84.584747362438492</v>
      </c>
      <c r="Q657" s="406">
        <v>87.640878921464491</v>
      </c>
      <c r="R657" s="406">
        <v>89.672709515880271</v>
      </c>
      <c r="S657" s="405">
        <f t="shared" si="103"/>
        <v>113.12298338468379</v>
      </c>
      <c r="T657" s="406">
        <v>90.491322894127009</v>
      </c>
      <c r="U657" s="406">
        <v>92.911940488774391</v>
      </c>
      <c r="V657" s="405">
        <f t="shared" si="104"/>
        <v>117.60686272269388</v>
      </c>
      <c r="W657" s="406">
        <v>93.237407381531625</v>
      </c>
      <c r="X657" s="406">
        <v>96.574466465316362</v>
      </c>
      <c r="Y657" s="405">
        <f t="shared" si="105"/>
        <v>122.538903064324</v>
      </c>
      <c r="Z657" s="406">
        <v>95.731308697531858</v>
      </c>
      <c r="AA657" s="406">
        <v>99.516153780867896</v>
      </c>
      <c r="AB657" s="442">
        <f t="shared" si="106"/>
        <v>125.04081833181979</v>
      </c>
      <c r="AC657" s="438">
        <f t="shared" si="107"/>
        <v>128.74813681100332</v>
      </c>
      <c r="AD657" s="410"/>
      <c r="AE657" s="411"/>
      <c r="AF657" s="411"/>
      <c r="AG657" s="411"/>
    </row>
    <row r="658" spans="1:33" x14ac:dyDescent="0.2">
      <c r="A658" s="6" t="s">
        <v>575</v>
      </c>
      <c r="B658" s="18" t="str">
        <f>VLOOKUP(LEFT(A658,7),'Tariff Schedule Lookup Table'!$A$8:$G$186,2,FALSE)</f>
        <v>High Pressure Sodium 400</v>
      </c>
      <c r="C658" s="160">
        <f t="shared" si="110"/>
        <v>620</v>
      </c>
      <c r="D658" s="18">
        <f t="shared" si="111"/>
        <v>2</v>
      </c>
      <c r="E658" s="18" t="str">
        <f>VLOOKUP(C658,'Tariff Schedule Lookup Table'!I$7:L$286,2,FALSE)</f>
        <v>METAL HALIDE/HPS 400W FLOOD (310/360)</v>
      </c>
      <c r="F658" s="18" t="str">
        <f>IF(E658 = "BULKHEADS ETC", "SHARED OR NO POLE", VLOOKUP(C658,'Tariff Schedule Lookup Table'!I$7:L$286,3,FALSE))</f>
        <v>SHARED OR NO POLE</v>
      </c>
      <c r="G658" s="18">
        <f>IF(E658 = "NO CAPITAL", 1, VLOOKUP(C658,'Tariff Schedule Lookup Table'!I$7:L$286,4,FALSE))</f>
        <v>1</v>
      </c>
      <c r="H658" s="18" t="str">
        <f t="shared" si="112"/>
        <v>2-Unmetered, Funded by Others, CE Maintained</v>
      </c>
      <c r="I658" s="123">
        <f>VLOOKUP(F658,'Maintenance Model'!$A$57:$B$61,2,FALSE)</f>
        <v>0</v>
      </c>
      <c r="J658" s="123">
        <f>IF(D658=1,VLOOKUP(C658,'Capital Code Schedules'!A$15:F$300,2,FALSE),IF(D658=2,VLOOKUP(C658,'Capital Code Schedules'!A$15:F$300,3,FALSE),0))</f>
        <v>0</v>
      </c>
      <c r="K658" s="123">
        <v>0</v>
      </c>
      <c r="L658" s="123">
        <f>VLOOKUP(LEFT(A658,10),'Streetlight Tariff Schedule'!B$11:H$260,7, FALSE)+I658</f>
        <v>70.417216134374826</v>
      </c>
      <c r="M658" s="161">
        <f t="shared" si="101"/>
        <v>70.417216134374826</v>
      </c>
      <c r="N658" s="405">
        <f t="shared" si="102"/>
        <v>73.351404530979011</v>
      </c>
      <c r="O658" s="405">
        <v>39.797616362592777</v>
      </c>
      <c r="P658" s="406">
        <v>39.797616362592777</v>
      </c>
      <c r="Q658" s="406">
        <v>41.745266429372592</v>
      </c>
      <c r="R658" s="406">
        <v>41.745266429372592</v>
      </c>
      <c r="S658" s="405">
        <f t="shared" si="103"/>
        <v>76.941138816357864</v>
      </c>
      <c r="T658" s="406">
        <v>43.459793992855836</v>
      </c>
      <c r="U658" s="406">
        <v>43.618565274301254</v>
      </c>
      <c r="V658" s="405">
        <f t="shared" si="104"/>
        <v>80.393835584170674</v>
      </c>
      <c r="W658" s="406">
        <v>45.041848139953977</v>
      </c>
      <c r="X658" s="406">
        <v>45.610045831072576</v>
      </c>
      <c r="Y658" s="405">
        <f t="shared" si="105"/>
        <v>84.064354305804869</v>
      </c>
      <c r="Z658" s="406">
        <v>46.34290936472518</v>
      </c>
      <c r="AA658" s="406">
        <v>47.099247158548174</v>
      </c>
      <c r="AB658" s="442">
        <f t="shared" si="106"/>
        <v>85.889117515150701</v>
      </c>
      <c r="AC658" s="438">
        <f t="shared" si="107"/>
        <v>88.457121500569158</v>
      </c>
      <c r="AD658" s="410"/>
      <c r="AE658" s="411"/>
      <c r="AF658" s="411"/>
      <c r="AG658" s="411"/>
    </row>
    <row r="659" spans="1:33" x14ac:dyDescent="0.2">
      <c r="A659" s="6" t="s">
        <v>576</v>
      </c>
      <c r="B659" s="18" t="str">
        <f>VLOOKUP(LEFT(A659,7),'Tariff Schedule Lookup Table'!$A$8:$G$186,2,FALSE)</f>
        <v>High Pressure Sodium 400</v>
      </c>
      <c r="C659" s="160">
        <f t="shared" si="110"/>
        <v>660</v>
      </c>
      <c r="D659" s="18">
        <f t="shared" si="111"/>
        <v>2</v>
      </c>
      <c r="E659" s="18" t="str">
        <f>VLOOKUP(C659,'Tariff Schedule Lookup Table'!I$7:L$286,2,FALSE)</f>
        <v>METAL HALIDE/HPS 400W FLOOD (310/360)</v>
      </c>
      <c r="F659" s="18" t="str">
        <f>IF(E659 = "BULKHEADS ETC", "SHARED OR NO POLE", VLOOKUP(C659,'Tariff Schedule Lookup Table'!I$7:L$286,3,FALSE))</f>
        <v>SHARED OR NO POLE</v>
      </c>
      <c r="G659" s="18">
        <f>IF(E659 = "NO CAPITAL", 1, VLOOKUP(C659,'Tariff Schedule Lookup Table'!I$7:L$286,4,FALSE))</f>
        <v>2</v>
      </c>
      <c r="H659" s="18" t="str">
        <f t="shared" si="112"/>
        <v>2-Unmetered, Funded by Others, CE Maintained</v>
      </c>
      <c r="I659" s="123">
        <f>VLOOKUP(F659,'Maintenance Model'!$A$57:$B$61,2,FALSE)</f>
        <v>0</v>
      </c>
      <c r="J659" s="123">
        <f>IF(D659=1,VLOOKUP(C659,'Capital Code Schedules'!A$15:F$300,2,FALSE),IF(D659=2,VLOOKUP(C659,'Capital Code Schedules'!A$15:F$300,3,FALSE),0))</f>
        <v>0</v>
      </c>
      <c r="K659" s="123">
        <v>0</v>
      </c>
      <c r="L659" s="123">
        <f>VLOOKUP(LEFT(A659,10),'Streetlight Tariff Schedule'!B$11:H$260,7, FALSE)+I659</f>
        <v>70.417216134374826</v>
      </c>
      <c r="M659" s="161">
        <f t="shared" ref="M659:M722" si="113">IF(VLOOKUP(D659,A$11:D$15,3,FALSE)="Y",IF(VLOOKUP(D659,A$11:D$15,4,FALSE)="Y",K659+L659,K659),IF(VLOOKUP(D659,A$11:D$15,4,FALSE)="Y",L659,0))</f>
        <v>70.417216134374826</v>
      </c>
      <c r="N659" s="405">
        <f t="shared" ref="N659:N722" si="114">($J659+$L659+$L659*$M$10*$M$14)*(1+$M$12)</f>
        <v>73.351404530979011</v>
      </c>
      <c r="O659" s="405">
        <v>39.797616362592777</v>
      </c>
      <c r="P659" s="406">
        <v>39.797616362592777</v>
      </c>
      <c r="Q659" s="406">
        <v>41.745266429372592</v>
      </c>
      <c r="R659" s="406">
        <v>41.745266429372592</v>
      </c>
      <c r="S659" s="405">
        <f t="shared" ref="S659:S722" si="115">($J659+$L659+$L659*$N$10*$N$14)*(1+$N$12)</f>
        <v>76.941138816357864</v>
      </c>
      <c r="T659" s="406">
        <v>43.459793992855836</v>
      </c>
      <c r="U659" s="406">
        <v>43.618565274301254</v>
      </c>
      <c r="V659" s="405">
        <f t="shared" ref="V659:V722" si="116">($J659+$L659+$L659*$O$10*$O$14)*(1+$O$12)</f>
        <v>80.393835584170674</v>
      </c>
      <c r="W659" s="406">
        <v>45.041848139953977</v>
      </c>
      <c r="X659" s="406">
        <v>45.610045831072576</v>
      </c>
      <c r="Y659" s="405">
        <f t="shared" ref="Y659:Y722" si="117">($J659+$L659+$L659*$P$10*$P$14)*(1+$P$12)</f>
        <v>84.064354305804869</v>
      </c>
      <c r="Z659" s="406">
        <v>46.34290936472518</v>
      </c>
      <c r="AA659" s="406">
        <v>47.099247158548174</v>
      </c>
      <c r="AB659" s="442">
        <f t="shared" ref="AB659:AB722" si="118">($J659+$L659+$L659*$Q$10*$Q$14)*(1+$Q$12)</f>
        <v>85.889117515150701</v>
      </c>
      <c r="AC659" s="438">
        <f t="shared" ref="AC659:AC722" si="119">($J659+$L659+$L659*$R$10*$R$14)*(1+$R$12)</f>
        <v>88.457121500569158</v>
      </c>
      <c r="AD659" s="410"/>
      <c r="AE659" s="411"/>
      <c r="AF659" s="411"/>
      <c r="AG659" s="411"/>
    </row>
    <row r="660" spans="1:33" x14ac:dyDescent="0.2">
      <c r="A660" s="6" t="s">
        <v>577</v>
      </c>
      <c r="B660" s="18" t="str">
        <f>VLOOKUP(LEFT(A660,7),'Tariff Schedule Lookup Table'!$A$8:$G$186,2,FALSE)</f>
        <v>High Pressure Sodium 400</v>
      </c>
      <c r="C660" s="160">
        <f t="shared" si="110"/>
        <v>770</v>
      </c>
      <c r="D660" s="18">
        <f t="shared" si="111"/>
        <v>2</v>
      </c>
      <c r="E660" s="18" t="str">
        <f>VLOOKUP(C660,'Tariff Schedule Lookup Table'!I$7:L$286,2,FALSE)</f>
        <v>HIGH PRESSURE SODIUM 400W (310/360)</v>
      </c>
      <c r="F660" s="18" t="str">
        <f>IF(E660 = "BULKHEADS ETC", "SHARED OR NO POLE", VLOOKUP(C660,'Tariff Schedule Lookup Table'!I$7:L$286,3,FALSE))</f>
        <v>WOOD POLE</v>
      </c>
      <c r="G660" s="18">
        <f>IF(E660 = "NO CAPITAL", 1, VLOOKUP(C660,'Tariff Schedule Lookup Table'!I$7:L$286,4,FALSE))</f>
        <v>2</v>
      </c>
      <c r="H660" s="18" t="str">
        <f t="shared" si="112"/>
        <v>2-Unmetered, Funded by Others, CE Maintained</v>
      </c>
      <c r="I660" s="123">
        <f>VLOOKUP(F660,'Maintenance Model'!$A$57:$B$61,2,FALSE)</f>
        <v>10.731618231111112</v>
      </c>
      <c r="J660" s="123">
        <f>IF(D660=1,VLOOKUP(C660,'Capital Code Schedules'!A$15:F$300,2,FALSE),IF(D660=2,VLOOKUP(C660,'Capital Code Schedules'!A$15:F$300,3,FALSE),0))</f>
        <v>0</v>
      </c>
      <c r="K660" s="123">
        <v>0</v>
      </c>
      <c r="L660" s="123">
        <f>VLOOKUP(LEFT(A660,10),'Streetlight Tariff Schedule'!B$11:H$260,7, FALSE)+I660</f>
        <v>81.148834365485939</v>
      </c>
      <c r="M660" s="161">
        <f t="shared" si="113"/>
        <v>81.148834365485939</v>
      </c>
      <c r="N660" s="405">
        <f t="shared" si="114"/>
        <v>84.530194510976401</v>
      </c>
      <c r="O660" s="405">
        <v>50.193816438016945</v>
      </c>
      <c r="P660" s="406">
        <v>50.193816438016945</v>
      </c>
      <c r="Q660" s="406">
        <v>52.650244708663969</v>
      </c>
      <c r="R660" s="406">
        <v>52.650244708663969</v>
      </c>
      <c r="S660" s="405">
        <f t="shared" si="115"/>
        <v>88.667006059794701</v>
      </c>
      <c r="T660" s="406">
        <v>54.812652653283685</v>
      </c>
      <c r="U660" s="406">
        <v>55.012899232975592</v>
      </c>
      <c r="V660" s="405">
        <f t="shared" si="116"/>
        <v>92.645895506245225</v>
      </c>
      <c r="W660" s="406">
        <v>56.807981587834846</v>
      </c>
      <c r="X660" s="406">
        <v>57.524607687967773</v>
      </c>
      <c r="Y660" s="405">
        <f t="shared" si="117"/>
        <v>96.875803078974542</v>
      </c>
      <c r="Z660" s="406">
        <v>58.448914745634958</v>
      </c>
      <c r="AA660" s="406">
        <v>59.402828167042003</v>
      </c>
      <c r="AB660" s="442">
        <f t="shared" si="118"/>
        <v>98.978661095242416</v>
      </c>
      <c r="AC660" s="438">
        <f t="shared" si="119"/>
        <v>101.93803014591556</v>
      </c>
      <c r="AD660" s="410"/>
      <c r="AE660" s="411"/>
      <c r="AF660" s="411"/>
      <c r="AG660" s="411"/>
    </row>
    <row r="661" spans="1:33" x14ac:dyDescent="0.2">
      <c r="A661" s="6" t="s">
        <v>578</v>
      </c>
      <c r="B661" s="18" t="str">
        <f>VLOOKUP(LEFT(A661,7),'Tariff Schedule Lookup Table'!$A$8:$G$186,2,FALSE)</f>
        <v>High Pressure Sodium 400</v>
      </c>
      <c r="C661" s="160">
        <f t="shared" si="110"/>
        <v>900</v>
      </c>
      <c r="D661" s="18">
        <f t="shared" si="111"/>
        <v>2</v>
      </c>
      <c r="E661" s="18" t="str">
        <f>VLOOKUP(C661,'Tariff Schedule Lookup Table'!I$7:L$286,2,FALSE)</f>
        <v>METAL HALIDE/HPS 400W FLOOD (310/360)</v>
      </c>
      <c r="F661" s="18" t="str">
        <f>IF(E661 = "BULKHEADS ETC", "SHARED OR NO POLE", VLOOKUP(C661,'Tariff Schedule Lookup Table'!I$7:L$286,3,FALSE))</f>
        <v>WOOD POLE</v>
      </c>
      <c r="G661" s="18">
        <f>IF(E661 = "NO CAPITAL", 1, VLOOKUP(C661,'Tariff Schedule Lookup Table'!I$7:L$286,4,FALSE))</f>
        <v>2</v>
      </c>
      <c r="H661" s="18" t="str">
        <f t="shared" si="112"/>
        <v>2-Unmetered, Funded by Others, CE Maintained</v>
      </c>
      <c r="I661" s="123">
        <f>VLOOKUP(F661,'Maintenance Model'!$A$57:$B$61,2,FALSE)</f>
        <v>10.731618231111112</v>
      </c>
      <c r="J661" s="123">
        <f>IF(D661=1,VLOOKUP(C661,'Capital Code Schedules'!A$15:F$300,2,FALSE),IF(D661=2,VLOOKUP(C661,'Capital Code Schedules'!A$15:F$300,3,FALSE),0))</f>
        <v>0</v>
      </c>
      <c r="K661" s="123">
        <v>0</v>
      </c>
      <c r="L661" s="123">
        <f>VLOOKUP(LEFT(A661,10),'Streetlight Tariff Schedule'!B$11:H$260,7, FALSE)+I661</f>
        <v>81.148834365485939</v>
      </c>
      <c r="M661" s="161">
        <f t="shared" si="113"/>
        <v>81.148834365485939</v>
      </c>
      <c r="N661" s="405">
        <f t="shared" si="114"/>
        <v>84.530194510976401</v>
      </c>
      <c r="O661" s="405">
        <v>50.193816438016945</v>
      </c>
      <c r="P661" s="406">
        <v>50.193816438016945</v>
      </c>
      <c r="Q661" s="406">
        <v>52.650244708663969</v>
      </c>
      <c r="R661" s="406">
        <v>52.650244708663969</v>
      </c>
      <c r="S661" s="405">
        <f t="shared" si="115"/>
        <v>88.667006059794701</v>
      </c>
      <c r="T661" s="406">
        <v>54.812652653283685</v>
      </c>
      <c r="U661" s="406">
        <v>55.012899232975592</v>
      </c>
      <c r="V661" s="405">
        <f t="shared" si="116"/>
        <v>92.645895506245225</v>
      </c>
      <c r="W661" s="406">
        <v>56.807981587834846</v>
      </c>
      <c r="X661" s="406">
        <v>57.524607687967773</v>
      </c>
      <c r="Y661" s="405">
        <f t="shared" si="117"/>
        <v>96.875803078974542</v>
      </c>
      <c r="Z661" s="406">
        <v>58.448914745634958</v>
      </c>
      <c r="AA661" s="406">
        <v>59.402828167042003</v>
      </c>
      <c r="AB661" s="442">
        <f t="shared" si="118"/>
        <v>98.978661095242416</v>
      </c>
      <c r="AC661" s="438">
        <f t="shared" si="119"/>
        <v>101.93803014591556</v>
      </c>
      <c r="AD661" s="410"/>
      <c r="AE661" s="411"/>
      <c r="AF661" s="411"/>
      <c r="AG661" s="411"/>
    </row>
    <row r="662" spans="1:33" x14ac:dyDescent="0.2">
      <c r="A662" s="6" t="s">
        <v>579</v>
      </c>
      <c r="B662" s="18" t="str">
        <f>VLOOKUP(LEFT(A662,7),'Tariff Schedule Lookup Table'!$A$8:$G$186,2,FALSE)</f>
        <v>High Pressure Sodium 400</v>
      </c>
      <c r="C662" s="160">
        <f t="shared" si="110"/>
        <v>1030</v>
      </c>
      <c r="D662" s="18">
        <f t="shared" si="111"/>
        <v>1</v>
      </c>
      <c r="E662" s="18" t="str">
        <f>VLOOKUP(C662,'Tariff Schedule Lookup Table'!I$7:L$286,2,FALSE)</f>
        <v>HIGH PRESSURE SODIUM 400W (310/360)</v>
      </c>
      <c r="F662" s="18" t="str">
        <f>IF(E662 = "BULKHEADS ETC", "SHARED OR NO POLE", VLOOKUP(C662,'Tariff Schedule Lookup Table'!I$7:L$286,3,FALSE))</f>
        <v>SHARED OR NO POLE</v>
      </c>
      <c r="G662" s="18">
        <f>IF(E662 = "NO CAPITAL", 1, VLOOKUP(C662,'Tariff Schedule Lookup Table'!I$7:L$286,4,FALSE))</f>
        <v>2</v>
      </c>
      <c r="H662" s="18" t="str">
        <f t="shared" si="112"/>
        <v>1-Unmetered, CE Funded, CE Maintained</v>
      </c>
      <c r="I662" s="123">
        <f>VLOOKUP(F662,'Maintenance Model'!$A$57:$B$61,2,FALSE)</f>
        <v>0</v>
      </c>
      <c r="J662" s="123">
        <f>IF(D662=1,VLOOKUP(C662,'Capital Code Schedules'!A$15:F$300,2,FALSE),IF(D662=2,VLOOKUP(C662,'Capital Code Schedules'!A$15:F$300,3,FALSE),0))</f>
        <v>52.163571087910817</v>
      </c>
      <c r="K662" s="123">
        <v>66.167965547844219</v>
      </c>
      <c r="L662" s="123">
        <f>VLOOKUP(LEFT(A662,10),'Streetlight Tariff Schedule'!B$11:H$260,7, FALSE)+I662</f>
        <v>70.417216134374826</v>
      </c>
      <c r="M662" s="161">
        <f t="shared" si="113"/>
        <v>136.58518168221906</v>
      </c>
      <c r="N662" s="405">
        <f t="shared" si="114"/>
        <v>126.80602400331561</v>
      </c>
      <c r="O662" s="405">
        <v>110.60504099881761</v>
      </c>
      <c r="P662" s="406">
        <v>107.60323905774615</v>
      </c>
      <c r="Q662" s="406">
        <v>111.22907828623102</v>
      </c>
      <c r="R662" s="406">
        <v>114.305174825344</v>
      </c>
      <c r="S662" s="405">
        <f t="shared" si="115"/>
        <v>131.71876012063481</v>
      </c>
      <c r="T662" s="406">
        <v>114.6633301931715</v>
      </c>
      <c r="U662" s="406">
        <v>118.24643105955784</v>
      </c>
      <c r="V662" s="405">
        <f t="shared" si="116"/>
        <v>136.7326190956195</v>
      </c>
      <c r="W662" s="406">
        <v>118.00767186122746</v>
      </c>
      <c r="X662" s="406">
        <v>122.76779626644935</v>
      </c>
      <c r="Y662" s="405">
        <f t="shared" si="117"/>
        <v>142.31302257829179</v>
      </c>
      <c r="Z662" s="406">
        <v>121.11463722310017</v>
      </c>
      <c r="AA662" s="406">
        <v>126.45599348133319</v>
      </c>
      <c r="AB662" s="442">
        <f t="shared" si="118"/>
        <v>145.16296234923342</v>
      </c>
      <c r="AC662" s="438">
        <f t="shared" si="119"/>
        <v>149.45583521932369</v>
      </c>
      <c r="AD662" s="410"/>
      <c r="AE662" s="411"/>
      <c r="AF662" s="411"/>
      <c r="AG662" s="411"/>
    </row>
    <row r="663" spans="1:33" x14ac:dyDescent="0.2">
      <c r="A663" s="6" t="s">
        <v>580</v>
      </c>
      <c r="B663" s="18" t="str">
        <f>VLOOKUP(LEFT(A663,7),'Tariff Schedule Lookup Table'!$A$8:$G$186,2,FALSE)</f>
        <v>High Pressure Sodium 400</v>
      </c>
      <c r="C663" s="160">
        <f t="shared" si="110"/>
        <v>1030</v>
      </c>
      <c r="D663" s="18">
        <f t="shared" si="111"/>
        <v>2</v>
      </c>
      <c r="E663" s="18" t="str">
        <f>VLOOKUP(C663,'Tariff Schedule Lookup Table'!I$7:L$286,2,FALSE)</f>
        <v>HIGH PRESSURE SODIUM 400W (310/360)</v>
      </c>
      <c r="F663" s="18" t="str">
        <f>IF(E663 = "BULKHEADS ETC", "SHARED OR NO POLE", VLOOKUP(C663,'Tariff Schedule Lookup Table'!I$7:L$286,3,FALSE))</f>
        <v>SHARED OR NO POLE</v>
      </c>
      <c r="G663" s="18">
        <f>IF(E663 = "NO CAPITAL", 1, VLOOKUP(C663,'Tariff Schedule Lookup Table'!I$7:L$286,4,FALSE))</f>
        <v>2</v>
      </c>
      <c r="H663" s="18" t="str">
        <f t="shared" si="112"/>
        <v>2-Unmetered, Funded by Others, CE Maintained</v>
      </c>
      <c r="I663" s="123">
        <f>VLOOKUP(F663,'Maintenance Model'!$A$57:$B$61,2,FALSE)</f>
        <v>0</v>
      </c>
      <c r="J663" s="123">
        <f>IF(D663=1,VLOOKUP(C663,'Capital Code Schedules'!A$15:F$300,2,FALSE),IF(D663=2,VLOOKUP(C663,'Capital Code Schedules'!A$15:F$300,3,FALSE),0))</f>
        <v>0</v>
      </c>
      <c r="K663" s="123">
        <v>0</v>
      </c>
      <c r="L663" s="123">
        <f>VLOOKUP(LEFT(A663,10),'Streetlight Tariff Schedule'!B$11:H$260,7, FALSE)+I663</f>
        <v>70.417216134374826</v>
      </c>
      <c r="M663" s="161">
        <f t="shared" si="113"/>
        <v>70.417216134374826</v>
      </c>
      <c r="N663" s="405">
        <f t="shared" si="114"/>
        <v>73.351404530979011</v>
      </c>
      <c r="O663" s="405">
        <v>39.797616362592777</v>
      </c>
      <c r="P663" s="406">
        <v>39.797616362592777</v>
      </c>
      <c r="Q663" s="406">
        <v>41.745266429372592</v>
      </c>
      <c r="R663" s="406">
        <v>41.745266429372592</v>
      </c>
      <c r="S663" s="405">
        <f t="shared" si="115"/>
        <v>76.941138816357864</v>
      </c>
      <c r="T663" s="406">
        <v>43.459793992855836</v>
      </c>
      <c r="U663" s="406">
        <v>43.618565274301254</v>
      </c>
      <c r="V663" s="405">
        <f t="shared" si="116"/>
        <v>80.393835584170674</v>
      </c>
      <c r="W663" s="406">
        <v>45.041848139953977</v>
      </c>
      <c r="X663" s="406">
        <v>45.610045831072576</v>
      </c>
      <c r="Y663" s="405">
        <f t="shared" si="117"/>
        <v>84.064354305804869</v>
      </c>
      <c r="Z663" s="406">
        <v>46.34290936472518</v>
      </c>
      <c r="AA663" s="406">
        <v>47.099247158548174</v>
      </c>
      <c r="AB663" s="442">
        <f t="shared" si="118"/>
        <v>85.889117515150701</v>
      </c>
      <c r="AC663" s="438">
        <f t="shared" si="119"/>
        <v>88.457121500569158</v>
      </c>
      <c r="AD663" s="410"/>
      <c r="AE663" s="411"/>
      <c r="AF663" s="411"/>
      <c r="AG663" s="411"/>
    </row>
    <row r="664" spans="1:33" x14ac:dyDescent="0.2">
      <c r="A664" s="6" t="s">
        <v>581</v>
      </c>
      <c r="B664" s="18" t="str">
        <f>VLOOKUP(LEFT(A664,7),'Tariff Schedule Lookup Table'!$A$8:$G$186,2,FALSE)</f>
        <v>High Pressure Sodium 400</v>
      </c>
      <c r="C664" s="160">
        <f t="shared" si="110"/>
        <v>1100</v>
      </c>
      <c r="D664" s="18">
        <f t="shared" si="111"/>
        <v>1</v>
      </c>
      <c r="E664" s="18" t="str">
        <f>VLOOKUP(C664,'Tariff Schedule Lookup Table'!I$7:L$286,2,FALSE)</f>
        <v>METAL HALIDE/HPS 400W FLOOD (310/360)</v>
      </c>
      <c r="F664" s="18" t="str">
        <f>IF(E664 = "BULKHEADS ETC", "SHARED OR NO POLE", VLOOKUP(C664,'Tariff Schedule Lookup Table'!I$7:L$286,3,FALSE))</f>
        <v>WOOD POLE</v>
      </c>
      <c r="G664" s="18">
        <f>IF(E664 = "NO CAPITAL", 1, VLOOKUP(C664,'Tariff Schedule Lookup Table'!I$7:L$286,4,FALSE))</f>
        <v>1</v>
      </c>
      <c r="H664" s="18" t="str">
        <f t="shared" si="112"/>
        <v>1-Unmetered, CE Funded, CE Maintained</v>
      </c>
      <c r="I664" s="123">
        <f>VLOOKUP(F664,'Maintenance Model'!$A$57:$B$61,2,FALSE)</f>
        <v>10.731618231111112</v>
      </c>
      <c r="J664" s="123">
        <f>IF(D664=1,VLOOKUP(C664,'Capital Code Schedules'!A$15:F$300,2,FALSE),IF(D664=2,VLOOKUP(C664,'Capital Code Schedules'!A$15:F$300,3,FALSE),0))</f>
        <v>73.527525225964666</v>
      </c>
      <c r="K664" s="123">
        <v>93.267517052669831</v>
      </c>
      <c r="L664" s="123">
        <f>VLOOKUP(LEFT(A664,10),'Streetlight Tariff Schedule'!B$11:H$260,7, FALSE)+I664</f>
        <v>81.148834365485939</v>
      </c>
      <c r="M664" s="161">
        <f t="shared" si="113"/>
        <v>174.41635141815578</v>
      </c>
      <c r="N664" s="405">
        <f t="shared" si="114"/>
        <v>159.87752598628367</v>
      </c>
      <c r="O664" s="405">
        <v>150.00091538742538</v>
      </c>
      <c r="P664" s="406">
        <v>145.76970453774035</v>
      </c>
      <c r="Q664" s="406">
        <v>150.59163603885554</v>
      </c>
      <c r="R664" s="406">
        <v>154.92756935707027</v>
      </c>
      <c r="S664" s="405">
        <f t="shared" si="115"/>
        <v>165.87918398911586</v>
      </c>
      <c r="T664" s="406">
        <v>155.1780934188975</v>
      </c>
      <c r="U664" s="406">
        <v>160.20512763386145</v>
      </c>
      <c r="V664" s="405">
        <f t="shared" si="116"/>
        <v>172.05862050655202</v>
      </c>
      <c r="W664" s="406">
        <v>159.65746701239757</v>
      </c>
      <c r="X664" s="406">
        <v>166.28285263164366</v>
      </c>
      <c r="Y664" s="405">
        <f t="shared" si="117"/>
        <v>178.98061945679171</v>
      </c>
      <c r="Z664" s="406">
        <v>163.84392493445563</v>
      </c>
      <c r="AA664" s="406">
        <v>171.26068309161266</v>
      </c>
      <c r="AB664" s="442">
        <f t="shared" si="118"/>
        <v>182.52852224130919</v>
      </c>
      <c r="AC664" s="438">
        <f t="shared" si="119"/>
        <v>187.91919225133287</v>
      </c>
      <c r="AD664" s="410"/>
      <c r="AE664" s="411"/>
      <c r="AF664" s="411"/>
      <c r="AG664" s="411"/>
    </row>
    <row r="665" spans="1:33" x14ac:dyDescent="0.2">
      <c r="A665" s="6" t="s">
        <v>582</v>
      </c>
      <c r="B665" s="18" t="str">
        <f>VLOOKUP(LEFT(A665,7),'Tariff Schedule Lookup Table'!$A$8:$G$186,2,FALSE)</f>
        <v>High Pressure Sodium 400</v>
      </c>
      <c r="C665" s="160">
        <f t="shared" si="110"/>
        <v>1100</v>
      </c>
      <c r="D665" s="18">
        <f t="shared" si="111"/>
        <v>2</v>
      </c>
      <c r="E665" s="18" t="str">
        <f>VLOOKUP(C665,'Tariff Schedule Lookup Table'!I$7:L$286,2,FALSE)</f>
        <v>METAL HALIDE/HPS 400W FLOOD (310/360)</v>
      </c>
      <c r="F665" s="18" t="str">
        <f>IF(E665 = "BULKHEADS ETC", "SHARED OR NO POLE", VLOOKUP(C665,'Tariff Schedule Lookup Table'!I$7:L$286,3,FALSE))</f>
        <v>WOOD POLE</v>
      </c>
      <c r="G665" s="18">
        <f>IF(E665 = "NO CAPITAL", 1, VLOOKUP(C665,'Tariff Schedule Lookup Table'!I$7:L$286,4,FALSE))</f>
        <v>1</v>
      </c>
      <c r="H665" s="18" t="str">
        <f t="shared" si="112"/>
        <v>2-Unmetered, Funded by Others, CE Maintained</v>
      </c>
      <c r="I665" s="123">
        <f>VLOOKUP(F665,'Maintenance Model'!$A$57:$B$61,2,FALSE)</f>
        <v>10.731618231111112</v>
      </c>
      <c r="J665" s="123">
        <f>IF(D665=1,VLOOKUP(C665,'Capital Code Schedules'!A$15:F$300,2,FALSE),IF(D665=2,VLOOKUP(C665,'Capital Code Schedules'!A$15:F$300,3,FALSE),0))</f>
        <v>0</v>
      </c>
      <c r="K665" s="123">
        <v>0</v>
      </c>
      <c r="L665" s="123">
        <f>VLOOKUP(LEFT(A665,10),'Streetlight Tariff Schedule'!B$11:H$260,7, FALSE)+I665</f>
        <v>81.148834365485939</v>
      </c>
      <c r="M665" s="161">
        <f t="shared" si="113"/>
        <v>81.148834365485939</v>
      </c>
      <c r="N665" s="405">
        <f t="shared" si="114"/>
        <v>84.530194510976401</v>
      </c>
      <c r="O665" s="405">
        <v>50.193816438016945</v>
      </c>
      <c r="P665" s="406">
        <v>50.193816438016945</v>
      </c>
      <c r="Q665" s="406">
        <v>52.650244708663969</v>
      </c>
      <c r="R665" s="406">
        <v>52.650244708663969</v>
      </c>
      <c r="S665" s="405">
        <f t="shared" si="115"/>
        <v>88.667006059794701</v>
      </c>
      <c r="T665" s="406">
        <v>54.812652653283685</v>
      </c>
      <c r="U665" s="406">
        <v>55.012899232975592</v>
      </c>
      <c r="V665" s="405">
        <f t="shared" si="116"/>
        <v>92.645895506245225</v>
      </c>
      <c r="W665" s="406">
        <v>56.807981587834846</v>
      </c>
      <c r="X665" s="406">
        <v>57.524607687967773</v>
      </c>
      <c r="Y665" s="405">
        <f t="shared" si="117"/>
        <v>96.875803078974542</v>
      </c>
      <c r="Z665" s="406">
        <v>58.448914745634958</v>
      </c>
      <c r="AA665" s="406">
        <v>59.402828167042003</v>
      </c>
      <c r="AB665" s="442">
        <f t="shared" si="118"/>
        <v>98.978661095242416</v>
      </c>
      <c r="AC665" s="438">
        <f t="shared" si="119"/>
        <v>101.93803014591556</v>
      </c>
      <c r="AD665" s="410"/>
      <c r="AE665" s="411"/>
      <c r="AF665" s="411"/>
      <c r="AG665" s="411"/>
    </row>
    <row r="666" spans="1:33" x14ac:dyDescent="0.2">
      <c r="A666" s="6" t="s">
        <v>583</v>
      </c>
      <c r="B666" s="18" t="str">
        <f>VLOOKUP(LEFT(A666,7),'Tariff Schedule Lookup Table'!$A$8:$G$186,2,FALSE)</f>
        <v>High Pressure Sodium 400</v>
      </c>
      <c r="C666" s="160">
        <f t="shared" si="110"/>
        <v>1130</v>
      </c>
      <c r="D666" s="18">
        <f t="shared" si="111"/>
        <v>1</v>
      </c>
      <c r="E666" s="18" t="str">
        <f>VLOOKUP(C666,'Tariff Schedule Lookup Table'!I$7:L$286,2,FALSE)</f>
        <v>METAL HALIDE/HPS 400W FLOOD (310/360)</v>
      </c>
      <c r="F666" s="18" t="str">
        <f>IF(E666 = "BULKHEADS ETC", "SHARED OR NO POLE", VLOOKUP(C666,'Tariff Schedule Lookup Table'!I$7:L$286,3,FALSE))</f>
        <v>STEEL POLE</v>
      </c>
      <c r="G666" s="18">
        <f>IF(E666 = "NO CAPITAL", 1, VLOOKUP(C666,'Tariff Schedule Lookup Table'!I$7:L$286,4,FALSE))</f>
        <v>2</v>
      </c>
      <c r="H666" s="18" t="str">
        <f t="shared" si="112"/>
        <v>1-Unmetered, CE Funded, CE Maintained</v>
      </c>
      <c r="I666" s="123">
        <f>VLOOKUP(F666,'Maintenance Model'!$A$57:$B$61,2,FALSE)</f>
        <v>9.9616182311111103</v>
      </c>
      <c r="J666" s="123">
        <f>IF(D666=1,VLOOKUP(C666,'Capital Code Schedules'!A$15:F$300,2,FALSE),IF(D666=2,VLOOKUP(C666,'Capital Code Schedules'!A$15:F$300,3,FALSE),0))</f>
        <v>120.03267348142677</v>
      </c>
      <c r="K666" s="123">
        <v>152.25793859376614</v>
      </c>
      <c r="L666" s="123">
        <f>VLOOKUP(LEFT(A666,10),'Streetlight Tariff Schedule'!B$11:H$260,7, FALSE)+I666</f>
        <v>80.378834365485943</v>
      </c>
      <c r="M666" s="161">
        <f t="shared" si="113"/>
        <v>232.63677295925208</v>
      </c>
      <c r="N666" s="405">
        <f t="shared" si="114"/>
        <v>206.73159182174348</v>
      </c>
      <c r="O666" s="405">
        <v>212.32544767992178</v>
      </c>
      <c r="P666" s="406">
        <v>205.4180541726538</v>
      </c>
      <c r="Q666" s="406">
        <v>211.69688080750694</v>
      </c>
      <c r="R666" s="406">
        <v>218.77523230407976</v>
      </c>
      <c r="S666" s="405">
        <f t="shared" si="115"/>
        <v>213.87348643427714</v>
      </c>
      <c r="T666" s="406">
        <v>217.78196136303728</v>
      </c>
      <c r="U666" s="406">
        <v>225.85867246858652</v>
      </c>
      <c r="V666" s="405">
        <f t="shared" si="116"/>
        <v>221.4069840651261</v>
      </c>
      <c r="W666" s="406">
        <v>223.80057416708831</v>
      </c>
      <c r="X666" s="406">
        <v>234.15171739205491</v>
      </c>
      <c r="Y666" s="405">
        <f t="shared" si="117"/>
        <v>229.99155729579053</v>
      </c>
      <c r="Z666" s="406">
        <v>229.57081977791384</v>
      </c>
      <c r="AA666" s="406">
        <v>241.05999502525506</v>
      </c>
      <c r="AB666" s="442">
        <f t="shared" si="118"/>
        <v>234.43347755005118</v>
      </c>
      <c r="AC666" s="438">
        <f t="shared" si="119"/>
        <v>241.33383129517696</v>
      </c>
      <c r="AD666" s="410"/>
      <c r="AE666" s="411"/>
      <c r="AF666" s="411"/>
      <c r="AG666" s="411"/>
    </row>
    <row r="667" spans="1:33" x14ac:dyDescent="0.2">
      <c r="A667" s="6" t="s">
        <v>584</v>
      </c>
      <c r="B667" s="18" t="str">
        <f>VLOOKUP(LEFT(A667,7),'Tariff Schedule Lookup Table'!$A$8:$G$186,2,FALSE)</f>
        <v>High Pressure Sodium 400</v>
      </c>
      <c r="C667" s="160">
        <f t="shared" si="110"/>
        <v>1170</v>
      </c>
      <c r="D667" s="18">
        <f t="shared" si="111"/>
        <v>1</v>
      </c>
      <c r="E667" s="18" t="str">
        <f>VLOOKUP(C667,'Tariff Schedule Lookup Table'!I$7:L$286,2,FALSE)</f>
        <v>METAL HALIDE/HPS 400W FLOOD (310/360)</v>
      </c>
      <c r="F667" s="18" t="str">
        <f>IF(E667 = "BULKHEADS ETC", "SHARED OR NO POLE", VLOOKUP(C667,'Tariff Schedule Lookup Table'!I$7:L$286,3,FALSE))</f>
        <v>STEEL POLE</v>
      </c>
      <c r="G667" s="18">
        <f>IF(E667 = "NO CAPITAL", 1, VLOOKUP(C667,'Tariff Schedule Lookup Table'!I$7:L$286,4,FALSE))</f>
        <v>1</v>
      </c>
      <c r="H667" s="18" t="str">
        <f t="shared" si="112"/>
        <v>1-Unmetered, CE Funded, CE Maintained</v>
      </c>
      <c r="I667" s="123">
        <f>VLOOKUP(F667,'Maintenance Model'!$A$57:$B$61,2,FALSE)</f>
        <v>9.9616182311111103</v>
      </c>
      <c r="J667" s="123">
        <f>IF(D667=1,VLOOKUP(C667,'Capital Code Schedules'!A$15:F$300,2,FALSE),IF(D667=2,VLOOKUP(C667,'Capital Code Schedules'!A$15:F$300,3,FALSE),0))</f>
        <v>99.810790399594723</v>
      </c>
      <c r="K667" s="123">
        <v>126.60707084899062</v>
      </c>
      <c r="L667" s="123">
        <f>VLOOKUP(LEFT(A667,10),'Streetlight Tariff Schedule'!B$11:H$260,7, FALSE)+I667</f>
        <v>80.378834365485943</v>
      </c>
      <c r="M667" s="161">
        <f t="shared" si="113"/>
        <v>206.98590521447656</v>
      </c>
      <c r="N667" s="405">
        <f t="shared" si="114"/>
        <v>186.0092171336361</v>
      </c>
      <c r="O667" s="405">
        <v>184.8760336069038</v>
      </c>
      <c r="P667" s="406">
        <v>179.13232745119507</v>
      </c>
      <c r="Q667" s="406">
        <v>184.76058234969207</v>
      </c>
      <c r="R667" s="406">
        <v>190.64644523275462</v>
      </c>
      <c r="S667" s="405">
        <f t="shared" si="115"/>
        <v>192.63823297263909</v>
      </c>
      <c r="T667" s="406">
        <v>190.17898951839152</v>
      </c>
      <c r="U667" s="406">
        <v>196.92821496572859</v>
      </c>
      <c r="V667" s="405">
        <f t="shared" si="116"/>
        <v>199.5665258798314</v>
      </c>
      <c r="W667" s="406">
        <v>195.51442876928758</v>
      </c>
      <c r="X667" s="406">
        <v>204.2405173798501</v>
      </c>
      <c r="Y667" s="405">
        <f t="shared" si="117"/>
        <v>207.41070757801432</v>
      </c>
      <c r="Z667" s="406">
        <v>200.58459228151753</v>
      </c>
      <c r="AA667" s="406">
        <v>210.29632581270241</v>
      </c>
      <c r="AB667" s="442">
        <f t="shared" si="118"/>
        <v>211.45520487724212</v>
      </c>
      <c r="AC667" s="438">
        <f t="shared" si="119"/>
        <v>217.68689088758913</v>
      </c>
      <c r="AD667" s="410"/>
      <c r="AE667" s="411"/>
      <c r="AF667" s="411"/>
      <c r="AG667" s="411"/>
    </row>
    <row r="668" spans="1:33" x14ac:dyDescent="0.2">
      <c r="A668" s="6" t="s">
        <v>585</v>
      </c>
      <c r="B668" s="18" t="str">
        <f>VLOOKUP(LEFT(A668,7),'Tariff Schedule Lookup Table'!$A$8:$G$186,2,FALSE)</f>
        <v>High Pressure Sodium 400</v>
      </c>
      <c r="C668" s="160">
        <f t="shared" si="110"/>
        <v>1170</v>
      </c>
      <c r="D668" s="18">
        <f t="shared" si="111"/>
        <v>2</v>
      </c>
      <c r="E668" s="18" t="str">
        <f>VLOOKUP(C668,'Tariff Schedule Lookup Table'!I$7:L$286,2,FALSE)</f>
        <v>METAL HALIDE/HPS 400W FLOOD (310/360)</v>
      </c>
      <c r="F668" s="18" t="str">
        <f>IF(E668 = "BULKHEADS ETC", "SHARED OR NO POLE", VLOOKUP(C668,'Tariff Schedule Lookup Table'!I$7:L$286,3,FALSE))</f>
        <v>STEEL POLE</v>
      </c>
      <c r="G668" s="18">
        <f>IF(E668 = "NO CAPITAL", 1, VLOOKUP(C668,'Tariff Schedule Lookup Table'!I$7:L$286,4,FALSE))</f>
        <v>1</v>
      </c>
      <c r="H668" s="18" t="str">
        <f t="shared" si="112"/>
        <v>2-Unmetered, Funded by Others, CE Maintained</v>
      </c>
      <c r="I668" s="123">
        <f>VLOOKUP(F668,'Maintenance Model'!$A$57:$B$61,2,FALSE)</f>
        <v>9.9616182311111103</v>
      </c>
      <c r="J668" s="123">
        <f>IF(D668=1,VLOOKUP(C668,'Capital Code Schedules'!A$15:F$300,2,FALSE),IF(D668=2,VLOOKUP(C668,'Capital Code Schedules'!A$15:F$300,3,FALSE),0))</f>
        <v>0</v>
      </c>
      <c r="K668" s="123">
        <v>0</v>
      </c>
      <c r="L668" s="123">
        <f>VLOOKUP(LEFT(A668,10),'Streetlight Tariff Schedule'!B$11:H$260,7, FALSE)+I668</f>
        <v>80.378834365485943</v>
      </c>
      <c r="M668" s="161">
        <f t="shared" si="113"/>
        <v>80.378834365485943</v>
      </c>
      <c r="N668" s="405">
        <f t="shared" si="114"/>
        <v>83.72810967165141</v>
      </c>
      <c r="O668" s="405">
        <v>49.391731598691941</v>
      </c>
      <c r="P668" s="406">
        <v>49.391731598691941</v>
      </c>
      <c r="Q668" s="406">
        <v>51.808906749839515</v>
      </c>
      <c r="R668" s="406">
        <v>51.808906749839515</v>
      </c>
      <c r="S668" s="405">
        <f t="shared" si="115"/>
        <v>87.825668100970248</v>
      </c>
      <c r="T668" s="406">
        <v>53.936759947442589</v>
      </c>
      <c r="U668" s="406">
        <v>54.13380663605038</v>
      </c>
      <c r="V668" s="405">
        <f t="shared" si="116"/>
        <v>91.76680290932002</v>
      </c>
      <c r="W668" s="406">
        <v>55.900204016457636</v>
      </c>
      <c r="X668" s="406">
        <v>56.605378607795835</v>
      </c>
      <c r="Y668" s="405">
        <f t="shared" si="117"/>
        <v>95.956573998802611</v>
      </c>
      <c r="Z668" s="406">
        <v>57.514915466055065</v>
      </c>
      <c r="AA668" s="406">
        <v>58.453585585644561</v>
      </c>
      <c r="AB668" s="442">
        <f t="shared" si="118"/>
        <v>98.039478547036268</v>
      </c>
      <c r="AC668" s="438">
        <f t="shared" si="119"/>
        <v>100.9707669211743</v>
      </c>
      <c r="AD668" s="410"/>
      <c r="AE668" s="411"/>
      <c r="AF668" s="411"/>
      <c r="AG668" s="411"/>
    </row>
    <row r="669" spans="1:33" x14ac:dyDescent="0.2">
      <c r="A669" s="6" t="s">
        <v>586</v>
      </c>
      <c r="B669" s="18" t="str">
        <f>VLOOKUP(LEFT(A669,7),'Tariff Schedule Lookup Table'!$A$8:$G$186,2,FALSE)</f>
        <v>High Pressure Sodium 400</v>
      </c>
      <c r="C669" s="160">
        <f t="shared" si="110"/>
        <v>1250</v>
      </c>
      <c r="D669" s="18">
        <f t="shared" si="111"/>
        <v>1</v>
      </c>
      <c r="E669" s="18" t="str">
        <f>VLOOKUP(C669,'Tariff Schedule Lookup Table'!I$7:L$286,2,FALSE)</f>
        <v>METAL HALIDE/HPS 400W FLOOD (310/360)</v>
      </c>
      <c r="F669" s="18" t="str">
        <f>IF(E669 = "BULKHEADS ETC", "SHARED OR NO POLE", VLOOKUP(C669,'Tariff Schedule Lookup Table'!I$7:L$286,3,FALSE))</f>
        <v>WOOD POLE</v>
      </c>
      <c r="G669" s="18">
        <f>IF(E669 = "NO CAPITAL", 1, VLOOKUP(C669,'Tariff Schedule Lookup Table'!I$7:L$286,4,FALSE))</f>
        <v>3</v>
      </c>
      <c r="H669" s="18" t="str">
        <f t="shared" si="112"/>
        <v>1-Unmetered, CE Funded, CE Maintained</v>
      </c>
      <c r="I669" s="123">
        <f>VLOOKUP(F669,'Maintenance Model'!$A$57:$B$61,2,FALSE)</f>
        <v>10.731618231111112</v>
      </c>
      <c r="J669" s="123">
        <f>IF(D669=1,VLOOKUP(C669,'Capital Code Schedules'!A$15:F$300,2,FALSE),IF(D669=2,VLOOKUP(C669,'Capital Code Schedules'!A$15:F$300,3,FALSE),0))</f>
        <v>113.97129138962873</v>
      </c>
      <c r="K669" s="123">
        <v>144.56925254222082</v>
      </c>
      <c r="L669" s="123">
        <f>VLOOKUP(LEFT(A669,10),'Streetlight Tariff Schedule'!B$11:H$260,7, FALSE)+I669</f>
        <v>81.148834365485939</v>
      </c>
      <c r="M669" s="161">
        <f t="shared" si="113"/>
        <v>225.71808690770678</v>
      </c>
      <c r="N669" s="405">
        <f t="shared" si="114"/>
        <v>201.32227536249843</v>
      </c>
      <c r="O669" s="405">
        <v>204.89974353346125</v>
      </c>
      <c r="P669" s="406">
        <v>198.34115798065773</v>
      </c>
      <c r="Q669" s="406">
        <v>204.46423295448514</v>
      </c>
      <c r="R669" s="406">
        <v>211.18514349972054</v>
      </c>
      <c r="S669" s="405">
        <f t="shared" si="115"/>
        <v>208.34969091239191</v>
      </c>
      <c r="T669" s="406">
        <v>210.38403710818892</v>
      </c>
      <c r="U669" s="406">
        <v>218.06604263957726</v>
      </c>
      <c r="V669" s="405">
        <f t="shared" si="116"/>
        <v>215.73953687714143</v>
      </c>
      <c r="W669" s="406">
        <v>216.22975780799896</v>
      </c>
      <c r="X669" s="406">
        <v>226.10525265605324</v>
      </c>
      <c r="Y669" s="405">
        <f t="shared" si="117"/>
        <v>224.14231889234412</v>
      </c>
      <c r="Z669" s="406">
        <v>221.81637992724814</v>
      </c>
      <c r="AA669" s="406">
        <v>232.78802151671792</v>
      </c>
      <c r="AB669" s="442">
        <f t="shared" si="118"/>
        <v>228.48506758692733</v>
      </c>
      <c r="AC669" s="438">
        <f t="shared" si="119"/>
        <v>235.21307306650849</v>
      </c>
      <c r="AD669" s="410"/>
      <c r="AE669" s="411"/>
      <c r="AF669" s="411"/>
      <c r="AG669" s="411"/>
    </row>
    <row r="670" spans="1:33" x14ac:dyDescent="0.2">
      <c r="A670" s="6" t="s">
        <v>587</v>
      </c>
      <c r="B670" s="18" t="str">
        <f>VLOOKUP(LEFT(A670,7),'Tariff Schedule Lookup Table'!$A$8:$G$186,2,FALSE)</f>
        <v>High Pressure Sodium 400</v>
      </c>
      <c r="C670" s="160">
        <f t="shared" si="110"/>
        <v>70</v>
      </c>
      <c r="D670" s="18">
        <f t="shared" si="111"/>
        <v>1</v>
      </c>
      <c r="E670" s="18" t="str">
        <f>VLOOKUP(C670,'Tariff Schedule Lookup Table'!I$7:L$286,2,FALSE)</f>
        <v>HIGH PRESSURE SODIUM 400W (310/360)</v>
      </c>
      <c r="F670" s="18" t="str">
        <f>IF(E670 = "BULKHEADS ETC", "SHARED OR NO POLE", VLOOKUP(C670,'Tariff Schedule Lookup Table'!I$7:L$286,3,FALSE))</f>
        <v>SHARED OR NO POLE</v>
      </c>
      <c r="G670" s="18">
        <f>IF(E670 = "NO CAPITAL", 1, VLOOKUP(C670,'Tariff Schedule Lookup Table'!I$7:L$286,4,FALSE))</f>
        <v>1</v>
      </c>
      <c r="H670" s="18" t="str">
        <f t="shared" si="112"/>
        <v>1-Unmetered, CE Funded, CE Maintained</v>
      </c>
      <c r="I670" s="123">
        <f>VLOOKUP(F670,'Maintenance Model'!$A$57:$B$61,2,FALSE)</f>
        <v>0</v>
      </c>
      <c r="J670" s="123">
        <f>IF(D670=1,VLOOKUP(C670,'Capital Code Schedules'!A$15:F$300,2,FALSE),IF(D670=2,VLOOKUP(C670,'Capital Code Schedules'!A$15:F$300,3,FALSE),0))</f>
        <v>35.784047435083579</v>
      </c>
      <c r="K670" s="123">
        <v>45.391018453408257</v>
      </c>
      <c r="L670" s="123">
        <f>VLOOKUP(LEFT(A670,10),'Streetlight Tariff Schedule'!B$11:H$260,7, FALSE)+I670</f>
        <v>79.483554865488543</v>
      </c>
      <c r="M670" s="161">
        <f t="shared" si="113"/>
        <v>124.87457331889681</v>
      </c>
      <c r="N670" s="405">
        <f t="shared" si="114"/>
        <v>119.46522771723852</v>
      </c>
      <c r="O670" s="405">
        <v>90.107497707765432</v>
      </c>
      <c r="P670" s="406">
        <v>88.04827091769387</v>
      </c>
      <c r="Q670" s="406">
        <v>91.232121590491275</v>
      </c>
      <c r="R670" s="406">
        <v>93.342314243617096</v>
      </c>
      <c r="S670" s="405">
        <f t="shared" si="115"/>
        <v>124.42472165860171</v>
      </c>
      <c r="T670" s="406">
        <v>94.201172577244165</v>
      </c>
      <c r="U670" s="406">
        <v>96.715949843848151</v>
      </c>
      <c r="V670" s="405">
        <f t="shared" si="116"/>
        <v>129.39291154055317</v>
      </c>
      <c r="W670" s="406">
        <v>97.06116907770263</v>
      </c>
      <c r="X670" s="406">
        <v>100.52980360753807</v>
      </c>
      <c r="Y670" s="405">
        <f t="shared" si="117"/>
        <v>134.8461909174793</v>
      </c>
      <c r="Z670" s="406">
        <v>99.657834938607451</v>
      </c>
      <c r="AA670" s="406">
        <v>103.59247707726676</v>
      </c>
      <c r="AB670" s="442">
        <f t="shared" si="118"/>
        <v>137.60916348641368</v>
      </c>
      <c r="AC670" s="438">
        <f t="shared" si="119"/>
        <v>141.69105712686294</v>
      </c>
      <c r="AD670" s="410"/>
      <c r="AE670" s="411"/>
      <c r="AF670" s="411"/>
      <c r="AG670" s="411"/>
    </row>
    <row r="671" spans="1:33" ht="22.5" x14ac:dyDescent="0.2">
      <c r="A671" s="6" t="s">
        <v>588</v>
      </c>
      <c r="B671" s="18" t="str">
        <f>VLOOKUP(LEFT(A671,7),'Tariff Schedule Lookup Table'!$A$8:$G$186,2,FALSE)</f>
        <v>High Pressure Sodium 2x400</v>
      </c>
      <c r="C671" s="160">
        <f t="shared" si="110"/>
        <v>860</v>
      </c>
      <c r="D671" s="18">
        <f t="shared" si="111"/>
        <v>1</v>
      </c>
      <c r="E671" s="18" t="str">
        <f>VLOOKUP(C671,'Tariff Schedule Lookup Table'!I$7:L$286,2,FALSE)</f>
        <v>HIGH PRESSURE SODIUM 2X250 W OR 2X400 W FLOOD</v>
      </c>
      <c r="F671" s="18" t="str">
        <f>IF(E671 = "BULKHEADS ETC", "SHARED OR NO POLE", VLOOKUP(C671,'Tariff Schedule Lookup Table'!I$7:L$286,3,FALSE))</f>
        <v>R/BOUT COLUMN</v>
      </c>
      <c r="G671" s="18">
        <f>IF(E671 = "NO CAPITAL", 1, VLOOKUP(C671,'Tariff Schedule Lookup Table'!I$7:L$286,4,FALSE))</f>
        <v>3</v>
      </c>
      <c r="H671" s="18" t="str">
        <f t="shared" si="112"/>
        <v>1-Unmetered, CE Funded, CE Maintained</v>
      </c>
      <c r="I671" s="123">
        <f>VLOOKUP(F671,'Maintenance Model'!$A$57:$B$61,2,FALSE)</f>
        <v>9.9616182311111103</v>
      </c>
      <c r="J671" s="123">
        <f>IF(D671=1,VLOOKUP(C671,'Capital Code Schedules'!A$15:F$300,2,FALSE),IF(D671=2,VLOOKUP(C671,'Capital Code Schedules'!A$15:F$300,3,FALSE),0))</f>
        <v>200.25475215839111</v>
      </c>
      <c r="K671" s="123">
        <v>254.01730106394828</v>
      </c>
      <c r="L671" s="123">
        <f>VLOOKUP(LEFT(A671,10),'Streetlight Tariff Schedule'!B$11:H$260,7, FALSE)+I671</f>
        <v>102.52079714413594</v>
      </c>
      <c r="M671" s="161">
        <f t="shared" si="113"/>
        <v>356.53809820808419</v>
      </c>
      <c r="N671" s="405">
        <f t="shared" si="114"/>
        <v>312.0037548130453</v>
      </c>
      <c r="O671" s="405">
        <v>339.70654033063647</v>
      </c>
      <c r="P671" s="406">
        <v>328.18269157563503</v>
      </c>
      <c r="Q671" s="406">
        <v>337.94711596965402</v>
      </c>
      <c r="R671" s="406">
        <v>349.75617998134169</v>
      </c>
      <c r="S671" s="405">
        <f t="shared" si="115"/>
        <v>322.30904159938763</v>
      </c>
      <c r="T671" s="406">
        <v>347.47338129432376</v>
      </c>
      <c r="U671" s="406">
        <v>360.89010286907978</v>
      </c>
      <c r="V671" s="405">
        <f t="shared" si="116"/>
        <v>333.3291069539286</v>
      </c>
      <c r="W671" s="406">
        <v>356.93710019374925</v>
      </c>
      <c r="X671" s="406">
        <v>373.99892359106201</v>
      </c>
      <c r="Y671" s="405">
        <f t="shared" si="117"/>
        <v>346.00503832276667</v>
      </c>
      <c r="Z671" s="406">
        <v>366.08900323957522</v>
      </c>
      <c r="AA671" s="406">
        <v>384.98078693852534</v>
      </c>
      <c r="AB671" s="442">
        <f t="shared" si="118"/>
        <v>352.59735001393602</v>
      </c>
      <c r="AC671" s="438">
        <f t="shared" si="119"/>
        <v>362.95785264830602</v>
      </c>
      <c r="AD671" s="410"/>
      <c r="AE671" s="411"/>
      <c r="AF671" s="411"/>
      <c r="AG671" s="411"/>
    </row>
    <row r="672" spans="1:33" ht="22.5" x14ac:dyDescent="0.2">
      <c r="A672" s="6" t="s">
        <v>589</v>
      </c>
      <c r="B672" s="18" t="str">
        <f>VLOOKUP(LEFT(A672,7),'Tariff Schedule Lookup Table'!$A$8:$G$186,2,FALSE)</f>
        <v>High Pressure Sodium 2x400</v>
      </c>
      <c r="C672" s="160">
        <f t="shared" si="110"/>
        <v>870</v>
      </c>
      <c r="D672" s="18">
        <f t="shared" si="111"/>
        <v>1</v>
      </c>
      <c r="E672" s="18" t="str">
        <f>VLOOKUP(C672,'Tariff Schedule Lookup Table'!I$7:L$286,2,FALSE)</f>
        <v>HIGH PRESSURE SODIUM 2X250 W OR 2X400 W FLOOD</v>
      </c>
      <c r="F672" s="18" t="str">
        <f>IF(E672 = "BULKHEADS ETC", "SHARED OR NO POLE", VLOOKUP(C672,'Tariff Schedule Lookup Table'!I$7:L$286,3,FALSE))</f>
        <v>R/BOUT COLUMN</v>
      </c>
      <c r="G672" s="18">
        <f>IF(E672 = "NO CAPITAL", 1, VLOOKUP(C672,'Tariff Schedule Lookup Table'!I$7:L$286,4,FALSE))</f>
        <v>4</v>
      </c>
      <c r="H672" s="18" t="str">
        <f t="shared" si="112"/>
        <v>1-Unmetered, CE Funded, CE Maintained</v>
      </c>
      <c r="I672" s="123">
        <f>VLOOKUP(F672,'Maintenance Model'!$A$57:$B$61,2,FALSE)</f>
        <v>9.9616182311111103</v>
      </c>
      <c r="J672" s="123">
        <f>IF(D672=1,VLOOKUP(C672,'Capital Code Schedules'!A$15:F$300,2,FALSE),IF(D672=2,VLOOKUP(C672,'Capital Code Schedules'!A$15:F$300,3,FALSE),0))</f>
        <v>220.47663524022317</v>
      </c>
      <c r="K672" s="123">
        <v>279.66816880872375</v>
      </c>
      <c r="L672" s="123">
        <f>VLOOKUP(LEFT(A672,10),'Streetlight Tariff Schedule'!B$11:H$260,7, FALSE)+I672</f>
        <v>102.52079714413594</v>
      </c>
      <c r="M672" s="161">
        <f t="shared" si="113"/>
        <v>382.18896595285969</v>
      </c>
      <c r="N672" s="405">
        <f t="shared" si="114"/>
        <v>332.72612950115274</v>
      </c>
      <c r="O672" s="405">
        <v>367.15595440365433</v>
      </c>
      <c r="P672" s="406">
        <v>354.46841829709371</v>
      </c>
      <c r="Q672" s="406">
        <v>364.88341442746872</v>
      </c>
      <c r="R672" s="406">
        <v>377.88496705266681</v>
      </c>
      <c r="S672" s="405">
        <f t="shared" si="115"/>
        <v>343.54429506102571</v>
      </c>
      <c r="T672" s="406">
        <v>375.07635313896941</v>
      </c>
      <c r="U672" s="406">
        <v>389.82056037193769</v>
      </c>
      <c r="V672" s="405">
        <f t="shared" si="116"/>
        <v>355.16956513922332</v>
      </c>
      <c r="W672" s="406">
        <v>385.22324559154987</v>
      </c>
      <c r="X672" s="406">
        <v>403.91012360326675</v>
      </c>
      <c r="Y672" s="405">
        <f t="shared" si="117"/>
        <v>368.5858880405429</v>
      </c>
      <c r="Z672" s="406">
        <v>395.07523073597139</v>
      </c>
      <c r="AA672" s="406">
        <v>415.74445615107794</v>
      </c>
      <c r="AB672" s="442">
        <f t="shared" si="118"/>
        <v>375.57562268674513</v>
      </c>
      <c r="AC672" s="438">
        <f t="shared" si="119"/>
        <v>386.60479305589388</v>
      </c>
      <c r="AD672" s="410"/>
      <c r="AE672" s="411"/>
      <c r="AF672" s="411"/>
      <c r="AG672" s="411"/>
    </row>
    <row r="673" spans="1:33" ht="22.5" x14ac:dyDescent="0.2">
      <c r="A673" s="6" t="s">
        <v>590</v>
      </c>
      <c r="B673" s="18" t="str">
        <f>VLOOKUP(LEFT(A673,7),'Tariff Schedule Lookup Table'!$A$8:$G$186,2,FALSE)</f>
        <v>High Pressure Sodium 2x400</v>
      </c>
      <c r="C673" s="160">
        <f t="shared" si="110"/>
        <v>870</v>
      </c>
      <c r="D673" s="18">
        <f t="shared" si="111"/>
        <v>2</v>
      </c>
      <c r="E673" s="18" t="str">
        <f>VLOOKUP(C673,'Tariff Schedule Lookup Table'!I$7:L$286,2,FALSE)</f>
        <v>HIGH PRESSURE SODIUM 2X250 W OR 2X400 W FLOOD</v>
      </c>
      <c r="F673" s="18" t="str">
        <f>IF(E673 = "BULKHEADS ETC", "SHARED OR NO POLE", VLOOKUP(C673,'Tariff Schedule Lookup Table'!I$7:L$286,3,FALSE))</f>
        <v>R/BOUT COLUMN</v>
      </c>
      <c r="G673" s="18">
        <f>IF(E673 = "NO CAPITAL", 1, VLOOKUP(C673,'Tariff Schedule Lookup Table'!I$7:L$286,4,FALSE))</f>
        <v>4</v>
      </c>
      <c r="H673" s="18" t="str">
        <f t="shared" si="112"/>
        <v>2-Unmetered, Funded by Others, CE Maintained</v>
      </c>
      <c r="I673" s="123">
        <f>VLOOKUP(F673,'Maintenance Model'!$A$57:$B$61,2,FALSE)</f>
        <v>9.9616182311111103</v>
      </c>
      <c r="J673" s="123">
        <f>IF(D673=1,VLOOKUP(C673,'Capital Code Schedules'!A$15:F$300,2,FALSE),IF(D673=2,VLOOKUP(C673,'Capital Code Schedules'!A$15:F$300,3,FALSE),0))</f>
        <v>0</v>
      </c>
      <c r="K673" s="123">
        <v>0</v>
      </c>
      <c r="L673" s="123">
        <f>VLOOKUP(LEFT(A673,10),'Streetlight Tariff Schedule'!B$11:H$260,7, FALSE)+I673</f>
        <v>102.52079714413594</v>
      </c>
      <c r="M673" s="161">
        <f t="shared" si="113"/>
        <v>102.52079714413594</v>
      </c>
      <c r="N673" s="405">
        <f t="shared" si="114"/>
        <v>106.79269753873402</v>
      </c>
      <c r="O673" s="405">
        <v>67.878462310354024</v>
      </c>
      <c r="P673" s="406">
        <v>67.878462310354024</v>
      </c>
      <c r="Q673" s="406">
        <v>71.200357030057262</v>
      </c>
      <c r="R673" s="406">
        <v>71.200357030057262</v>
      </c>
      <c r="S673" s="405">
        <f t="shared" si="115"/>
        <v>112.01901065753714</v>
      </c>
      <c r="T673" s="406">
        <v>74.124640070971978</v>
      </c>
      <c r="U673" s="406">
        <v>74.395438963683787</v>
      </c>
      <c r="V673" s="405">
        <f t="shared" si="116"/>
        <v>117.04581013023531</v>
      </c>
      <c r="W673" s="406">
        <v>76.82297762511952</v>
      </c>
      <c r="X673" s="406">
        <v>77.792090579273108</v>
      </c>
      <c r="Y673" s="405">
        <f t="shared" si="117"/>
        <v>122.38973773675023</v>
      </c>
      <c r="Z673" s="406">
        <v>79.042056137371944</v>
      </c>
      <c r="AA673" s="406">
        <v>80.332059185900391</v>
      </c>
      <c r="AB673" s="442">
        <f t="shared" si="118"/>
        <v>125.04642013760566</v>
      </c>
      <c r="AC673" s="438">
        <f t="shared" si="119"/>
        <v>128.78519071257446</v>
      </c>
      <c r="AD673" s="410"/>
      <c r="AE673" s="411"/>
      <c r="AF673" s="411"/>
      <c r="AG673" s="411"/>
    </row>
    <row r="674" spans="1:33" x14ac:dyDescent="0.2">
      <c r="A674" s="6" t="s">
        <v>591</v>
      </c>
      <c r="B674" s="18" t="str">
        <f>VLOOKUP(LEFT(A674,7),'Tariff Schedule Lookup Table'!$A$8:$G$186,2,FALSE)</f>
        <v>High Pressure Sodium 600 (Internal Ignitor)</v>
      </c>
      <c r="C674" s="160">
        <f t="shared" si="110"/>
        <v>250</v>
      </c>
      <c r="D674" s="18">
        <f t="shared" si="111"/>
        <v>1</v>
      </c>
      <c r="E674" s="18" t="str">
        <f>VLOOKUP(C674,'Tariff Schedule Lookup Table'!I$7:L$286,2,FALSE)</f>
        <v>HIGH PRESSURE SODIUM 600W HIGH MAST</v>
      </c>
      <c r="F674" s="18" t="str">
        <f>IF(E674 = "BULKHEADS ETC", "SHARED OR NO POLE", VLOOKUP(C674,'Tariff Schedule Lookup Table'!I$7:L$286,3,FALSE))</f>
        <v>WOOD POLE</v>
      </c>
      <c r="G674" s="18">
        <f>IF(E674 = "NO CAPITAL", 1, VLOOKUP(C674,'Tariff Schedule Lookup Table'!I$7:L$286,4,FALSE))</f>
        <v>1</v>
      </c>
      <c r="H674" s="18" t="str">
        <f t="shared" si="112"/>
        <v>1-Unmetered, CE Funded, CE Maintained</v>
      </c>
      <c r="I674" s="123">
        <f>VLOOKUP(F674,'Maintenance Model'!$A$57:$B$61,2,FALSE)</f>
        <v>10.731618231111112</v>
      </c>
      <c r="J674" s="123">
        <f>IF(D674=1,VLOOKUP(C674,'Capital Code Schedules'!A$15:F$300,2,FALSE),IF(D674=2,VLOOKUP(C674,'Capital Code Schedules'!A$15:F$300,3,FALSE),0))</f>
        <v>171.86224006998557</v>
      </c>
      <c r="K674" s="123">
        <v>218.00222919480308</v>
      </c>
      <c r="L674" s="123">
        <f>VLOOKUP(LEFT(A674,10),'Streetlight Tariff Schedule'!B$11:H$260,7, FALSE)+I674</f>
        <v>124.42819229465258</v>
      </c>
      <c r="M674" s="161">
        <f t="shared" si="113"/>
        <v>342.43042148945563</v>
      </c>
      <c r="N674" s="405">
        <f t="shared" si="114"/>
        <v>305.72877417945358</v>
      </c>
      <c r="O674" s="405">
        <v>329.69093464243593</v>
      </c>
      <c r="P674" s="406">
        <v>319.80095979831452</v>
      </c>
      <c r="Q674" s="406">
        <v>330.04791668848117</v>
      </c>
      <c r="R674" s="406">
        <v>340.18266840999456</v>
      </c>
      <c r="S674" s="405">
        <f t="shared" si="115"/>
        <v>316.43075098623348</v>
      </c>
      <c r="T674" s="406">
        <v>339.86701778884952</v>
      </c>
      <c r="U674" s="406">
        <v>351.53368303012974</v>
      </c>
      <c r="V674" s="405">
        <f t="shared" si="116"/>
        <v>327.67524267744716</v>
      </c>
      <c r="W674" s="406">
        <v>349.50545586319322</v>
      </c>
      <c r="X674" s="406">
        <v>364.69287559971474</v>
      </c>
      <c r="Y674" s="405">
        <f t="shared" si="117"/>
        <v>340.45355776017828</v>
      </c>
      <c r="Z674" s="406">
        <v>358.60693759542238</v>
      </c>
      <c r="AA674" s="406">
        <v>375.54520703441364</v>
      </c>
      <c r="AB674" s="442">
        <f t="shared" si="118"/>
        <v>347.05556756260074</v>
      </c>
      <c r="AC674" s="438">
        <f t="shared" si="119"/>
        <v>357.27615591175334</v>
      </c>
      <c r="AD674" s="410"/>
      <c r="AE674" s="411"/>
      <c r="AF674" s="411"/>
      <c r="AG674" s="411"/>
    </row>
    <row r="675" spans="1:33" x14ac:dyDescent="0.2">
      <c r="A675" s="6" t="s">
        <v>592</v>
      </c>
      <c r="B675" s="18" t="str">
        <f>VLOOKUP(LEFT(A675,7),'Tariff Schedule Lookup Table'!$A$8:$G$186,2,FALSE)</f>
        <v>High Pressure Sodium 1000</v>
      </c>
      <c r="C675" s="160">
        <f t="shared" si="110"/>
        <v>120</v>
      </c>
      <c r="D675" s="18">
        <f t="shared" si="111"/>
        <v>1</v>
      </c>
      <c r="E675" s="18" t="str">
        <f>VLOOKUP(C675,'Tariff Schedule Lookup Table'!I$7:L$286,2,FALSE)</f>
        <v xml:space="preserve">METAL HALIDE 1000W FLOODLIGHT </v>
      </c>
      <c r="F675" s="18" t="str">
        <f>IF(E675 = "BULKHEADS ETC", "SHARED OR NO POLE", VLOOKUP(C675,'Tariff Schedule Lookup Table'!I$7:L$286,3,FALSE))</f>
        <v>SHARED OR NO POLE</v>
      </c>
      <c r="G675" s="18">
        <f>IF(E675 = "NO CAPITAL", 1, VLOOKUP(C675,'Tariff Schedule Lookup Table'!I$7:L$286,4,FALSE))</f>
        <v>1</v>
      </c>
      <c r="H675" s="18" t="str">
        <f t="shared" si="112"/>
        <v>1-Unmetered, CE Funded, CE Maintained</v>
      </c>
      <c r="I675" s="123">
        <f>VLOOKUP(F675,'Maintenance Model'!$A$57:$B$61,2,FALSE)</f>
        <v>0</v>
      </c>
      <c r="J675" s="123">
        <f>IF(D675=1,VLOOKUP(C675,'Capital Code Schedules'!A$15:F$300,2,FALSE),IF(D675=2,VLOOKUP(C675,'Capital Code Schedules'!A$15:F$300,3,FALSE),0))</f>
        <v>60.355285078550516</v>
      </c>
      <c r="K675" s="123">
        <v>76.558915358334843</v>
      </c>
      <c r="L675" s="123">
        <f>VLOOKUP(LEFT(A675,10),'Streetlight Tariff Schedule'!B$11:H$260,7, FALSE)+I675</f>
        <v>191.43332361993816</v>
      </c>
      <c r="M675" s="161">
        <f t="shared" si="113"/>
        <v>267.99223897827301</v>
      </c>
      <c r="N675" s="405">
        <f t="shared" si="114"/>
        <v>261.25916490002231</v>
      </c>
      <c r="O675" s="405">
        <v>239.07053895080617</v>
      </c>
      <c r="P675" s="406">
        <v>235.59733709510147</v>
      </c>
      <c r="Q675" s="406">
        <v>245.22949581271843</v>
      </c>
      <c r="R675" s="406">
        <v>248.78865941435183</v>
      </c>
      <c r="S675" s="405">
        <f t="shared" si="115"/>
        <v>272.54883235396971</v>
      </c>
      <c r="T675" s="406">
        <v>253.98921233241177</v>
      </c>
      <c r="U675" s="406">
        <v>258.57821431999133</v>
      </c>
      <c r="V675" s="405">
        <f t="shared" si="116"/>
        <v>283.74151613313808</v>
      </c>
      <c r="W675" s="406">
        <v>262.27509583431129</v>
      </c>
      <c r="X675" s="406">
        <v>269.36888558044075</v>
      </c>
      <c r="Y675" s="405">
        <f t="shared" si="117"/>
        <v>295.9298472309967</v>
      </c>
      <c r="Z675" s="406">
        <v>269.50192584133566</v>
      </c>
      <c r="AA675" s="406">
        <v>277.79342202657392</v>
      </c>
      <c r="AB675" s="442">
        <f t="shared" si="118"/>
        <v>302.07674206303176</v>
      </c>
      <c r="AC675" s="438">
        <f t="shared" si="119"/>
        <v>311.05375173883715</v>
      </c>
      <c r="AD675" s="410"/>
      <c r="AE675" s="411"/>
      <c r="AF675" s="411"/>
      <c r="AG675" s="411"/>
    </row>
    <row r="676" spans="1:33" x14ac:dyDescent="0.2">
      <c r="A676" s="6" t="s">
        <v>593</v>
      </c>
      <c r="B676" s="18" t="str">
        <f>VLOOKUP(LEFT(A676,7),'Tariff Schedule Lookup Table'!$A$8:$G$186,2,FALSE)</f>
        <v>High Pressure Sodium 1000</v>
      </c>
      <c r="C676" s="160">
        <f t="shared" si="110"/>
        <v>120</v>
      </c>
      <c r="D676" s="18">
        <f t="shared" si="111"/>
        <v>2</v>
      </c>
      <c r="E676" s="18" t="str">
        <f>VLOOKUP(C676,'Tariff Schedule Lookup Table'!I$7:L$286,2,FALSE)</f>
        <v xml:space="preserve">METAL HALIDE 1000W FLOODLIGHT </v>
      </c>
      <c r="F676" s="18" t="str">
        <f>IF(E676 = "BULKHEADS ETC", "SHARED OR NO POLE", VLOOKUP(C676,'Tariff Schedule Lookup Table'!I$7:L$286,3,FALSE))</f>
        <v>SHARED OR NO POLE</v>
      </c>
      <c r="G676" s="18">
        <f>IF(E676 = "NO CAPITAL", 1, VLOOKUP(C676,'Tariff Schedule Lookup Table'!I$7:L$286,4,FALSE))</f>
        <v>1</v>
      </c>
      <c r="H676" s="18" t="str">
        <f t="shared" si="112"/>
        <v>2-Unmetered, Funded by Others, CE Maintained</v>
      </c>
      <c r="I676" s="123">
        <f>VLOOKUP(F676,'Maintenance Model'!$A$57:$B$61,2,FALSE)</f>
        <v>0</v>
      </c>
      <c r="J676" s="123">
        <f>IF(D676=1,VLOOKUP(C676,'Capital Code Schedules'!A$15:F$300,2,FALSE),IF(D676=2,VLOOKUP(C676,'Capital Code Schedules'!A$15:F$300,3,FALSE),0))</f>
        <v>0</v>
      </c>
      <c r="K676" s="123">
        <v>0</v>
      </c>
      <c r="L676" s="123">
        <f>VLOOKUP(LEFT(A676,10),'Streetlight Tariff Schedule'!B$11:H$260,7, FALSE)+I676</f>
        <v>191.43332361993816</v>
      </c>
      <c r="M676" s="161">
        <f t="shared" si="113"/>
        <v>191.43332361993816</v>
      </c>
      <c r="N676" s="405">
        <f t="shared" si="114"/>
        <v>199.41008651577769</v>
      </c>
      <c r="O676" s="405">
        <v>157.14358858164783</v>
      </c>
      <c r="P676" s="406">
        <v>157.14358858164783</v>
      </c>
      <c r="Q676" s="406">
        <v>164.83401702355681</v>
      </c>
      <c r="R676" s="406">
        <v>164.83401702355681</v>
      </c>
      <c r="S676" s="405">
        <f t="shared" si="115"/>
        <v>209.16898927971499</v>
      </c>
      <c r="T676" s="406">
        <v>171.60394544321841</v>
      </c>
      <c r="U676" s="406">
        <v>172.23086462105871</v>
      </c>
      <c r="V676" s="405">
        <f t="shared" si="116"/>
        <v>218.55534753126719</v>
      </c>
      <c r="W676" s="406">
        <v>177.85079358961039</v>
      </c>
      <c r="X676" s="406">
        <v>180.09436072671426</v>
      </c>
      <c r="Y676" s="405">
        <f t="shared" si="117"/>
        <v>228.53386751352238</v>
      </c>
      <c r="Z676" s="406">
        <v>182.98812211607844</v>
      </c>
      <c r="AA676" s="406">
        <v>185.97457321451623</v>
      </c>
      <c r="AB676" s="442">
        <f t="shared" si="118"/>
        <v>233.49459310252979</v>
      </c>
      <c r="AC676" s="438">
        <f t="shared" si="119"/>
        <v>240.47586224358463</v>
      </c>
      <c r="AD676" s="410"/>
      <c r="AE676" s="411"/>
      <c r="AF676" s="411"/>
      <c r="AG676" s="411"/>
    </row>
    <row r="677" spans="1:33" x14ac:dyDescent="0.2">
      <c r="A677" s="6" t="s">
        <v>594</v>
      </c>
      <c r="B677" s="18" t="str">
        <f>VLOOKUP(LEFT(A677,7),'Tariff Schedule Lookup Table'!$A$8:$G$186,2,FALSE)</f>
        <v>High Pressure Sodium 1000</v>
      </c>
      <c r="C677" s="160">
        <f t="shared" si="110"/>
        <v>850</v>
      </c>
      <c r="D677" s="18">
        <f t="shared" si="111"/>
        <v>1</v>
      </c>
      <c r="E677" s="18" t="str">
        <f>VLOOKUP(C677,'Tariff Schedule Lookup Table'!I$7:L$286,2,FALSE)</f>
        <v xml:space="preserve">METAL HALIDE 1000W FLOODLIGHT </v>
      </c>
      <c r="F677" s="18" t="str">
        <f>IF(E677 = "BULKHEADS ETC", "SHARED OR NO POLE", VLOOKUP(C677,'Tariff Schedule Lookup Table'!I$7:L$286,3,FALSE))</f>
        <v>R/BOUT COLUMN</v>
      </c>
      <c r="G677" s="18">
        <f>IF(E677 = "NO CAPITAL", 1, VLOOKUP(C677,'Tariff Schedule Lookup Table'!I$7:L$286,4,FALSE))</f>
        <v>2</v>
      </c>
      <c r="H677" s="18" t="str">
        <f t="shared" si="112"/>
        <v>1-Unmetered, CE Funded, CE Maintained</v>
      </c>
      <c r="I677" s="123">
        <f>VLOOKUP(F677,'Maintenance Model'!$A$57:$B$61,2,FALSE)</f>
        <v>9.9616182311111103</v>
      </c>
      <c r="J677" s="123">
        <f>IF(D677=1,VLOOKUP(C677,'Capital Code Schedules'!A$15:F$300,2,FALSE),IF(D677=2,VLOOKUP(C677,'Capital Code Schedules'!A$15:F$300,3,FALSE),0))</f>
        <v>180.03286907655911</v>
      </c>
      <c r="K677" s="123">
        <v>228.36643331917276</v>
      </c>
      <c r="L677" s="123">
        <f>VLOOKUP(LEFT(A677,10),'Streetlight Tariff Schedule'!B$11:H$260,7, FALSE)+I677</f>
        <v>201.39494185104928</v>
      </c>
      <c r="M677" s="161">
        <f t="shared" si="113"/>
        <v>429.76137517022204</v>
      </c>
      <c r="N677" s="405">
        <f t="shared" si="114"/>
        <v>394.27547424265407</v>
      </c>
      <c r="O677" s="405">
        <v>411.11636776501138</v>
      </c>
      <c r="P677" s="406">
        <v>400.75620636156924</v>
      </c>
      <c r="Q677" s="406">
        <v>414.70811782580563</v>
      </c>
      <c r="R677" s="406">
        <v>425.32469322398299</v>
      </c>
      <c r="S677" s="405">
        <f t="shared" si="115"/>
        <v>409.10829604453994</v>
      </c>
      <c r="T677" s="406">
        <v>427.82668077651118</v>
      </c>
      <c r="U677" s="406">
        <v>440.31031238534587</v>
      </c>
      <c r="V677" s="405">
        <f t="shared" si="116"/>
        <v>424.37115349481502</v>
      </c>
      <c r="W677" s="406">
        <v>440.53712663694301</v>
      </c>
      <c r="X677" s="406">
        <v>457.38532650302159</v>
      </c>
      <c r="Y677" s="405">
        <f t="shared" si="117"/>
        <v>441.46053807476039</v>
      </c>
      <c r="Z677" s="406">
        <v>452.22084782321531</v>
      </c>
      <c r="AA677" s="406">
        <v>471.21397018168489</v>
      </c>
      <c r="AB677" s="442">
        <f t="shared" si="118"/>
        <v>450.21761133793666</v>
      </c>
      <c r="AC677" s="438">
        <f t="shared" si="119"/>
        <v>463.51522919233361</v>
      </c>
      <c r="AD677" s="410"/>
      <c r="AE677" s="411"/>
      <c r="AF677" s="411"/>
      <c r="AG677" s="411"/>
    </row>
    <row r="678" spans="1:33" x14ac:dyDescent="0.2">
      <c r="A678" s="6" t="s">
        <v>595</v>
      </c>
      <c r="B678" s="18" t="str">
        <f>VLOOKUP(LEFT(A678,7),'Tariff Schedule Lookup Table'!$A$8:$G$186,2,FALSE)</f>
        <v>High Pressure Sodium 1000</v>
      </c>
      <c r="C678" s="160">
        <f t="shared" si="110"/>
        <v>1050</v>
      </c>
      <c r="D678" s="18">
        <f t="shared" si="111"/>
        <v>1</v>
      </c>
      <c r="E678" s="18" t="str">
        <f>VLOOKUP(C678,'Tariff Schedule Lookup Table'!I$7:L$286,2,FALSE)</f>
        <v xml:space="preserve">METAL HALIDE 1000W FLOODLIGHT </v>
      </c>
      <c r="F678" s="18" t="str">
        <f>IF(E678 = "BULKHEADS ETC", "SHARED OR NO POLE", VLOOKUP(C678,'Tariff Schedule Lookup Table'!I$7:L$286,3,FALSE))</f>
        <v>R/BOUT COLUMN</v>
      </c>
      <c r="G678" s="18">
        <f>IF(E678 = "NO CAPITAL", 1, VLOOKUP(C678,'Tariff Schedule Lookup Table'!I$7:L$286,4,FALSE))</f>
        <v>4</v>
      </c>
      <c r="H678" s="18" t="str">
        <f t="shared" si="112"/>
        <v>1-Unmetered, CE Funded, CE Maintained</v>
      </c>
      <c r="I678" s="123">
        <f>VLOOKUP(F678,'Maintenance Model'!$A$57:$B$61,2,FALSE)</f>
        <v>9.9616182311111103</v>
      </c>
      <c r="J678" s="123">
        <f>IF(D678=1,VLOOKUP(C678,'Capital Code Schedules'!A$15:F$300,2,FALSE),IF(D678=2,VLOOKUP(C678,'Capital Code Schedules'!A$15:F$300,3,FALSE),0))</f>
        <v>220.47663524022317</v>
      </c>
      <c r="K678" s="123">
        <v>279.66816880872375</v>
      </c>
      <c r="L678" s="123">
        <f>VLOOKUP(LEFT(A678,10),'Streetlight Tariff Schedule'!B$11:H$260,7, FALSE)+I678</f>
        <v>201.39494185104928</v>
      </c>
      <c r="M678" s="161">
        <f t="shared" si="113"/>
        <v>481.06311065977303</v>
      </c>
      <c r="N678" s="405">
        <f t="shared" si="114"/>
        <v>435.72022361886877</v>
      </c>
      <c r="O678" s="405">
        <v>466.01519591104733</v>
      </c>
      <c r="P678" s="406">
        <v>453.32765980448664</v>
      </c>
      <c r="Q678" s="406">
        <v>468.58071474143526</v>
      </c>
      <c r="R678" s="406">
        <v>481.58226736663329</v>
      </c>
      <c r="S678" s="405">
        <f t="shared" si="115"/>
        <v>451.57880296781599</v>
      </c>
      <c r="T678" s="406">
        <v>483.0326244658026</v>
      </c>
      <c r="U678" s="406">
        <v>498.17122739106173</v>
      </c>
      <c r="V678" s="405">
        <f t="shared" si="116"/>
        <v>468.05206986540446</v>
      </c>
      <c r="W678" s="406">
        <v>497.10941743254438</v>
      </c>
      <c r="X678" s="406">
        <v>517.20772652743119</v>
      </c>
      <c r="Y678" s="405">
        <f t="shared" si="117"/>
        <v>486.6222375103128</v>
      </c>
      <c r="Z678" s="406">
        <v>510.19330281600782</v>
      </c>
      <c r="AA678" s="406">
        <v>532.7413086067902</v>
      </c>
      <c r="AB678" s="442">
        <f t="shared" si="118"/>
        <v>496.17415668355483</v>
      </c>
      <c r="AC678" s="438">
        <f t="shared" si="119"/>
        <v>510.80911000750922</v>
      </c>
      <c r="AD678" s="410"/>
      <c r="AE678" s="411"/>
      <c r="AF678" s="411"/>
      <c r="AG678" s="411"/>
    </row>
    <row r="679" spans="1:33" x14ac:dyDescent="0.2">
      <c r="A679" s="6" t="s">
        <v>596</v>
      </c>
      <c r="B679" s="18" t="str">
        <f>VLOOKUP(LEFT(A679,7),'Tariff Schedule Lookup Table'!$A$8:$G$186,2,FALSE)</f>
        <v>High Pressure Sodium 1000</v>
      </c>
      <c r="C679" s="160">
        <f t="shared" si="110"/>
        <v>1050</v>
      </c>
      <c r="D679" s="18">
        <f t="shared" si="111"/>
        <v>2</v>
      </c>
      <c r="E679" s="18" t="str">
        <f>VLOOKUP(C679,'Tariff Schedule Lookup Table'!I$7:L$286,2,FALSE)</f>
        <v xml:space="preserve">METAL HALIDE 1000W FLOODLIGHT </v>
      </c>
      <c r="F679" s="18" t="str">
        <f>IF(E679 = "BULKHEADS ETC", "SHARED OR NO POLE", VLOOKUP(C679,'Tariff Schedule Lookup Table'!I$7:L$286,3,FALSE))</f>
        <v>R/BOUT COLUMN</v>
      </c>
      <c r="G679" s="18">
        <f>IF(E679 = "NO CAPITAL", 1, VLOOKUP(C679,'Tariff Schedule Lookup Table'!I$7:L$286,4,FALSE))</f>
        <v>4</v>
      </c>
      <c r="H679" s="18" t="str">
        <f t="shared" si="112"/>
        <v>2-Unmetered, Funded by Others, CE Maintained</v>
      </c>
      <c r="I679" s="123">
        <f>VLOOKUP(F679,'Maintenance Model'!$A$57:$B$61,2,FALSE)</f>
        <v>9.9616182311111103</v>
      </c>
      <c r="J679" s="123">
        <f>IF(D679=1,VLOOKUP(C679,'Capital Code Schedules'!A$15:F$300,2,FALSE),IF(D679=2,VLOOKUP(C679,'Capital Code Schedules'!A$15:F$300,3,FALSE),0))</f>
        <v>0</v>
      </c>
      <c r="K679" s="123">
        <v>0</v>
      </c>
      <c r="L679" s="123">
        <f>VLOOKUP(LEFT(A679,10),'Streetlight Tariff Schedule'!B$11:H$260,7, FALSE)+I679</f>
        <v>201.39494185104928</v>
      </c>
      <c r="M679" s="161">
        <f t="shared" si="113"/>
        <v>201.39494185104928</v>
      </c>
      <c r="N679" s="405">
        <f t="shared" si="114"/>
        <v>209.78679165645011</v>
      </c>
      <c r="O679" s="405">
        <v>166.73770381774699</v>
      </c>
      <c r="P679" s="406">
        <v>166.73770381774699</v>
      </c>
      <c r="Q679" s="406">
        <v>174.89765734402374</v>
      </c>
      <c r="R679" s="406">
        <v>174.89765734402374</v>
      </c>
      <c r="S679" s="405">
        <f t="shared" si="115"/>
        <v>220.05351856432739</v>
      </c>
      <c r="T679" s="406">
        <v>182.08091139780515</v>
      </c>
      <c r="U679" s="406">
        <v>182.74610598280782</v>
      </c>
      <c r="V679" s="405">
        <f t="shared" si="116"/>
        <v>229.92831485641653</v>
      </c>
      <c r="W679" s="406">
        <v>188.70914946611401</v>
      </c>
      <c r="X679" s="406">
        <v>191.08969350343753</v>
      </c>
      <c r="Y679" s="405">
        <f t="shared" si="117"/>
        <v>240.42608720652009</v>
      </c>
      <c r="Z679" s="406">
        <v>194.16012821740833</v>
      </c>
      <c r="AA679" s="406">
        <v>197.32891164161262</v>
      </c>
      <c r="AB679" s="442">
        <f t="shared" si="118"/>
        <v>245.64495413441534</v>
      </c>
      <c r="AC679" s="438">
        <f t="shared" si="119"/>
        <v>252.98950766418977</v>
      </c>
      <c r="AD679" s="410"/>
      <c r="AE679" s="411"/>
      <c r="AF679" s="411"/>
      <c r="AG679" s="411"/>
    </row>
    <row r="680" spans="1:33" x14ac:dyDescent="0.2">
      <c r="A680" s="6" t="s">
        <v>597</v>
      </c>
      <c r="B680" s="18" t="str">
        <f>VLOOKUP(LEFT(A680,7),'Tariff Schedule Lookup Table'!$A$8:$G$186,2,FALSE)</f>
        <v>Incandescent 30</v>
      </c>
      <c r="C680" s="160">
        <f t="shared" si="110"/>
        <v>10</v>
      </c>
      <c r="D680" s="18">
        <f t="shared" si="111"/>
        <v>2</v>
      </c>
      <c r="E680" s="18" t="str">
        <f>VLOOKUP(C680,'Tariff Schedule Lookup Table'!I$7:L$286,2,FALSE)</f>
        <v>MERCURY VAPOUR 80W</v>
      </c>
      <c r="F680" s="18" t="str">
        <f>IF(E680 = "BULKHEADS ETC", "SHARED OR NO POLE", VLOOKUP(C680,'Tariff Schedule Lookup Table'!I$7:L$286,3,FALSE))</f>
        <v>SHARED OR NO POLE</v>
      </c>
      <c r="G680" s="18">
        <f>IF(E680 = "NO CAPITAL", 1, VLOOKUP(C680,'Tariff Schedule Lookup Table'!I$7:L$286,4,FALSE))</f>
        <v>1</v>
      </c>
      <c r="H680" s="18" t="str">
        <f t="shared" si="112"/>
        <v>2-Unmetered, Funded by Others, CE Maintained</v>
      </c>
      <c r="I680" s="123">
        <f>VLOOKUP(F680,'Maintenance Model'!$A$57:$B$61,2,FALSE)</f>
        <v>0</v>
      </c>
      <c r="J680" s="123">
        <f>IF(D680=1,VLOOKUP(C680,'Capital Code Schedules'!A$15:F$300,2,FALSE),IF(D680=2,VLOOKUP(C680,'Capital Code Schedules'!A$15:F$300,3,FALSE),0))</f>
        <v>0</v>
      </c>
      <c r="K680" s="123">
        <v>0</v>
      </c>
      <c r="L680" s="123">
        <f>VLOOKUP(LEFT(A680,10),'Streetlight Tariff Schedule'!B$11:H$260,7, FALSE)+I680</f>
        <v>18.153005213350784</v>
      </c>
      <c r="M680" s="161">
        <f t="shared" si="113"/>
        <v>18.153005213350784</v>
      </c>
      <c r="N680" s="405">
        <f t="shared" si="114"/>
        <v>18.909415934826431</v>
      </c>
      <c r="O680" s="405">
        <v>63.288490110653221</v>
      </c>
      <c r="P680" s="406">
        <v>63.288490110653221</v>
      </c>
      <c r="Q680" s="406">
        <v>66.385756812944152</v>
      </c>
      <c r="R680" s="406">
        <v>66.385756812944152</v>
      </c>
      <c r="S680" s="405">
        <f t="shared" si="115"/>
        <v>19.834821237312056</v>
      </c>
      <c r="T680" s="406">
        <v>69.112298517284614</v>
      </c>
      <c r="U680" s="406">
        <v>69.364785866880226</v>
      </c>
      <c r="V680" s="405">
        <f t="shared" si="116"/>
        <v>20.724899344157702</v>
      </c>
      <c r="W680" s="406">
        <v>71.628173270458291</v>
      </c>
      <c r="X680" s="406">
        <v>72.53175437008052</v>
      </c>
      <c r="Y680" s="405">
        <f t="shared" si="117"/>
        <v>21.671130239772459</v>
      </c>
      <c r="Z680" s="406">
        <v>73.69719669404914</v>
      </c>
      <c r="AA680" s="406">
        <v>74.899969155308199</v>
      </c>
      <c r="AB680" s="442">
        <f t="shared" si="118"/>
        <v>22.141539862174664</v>
      </c>
      <c r="AC680" s="438">
        <f t="shared" si="119"/>
        <v>22.803551118715241</v>
      </c>
      <c r="AD680" s="410"/>
      <c r="AE680" s="411"/>
      <c r="AF680" s="411"/>
      <c r="AG680" s="411"/>
    </row>
    <row r="681" spans="1:33" x14ac:dyDescent="0.2">
      <c r="A681" s="6" t="s">
        <v>598</v>
      </c>
      <c r="B681" s="18" t="str">
        <f>VLOOKUP(LEFT(A681,7),'Tariff Schedule Lookup Table'!$A$8:$G$186,2,FALSE)</f>
        <v>Incandescent 30</v>
      </c>
      <c r="C681" s="160">
        <f t="shared" si="110"/>
        <v>810</v>
      </c>
      <c r="D681" s="18">
        <f t="shared" si="111"/>
        <v>1</v>
      </c>
      <c r="E681" s="18" t="str">
        <f>VLOOKUP(C681,'Tariff Schedule Lookup Table'!I$7:L$286,2,FALSE)</f>
        <v>MERCURY VAPOUR 80W</v>
      </c>
      <c r="F681" s="18" t="str">
        <f>IF(E681 = "BULKHEADS ETC", "SHARED OR NO POLE", VLOOKUP(C681,'Tariff Schedule Lookup Table'!I$7:L$286,3,FALSE))</f>
        <v>WOOD POLE</v>
      </c>
      <c r="G681" s="18">
        <f>IF(E681 = "NO CAPITAL", 1, VLOOKUP(C681,'Tariff Schedule Lookup Table'!I$7:L$286,4,FALSE))</f>
        <v>1</v>
      </c>
      <c r="H681" s="18" t="str">
        <f t="shared" si="112"/>
        <v>1-Unmetered, CE Funded, CE Maintained</v>
      </c>
      <c r="I681" s="123">
        <f>VLOOKUP(F681,'Maintenance Model'!$A$57:$B$61,2,FALSE)</f>
        <v>10.731618231111112</v>
      </c>
      <c r="J681" s="123">
        <f>IF(D681=1,VLOOKUP(C681,'Capital Code Schedules'!A$15:F$300,2,FALSE),IF(D681=2,VLOOKUP(C681,'Capital Code Schedules'!A$15:F$300,3,FALSE),0))</f>
        <v>51.156145528662286</v>
      </c>
      <c r="K681" s="123">
        <v>64.890075665956445</v>
      </c>
      <c r="L681" s="123">
        <f>VLOOKUP(LEFT(A681,10),'Streetlight Tariff Schedule'!B$11:H$260,7, FALSE)+I681</f>
        <v>28.884623444461894</v>
      </c>
      <c r="M681" s="161">
        <f t="shared" si="113"/>
        <v>93.774699110418339</v>
      </c>
      <c r="N681" s="405">
        <f t="shared" si="114"/>
        <v>82.510466045320513</v>
      </c>
      <c r="O681" s="405">
        <v>143.12462391101323</v>
      </c>
      <c r="P681" s="406">
        <v>140.18079522476629</v>
      </c>
      <c r="Q681" s="406">
        <v>145.43261873063193</v>
      </c>
      <c r="R681" s="406">
        <v>148.4493071768635</v>
      </c>
      <c r="S681" s="405">
        <f t="shared" si="115"/>
        <v>85.280399549475362</v>
      </c>
      <c r="T681" s="406">
        <v>150.29355243615919</v>
      </c>
      <c r="U681" s="406">
        <v>153.94571121459447</v>
      </c>
      <c r="V681" s="405">
        <f t="shared" si="116"/>
        <v>88.227682100417425</v>
      </c>
      <c r="W681" s="406">
        <v>154.95095475943245</v>
      </c>
      <c r="X681" s="406">
        <v>160.11393306410403</v>
      </c>
      <c r="Y681" s="405">
        <f t="shared" si="117"/>
        <v>91.606301351206184</v>
      </c>
      <c r="Z681" s="406">
        <v>159.13087715506927</v>
      </c>
      <c r="AA681" s="406">
        <v>165.02769408078854</v>
      </c>
      <c r="AB681" s="442">
        <f t="shared" si="118"/>
        <v>93.360183293683875</v>
      </c>
      <c r="AC681" s="438">
        <f t="shared" si="119"/>
        <v>96.105116421155387</v>
      </c>
      <c r="AD681" s="410"/>
      <c r="AE681" s="411"/>
      <c r="AF681" s="411"/>
      <c r="AG681" s="411"/>
    </row>
    <row r="682" spans="1:33" x14ac:dyDescent="0.2">
      <c r="A682" s="6" t="s">
        <v>601</v>
      </c>
      <c r="B682" s="18" t="str">
        <f>VLOOKUP(LEFT(A682,7),'Tariff Schedule Lookup Table'!$A$8:$G$186,2,FALSE)</f>
        <v>Incandescent 40</v>
      </c>
      <c r="C682" s="160">
        <f t="shared" si="110"/>
        <v>10</v>
      </c>
      <c r="D682" s="18">
        <f t="shared" si="111"/>
        <v>1</v>
      </c>
      <c r="E682" s="18" t="str">
        <f>VLOOKUP(C682,'Tariff Schedule Lookup Table'!I$7:L$286,2,FALSE)</f>
        <v>MERCURY VAPOUR 80W</v>
      </c>
      <c r="F682" s="18" t="str">
        <f>IF(E682 = "BULKHEADS ETC", "SHARED OR NO POLE", VLOOKUP(C682,'Tariff Schedule Lookup Table'!I$7:L$286,3,FALSE))</f>
        <v>SHARED OR NO POLE</v>
      </c>
      <c r="G682" s="18">
        <f>IF(E682 = "NO CAPITAL", 1, VLOOKUP(C682,'Tariff Schedule Lookup Table'!I$7:L$286,4,FALSE))</f>
        <v>1</v>
      </c>
      <c r="H682" s="18" t="str">
        <f t="shared" si="112"/>
        <v>1-Unmetered, CE Funded, CE Maintained</v>
      </c>
      <c r="I682" s="123">
        <f>VLOOKUP(F682,'Maintenance Model'!$A$57:$B$61,2,FALSE)</f>
        <v>0</v>
      </c>
      <c r="J682" s="123">
        <f>IF(D682=1,VLOOKUP(C682,'Capital Code Schedules'!A$15:F$300,2,FALSE),IF(D682=2,VLOOKUP(C682,'Capital Code Schedules'!A$15:F$300,3,FALSE),0))</f>
        <v>17.255027166785979</v>
      </c>
      <c r="K682" s="123">
        <v>21.887497717034414</v>
      </c>
      <c r="L682" s="123">
        <f>VLOOKUP(LEFT(A682,10),'Streetlight Tariff Schedule'!B$11:H$260,7, FALSE)+I682</f>
        <v>18.153005213350784</v>
      </c>
      <c r="M682" s="161">
        <f t="shared" si="113"/>
        <v>40.040502930385202</v>
      </c>
      <c r="N682" s="405">
        <f t="shared" si="114"/>
        <v>36.591505023990358</v>
      </c>
      <c r="O682" s="405">
        <v>86.710660223377076</v>
      </c>
      <c r="P682" s="406">
        <v>85.717703396184234</v>
      </c>
      <c r="Q682" s="406">
        <v>89.370093127292051</v>
      </c>
      <c r="R682" s="406">
        <v>90.387625635957917</v>
      </c>
      <c r="S682" s="405">
        <f t="shared" si="115"/>
        <v>37.954542031432794</v>
      </c>
      <c r="T682" s="406">
        <v>92.665497155412623</v>
      </c>
      <c r="U682" s="406">
        <v>94.050707951349878</v>
      </c>
      <c r="V682" s="405">
        <f t="shared" si="116"/>
        <v>39.361032180910875</v>
      </c>
      <c r="W682" s="406">
        <v>95.764313574879978</v>
      </c>
      <c r="X682" s="406">
        <v>98.054529213213698</v>
      </c>
      <c r="Y682" s="405">
        <f t="shared" si="117"/>
        <v>40.939027979691566</v>
      </c>
      <c r="Z682" s="406">
        <v>98.430706471005252</v>
      </c>
      <c r="AA682" s="406">
        <v>101.15014308147067</v>
      </c>
      <c r="AB682" s="442">
        <f t="shared" si="118"/>
        <v>41.748552602316352</v>
      </c>
      <c r="AC682" s="438">
        <f t="shared" si="119"/>
        <v>42.981127929595047</v>
      </c>
      <c r="AD682" s="410"/>
      <c r="AE682" s="411"/>
      <c r="AF682" s="411"/>
      <c r="AG682" s="411"/>
    </row>
    <row r="683" spans="1:33" x14ac:dyDescent="0.2">
      <c r="A683" s="6" t="s">
        <v>602</v>
      </c>
      <c r="B683" s="18" t="str">
        <f>VLOOKUP(LEFT(A683,7),'Tariff Schedule Lookup Table'!$A$8:$G$186,2,FALSE)</f>
        <v>Incandescent 40</v>
      </c>
      <c r="C683" s="160">
        <f t="shared" si="110"/>
        <v>10</v>
      </c>
      <c r="D683" s="18">
        <f t="shared" si="111"/>
        <v>2</v>
      </c>
      <c r="E683" s="18" t="str">
        <f>VLOOKUP(C683,'Tariff Schedule Lookup Table'!I$7:L$286,2,FALSE)</f>
        <v>MERCURY VAPOUR 80W</v>
      </c>
      <c r="F683" s="18" t="str">
        <f>IF(E683 = "BULKHEADS ETC", "SHARED OR NO POLE", VLOOKUP(C683,'Tariff Schedule Lookup Table'!I$7:L$286,3,FALSE))</f>
        <v>SHARED OR NO POLE</v>
      </c>
      <c r="G683" s="18">
        <f>IF(E683 = "NO CAPITAL", 1, VLOOKUP(C683,'Tariff Schedule Lookup Table'!I$7:L$286,4,FALSE))</f>
        <v>1</v>
      </c>
      <c r="H683" s="18" t="str">
        <f t="shared" si="112"/>
        <v>2-Unmetered, Funded by Others, CE Maintained</v>
      </c>
      <c r="I683" s="123">
        <f>VLOOKUP(F683,'Maintenance Model'!$A$57:$B$61,2,FALSE)</f>
        <v>0</v>
      </c>
      <c r="J683" s="123">
        <f>IF(D683=1,VLOOKUP(C683,'Capital Code Schedules'!A$15:F$300,2,FALSE),IF(D683=2,VLOOKUP(C683,'Capital Code Schedules'!A$15:F$300,3,FALSE),0))</f>
        <v>0</v>
      </c>
      <c r="K683" s="123">
        <v>0</v>
      </c>
      <c r="L683" s="123">
        <f>VLOOKUP(LEFT(A683,10),'Streetlight Tariff Schedule'!B$11:H$260,7, FALSE)+I683</f>
        <v>18.153005213350784</v>
      </c>
      <c r="M683" s="161">
        <f t="shared" si="113"/>
        <v>18.153005213350784</v>
      </c>
      <c r="N683" s="405">
        <f t="shared" si="114"/>
        <v>18.909415934826431</v>
      </c>
      <c r="O683" s="405">
        <v>63.288490110653221</v>
      </c>
      <c r="P683" s="406">
        <v>63.288490110653221</v>
      </c>
      <c r="Q683" s="406">
        <v>66.385756812944152</v>
      </c>
      <c r="R683" s="406">
        <v>66.385756812944152</v>
      </c>
      <c r="S683" s="405">
        <f t="shared" si="115"/>
        <v>19.834821237312056</v>
      </c>
      <c r="T683" s="406">
        <v>69.112298517284614</v>
      </c>
      <c r="U683" s="406">
        <v>69.364785866880226</v>
      </c>
      <c r="V683" s="405">
        <f t="shared" si="116"/>
        <v>20.724899344157702</v>
      </c>
      <c r="W683" s="406">
        <v>71.628173270458291</v>
      </c>
      <c r="X683" s="406">
        <v>72.53175437008052</v>
      </c>
      <c r="Y683" s="405">
        <f t="shared" si="117"/>
        <v>21.671130239772459</v>
      </c>
      <c r="Z683" s="406">
        <v>73.69719669404914</v>
      </c>
      <c r="AA683" s="406">
        <v>74.899969155308199</v>
      </c>
      <c r="AB683" s="442">
        <f t="shared" si="118"/>
        <v>22.141539862174664</v>
      </c>
      <c r="AC683" s="438">
        <f t="shared" si="119"/>
        <v>22.803551118715241</v>
      </c>
      <c r="AD683" s="410"/>
      <c r="AE683" s="411"/>
      <c r="AF683" s="411"/>
      <c r="AG683" s="411"/>
    </row>
    <row r="684" spans="1:33" x14ac:dyDescent="0.2">
      <c r="A684" s="6" t="s">
        <v>603</v>
      </c>
      <c r="B684" s="18" t="str">
        <f>VLOOKUP(LEFT(A684,7),'Tariff Schedule Lookup Table'!$A$8:$G$186,2,FALSE)</f>
        <v>Incandescent 40</v>
      </c>
      <c r="C684" s="160">
        <f t="shared" si="110"/>
        <v>810</v>
      </c>
      <c r="D684" s="18">
        <f t="shared" si="111"/>
        <v>1</v>
      </c>
      <c r="E684" s="18" t="str">
        <f>VLOOKUP(C684,'Tariff Schedule Lookup Table'!I$7:L$286,2,FALSE)</f>
        <v>MERCURY VAPOUR 80W</v>
      </c>
      <c r="F684" s="18" t="str">
        <f>IF(E684 = "BULKHEADS ETC", "SHARED OR NO POLE", VLOOKUP(C684,'Tariff Schedule Lookup Table'!I$7:L$286,3,FALSE))</f>
        <v>WOOD POLE</v>
      </c>
      <c r="G684" s="18">
        <f>IF(E684 = "NO CAPITAL", 1, VLOOKUP(C684,'Tariff Schedule Lookup Table'!I$7:L$286,4,FALSE))</f>
        <v>1</v>
      </c>
      <c r="H684" s="18" t="str">
        <f t="shared" si="112"/>
        <v>1-Unmetered, CE Funded, CE Maintained</v>
      </c>
      <c r="I684" s="123">
        <f>VLOOKUP(F684,'Maintenance Model'!$A$57:$B$61,2,FALSE)</f>
        <v>10.731618231111112</v>
      </c>
      <c r="J684" s="123">
        <f>IF(D684=1,VLOOKUP(C684,'Capital Code Schedules'!A$15:F$300,2,FALSE),IF(D684=2,VLOOKUP(C684,'Capital Code Schedules'!A$15:F$300,3,FALSE),0))</f>
        <v>51.156145528662286</v>
      </c>
      <c r="K684" s="123">
        <v>64.890075665956445</v>
      </c>
      <c r="L684" s="123">
        <f>VLOOKUP(LEFT(A684,10),'Streetlight Tariff Schedule'!B$11:H$260,7, FALSE)+I684</f>
        <v>28.884623444461894</v>
      </c>
      <c r="M684" s="161">
        <f t="shared" si="113"/>
        <v>93.774699110418339</v>
      </c>
      <c r="N684" s="405">
        <f t="shared" si="114"/>
        <v>82.510466045320513</v>
      </c>
      <c r="O684" s="405">
        <v>143.12462391101323</v>
      </c>
      <c r="P684" s="406">
        <v>140.18079522476629</v>
      </c>
      <c r="Q684" s="406">
        <v>145.43261873063193</v>
      </c>
      <c r="R684" s="406">
        <v>148.4493071768635</v>
      </c>
      <c r="S684" s="405">
        <f t="shared" si="115"/>
        <v>85.280399549475362</v>
      </c>
      <c r="T684" s="406">
        <v>150.29355243615919</v>
      </c>
      <c r="U684" s="406">
        <v>153.94571121459447</v>
      </c>
      <c r="V684" s="405">
        <f t="shared" si="116"/>
        <v>88.227682100417425</v>
      </c>
      <c r="W684" s="406">
        <v>154.95095475943245</v>
      </c>
      <c r="X684" s="406">
        <v>160.11393306410403</v>
      </c>
      <c r="Y684" s="405">
        <f t="shared" si="117"/>
        <v>91.606301351206184</v>
      </c>
      <c r="Z684" s="406">
        <v>159.13087715506927</v>
      </c>
      <c r="AA684" s="406">
        <v>165.02769408078854</v>
      </c>
      <c r="AB684" s="442">
        <f t="shared" si="118"/>
        <v>93.360183293683875</v>
      </c>
      <c r="AC684" s="438">
        <f t="shared" si="119"/>
        <v>96.105116421155387</v>
      </c>
      <c r="AD684" s="410"/>
      <c r="AE684" s="411"/>
      <c r="AF684" s="411"/>
      <c r="AG684" s="411"/>
    </row>
    <row r="685" spans="1:33" x14ac:dyDescent="0.2">
      <c r="A685" s="6" t="s">
        <v>604</v>
      </c>
      <c r="B685" s="18" t="str">
        <f>VLOOKUP(LEFT(A685,7),'Tariff Schedule Lookup Table'!$A$8:$G$186,2,FALSE)</f>
        <v>Incandescent 40</v>
      </c>
      <c r="C685" s="160">
        <f t="shared" si="110"/>
        <v>830</v>
      </c>
      <c r="D685" s="18">
        <f t="shared" si="111"/>
        <v>2</v>
      </c>
      <c r="E685" s="18" t="str">
        <f>VLOOKUP(C685,'Tariff Schedule Lookup Table'!I$7:L$286,2,FALSE)</f>
        <v>MERCURY VAPOUR 80W</v>
      </c>
      <c r="F685" s="18" t="str">
        <f>IF(E685 = "BULKHEADS ETC", "SHARED OR NO POLE", VLOOKUP(C685,'Tariff Schedule Lookup Table'!I$7:L$286,3,FALSE))</f>
        <v>SHARED OR NO POLE</v>
      </c>
      <c r="G685" s="18">
        <f>IF(E685 = "NO CAPITAL", 1, VLOOKUP(C685,'Tariff Schedule Lookup Table'!I$7:L$286,4,FALSE))</f>
        <v>4</v>
      </c>
      <c r="H685" s="18" t="str">
        <f t="shared" si="112"/>
        <v>2-Unmetered, Funded by Others, CE Maintained</v>
      </c>
      <c r="I685" s="123">
        <f>VLOOKUP(F685,'Maintenance Model'!$A$57:$B$61,2,FALSE)</f>
        <v>0</v>
      </c>
      <c r="J685" s="123">
        <f>IF(D685=1,VLOOKUP(C685,'Capital Code Schedules'!A$15:F$300,2,FALSE),IF(D685=2,VLOOKUP(C685,'Capital Code Schedules'!A$15:F$300,3,FALSE),0))</f>
        <v>0</v>
      </c>
      <c r="K685" s="123">
        <v>0</v>
      </c>
      <c r="L685" s="123">
        <f>VLOOKUP(LEFT(A685,10),'Streetlight Tariff Schedule'!B$11:H$260,7, FALSE)+I685</f>
        <v>18.153005213350784</v>
      </c>
      <c r="M685" s="161">
        <f t="shared" si="113"/>
        <v>18.153005213350784</v>
      </c>
      <c r="N685" s="405">
        <f t="shared" si="114"/>
        <v>18.909415934826431</v>
      </c>
      <c r="O685" s="405">
        <v>63.288490110653221</v>
      </c>
      <c r="P685" s="406">
        <v>63.288490110653221</v>
      </c>
      <c r="Q685" s="406">
        <v>66.385756812944152</v>
      </c>
      <c r="R685" s="406">
        <v>66.385756812944152</v>
      </c>
      <c r="S685" s="405">
        <f t="shared" si="115"/>
        <v>19.834821237312056</v>
      </c>
      <c r="T685" s="406">
        <v>69.112298517284614</v>
      </c>
      <c r="U685" s="406">
        <v>69.364785866880226</v>
      </c>
      <c r="V685" s="405">
        <f t="shared" si="116"/>
        <v>20.724899344157702</v>
      </c>
      <c r="W685" s="406">
        <v>71.628173270458291</v>
      </c>
      <c r="X685" s="406">
        <v>72.53175437008052</v>
      </c>
      <c r="Y685" s="405">
        <f t="shared" si="117"/>
        <v>21.671130239772459</v>
      </c>
      <c r="Z685" s="406">
        <v>73.69719669404914</v>
      </c>
      <c r="AA685" s="406">
        <v>74.899969155308199</v>
      </c>
      <c r="AB685" s="442">
        <f t="shared" si="118"/>
        <v>22.141539862174664</v>
      </c>
      <c r="AC685" s="438">
        <f t="shared" si="119"/>
        <v>22.803551118715241</v>
      </c>
      <c r="AD685" s="410"/>
      <c r="AE685" s="411"/>
      <c r="AF685" s="411"/>
      <c r="AG685" s="411"/>
    </row>
    <row r="686" spans="1:33" x14ac:dyDescent="0.2">
      <c r="A686" s="6" t="s">
        <v>605</v>
      </c>
      <c r="B686" s="18" t="str">
        <f>VLOOKUP(LEFT(A686,7),'Tariff Schedule Lookup Table'!$A$8:$G$186,2,FALSE)</f>
        <v>Incandescent 60</v>
      </c>
      <c r="C686" s="160">
        <f t="shared" si="110"/>
        <v>10</v>
      </c>
      <c r="D686" s="18">
        <f t="shared" si="111"/>
        <v>1</v>
      </c>
      <c r="E686" s="18" t="str">
        <f>VLOOKUP(C686,'Tariff Schedule Lookup Table'!I$7:L$286,2,FALSE)</f>
        <v>MERCURY VAPOUR 80W</v>
      </c>
      <c r="F686" s="18" t="str">
        <f>IF(E686 = "BULKHEADS ETC", "SHARED OR NO POLE", VLOOKUP(C686,'Tariff Schedule Lookup Table'!I$7:L$286,3,FALSE))</f>
        <v>SHARED OR NO POLE</v>
      </c>
      <c r="G686" s="18">
        <f>IF(E686 = "NO CAPITAL", 1, VLOOKUP(C686,'Tariff Schedule Lookup Table'!I$7:L$286,4,FALSE))</f>
        <v>1</v>
      </c>
      <c r="H686" s="18" t="str">
        <f t="shared" si="112"/>
        <v>1-Unmetered, CE Funded, CE Maintained</v>
      </c>
      <c r="I686" s="123">
        <f>VLOOKUP(F686,'Maintenance Model'!$A$57:$B$61,2,FALSE)</f>
        <v>0</v>
      </c>
      <c r="J686" s="123">
        <f>IF(D686=1,VLOOKUP(C686,'Capital Code Schedules'!A$15:F$300,2,FALSE),IF(D686=2,VLOOKUP(C686,'Capital Code Schedules'!A$15:F$300,3,FALSE),0))</f>
        <v>17.255027166785979</v>
      </c>
      <c r="K686" s="123">
        <v>21.887497717034414</v>
      </c>
      <c r="L686" s="123">
        <f>VLOOKUP(LEFT(A686,10),'Streetlight Tariff Schedule'!B$11:H$260,7, FALSE)+I686</f>
        <v>18.153005213350784</v>
      </c>
      <c r="M686" s="161">
        <f t="shared" si="113"/>
        <v>40.040502930385202</v>
      </c>
      <c r="N686" s="405">
        <f t="shared" si="114"/>
        <v>36.591505023990358</v>
      </c>
      <c r="O686" s="405">
        <v>86.710660223377076</v>
      </c>
      <c r="P686" s="406">
        <v>85.717703396184234</v>
      </c>
      <c r="Q686" s="406">
        <v>89.370093127292051</v>
      </c>
      <c r="R686" s="406">
        <v>90.387625635957917</v>
      </c>
      <c r="S686" s="405">
        <f t="shared" si="115"/>
        <v>37.954542031432794</v>
      </c>
      <c r="T686" s="406">
        <v>92.665497155412623</v>
      </c>
      <c r="U686" s="406">
        <v>94.050707951349878</v>
      </c>
      <c r="V686" s="405">
        <f t="shared" si="116"/>
        <v>39.361032180910875</v>
      </c>
      <c r="W686" s="406">
        <v>95.764313574879978</v>
      </c>
      <c r="X686" s="406">
        <v>98.054529213213698</v>
      </c>
      <c r="Y686" s="405">
        <f t="shared" si="117"/>
        <v>40.939027979691566</v>
      </c>
      <c r="Z686" s="406">
        <v>98.430706471005252</v>
      </c>
      <c r="AA686" s="406">
        <v>101.15014308147067</v>
      </c>
      <c r="AB686" s="442">
        <f t="shared" si="118"/>
        <v>41.748552602316352</v>
      </c>
      <c r="AC686" s="438">
        <f t="shared" si="119"/>
        <v>42.981127929595047</v>
      </c>
      <c r="AD686" s="410"/>
      <c r="AE686" s="411"/>
      <c r="AF686" s="411"/>
      <c r="AG686" s="411"/>
    </row>
    <row r="687" spans="1:33" x14ac:dyDescent="0.2">
      <c r="A687" s="6" t="s">
        <v>606</v>
      </c>
      <c r="B687" s="18" t="str">
        <f>VLOOKUP(LEFT(A687,7),'Tariff Schedule Lookup Table'!$A$8:$G$186,2,FALSE)</f>
        <v>Incandescent 60</v>
      </c>
      <c r="C687" s="160">
        <f t="shared" si="110"/>
        <v>10</v>
      </c>
      <c r="D687" s="18">
        <f t="shared" si="111"/>
        <v>2</v>
      </c>
      <c r="E687" s="18" t="str">
        <f>VLOOKUP(C687,'Tariff Schedule Lookup Table'!I$7:L$286,2,FALSE)</f>
        <v>MERCURY VAPOUR 80W</v>
      </c>
      <c r="F687" s="18" t="str">
        <f>IF(E687 = "BULKHEADS ETC", "SHARED OR NO POLE", VLOOKUP(C687,'Tariff Schedule Lookup Table'!I$7:L$286,3,FALSE))</f>
        <v>SHARED OR NO POLE</v>
      </c>
      <c r="G687" s="18">
        <f>IF(E687 = "NO CAPITAL", 1, VLOOKUP(C687,'Tariff Schedule Lookup Table'!I$7:L$286,4,FALSE))</f>
        <v>1</v>
      </c>
      <c r="H687" s="18" t="str">
        <f t="shared" si="112"/>
        <v>2-Unmetered, Funded by Others, CE Maintained</v>
      </c>
      <c r="I687" s="123">
        <f>VLOOKUP(F687,'Maintenance Model'!$A$57:$B$61,2,FALSE)</f>
        <v>0</v>
      </c>
      <c r="J687" s="123">
        <f>IF(D687=1,VLOOKUP(C687,'Capital Code Schedules'!A$15:F$300,2,FALSE),IF(D687=2,VLOOKUP(C687,'Capital Code Schedules'!A$15:F$300,3,FALSE),0))</f>
        <v>0</v>
      </c>
      <c r="K687" s="123">
        <v>0</v>
      </c>
      <c r="L687" s="123">
        <f>VLOOKUP(LEFT(A687,10),'Streetlight Tariff Schedule'!B$11:H$260,7, FALSE)+I687</f>
        <v>18.153005213350784</v>
      </c>
      <c r="M687" s="161">
        <f t="shared" si="113"/>
        <v>18.153005213350784</v>
      </c>
      <c r="N687" s="405">
        <f t="shared" si="114"/>
        <v>18.909415934826431</v>
      </c>
      <c r="O687" s="405">
        <v>63.288490110653221</v>
      </c>
      <c r="P687" s="406">
        <v>63.288490110653221</v>
      </c>
      <c r="Q687" s="406">
        <v>66.385756812944152</v>
      </c>
      <c r="R687" s="406">
        <v>66.385756812944152</v>
      </c>
      <c r="S687" s="405">
        <f t="shared" si="115"/>
        <v>19.834821237312056</v>
      </c>
      <c r="T687" s="406">
        <v>69.112298517284614</v>
      </c>
      <c r="U687" s="406">
        <v>69.364785866880226</v>
      </c>
      <c r="V687" s="405">
        <f t="shared" si="116"/>
        <v>20.724899344157702</v>
      </c>
      <c r="W687" s="406">
        <v>71.628173270458291</v>
      </c>
      <c r="X687" s="406">
        <v>72.53175437008052</v>
      </c>
      <c r="Y687" s="405">
        <f t="shared" si="117"/>
        <v>21.671130239772459</v>
      </c>
      <c r="Z687" s="406">
        <v>73.69719669404914</v>
      </c>
      <c r="AA687" s="406">
        <v>74.899969155308199</v>
      </c>
      <c r="AB687" s="442">
        <f t="shared" si="118"/>
        <v>22.141539862174664</v>
      </c>
      <c r="AC687" s="438">
        <f t="shared" si="119"/>
        <v>22.803551118715241</v>
      </c>
      <c r="AD687" s="410"/>
      <c r="AE687" s="411"/>
      <c r="AF687" s="411"/>
      <c r="AG687" s="411"/>
    </row>
    <row r="688" spans="1:33" x14ac:dyDescent="0.2">
      <c r="A688" s="6" t="s">
        <v>607</v>
      </c>
      <c r="B688" s="18" t="str">
        <f>VLOOKUP(LEFT(A688,7),'Tariff Schedule Lookup Table'!$A$8:$G$186,2,FALSE)</f>
        <v>Incandescent 75</v>
      </c>
      <c r="C688" s="160">
        <f t="shared" si="110"/>
        <v>10</v>
      </c>
      <c r="D688" s="18">
        <f t="shared" si="111"/>
        <v>1</v>
      </c>
      <c r="E688" s="18" t="str">
        <f>VLOOKUP(C688,'Tariff Schedule Lookup Table'!I$7:L$286,2,FALSE)</f>
        <v>MERCURY VAPOUR 80W</v>
      </c>
      <c r="F688" s="18" t="str">
        <f>IF(E688 = "BULKHEADS ETC", "SHARED OR NO POLE", VLOOKUP(C688,'Tariff Schedule Lookup Table'!I$7:L$286,3,FALSE))</f>
        <v>SHARED OR NO POLE</v>
      </c>
      <c r="G688" s="18">
        <f>IF(E688 = "NO CAPITAL", 1, VLOOKUP(C688,'Tariff Schedule Lookup Table'!I$7:L$286,4,FALSE))</f>
        <v>1</v>
      </c>
      <c r="H688" s="18" t="str">
        <f t="shared" si="112"/>
        <v>1-Unmetered, CE Funded, CE Maintained</v>
      </c>
      <c r="I688" s="123">
        <f>VLOOKUP(F688,'Maintenance Model'!$A$57:$B$61,2,FALSE)</f>
        <v>0</v>
      </c>
      <c r="J688" s="123">
        <f>IF(D688=1,VLOOKUP(C688,'Capital Code Schedules'!A$15:F$300,2,FALSE),IF(D688=2,VLOOKUP(C688,'Capital Code Schedules'!A$15:F$300,3,FALSE),0))</f>
        <v>17.255027166785979</v>
      </c>
      <c r="K688" s="123">
        <v>21.887497717034414</v>
      </c>
      <c r="L688" s="123">
        <f>VLOOKUP(LEFT(A688,10),'Streetlight Tariff Schedule'!B$11:H$260,7, FALSE)+I688</f>
        <v>18.153005213350784</v>
      </c>
      <c r="M688" s="161">
        <f t="shared" si="113"/>
        <v>40.040502930385202</v>
      </c>
      <c r="N688" s="405">
        <f t="shared" si="114"/>
        <v>36.591505023990358</v>
      </c>
      <c r="O688" s="405">
        <v>86.710660223377076</v>
      </c>
      <c r="P688" s="406">
        <v>85.717703396184234</v>
      </c>
      <c r="Q688" s="406">
        <v>89.370093127292051</v>
      </c>
      <c r="R688" s="406">
        <v>90.387625635957917</v>
      </c>
      <c r="S688" s="405">
        <f t="shared" si="115"/>
        <v>37.954542031432794</v>
      </c>
      <c r="T688" s="406">
        <v>92.665497155412623</v>
      </c>
      <c r="U688" s="406">
        <v>94.050707951349878</v>
      </c>
      <c r="V688" s="405">
        <f t="shared" si="116"/>
        <v>39.361032180910875</v>
      </c>
      <c r="W688" s="406">
        <v>95.764313574879978</v>
      </c>
      <c r="X688" s="406">
        <v>98.054529213213698</v>
      </c>
      <c r="Y688" s="405">
        <f t="shared" si="117"/>
        <v>40.939027979691566</v>
      </c>
      <c r="Z688" s="406">
        <v>98.430706471005252</v>
      </c>
      <c r="AA688" s="406">
        <v>101.15014308147067</v>
      </c>
      <c r="AB688" s="442">
        <f t="shared" si="118"/>
        <v>41.748552602316352</v>
      </c>
      <c r="AC688" s="438">
        <f t="shared" si="119"/>
        <v>42.981127929595047</v>
      </c>
      <c r="AD688" s="410"/>
      <c r="AE688" s="411"/>
      <c r="AF688" s="411"/>
      <c r="AG688" s="411"/>
    </row>
    <row r="689" spans="1:33" x14ac:dyDescent="0.2">
      <c r="A689" s="6" t="s">
        <v>608</v>
      </c>
      <c r="B689" s="18" t="str">
        <f>VLOOKUP(LEFT(A689,7),'Tariff Schedule Lookup Table'!$A$8:$G$186,2,FALSE)</f>
        <v>Incandescent 75</v>
      </c>
      <c r="C689" s="160">
        <f t="shared" si="110"/>
        <v>10</v>
      </c>
      <c r="D689" s="18">
        <f t="shared" si="111"/>
        <v>2</v>
      </c>
      <c r="E689" s="18" t="str">
        <f>VLOOKUP(C689,'Tariff Schedule Lookup Table'!I$7:L$286,2,FALSE)</f>
        <v>MERCURY VAPOUR 80W</v>
      </c>
      <c r="F689" s="18" t="str">
        <f>IF(E689 = "BULKHEADS ETC", "SHARED OR NO POLE", VLOOKUP(C689,'Tariff Schedule Lookup Table'!I$7:L$286,3,FALSE))</f>
        <v>SHARED OR NO POLE</v>
      </c>
      <c r="G689" s="18">
        <f>IF(E689 = "NO CAPITAL", 1, VLOOKUP(C689,'Tariff Schedule Lookup Table'!I$7:L$286,4,FALSE))</f>
        <v>1</v>
      </c>
      <c r="H689" s="18" t="str">
        <f t="shared" si="112"/>
        <v>2-Unmetered, Funded by Others, CE Maintained</v>
      </c>
      <c r="I689" s="123">
        <f>VLOOKUP(F689,'Maintenance Model'!$A$57:$B$61,2,FALSE)</f>
        <v>0</v>
      </c>
      <c r="J689" s="123">
        <f>IF(D689=1,VLOOKUP(C689,'Capital Code Schedules'!A$15:F$300,2,FALSE),IF(D689=2,VLOOKUP(C689,'Capital Code Schedules'!A$15:F$300,3,FALSE),0))</f>
        <v>0</v>
      </c>
      <c r="K689" s="123">
        <v>0</v>
      </c>
      <c r="L689" s="123">
        <f>VLOOKUP(LEFT(A689,10),'Streetlight Tariff Schedule'!B$11:H$260,7, FALSE)+I689</f>
        <v>18.153005213350784</v>
      </c>
      <c r="M689" s="161">
        <f t="shared" si="113"/>
        <v>18.153005213350784</v>
      </c>
      <c r="N689" s="405">
        <f t="shared" si="114"/>
        <v>18.909415934826431</v>
      </c>
      <c r="O689" s="405">
        <v>63.288490110653221</v>
      </c>
      <c r="P689" s="406">
        <v>63.288490110653221</v>
      </c>
      <c r="Q689" s="406">
        <v>66.385756812944152</v>
      </c>
      <c r="R689" s="406">
        <v>66.385756812944152</v>
      </c>
      <c r="S689" s="405">
        <f t="shared" si="115"/>
        <v>19.834821237312056</v>
      </c>
      <c r="T689" s="406">
        <v>69.112298517284614</v>
      </c>
      <c r="U689" s="406">
        <v>69.364785866880226</v>
      </c>
      <c r="V689" s="405">
        <f t="shared" si="116"/>
        <v>20.724899344157702</v>
      </c>
      <c r="W689" s="406">
        <v>71.628173270458291</v>
      </c>
      <c r="X689" s="406">
        <v>72.53175437008052</v>
      </c>
      <c r="Y689" s="405">
        <f t="shared" si="117"/>
        <v>21.671130239772459</v>
      </c>
      <c r="Z689" s="406">
        <v>73.69719669404914</v>
      </c>
      <c r="AA689" s="406">
        <v>74.899969155308199</v>
      </c>
      <c r="AB689" s="442">
        <f t="shared" si="118"/>
        <v>22.141539862174664</v>
      </c>
      <c r="AC689" s="438">
        <f t="shared" si="119"/>
        <v>22.803551118715241</v>
      </c>
      <c r="AD689" s="410"/>
      <c r="AE689" s="411"/>
      <c r="AF689" s="411"/>
      <c r="AG689" s="411"/>
    </row>
    <row r="690" spans="1:33" x14ac:dyDescent="0.2">
      <c r="A690" s="6" t="s">
        <v>609</v>
      </c>
      <c r="B690" s="18" t="str">
        <f>VLOOKUP(LEFT(A690,7),'Tariff Schedule Lookup Table'!$A$8:$G$186,2,FALSE)</f>
        <v>Incandescent 75</v>
      </c>
      <c r="C690" s="160">
        <f t="shared" si="110"/>
        <v>810</v>
      </c>
      <c r="D690" s="18">
        <f t="shared" si="111"/>
        <v>1</v>
      </c>
      <c r="E690" s="18" t="str">
        <f>VLOOKUP(C690,'Tariff Schedule Lookup Table'!I$7:L$286,2,FALSE)</f>
        <v>MERCURY VAPOUR 80W</v>
      </c>
      <c r="F690" s="18" t="str">
        <f>IF(E690 = "BULKHEADS ETC", "SHARED OR NO POLE", VLOOKUP(C690,'Tariff Schedule Lookup Table'!I$7:L$286,3,FALSE))</f>
        <v>WOOD POLE</v>
      </c>
      <c r="G690" s="18">
        <f>IF(E690 = "NO CAPITAL", 1, VLOOKUP(C690,'Tariff Schedule Lookup Table'!I$7:L$286,4,FALSE))</f>
        <v>1</v>
      </c>
      <c r="H690" s="18" t="str">
        <f t="shared" si="112"/>
        <v>1-Unmetered, CE Funded, CE Maintained</v>
      </c>
      <c r="I690" s="123">
        <f>VLOOKUP(F690,'Maintenance Model'!$A$57:$B$61,2,FALSE)</f>
        <v>10.731618231111112</v>
      </c>
      <c r="J690" s="123">
        <f>IF(D690=1,VLOOKUP(C690,'Capital Code Schedules'!A$15:F$300,2,FALSE),IF(D690=2,VLOOKUP(C690,'Capital Code Schedules'!A$15:F$300,3,FALSE),0))</f>
        <v>51.156145528662286</v>
      </c>
      <c r="K690" s="123">
        <v>64.890075665956445</v>
      </c>
      <c r="L690" s="123">
        <f>VLOOKUP(LEFT(A690,10),'Streetlight Tariff Schedule'!B$11:H$260,7, FALSE)+I690</f>
        <v>28.884623444461894</v>
      </c>
      <c r="M690" s="161">
        <f t="shared" si="113"/>
        <v>93.774699110418339</v>
      </c>
      <c r="N690" s="405">
        <f t="shared" si="114"/>
        <v>82.510466045320513</v>
      </c>
      <c r="O690" s="405">
        <v>143.12462391101323</v>
      </c>
      <c r="P690" s="406">
        <v>140.18079522476629</v>
      </c>
      <c r="Q690" s="406">
        <v>145.43261873063193</v>
      </c>
      <c r="R690" s="406">
        <v>148.4493071768635</v>
      </c>
      <c r="S690" s="405">
        <f t="shared" si="115"/>
        <v>85.280399549475362</v>
      </c>
      <c r="T690" s="406">
        <v>150.29355243615919</v>
      </c>
      <c r="U690" s="406">
        <v>153.94571121459447</v>
      </c>
      <c r="V690" s="405">
        <f t="shared" si="116"/>
        <v>88.227682100417425</v>
      </c>
      <c r="W690" s="406">
        <v>154.95095475943245</v>
      </c>
      <c r="X690" s="406">
        <v>160.11393306410403</v>
      </c>
      <c r="Y690" s="405">
        <f t="shared" si="117"/>
        <v>91.606301351206184</v>
      </c>
      <c r="Z690" s="406">
        <v>159.13087715506927</v>
      </c>
      <c r="AA690" s="406">
        <v>165.02769408078854</v>
      </c>
      <c r="AB690" s="442">
        <f t="shared" si="118"/>
        <v>93.360183293683875</v>
      </c>
      <c r="AC690" s="438">
        <f t="shared" si="119"/>
        <v>96.105116421155387</v>
      </c>
      <c r="AD690" s="410"/>
      <c r="AE690" s="411"/>
      <c r="AF690" s="411"/>
      <c r="AG690" s="411"/>
    </row>
    <row r="691" spans="1:33" x14ac:dyDescent="0.2">
      <c r="A691" s="6" t="s">
        <v>610</v>
      </c>
      <c r="B691" s="18" t="str">
        <f>VLOOKUP(LEFT(A691,7),'Tariff Schedule Lookup Table'!$A$8:$G$186,2,FALSE)</f>
        <v>Incandescent 75</v>
      </c>
      <c r="C691" s="160">
        <f t="shared" si="110"/>
        <v>990</v>
      </c>
      <c r="D691" s="18">
        <f t="shared" si="111"/>
        <v>1</v>
      </c>
      <c r="E691" s="18" t="str">
        <f>VLOOKUP(C691,'Tariff Schedule Lookup Table'!I$7:L$286,2,FALSE)</f>
        <v>MERCURY VAPOUR 80W</v>
      </c>
      <c r="F691" s="18" t="str">
        <f>IF(E691 = "BULKHEADS ETC", "SHARED OR NO POLE", VLOOKUP(C691,'Tariff Schedule Lookup Table'!I$7:L$286,3,FALSE))</f>
        <v>STEEL POLE</v>
      </c>
      <c r="G691" s="18">
        <f>IF(E691 = "NO CAPITAL", 1, VLOOKUP(C691,'Tariff Schedule Lookup Table'!I$7:L$286,4,FALSE))</f>
        <v>1</v>
      </c>
      <c r="H691" s="18" t="str">
        <f t="shared" si="112"/>
        <v>1-Unmetered, CE Funded, CE Maintained</v>
      </c>
      <c r="I691" s="123">
        <f>VLOOKUP(F691,'Maintenance Model'!$A$57:$B$61,2,FALSE)</f>
        <v>9.9616182311111103</v>
      </c>
      <c r="J691" s="123">
        <f>IF(D691=1,VLOOKUP(C691,'Capital Code Schedules'!A$15:F$300,2,FALSE),IF(D691=2,VLOOKUP(C691,'Capital Code Schedules'!A$15:F$300,3,FALSE),0))</f>
        <v>86.253661186307269</v>
      </c>
      <c r="K691" s="123">
        <v>109.41024862221688</v>
      </c>
      <c r="L691" s="123">
        <f>VLOOKUP(LEFT(A691,10),'Streetlight Tariff Schedule'!B$11:H$260,7, FALSE)+I691</f>
        <v>28.114623444461895</v>
      </c>
      <c r="M691" s="161">
        <f t="shared" si="113"/>
        <v>137.52487206667877</v>
      </c>
      <c r="N691" s="405">
        <f t="shared" si="114"/>
        <v>117.67456037616722</v>
      </c>
      <c r="O691" s="405">
        <v>189.96430597946363</v>
      </c>
      <c r="P691" s="406">
        <v>185.00075762236918</v>
      </c>
      <c r="Q691" s="406">
        <v>191.34247367784937</v>
      </c>
      <c r="R691" s="406">
        <v>196.42886985678192</v>
      </c>
      <c r="S691" s="405">
        <f t="shared" si="115"/>
        <v>121.29540369528434</v>
      </c>
      <c r="T691" s="406">
        <v>197.3259446607845</v>
      </c>
      <c r="U691" s="406">
        <v>203.27891492461623</v>
      </c>
      <c r="V691" s="405">
        <f t="shared" si="116"/>
        <v>125.25533735810772</v>
      </c>
      <c r="W691" s="406">
        <v>203.13719217055072</v>
      </c>
      <c r="X691" s="406">
        <v>211.10919713568464</v>
      </c>
      <c r="Y691" s="405">
        <f t="shared" si="117"/>
        <v>129.8788588779212</v>
      </c>
      <c r="Z691" s="406">
        <v>208.50596972880157</v>
      </c>
      <c r="AA691" s="406">
        <v>217.47250770596855</v>
      </c>
      <c r="AB691" s="442">
        <f t="shared" si="118"/>
        <v>132.3025627966459</v>
      </c>
      <c r="AC691" s="438">
        <f t="shared" si="119"/>
        <v>136.1799687032713</v>
      </c>
      <c r="AD691" s="410"/>
      <c r="AE691" s="411"/>
      <c r="AF691" s="411"/>
      <c r="AG691" s="411"/>
    </row>
    <row r="692" spans="1:33" x14ac:dyDescent="0.2">
      <c r="A692" s="6" t="s">
        <v>611</v>
      </c>
      <c r="B692" s="18" t="str">
        <f>VLOOKUP(LEFT(A692,7),'Tariff Schedule Lookup Table'!$A$8:$G$186,2,FALSE)</f>
        <v>Incandescent 100</v>
      </c>
      <c r="C692" s="160">
        <f t="shared" si="110"/>
        <v>10</v>
      </c>
      <c r="D692" s="18">
        <f t="shared" si="111"/>
        <v>1</v>
      </c>
      <c r="E692" s="18" t="str">
        <f>VLOOKUP(C692,'Tariff Schedule Lookup Table'!I$7:L$286,2,FALSE)</f>
        <v>MERCURY VAPOUR 80W</v>
      </c>
      <c r="F692" s="18" t="str">
        <f>IF(E692 = "BULKHEADS ETC", "SHARED OR NO POLE", VLOOKUP(C692,'Tariff Schedule Lookup Table'!I$7:L$286,3,FALSE))</f>
        <v>SHARED OR NO POLE</v>
      </c>
      <c r="G692" s="18">
        <f>IF(E692 = "NO CAPITAL", 1, VLOOKUP(C692,'Tariff Schedule Lookup Table'!I$7:L$286,4,FALSE))</f>
        <v>1</v>
      </c>
      <c r="H692" s="18" t="str">
        <f t="shared" si="112"/>
        <v>1-Unmetered, CE Funded, CE Maintained</v>
      </c>
      <c r="I692" s="123">
        <f>VLOOKUP(F692,'Maintenance Model'!$A$57:$B$61,2,FALSE)</f>
        <v>0</v>
      </c>
      <c r="J692" s="123">
        <f>IF(D692=1,VLOOKUP(C692,'Capital Code Schedules'!A$15:F$300,2,FALSE),IF(D692=2,VLOOKUP(C692,'Capital Code Schedules'!A$15:F$300,3,FALSE),0))</f>
        <v>17.255027166785979</v>
      </c>
      <c r="K692" s="123">
        <v>21.887497717034414</v>
      </c>
      <c r="L692" s="123">
        <f>VLOOKUP(LEFT(A692,10),'Streetlight Tariff Schedule'!B$11:H$260,7, FALSE)+I692</f>
        <v>18.153005213350784</v>
      </c>
      <c r="M692" s="161">
        <f t="shared" si="113"/>
        <v>40.040502930385202</v>
      </c>
      <c r="N692" s="405">
        <f t="shared" si="114"/>
        <v>36.591505023990358</v>
      </c>
      <c r="O692" s="405">
        <v>86.710660223377076</v>
      </c>
      <c r="P692" s="406">
        <v>85.717703396184234</v>
      </c>
      <c r="Q692" s="406">
        <v>89.370093127292051</v>
      </c>
      <c r="R692" s="406">
        <v>90.387625635957917</v>
      </c>
      <c r="S692" s="405">
        <f t="shared" si="115"/>
        <v>37.954542031432794</v>
      </c>
      <c r="T692" s="406">
        <v>92.665497155412623</v>
      </c>
      <c r="U692" s="406">
        <v>94.050707951349878</v>
      </c>
      <c r="V692" s="405">
        <f t="shared" si="116"/>
        <v>39.361032180910875</v>
      </c>
      <c r="W692" s="406">
        <v>95.764313574879978</v>
      </c>
      <c r="X692" s="406">
        <v>98.054529213213698</v>
      </c>
      <c r="Y692" s="405">
        <f t="shared" si="117"/>
        <v>40.939027979691566</v>
      </c>
      <c r="Z692" s="406">
        <v>98.430706471005252</v>
      </c>
      <c r="AA692" s="406">
        <v>101.15014308147067</v>
      </c>
      <c r="AB692" s="442">
        <f t="shared" si="118"/>
        <v>41.748552602316352</v>
      </c>
      <c r="AC692" s="438">
        <f t="shared" si="119"/>
        <v>42.981127929595047</v>
      </c>
      <c r="AD692" s="410"/>
      <c r="AE692" s="411"/>
      <c r="AF692" s="411"/>
      <c r="AG692" s="411"/>
    </row>
    <row r="693" spans="1:33" x14ac:dyDescent="0.2">
      <c r="A693" s="6" t="s">
        <v>612</v>
      </c>
      <c r="B693" s="18" t="str">
        <f>VLOOKUP(LEFT(A693,7),'Tariff Schedule Lookup Table'!$A$8:$G$186,2,FALSE)</f>
        <v>Incandescent 100</v>
      </c>
      <c r="C693" s="160">
        <f t="shared" si="110"/>
        <v>10</v>
      </c>
      <c r="D693" s="18">
        <f t="shared" si="111"/>
        <v>2</v>
      </c>
      <c r="E693" s="18" t="str">
        <f>VLOOKUP(C693,'Tariff Schedule Lookup Table'!I$7:L$286,2,FALSE)</f>
        <v>MERCURY VAPOUR 80W</v>
      </c>
      <c r="F693" s="18" t="str">
        <f>IF(E693 = "BULKHEADS ETC", "SHARED OR NO POLE", VLOOKUP(C693,'Tariff Schedule Lookup Table'!I$7:L$286,3,FALSE))</f>
        <v>SHARED OR NO POLE</v>
      </c>
      <c r="G693" s="18">
        <f>IF(E693 = "NO CAPITAL", 1, VLOOKUP(C693,'Tariff Schedule Lookup Table'!I$7:L$286,4,FALSE))</f>
        <v>1</v>
      </c>
      <c r="H693" s="18" t="str">
        <f t="shared" si="112"/>
        <v>2-Unmetered, Funded by Others, CE Maintained</v>
      </c>
      <c r="I693" s="123">
        <f>VLOOKUP(F693,'Maintenance Model'!$A$57:$B$61,2,FALSE)</f>
        <v>0</v>
      </c>
      <c r="J693" s="123">
        <f>IF(D693=1,VLOOKUP(C693,'Capital Code Schedules'!A$15:F$300,2,FALSE),IF(D693=2,VLOOKUP(C693,'Capital Code Schedules'!A$15:F$300,3,FALSE),0))</f>
        <v>0</v>
      </c>
      <c r="K693" s="123">
        <v>0</v>
      </c>
      <c r="L693" s="123">
        <f>VLOOKUP(LEFT(A693,10),'Streetlight Tariff Schedule'!B$11:H$260,7, FALSE)+I693</f>
        <v>18.153005213350784</v>
      </c>
      <c r="M693" s="161">
        <f t="shared" si="113"/>
        <v>18.153005213350784</v>
      </c>
      <c r="N693" s="405">
        <f t="shared" si="114"/>
        <v>18.909415934826431</v>
      </c>
      <c r="O693" s="405">
        <v>63.288490110653221</v>
      </c>
      <c r="P693" s="406">
        <v>63.288490110653221</v>
      </c>
      <c r="Q693" s="406">
        <v>66.385756812944152</v>
      </c>
      <c r="R693" s="406">
        <v>66.385756812944152</v>
      </c>
      <c r="S693" s="405">
        <f t="shared" si="115"/>
        <v>19.834821237312056</v>
      </c>
      <c r="T693" s="406">
        <v>69.112298517284614</v>
      </c>
      <c r="U693" s="406">
        <v>69.364785866880226</v>
      </c>
      <c r="V693" s="405">
        <f t="shared" si="116"/>
        <v>20.724899344157702</v>
      </c>
      <c r="W693" s="406">
        <v>71.628173270458291</v>
      </c>
      <c r="X693" s="406">
        <v>72.53175437008052</v>
      </c>
      <c r="Y693" s="405">
        <f t="shared" si="117"/>
        <v>21.671130239772459</v>
      </c>
      <c r="Z693" s="406">
        <v>73.69719669404914</v>
      </c>
      <c r="AA693" s="406">
        <v>74.899969155308199</v>
      </c>
      <c r="AB693" s="442">
        <f t="shared" si="118"/>
        <v>22.141539862174664</v>
      </c>
      <c r="AC693" s="438">
        <f t="shared" si="119"/>
        <v>22.803551118715241</v>
      </c>
      <c r="AD693" s="410"/>
      <c r="AE693" s="411"/>
      <c r="AF693" s="411"/>
      <c r="AG693" s="411"/>
    </row>
    <row r="694" spans="1:33" x14ac:dyDescent="0.2">
      <c r="A694" s="6" t="s">
        <v>613</v>
      </c>
      <c r="B694" s="18" t="str">
        <f>VLOOKUP(LEFT(A694,7),'Tariff Schedule Lookup Table'!$A$8:$G$186,2,FALSE)</f>
        <v>Incandescent 100</v>
      </c>
      <c r="C694" s="160">
        <f t="shared" si="110"/>
        <v>110</v>
      </c>
      <c r="D694" s="18">
        <f t="shared" si="111"/>
        <v>2</v>
      </c>
      <c r="E694" s="18" t="str">
        <f>VLOOKUP(C694,'Tariff Schedule Lookup Table'!I$7:L$286,2,FALSE)</f>
        <v>BULKHEADS ETC</v>
      </c>
      <c r="F694" s="18" t="str">
        <f>IF(E694 = "BULKHEADS ETC", "SHARED OR NO POLE", VLOOKUP(C694,'Tariff Schedule Lookup Table'!I$7:L$286,3,FALSE))</f>
        <v>SHARED OR NO POLE</v>
      </c>
      <c r="G694" s="18">
        <f>IF(E694 = "NO CAPITAL", 1, VLOOKUP(C694,'Tariff Schedule Lookup Table'!I$7:L$286,4,FALSE))</f>
        <v>1</v>
      </c>
      <c r="H694" s="18" t="str">
        <f t="shared" si="112"/>
        <v>2-Unmetered, Funded by Others, CE Maintained</v>
      </c>
      <c r="I694" s="123">
        <f>VLOOKUP(F694,'Maintenance Model'!$A$57:$B$61,2,FALSE)</f>
        <v>0</v>
      </c>
      <c r="J694" s="123">
        <f>IF(D694=1,VLOOKUP(C694,'Capital Code Schedules'!A$15:F$300,2,FALSE),IF(D694=2,VLOOKUP(C694,'Capital Code Schedules'!A$15:F$300,3,FALSE),0))</f>
        <v>0</v>
      </c>
      <c r="K694" s="123">
        <v>0</v>
      </c>
      <c r="L694" s="123">
        <f>VLOOKUP(LEFT(A694,10),'Streetlight Tariff Schedule'!B$11:H$260,7, FALSE)+I694</f>
        <v>18.153005213350784</v>
      </c>
      <c r="M694" s="161">
        <f t="shared" si="113"/>
        <v>18.153005213350784</v>
      </c>
      <c r="N694" s="405">
        <f t="shared" si="114"/>
        <v>18.909415934826431</v>
      </c>
      <c r="O694" s="405">
        <v>63.288490110653221</v>
      </c>
      <c r="P694" s="406">
        <v>63.288490110653221</v>
      </c>
      <c r="Q694" s="406">
        <v>66.385756812944152</v>
      </c>
      <c r="R694" s="406">
        <v>66.385756812944152</v>
      </c>
      <c r="S694" s="405">
        <f t="shared" si="115"/>
        <v>19.834821237312056</v>
      </c>
      <c r="T694" s="406">
        <v>69.112298517284614</v>
      </c>
      <c r="U694" s="406">
        <v>69.364785866880226</v>
      </c>
      <c r="V694" s="405">
        <f t="shared" si="116"/>
        <v>20.724899344157702</v>
      </c>
      <c r="W694" s="406">
        <v>71.628173270458291</v>
      </c>
      <c r="X694" s="406">
        <v>72.53175437008052</v>
      </c>
      <c r="Y694" s="405">
        <f t="shared" si="117"/>
        <v>21.671130239772459</v>
      </c>
      <c r="Z694" s="406">
        <v>73.69719669404914</v>
      </c>
      <c r="AA694" s="406">
        <v>74.899969155308199</v>
      </c>
      <c r="AB694" s="442">
        <f t="shared" si="118"/>
        <v>22.141539862174664</v>
      </c>
      <c r="AC694" s="438">
        <f t="shared" si="119"/>
        <v>22.803551118715241</v>
      </c>
      <c r="AD694" s="410"/>
      <c r="AE694" s="411"/>
      <c r="AF694" s="411"/>
      <c r="AG694" s="411"/>
    </row>
    <row r="695" spans="1:33" x14ac:dyDescent="0.2">
      <c r="A695" s="6" t="s">
        <v>614</v>
      </c>
      <c r="B695" s="18" t="str">
        <f>VLOOKUP(LEFT(A695,7),'Tariff Schedule Lookup Table'!$A$8:$G$186,2,FALSE)</f>
        <v>Incandescent 100</v>
      </c>
      <c r="C695" s="160">
        <f t="shared" si="110"/>
        <v>810</v>
      </c>
      <c r="D695" s="18">
        <f t="shared" si="111"/>
        <v>1</v>
      </c>
      <c r="E695" s="18" t="str">
        <f>VLOOKUP(C695,'Tariff Schedule Lookup Table'!I$7:L$286,2,FALSE)</f>
        <v>MERCURY VAPOUR 80W</v>
      </c>
      <c r="F695" s="18" t="str">
        <f>IF(E695 = "BULKHEADS ETC", "SHARED OR NO POLE", VLOOKUP(C695,'Tariff Schedule Lookup Table'!I$7:L$286,3,FALSE))</f>
        <v>WOOD POLE</v>
      </c>
      <c r="G695" s="18">
        <f>IF(E695 = "NO CAPITAL", 1, VLOOKUP(C695,'Tariff Schedule Lookup Table'!I$7:L$286,4,FALSE))</f>
        <v>1</v>
      </c>
      <c r="H695" s="18" t="str">
        <f t="shared" si="112"/>
        <v>1-Unmetered, CE Funded, CE Maintained</v>
      </c>
      <c r="I695" s="123">
        <f>VLOOKUP(F695,'Maintenance Model'!$A$57:$B$61,2,FALSE)</f>
        <v>10.731618231111112</v>
      </c>
      <c r="J695" s="123">
        <f>IF(D695=1,VLOOKUP(C695,'Capital Code Schedules'!A$15:F$300,2,FALSE),IF(D695=2,VLOOKUP(C695,'Capital Code Schedules'!A$15:F$300,3,FALSE),0))</f>
        <v>51.156145528662286</v>
      </c>
      <c r="K695" s="123">
        <v>64.890075665956445</v>
      </c>
      <c r="L695" s="123">
        <f>VLOOKUP(LEFT(A695,10),'Streetlight Tariff Schedule'!B$11:H$260,7, FALSE)+I695</f>
        <v>28.884623444461894</v>
      </c>
      <c r="M695" s="161">
        <f t="shared" si="113"/>
        <v>93.774699110418339</v>
      </c>
      <c r="N695" s="405">
        <f t="shared" si="114"/>
        <v>82.510466045320513</v>
      </c>
      <c r="O695" s="405">
        <v>143.12462391101323</v>
      </c>
      <c r="P695" s="406">
        <v>140.18079522476629</v>
      </c>
      <c r="Q695" s="406">
        <v>145.43261873063193</v>
      </c>
      <c r="R695" s="406">
        <v>148.4493071768635</v>
      </c>
      <c r="S695" s="405">
        <f t="shared" si="115"/>
        <v>85.280399549475362</v>
      </c>
      <c r="T695" s="406">
        <v>150.29355243615919</v>
      </c>
      <c r="U695" s="406">
        <v>153.94571121459447</v>
      </c>
      <c r="V695" s="405">
        <f t="shared" si="116"/>
        <v>88.227682100417425</v>
      </c>
      <c r="W695" s="406">
        <v>154.95095475943245</v>
      </c>
      <c r="X695" s="406">
        <v>160.11393306410403</v>
      </c>
      <c r="Y695" s="405">
        <f t="shared" si="117"/>
        <v>91.606301351206184</v>
      </c>
      <c r="Z695" s="406">
        <v>159.13087715506927</v>
      </c>
      <c r="AA695" s="406">
        <v>165.02769408078854</v>
      </c>
      <c r="AB695" s="442">
        <f t="shared" si="118"/>
        <v>93.360183293683875</v>
      </c>
      <c r="AC695" s="438">
        <f t="shared" si="119"/>
        <v>96.105116421155387</v>
      </c>
      <c r="AD695" s="410"/>
      <c r="AE695" s="411"/>
      <c r="AF695" s="411"/>
      <c r="AG695" s="411"/>
    </row>
    <row r="696" spans="1:33" x14ac:dyDescent="0.2">
      <c r="A696" s="6" t="s">
        <v>615</v>
      </c>
      <c r="B696" s="18" t="str">
        <f>VLOOKUP(LEFT(A696,7),'Tariff Schedule Lookup Table'!$A$8:$G$186,2,FALSE)</f>
        <v>Incandescent 100</v>
      </c>
      <c r="C696" s="160">
        <f t="shared" si="110"/>
        <v>990</v>
      </c>
      <c r="D696" s="18">
        <f t="shared" si="111"/>
        <v>1</v>
      </c>
      <c r="E696" s="18" t="str">
        <f>VLOOKUP(C696,'Tariff Schedule Lookup Table'!I$7:L$286,2,FALSE)</f>
        <v>MERCURY VAPOUR 80W</v>
      </c>
      <c r="F696" s="18" t="str">
        <f>IF(E696 = "BULKHEADS ETC", "SHARED OR NO POLE", VLOOKUP(C696,'Tariff Schedule Lookup Table'!I$7:L$286,3,FALSE))</f>
        <v>STEEL POLE</v>
      </c>
      <c r="G696" s="18">
        <f>IF(E696 = "NO CAPITAL", 1, VLOOKUP(C696,'Tariff Schedule Lookup Table'!I$7:L$286,4,FALSE))</f>
        <v>1</v>
      </c>
      <c r="H696" s="18" t="str">
        <f t="shared" si="112"/>
        <v>1-Unmetered, CE Funded, CE Maintained</v>
      </c>
      <c r="I696" s="123">
        <f>VLOOKUP(F696,'Maintenance Model'!$A$57:$B$61,2,FALSE)</f>
        <v>9.9616182311111103</v>
      </c>
      <c r="J696" s="123">
        <f>IF(D696=1,VLOOKUP(C696,'Capital Code Schedules'!A$15:F$300,2,FALSE),IF(D696=2,VLOOKUP(C696,'Capital Code Schedules'!A$15:F$300,3,FALSE),0))</f>
        <v>86.253661186307269</v>
      </c>
      <c r="K696" s="123">
        <v>109.41024862221688</v>
      </c>
      <c r="L696" s="123">
        <f>VLOOKUP(LEFT(A696,10),'Streetlight Tariff Schedule'!B$11:H$260,7, FALSE)+I696</f>
        <v>28.114623444461895</v>
      </c>
      <c r="M696" s="161">
        <f t="shared" si="113"/>
        <v>137.52487206667877</v>
      </c>
      <c r="N696" s="405">
        <f t="shared" si="114"/>
        <v>117.67456037616722</v>
      </c>
      <c r="O696" s="405">
        <v>189.96430597946363</v>
      </c>
      <c r="P696" s="406">
        <v>185.00075762236918</v>
      </c>
      <c r="Q696" s="406">
        <v>191.34247367784937</v>
      </c>
      <c r="R696" s="406">
        <v>196.42886985678192</v>
      </c>
      <c r="S696" s="405">
        <f t="shared" si="115"/>
        <v>121.29540369528434</v>
      </c>
      <c r="T696" s="406">
        <v>197.3259446607845</v>
      </c>
      <c r="U696" s="406">
        <v>203.27891492461623</v>
      </c>
      <c r="V696" s="405">
        <f t="shared" si="116"/>
        <v>125.25533735810772</v>
      </c>
      <c r="W696" s="406">
        <v>203.13719217055072</v>
      </c>
      <c r="X696" s="406">
        <v>211.10919713568464</v>
      </c>
      <c r="Y696" s="405">
        <f t="shared" si="117"/>
        <v>129.8788588779212</v>
      </c>
      <c r="Z696" s="406">
        <v>208.50596972880157</v>
      </c>
      <c r="AA696" s="406">
        <v>217.47250770596855</v>
      </c>
      <c r="AB696" s="442">
        <f t="shared" si="118"/>
        <v>132.3025627966459</v>
      </c>
      <c r="AC696" s="438">
        <f t="shared" si="119"/>
        <v>136.1799687032713</v>
      </c>
      <c r="AD696" s="410"/>
      <c r="AE696" s="411"/>
      <c r="AF696" s="411"/>
      <c r="AG696" s="411"/>
    </row>
    <row r="697" spans="1:33" x14ac:dyDescent="0.2">
      <c r="A697" s="6" t="s">
        <v>616</v>
      </c>
      <c r="B697" s="18" t="str">
        <f>VLOOKUP(LEFT(A697,7),'Tariff Schedule Lookup Table'!$A$8:$G$186,2,FALSE)</f>
        <v>Incandescent 130</v>
      </c>
      <c r="C697" s="160">
        <f t="shared" si="110"/>
        <v>740</v>
      </c>
      <c r="D697" s="18">
        <f t="shared" si="111"/>
        <v>2</v>
      </c>
      <c r="E697" s="18" t="str">
        <f>VLOOKUP(C697,'Tariff Schedule Lookup Table'!I$7:L$286,2,FALSE)</f>
        <v>MERCURY VAPOUR 80W</v>
      </c>
      <c r="F697" s="18" t="str">
        <f>IF(E697 = "BULKHEADS ETC", "SHARED OR NO POLE", VLOOKUP(C697,'Tariff Schedule Lookup Table'!I$7:L$286,3,FALSE))</f>
        <v>SHARED OR NO POLE</v>
      </c>
      <c r="G697" s="18">
        <f>IF(E697 = "NO CAPITAL", 1, VLOOKUP(C697,'Tariff Schedule Lookup Table'!I$7:L$286,4,FALSE))</f>
        <v>2</v>
      </c>
      <c r="H697" s="18" t="str">
        <f t="shared" si="112"/>
        <v>2-Unmetered, Funded by Others, CE Maintained</v>
      </c>
      <c r="I697" s="123">
        <f>VLOOKUP(F697,'Maintenance Model'!$A$57:$B$61,2,FALSE)</f>
        <v>0</v>
      </c>
      <c r="J697" s="123">
        <f>IF(D697=1,VLOOKUP(C697,'Capital Code Schedules'!A$15:F$300,2,FALSE),IF(D697=2,VLOOKUP(C697,'Capital Code Schedules'!A$15:F$300,3,FALSE),0))</f>
        <v>0</v>
      </c>
      <c r="K697" s="123">
        <v>0</v>
      </c>
      <c r="L697" s="123">
        <f>VLOOKUP(LEFT(A697,10),'Streetlight Tariff Schedule'!B$11:H$260,7, FALSE)+I697</f>
        <v>18.153005213350784</v>
      </c>
      <c r="M697" s="161">
        <f t="shared" si="113"/>
        <v>18.153005213350784</v>
      </c>
      <c r="N697" s="405">
        <f t="shared" si="114"/>
        <v>18.909415934826431</v>
      </c>
      <c r="O697" s="405">
        <v>63.288490110653221</v>
      </c>
      <c r="P697" s="406">
        <v>63.288490110653221</v>
      </c>
      <c r="Q697" s="406">
        <v>66.385756812944152</v>
      </c>
      <c r="R697" s="406">
        <v>66.385756812944152</v>
      </c>
      <c r="S697" s="405">
        <f t="shared" si="115"/>
        <v>19.834821237312056</v>
      </c>
      <c r="T697" s="406">
        <v>69.112298517284614</v>
      </c>
      <c r="U697" s="406">
        <v>69.364785866880226</v>
      </c>
      <c r="V697" s="405">
        <f t="shared" si="116"/>
        <v>20.724899344157702</v>
      </c>
      <c r="W697" s="406">
        <v>71.628173270458291</v>
      </c>
      <c r="X697" s="406">
        <v>72.53175437008052</v>
      </c>
      <c r="Y697" s="405">
        <f t="shared" si="117"/>
        <v>21.671130239772459</v>
      </c>
      <c r="Z697" s="406">
        <v>73.69719669404914</v>
      </c>
      <c r="AA697" s="406">
        <v>74.899969155308199</v>
      </c>
      <c r="AB697" s="442">
        <f t="shared" si="118"/>
        <v>22.141539862174664</v>
      </c>
      <c r="AC697" s="438">
        <f t="shared" si="119"/>
        <v>22.803551118715241</v>
      </c>
      <c r="AD697" s="410"/>
      <c r="AE697" s="411"/>
      <c r="AF697" s="411"/>
      <c r="AG697" s="411"/>
    </row>
    <row r="698" spans="1:33" x14ac:dyDescent="0.2">
      <c r="A698" s="6" t="s">
        <v>617</v>
      </c>
      <c r="B698" s="18" t="str">
        <f>VLOOKUP(LEFT(A698,7),'Tariff Schedule Lookup Table'!$A$8:$G$186,2,FALSE)</f>
        <v>Incandescent 150</v>
      </c>
      <c r="C698" s="160">
        <f t="shared" si="110"/>
        <v>10</v>
      </c>
      <c r="D698" s="18">
        <f t="shared" si="111"/>
        <v>1</v>
      </c>
      <c r="E698" s="18" t="str">
        <f>VLOOKUP(C698,'Tariff Schedule Lookup Table'!I$7:L$286,2,FALSE)</f>
        <v>MERCURY VAPOUR 80W</v>
      </c>
      <c r="F698" s="18" t="str">
        <f>IF(E698 = "BULKHEADS ETC", "SHARED OR NO POLE", VLOOKUP(C698,'Tariff Schedule Lookup Table'!I$7:L$286,3,FALSE))</f>
        <v>SHARED OR NO POLE</v>
      </c>
      <c r="G698" s="18">
        <f>IF(E698 = "NO CAPITAL", 1, VLOOKUP(C698,'Tariff Schedule Lookup Table'!I$7:L$286,4,FALSE))</f>
        <v>1</v>
      </c>
      <c r="H698" s="18" t="str">
        <f t="shared" si="112"/>
        <v>1-Unmetered, CE Funded, CE Maintained</v>
      </c>
      <c r="I698" s="123">
        <f>VLOOKUP(F698,'Maintenance Model'!$A$57:$B$61,2,FALSE)</f>
        <v>0</v>
      </c>
      <c r="J698" s="123">
        <f>IF(D698=1,VLOOKUP(C698,'Capital Code Schedules'!A$15:F$300,2,FALSE),IF(D698=2,VLOOKUP(C698,'Capital Code Schedules'!A$15:F$300,3,FALSE),0))</f>
        <v>17.255027166785979</v>
      </c>
      <c r="K698" s="123">
        <v>21.887497717034414</v>
      </c>
      <c r="L698" s="123">
        <f>VLOOKUP(LEFT(A698,10),'Streetlight Tariff Schedule'!B$11:H$260,7, FALSE)+I698</f>
        <v>20.903227435573008</v>
      </c>
      <c r="M698" s="161">
        <f t="shared" si="113"/>
        <v>42.790725152607422</v>
      </c>
      <c r="N698" s="405">
        <f t="shared" si="114"/>
        <v>39.456325217781476</v>
      </c>
      <c r="O698" s="405">
        <v>89.575480417168194</v>
      </c>
      <c r="P698" s="406">
        <v>88.582523589975338</v>
      </c>
      <c r="Q698" s="406">
        <v>92.375114362042837</v>
      </c>
      <c r="R698" s="406">
        <v>93.392646870708703</v>
      </c>
      <c r="S698" s="405">
        <f t="shared" si="115"/>
        <v>40.959563266183586</v>
      </c>
      <c r="T698" s="406">
        <v>95.793938173447103</v>
      </c>
      <c r="U698" s="406">
        <v>97.190578075317106</v>
      </c>
      <c r="V698" s="405">
        <f t="shared" si="116"/>
        <v>42.500902304878103</v>
      </c>
      <c r="W698" s="406">
        <v>99.00663831466764</v>
      </c>
      <c r="X698" s="406">
        <v>101.33775550360558</v>
      </c>
      <c r="Y698" s="405">
        <f t="shared" si="117"/>
        <v>44.222254270083454</v>
      </c>
      <c r="Z698" s="406">
        <v>101.76668773625222</v>
      </c>
      <c r="AA698" s="406">
        <v>104.54056910957306</v>
      </c>
      <c r="AB698" s="442">
        <f t="shared" si="118"/>
        <v>45.103047037121385</v>
      </c>
      <c r="AC698" s="438">
        <f t="shared" si="119"/>
        <v>46.43591859897397</v>
      </c>
      <c r="AD698" s="410"/>
      <c r="AE698" s="411"/>
      <c r="AF698" s="411"/>
      <c r="AG698" s="411"/>
    </row>
    <row r="699" spans="1:33" x14ac:dyDescent="0.2">
      <c r="A699" s="6" t="s">
        <v>618</v>
      </c>
      <c r="B699" s="18" t="str">
        <f>VLOOKUP(LEFT(A699,7),'Tariff Schedule Lookup Table'!$A$8:$G$186,2,FALSE)</f>
        <v>Incandescent 150</v>
      </c>
      <c r="C699" s="160">
        <f t="shared" si="110"/>
        <v>10</v>
      </c>
      <c r="D699" s="18">
        <f t="shared" si="111"/>
        <v>2</v>
      </c>
      <c r="E699" s="18" t="str">
        <f>VLOOKUP(C699,'Tariff Schedule Lookup Table'!I$7:L$286,2,FALSE)</f>
        <v>MERCURY VAPOUR 80W</v>
      </c>
      <c r="F699" s="18" t="str">
        <f>IF(E699 = "BULKHEADS ETC", "SHARED OR NO POLE", VLOOKUP(C699,'Tariff Schedule Lookup Table'!I$7:L$286,3,FALSE))</f>
        <v>SHARED OR NO POLE</v>
      </c>
      <c r="G699" s="18">
        <f>IF(E699 = "NO CAPITAL", 1, VLOOKUP(C699,'Tariff Schedule Lookup Table'!I$7:L$286,4,FALSE))</f>
        <v>1</v>
      </c>
      <c r="H699" s="18" t="str">
        <f t="shared" si="112"/>
        <v>2-Unmetered, Funded by Others, CE Maintained</v>
      </c>
      <c r="I699" s="123">
        <f>VLOOKUP(F699,'Maintenance Model'!$A$57:$B$61,2,FALSE)</f>
        <v>0</v>
      </c>
      <c r="J699" s="123">
        <f>IF(D699=1,VLOOKUP(C699,'Capital Code Schedules'!A$15:F$300,2,FALSE),IF(D699=2,VLOOKUP(C699,'Capital Code Schedules'!A$15:F$300,3,FALSE),0))</f>
        <v>0</v>
      </c>
      <c r="K699" s="123">
        <v>0</v>
      </c>
      <c r="L699" s="123">
        <f>VLOOKUP(LEFT(A699,10),'Streetlight Tariff Schedule'!B$11:H$260,7, FALSE)+I699</f>
        <v>20.903227435573008</v>
      </c>
      <c r="M699" s="161">
        <f t="shared" si="113"/>
        <v>20.903227435573008</v>
      </c>
      <c r="N699" s="405">
        <f t="shared" si="114"/>
        <v>21.774236128617545</v>
      </c>
      <c r="O699" s="405">
        <v>66.153310304444332</v>
      </c>
      <c r="P699" s="406">
        <v>66.153310304444332</v>
      </c>
      <c r="Q699" s="406">
        <v>69.390778047694937</v>
      </c>
      <c r="R699" s="406">
        <v>69.390778047694937</v>
      </c>
      <c r="S699" s="405">
        <f t="shared" si="115"/>
        <v>22.839842472062848</v>
      </c>
      <c r="T699" s="406">
        <v>72.240739535319094</v>
      </c>
      <c r="U699" s="406">
        <v>72.504655990847439</v>
      </c>
      <c r="V699" s="405">
        <f t="shared" si="116"/>
        <v>23.864769468124923</v>
      </c>
      <c r="W699" s="406">
        <v>74.870498010245953</v>
      </c>
      <c r="X699" s="406">
        <v>75.814980660472401</v>
      </c>
      <c r="Y699" s="405">
        <f t="shared" si="117"/>
        <v>24.954356530164343</v>
      </c>
      <c r="Z699" s="406">
        <v>77.033177959296111</v>
      </c>
      <c r="AA699" s="406">
        <v>78.290395183410567</v>
      </c>
      <c r="AB699" s="442">
        <f t="shared" si="118"/>
        <v>25.496034296979694</v>
      </c>
      <c r="AC699" s="438">
        <f t="shared" si="119"/>
        <v>26.258341788094153</v>
      </c>
      <c r="AD699" s="410"/>
      <c r="AE699" s="411"/>
      <c r="AF699" s="411"/>
      <c r="AG699" s="411"/>
    </row>
    <row r="700" spans="1:33" x14ac:dyDescent="0.2">
      <c r="A700" s="6" t="s">
        <v>619</v>
      </c>
      <c r="B700" s="18" t="str">
        <f>VLOOKUP(LEFT(A700,7),'Tariff Schedule Lookup Table'!$A$8:$G$186,2,FALSE)</f>
        <v>Incandescent 150</v>
      </c>
      <c r="C700" s="160">
        <f t="shared" si="110"/>
        <v>110</v>
      </c>
      <c r="D700" s="18">
        <f t="shared" si="111"/>
        <v>2</v>
      </c>
      <c r="E700" s="18" t="str">
        <f>VLOOKUP(C700,'Tariff Schedule Lookup Table'!I$7:L$286,2,FALSE)</f>
        <v>BULKHEADS ETC</v>
      </c>
      <c r="F700" s="18" t="str">
        <f>IF(E700 = "BULKHEADS ETC", "SHARED OR NO POLE", VLOOKUP(C700,'Tariff Schedule Lookup Table'!I$7:L$286,3,FALSE))</f>
        <v>SHARED OR NO POLE</v>
      </c>
      <c r="G700" s="18">
        <f>IF(E700 = "NO CAPITAL", 1, VLOOKUP(C700,'Tariff Schedule Lookup Table'!I$7:L$286,4,FALSE))</f>
        <v>1</v>
      </c>
      <c r="H700" s="18" t="str">
        <f t="shared" si="112"/>
        <v>2-Unmetered, Funded by Others, CE Maintained</v>
      </c>
      <c r="I700" s="123">
        <f>VLOOKUP(F700,'Maintenance Model'!$A$57:$B$61,2,FALSE)</f>
        <v>0</v>
      </c>
      <c r="J700" s="123">
        <f>IF(D700=1,VLOOKUP(C700,'Capital Code Schedules'!A$15:F$300,2,FALSE),IF(D700=2,VLOOKUP(C700,'Capital Code Schedules'!A$15:F$300,3,FALSE),0))</f>
        <v>0</v>
      </c>
      <c r="K700" s="123">
        <v>0</v>
      </c>
      <c r="L700" s="123">
        <f>VLOOKUP(LEFT(A700,10),'Streetlight Tariff Schedule'!B$11:H$260,7, FALSE)+I700</f>
        <v>20.903227435573008</v>
      </c>
      <c r="M700" s="161">
        <f t="shared" si="113"/>
        <v>20.903227435573008</v>
      </c>
      <c r="N700" s="405">
        <f t="shared" si="114"/>
        <v>21.774236128617545</v>
      </c>
      <c r="O700" s="405">
        <v>66.153310304444332</v>
      </c>
      <c r="P700" s="406">
        <v>66.153310304444332</v>
      </c>
      <c r="Q700" s="406">
        <v>69.390778047694937</v>
      </c>
      <c r="R700" s="406">
        <v>69.390778047694937</v>
      </c>
      <c r="S700" s="405">
        <f t="shared" si="115"/>
        <v>22.839842472062848</v>
      </c>
      <c r="T700" s="406">
        <v>72.240739535319094</v>
      </c>
      <c r="U700" s="406">
        <v>72.504655990847439</v>
      </c>
      <c r="V700" s="405">
        <f t="shared" si="116"/>
        <v>23.864769468124923</v>
      </c>
      <c r="W700" s="406">
        <v>74.870498010245953</v>
      </c>
      <c r="X700" s="406">
        <v>75.814980660472401</v>
      </c>
      <c r="Y700" s="405">
        <f t="shared" si="117"/>
        <v>24.954356530164343</v>
      </c>
      <c r="Z700" s="406">
        <v>77.033177959296111</v>
      </c>
      <c r="AA700" s="406">
        <v>78.290395183410567</v>
      </c>
      <c r="AB700" s="442">
        <f t="shared" si="118"/>
        <v>25.496034296979694</v>
      </c>
      <c r="AC700" s="438">
        <f t="shared" si="119"/>
        <v>26.258341788094153</v>
      </c>
      <c r="AD700" s="410"/>
      <c r="AE700" s="411"/>
      <c r="AF700" s="411"/>
      <c r="AG700" s="411"/>
    </row>
    <row r="701" spans="1:33" x14ac:dyDescent="0.2">
      <c r="A701" s="6" t="s">
        <v>620</v>
      </c>
      <c r="B701" s="18" t="str">
        <f>VLOOKUP(LEFT(A701,7),'Tariff Schedule Lookup Table'!$A$8:$G$186,2,FALSE)</f>
        <v>Incandescent 150</v>
      </c>
      <c r="C701" s="160">
        <f t="shared" si="110"/>
        <v>810</v>
      </c>
      <c r="D701" s="18">
        <f t="shared" si="111"/>
        <v>1</v>
      </c>
      <c r="E701" s="18" t="str">
        <f>VLOOKUP(C701,'Tariff Schedule Lookup Table'!I$7:L$286,2,FALSE)</f>
        <v>MERCURY VAPOUR 80W</v>
      </c>
      <c r="F701" s="18" t="str">
        <f>IF(E701 = "BULKHEADS ETC", "SHARED OR NO POLE", VLOOKUP(C701,'Tariff Schedule Lookup Table'!I$7:L$286,3,FALSE))</f>
        <v>WOOD POLE</v>
      </c>
      <c r="G701" s="18">
        <f>IF(E701 = "NO CAPITAL", 1, VLOOKUP(C701,'Tariff Schedule Lookup Table'!I$7:L$286,4,FALSE))</f>
        <v>1</v>
      </c>
      <c r="H701" s="18" t="str">
        <f t="shared" si="112"/>
        <v>1-Unmetered, CE Funded, CE Maintained</v>
      </c>
      <c r="I701" s="123">
        <f>VLOOKUP(F701,'Maintenance Model'!$A$57:$B$61,2,FALSE)</f>
        <v>10.731618231111112</v>
      </c>
      <c r="J701" s="123">
        <f>IF(D701=1,VLOOKUP(C701,'Capital Code Schedules'!A$15:F$300,2,FALSE),IF(D701=2,VLOOKUP(C701,'Capital Code Schedules'!A$15:F$300,3,FALSE),0))</f>
        <v>51.156145528662286</v>
      </c>
      <c r="K701" s="123">
        <v>64.890075665956445</v>
      </c>
      <c r="L701" s="123">
        <f>VLOOKUP(LEFT(A701,10),'Streetlight Tariff Schedule'!B$11:H$260,7, FALSE)+I701</f>
        <v>31.634845666684122</v>
      </c>
      <c r="M701" s="161">
        <f t="shared" si="113"/>
        <v>96.52492133264056</v>
      </c>
      <c r="N701" s="405">
        <f t="shared" si="114"/>
        <v>85.375286239111631</v>
      </c>
      <c r="O701" s="405">
        <v>145.98944410480433</v>
      </c>
      <c r="P701" s="406">
        <v>143.04561541855739</v>
      </c>
      <c r="Q701" s="406">
        <v>148.43763996538274</v>
      </c>
      <c r="R701" s="406">
        <v>151.45432841161431</v>
      </c>
      <c r="S701" s="405">
        <f t="shared" si="115"/>
        <v>88.285420784226147</v>
      </c>
      <c r="T701" s="406">
        <v>153.42199345419365</v>
      </c>
      <c r="U701" s="406">
        <v>157.08558133856167</v>
      </c>
      <c r="V701" s="405">
        <f t="shared" si="116"/>
        <v>91.367552224384653</v>
      </c>
      <c r="W701" s="406">
        <v>158.1932794992201</v>
      </c>
      <c r="X701" s="406">
        <v>163.39715935449593</v>
      </c>
      <c r="Y701" s="405">
        <f t="shared" si="117"/>
        <v>94.88952764159805</v>
      </c>
      <c r="Z701" s="406">
        <v>162.46685842031624</v>
      </c>
      <c r="AA701" s="406">
        <v>168.41812010889092</v>
      </c>
      <c r="AB701" s="442">
        <f t="shared" si="118"/>
        <v>96.714677728488908</v>
      </c>
      <c r="AC701" s="438">
        <f t="shared" si="119"/>
        <v>99.559907090534296</v>
      </c>
      <c r="AD701" s="410"/>
      <c r="AE701" s="411"/>
      <c r="AF701" s="411"/>
      <c r="AG701" s="411"/>
    </row>
    <row r="702" spans="1:33" x14ac:dyDescent="0.2">
      <c r="A702" s="6" t="s">
        <v>621</v>
      </c>
      <c r="B702" s="18" t="str">
        <f>VLOOKUP(LEFT(A702,7),'Tariff Schedule Lookup Table'!$A$8:$G$186,2,FALSE)</f>
        <v>Incandescent 200</v>
      </c>
      <c r="C702" s="160">
        <f t="shared" si="110"/>
        <v>10</v>
      </c>
      <c r="D702" s="18">
        <f t="shared" si="111"/>
        <v>1</v>
      </c>
      <c r="E702" s="18" t="str">
        <f>VLOOKUP(C702,'Tariff Schedule Lookup Table'!I$7:L$286,2,FALSE)</f>
        <v>MERCURY VAPOUR 80W</v>
      </c>
      <c r="F702" s="18" t="str">
        <f>IF(E702 = "BULKHEADS ETC", "SHARED OR NO POLE", VLOOKUP(C702,'Tariff Schedule Lookup Table'!I$7:L$286,3,FALSE))</f>
        <v>SHARED OR NO POLE</v>
      </c>
      <c r="G702" s="18">
        <f>IF(E702 = "NO CAPITAL", 1, VLOOKUP(C702,'Tariff Schedule Lookup Table'!I$7:L$286,4,FALSE))</f>
        <v>1</v>
      </c>
      <c r="H702" s="18" t="str">
        <f t="shared" si="112"/>
        <v>1-Unmetered, CE Funded, CE Maintained</v>
      </c>
      <c r="I702" s="123">
        <f>VLOOKUP(F702,'Maintenance Model'!$A$57:$B$61,2,FALSE)</f>
        <v>0</v>
      </c>
      <c r="J702" s="123">
        <f>IF(D702=1,VLOOKUP(C702,'Capital Code Schedules'!A$15:F$300,2,FALSE),IF(D702=2,VLOOKUP(C702,'Capital Code Schedules'!A$15:F$300,3,FALSE),0))</f>
        <v>17.255027166785979</v>
      </c>
      <c r="K702" s="123">
        <v>21.887497717034414</v>
      </c>
      <c r="L702" s="123">
        <f>VLOOKUP(LEFT(A702,10),'Streetlight Tariff Schedule'!B$11:H$260,7, FALSE)+I702</f>
        <v>20.903227435573008</v>
      </c>
      <c r="M702" s="161">
        <f t="shared" si="113"/>
        <v>42.790725152607422</v>
      </c>
      <c r="N702" s="405">
        <f t="shared" si="114"/>
        <v>39.456325217781476</v>
      </c>
      <c r="O702" s="405">
        <v>89.575480417168194</v>
      </c>
      <c r="P702" s="406">
        <v>88.582523589975338</v>
      </c>
      <c r="Q702" s="406">
        <v>92.375114362042837</v>
      </c>
      <c r="R702" s="406">
        <v>93.392646870708703</v>
      </c>
      <c r="S702" s="405">
        <f t="shared" si="115"/>
        <v>40.959563266183586</v>
      </c>
      <c r="T702" s="406">
        <v>95.793938173447103</v>
      </c>
      <c r="U702" s="406">
        <v>97.190578075317106</v>
      </c>
      <c r="V702" s="405">
        <f t="shared" si="116"/>
        <v>42.500902304878103</v>
      </c>
      <c r="W702" s="406">
        <v>99.00663831466764</v>
      </c>
      <c r="X702" s="406">
        <v>101.33775550360558</v>
      </c>
      <c r="Y702" s="405">
        <f t="shared" si="117"/>
        <v>44.222254270083454</v>
      </c>
      <c r="Z702" s="406">
        <v>101.76668773625222</v>
      </c>
      <c r="AA702" s="406">
        <v>104.54056910957306</v>
      </c>
      <c r="AB702" s="442">
        <f t="shared" si="118"/>
        <v>45.103047037121385</v>
      </c>
      <c r="AC702" s="438">
        <f t="shared" si="119"/>
        <v>46.43591859897397</v>
      </c>
      <c r="AD702" s="410"/>
      <c r="AE702" s="411"/>
      <c r="AF702" s="411"/>
      <c r="AG702" s="411"/>
    </row>
    <row r="703" spans="1:33" x14ac:dyDescent="0.2">
      <c r="A703" s="6" t="s">
        <v>622</v>
      </c>
      <c r="B703" s="18" t="str">
        <f>VLOOKUP(LEFT(A703,7),'Tariff Schedule Lookup Table'!$A$8:$G$186,2,FALSE)</f>
        <v>Incandescent 200</v>
      </c>
      <c r="C703" s="160">
        <f t="shared" ref="C703:C750" si="120">1*MID(A703,12,4)</f>
        <v>10</v>
      </c>
      <c r="D703" s="18">
        <f t="shared" ref="D703:D750" si="121">1*(MID(A703,17,3))</f>
        <v>2</v>
      </c>
      <c r="E703" s="18" t="str">
        <f>VLOOKUP(C703,'Tariff Schedule Lookup Table'!I$7:L$286,2,FALSE)</f>
        <v>MERCURY VAPOUR 80W</v>
      </c>
      <c r="F703" s="18" t="str">
        <f>IF(E703 = "BULKHEADS ETC", "SHARED OR NO POLE", VLOOKUP(C703,'Tariff Schedule Lookup Table'!I$7:L$286,3,FALSE))</f>
        <v>SHARED OR NO POLE</v>
      </c>
      <c r="G703" s="18">
        <f>IF(E703 = "NO CAPITAL", 1, VLOOKUP(C703,'Tariff Schedule Lookup Table'!I$7:L$286,4,FALSE))</f>
        <v>1</v>
      </c>
      <c r="H703" s="18" t="str">
        <f t="shared" ref="H703:H750" si="122">VLOOKUP(D703,A$11:B$15, 2, FALSE)</f>
        <v>2-Unmetered, Funded by Others, CE Maintained</v>
      </c>
      <c r="I703" s="123">
        <f>VLOOKUP(F703,'Maintenance Model'!$A$57:$B$61,2,FALSE)</f>
        <v>0</v>
      </c>
      <c r="J703" s="123">
        <f>IF(D703=1,VLOOKUP(C703,'Capital Code Schedules'!A$15:F$300,2,FALSE),IF(D703=2,VLOOKUP(C703,'Capital Code Schedules'!A$15:F$300,3,FALSE),0))</f>
        <v>0</v>
      </c>
      <c r="K703" s="123">
        <v>0</v>
      </c>
      <c r="L703" s="123">
        <f>VLOOKUP(LEFT(A703,10),'Streetlight Tariff Schedule'!B$11:H$260,7, FALSE)+I703</f>
        <v>20.903227435573008</v>
      </c>
      <c r="M703" s="161">
        <f t="shared" si="113"/>
        <v>20.903227435573008</v>
      </c>
      <c r="N703" s="405">
        <f t="shared" si="114"/>
        <v>21.774236128617545</v>
      </c>
      <c r="O703" s="405">
        <v>66.153310304444332</v>
      </c>
      <c r="P703" s="406">
        <v>66.153310304444332</v>
      </c>
      <c r="Q703" s="406">
        <v>69.390778047694937</v>
      </c>
      <c r="R703" s="406">
        <v>69.390778047694937</v>
      </c>
      <c r="S703" s="405">
        <f t="shared" si="115"/>
        <v>22.839842472062848</v>
      </c>
      <c r="T703" s="406">
        <v>72.240739535319094</v>
      </c>
      <c r="U703" s="406">
        <v>72.504655990847439</v>
      </c>
      <c r="V703" s="405">
        <f t="shared" si="116"/>
        <v>23.864769468124923</v>
      </c>
      <c r="W703" s="406">
        <v>74.870498010245953</v>
      </c>
      <c r="X703" s="406">
        <v>75.814980660472401</v>
      </c>
      <c r="Y703" s="405">
        <f t="shared" si="117"/>
        <v>24.954356530164343</v>
      </c>
      <c r="Z703" s="406">
        <v>77.033177959296111</v>
      </c>
      <c r="AA703" s="406">
        <v>78.290395183410567</v>
      </c>
      <c r="AB703" s="442">
        <f t="shared" si="118"/>
        <v>25.496034296979694</v>
      </c>
      <c r="AC703" s="438">
        <f t="shared" si="119"/>
        <v>26.258341788094153</v>
      </c>
      <c r="AD703" s="410"/>
      <c r="AE703" s="411"/>
      <c r="AF703" s="411"/>
      <c r="AG703" s="411"/>
    </row>
    <row r="704" spans="1:33" x14ac:dyDescent="0.2">
      <c r="A704" s="6" t="s">
        <v>623</v>
      </c>
      <c r="B704" s="18" t="str">
        <f>VLOOKUP(LEFT(A704,7),'Tariff Schedule Lookup Table'!$A$8:$G$186,2,FALSE)</f>
        <v>Incandescent 200</v>
      </c>
      <c r="C704" s="160">
        <f t="shared" si="120"/>
        <v>810</v>
      </c>
      <c r="D704" s="18">
        <f t="shared" si="121"/>
        <v>1</v>
      </c>
      <c r="E704" s="18" t="str">
        <f>VLOOKUP(C704,'Tariff Schedule Lookup Table'!I$7:L$286,2,FALSE)</f>
        <v>MERCURY VAPOUR 80W</v>
      </c>
      <c r="F704" s="18" t="str">
        <f>IF(E704 = "BULKHEADS ETC", "SHARED OR NO POLE", VLOOKUP(C704,'Tariff Schedule Lookup Table'!I$7:L$286,3,FALSE))</f>
        <v>WOOD POLE</v>
      </c>
      <c r="G704" s="18">
        <f>IF(E704 = "NO CAPITAL", 1, VLOOKUP(C704,'Tariff Schedule Lookup Table'!I$7:L$286,4,FALSE))</f>
        <v>1</v>
      </c>
      <c r="H704" s="18" t="str">
        <f t="shared" si="122"/>
        <v>1-Unmetered, CE Funded, CE Maintained</v>
      </c>
      <c r="I704" s="123">
        <f>VLOOKUP(F704,'Maintenance Model'!$A$57:$B$61,2,FALSE)</f>
        <v>10.731618231111112</v>
      </c>
      <c r="J704" s="123">
        <f>IF(D704=1,VLOOKUP(C704,'Capital Code Schedules'!A$15:F$300,2,FALSE),IF(D704=2,VLOOKUP(C704,'Capital Code Schedules'!A$15:F$300,3,FALSE),0))</f>
        <v>51.156145528662286</v>
      </c>
      <c r="K704" s="123">
        <v>64.890075665956445</v>
      </c>
      <c r="L704" s="123">
        <f>VLOOKUP(LEFT(A704,10),'Streetlight Tariff Schedule'!B$11:H$260,7, FALSE)+I704</f>
        <v>31.634845666684122</v>
      </c>
      <c r="M704" s="161">
        <f t="shared" si="113"/>
        <v>96.52492133264056</v>
      </c>
      <c r="N704" s="405">
        <f t="shared" si="114"/>
        <v>85.375286239111631</v>
      </c>
      <c r="O704" s="405">
        <v>145.98944410480433</v>
      </c>
      <c r="P704" s="406">
        <v>143.04561541855739</v>
      </c>
      <c r="Q704" s="406">
        <v>148.43763996538274</v>
      </c>
      <c r="R704" s="406">
        <v>151.45432841161431</v>
      </c>
      <c r="S704" s="405">
        <f t="shared" si="115"/>
        <v>88.285420784226147</v>
      </c>
      <c r="T704" s="406">
        <v>153.42199345419365</v>
      </c>
      <c r="U704" s="406">
        <v>157.08558133856167</v>
      </c>
      <c r="V704" s="405">
        <f t="shared" si="116"/>
        <v>91.367552224384653</v>
      </c>
      <c r="W704" s="406">
        <v>158.1932794992201</v>
      </c>
      <c r="X704" s="406">
        <v>163.39715935449593</v>
      </c>
      <c r="Y704" s="405">
        <f t="shared" si="117"/>
        <v>94.88952764159805</v>
      </c>
      <c r="Z704" s="406">
        <v>162.46685842031624</v>
      </c>
      <c r="AA704" s="406">
        <v>168.41812010889092</v>
      </c>
      <c r="AB704" s="442">
        <f t="shared" si="118"/>
        <v>96.714677728488908</v>
      </c>
      <c r="AC704" s="438">
        <f t="shared" si="119"/>
        <v>99.559907090534296</v>
      </c>
      <c r="AD704" s="410"/>
      <c r="AE704" s="411"/>
      <c r="AF704" s="411"/>
      <c r="AG704" s="411"/>
    </row>
    <row r="705" spans="1:33" x14ac:dyDescent="0.2">
      <c r="A705" s="6" t="s">
        <v>624</v>
      </c>
      <c r="B705" s="18" t="str">
        <f>VLOOKUP(LEFT(A705,7),'Tariff Schedule Lookup Table'!$A$8:$G$186,2,FALSE)</f>
        <v>Incandescent 300</v>
      </c>
      <c r="C705" s="160">
        <f t="shared" si="120"/>
        <v>10</v>
      </c>
      <c r="D705" s="18">
        <f t="shared" si="121"/>
        <v>1</v>
      </c>
      <c r="E705" s="18" t="str">
        <f>VLOOKUP(C705,'Tariff Schedule Lookup Table'!I$7:L$286,2,FALSE)</f>
        <v>MERCURY VAPOUR 80W</v>
      </c>
      <c r="F705" s="18" t="str">
        <f>IF(E705 = "BULKHEADS ETC", "SHARED OR NO POLE", VLOOKUP(C705,'Tariff Schedule Lookup Table'!I$7:L$286,3,FALSE))</f>
        <v>SHARED OR NO POLE</v>
      </c>
      <c r="G705" s="18">
        <f>IF(E705 = "NO CAPITAL", 1, VLOOKUP(C705,'Tariff Schedule Lookup Table'!I$7:L$286,4,FALSE))</f>
        <v>1</v>
      </c>
      <c r="H705" s="18" t="str">
        <f t="shared" si="122"/>
        <v>1-Unmetered, CE Funded, CE Maintained</v>
      </c>
      <c r="I705" s="123">
        <f>VLOOKUP(F705,'Maintenance Model'!$A$57:$B$61,2,FALSE)</f>
        <v>0</v>
      </c>
      <c r="J705" s="123">
        <f>IF(D705=1,VLOOKUP(C705,'Capital Code Schedules'!A$15:F$300,2,FALSE),IF(D705=2,VLOOKUP(C705,'Capital Code Schedules'!A$15:F$300,3,FALSE),0))</f>
        <v>17.255027166785979</v>
      </c>
      <c r="K705" s="123">
        <v>21.887497717034414</v>
      </c>
      <c r="L705" s="123">
        <f>VLOOKUP(LEFT(A705,10),'Streetlight Tariff Schedule'!B$11:H$260,7, FALSE)+I705</f>
        <v>20.903227435573008</v>
      </c>
      <c r="M705" s="161">
        <f t="shared" si="113"/>
        <v>42.790725152607422</v>
      </c>
      <c r="N705" s="405">
        <f t="shared" si="114"/>
        <v>39.456325217781476</v>
      </c>
      <c r="O705" s="405">
        <v>89.575480417168194</v>
      </c>
      <c r="P705" s="406">
        <v>88.582523589975338</v>
      </c>
      <c r="Q705" s="406">
        <v>92.375114362042837</v>
      </c>
      <c r="R705" s="406">
        <v>93.392646870708703</v>
      </c>
      <c r="S705" s="405">
        <f t="shared" si="115"/>
        <v>40.959563266183586</v>
      </c>
      <c r="T705" s="406">
        <v>95.793938173447103</v>
      </c>
      <c r="U705" s="406">
        <v>97.190578075317106</v>
      </c>
      <c r="V705" s="405">
        <f t="shared" si="116"/>
        <v>42.500902304878103</v>
      </c>
      <c r="W705" s="406">
        <v>99.00663831466764</v>
      </c>
      <c r="X705" s="406">
        <v>101.33775550360558</v>
      </c>
      <c r="Y705" s="405">
        <f t="shared" si="117"/>
        <v>44.222254270083454</v>
      </c>
      <c r="Z705" s="406">
        <v>101.76668773625222</v>
      </c>
      <c r="AA705" s="406">
        <v>104.54056910957306</v>
      </c>
      <c r="AB705" s="442">
        <f t="shared" si="118"/>
        <v>45.103047037121385</v>
      </c>
      <c r="AC705" s="438">
        <f t="shared" si="119"/>
        <v>46.43591859897397</v>
      </c>
      <c r="AD705" s="410"/>
      <c r="AE705" s="411"/>
      <c r="AF705" s="411"/>
      <c r="AG705" s="411"/>
    </row>
    <row r="706" spans="1:33" x14ac:dyDescent="0.2">
      <c r="A706" s="6" t="s">
        <v>625</v>
      </c>
      <c r="B706" s="18" t="str">
        <f>VLOOKUP(LEFT(A706,7),'Tariff Schedule Lookup Table'!$A$8:$G$186,2,FALSE)</f>
        <v>Incandescent 300</v>
      </c>
      <c r="C706" s="160">
        <f t="shared" si="120"/>
        <v>10</v>
      </c>
      <c r="D706" s="18">
        <f t="shared" si="121"/>
        <v>2</v>
      </c>
      <c r="E706" s="18" t="str">
        <f>VLOOKUP(C706,'Tariff Schedule Lookup Table'!I$7:L$286,2,FALSE)</f>
        <v>MERCURY VAPOUR 80W</v>
      </c>
      <c r="F706" s="18" t="str">
        <f>IF(E706 = "BULKHEADS ETC", "SHARED OR NO POLE", VLOOKUP(C706,'Tariff Schedule Lookup Table'!I$7:L$286,3,FALSE))</f>
        <v>SHARED OR NO POLE</v>
      </c>
      <c r="G706" s="18">
        <f>IF(E706 = "NO CAPITAL", 1, VLOOKUP(C706,'Tariff Schedule Lookup Table'!I$7:L$286,4,FALSE))</f>
        <v>1</v>
      </c>
      <c r="H706" s="18" t="str">
        <f t="shared" si="122"/>
        <v>2-Unmetered, Funded by Others, CE Maintained</v>
      </c>
      <c r="I706" s="123">
        <f>VLOOKUP(F706,'Maintenance Model'!$A$57:$B$61,2,FALSE)</f>
        <v>0</v>
      </c>
      <c r="J706" s="123">
        <f>IF(D706=1,VLOOKUP(C706,'Capital Code Schedules'!A$15:F$300,2,FALSE),IF(D706=2,VLOOKUP(C706,'Capital Code Schedules'!A$15:F$300,3,FALSE),0))</f>
        <v>0</v>
      </c>
      <c r="K706" s="123">
        <v>0</v>
      </c>
      <c r="L706" s="123">
        <f>VLOOKUP(LEFT(A706,10),'Streetlight Tariff Schedule'!B$11:H$260,7, FALSE)+I706</f>
        <v>20.903227435573008</v>
      </c>
      <c r="M706" s="161">
        <f t="shared" si="113"/>
        <v>20.903227435573008</v>
      </c>
      <c r="N706" s="405">
        <f t="shared" si="114"/>
        <v>21.774236128617545</v>
      </c>
      <c r="O706" s="405">
        <v>66.153310304444332</v>
      </c>
      <c r="P706" s="406">
        <v>66.153310304444332</v>
      </c>
      <c r="Q706" s="406">
        <v>69.390778047694937</v>
      </c>
      <c r="R706" s="406">
        <v>69.390778047694937</v>
      </c>
      <c r="S706" s="405">
        <f t="shared" si="115"/>
        <v>22.839842472062848</v>
      </c>
      <c r="T706" s="406">
        <v>72.240739535319094</v>
      </c>
      <c r="U706" s="406">
        <v>72.504655990847439</v>
      </c>
      <c r="V706" s="405">
        <f t="shared" si="116"/>
        <v>23.864769468124923</v>
      </c>
      <c r="W706" s="406">
        <v>74.870498010245953</v>
      </c>
      <c r="X706" s="406">
        <v>75.814980660472401</v>
      </c>
      <c r="Y706" s="405">
        <f t="shared" si="117"/>
        <v>24.954356530164343</v>
      </c>
      <c r="Z706" s="406">
        <v>77.033177959296111</v>
      </c>
      <c r="AA706" s="406">
        <v>78.290395183410567</v>
      </c>
      <c r="AB706" s="442">
        <f t="shared" si="118"/>
        <v>25.496034296979694</v>
      </c>
      <c r="AC706" s="438">
        <f t="shared" si="119"/>
        <v>26.258341788094153</v>
      </c>
      <c r="AD706" s="410"/>
      <c r="AE706" s="411"/>
      <c r="AF706" s="411"/>
      <c r="AG706" s="411"/>
    </row>
    <row r="707" spans="1:33" x14ac:dyDescent="0.2">
      <c r="A707" s="6" t="s">
        <v>626</v>
      </c>
      <c r="B707" s="18" t="str">
        <f>VLOOKUP(LEFT(A707,7),'Tariff Schedule Lookup Table'!$A$8:$G$186,2,FALSE)</f>
        <v>Incandescent 300</v>
      </c>
      <c r="C707" s="160">
        <f t="shared" si="120"/>
        <v>610</v>
      </c>
      <c r="D707" s="18">
        <f t="shared" si="121"/>
        <v>1</v>
      </c>
      <c r="E707" s="18" t="str">
        <f>VLOOKUP(C707,'Tariff Schedule Lookup Table'!I$7:L$286,2,FALSE)</f>
        <v>METAL HALIDE/HPS 250W FLOOD (210/220)</v>
      </c>
      <c r="F707" s="18" t="str">
        <f>IF(E707 = "BULKHEADS ETC", "SHARED OR NO POLE", VLOOKUP(C707,'Tariff Schedule Lookup Table'!I$7:L$286,3,FALSE))</f>
        <v>SHARED OR NO POLE</v>
      </c>
      <c r="G707" s="18">
        <f>IF(E707 = "NO CAPITAL", 1, VLOOKUP(C707,'Tariff Schedule Lookup Table'!I$7:L$286,4,FALSE))</f>
        <v>1</v>
      </c>
      <c r="H707" s="18" t="str">
        <f t="shared" si="122"/>
        <v>1-Unmetered, CE Funded, CE Maintained</v>
      </c>
      <c r="I707" s="123">
        <f>VLOOKUP(F707,'Maintenance Model'!$A$57:$B$61,2,FALSE)</f>
        <v>0</v>
      </c>
      <c r="J707" s="123">
        <f>IF(D707=1,VLOOKUP(C707,'Capital Code Schedules'!A$15:F$300,2,FALSE),IF(D707=2,VLOOKUP(C707,'Capital Code Schedules'!A$15:F$300,3,FALSE),0))</f>
        <v>37.215587737644988</v>
      </c>
      <c r="K707" s="123">
        <v>47.206885493274058</v>
      </c>
      <c r="L707" s="123">
        <f>VLOOKUP(LEFT(A707,10),'Streetlight Tariff Schedule'!B$11:H$260,7, FALSE)+I707</f>
        <v>20.903227435573008</v>
      </c>
      <c r="M707" s="161">
        <f t="shared" si="113"/>
        <v>68.110112928847059</v>
      </c>
      <c r="N707" s="405">
        <f t="shared" si="114"/>
        <v>59.910909662769249</v>
      </c>
      <c r="O707" s="405">
        <v>116.67017234184458</v>
      </c>
      <c r="P707" s="406">
        <v>114.52856621367692</v>
      </c>
      <c r="Q707" s="406">
        <v>118.96332154068104</v>
      </c>
      <c r="R707" s="406">
        <v>121.15793242052084</v>
      </c>
      <c r="S707" s="405">
        <f t="shared" si="115"/>
        <v>61.920398676184803</v>
      </c>
      <c r="T707" s="406">
        <v>123.0402034797566</v>
      </c>
      <c r="U707" s="406">
        <v>125.74717426329889</v>
      </c>
      <c r="V707" s="405">
        <f t="shared" si="116"/>
        <v>64.059121524064352</v>
      </c>
      <c r="W707" s="406">
        <v>126.92724868730829</v>
      </c>
      <c r="X707" s="406">
        <v>130.86242030235994</v>
      </c>
      <c r="Y707" s="405">
        <f t="shared" si="117"/>
        <v>66.511297120800123</v>
      </c>
      <c r="Z707" s="406">
        <v>130.37833321561573</v>
      </c>
      <c r="AA707" s="406">
        <v>134.90668685509192</v>
      </c>
      <c r="AB707" s="442">
        <f t="shared" si="118"/>
        <v>67.784377042010675</v>
      </c>
      <c r="AC707" s="438">
        <f t="shared" si="119"/>
        <v>69.777275307005524</v>
      </c>
      <c r="AD707" s="410"/>
      <c r="AE707" s="411"/>
      <c r="AF707" s="411"/>
      <c r="AG707" s="411"/>
    </row>
    <row r="708" spans="1:33" x14ac:dyDescent="0.2">
      <c r="A708" s="6" t="s">
        <v>627</v>
      </c>
      <c r="B708" s="18" t="str">
        <f>VLOOKUP(LEFT(A708,7),'Tariff Schedule Lookup Table'!$A$8:$G$186,2,FALSE)</f>
        <v>Incandescent 300</v>
      </c>
      <c r="C708" s="160">
        <f t="shared" si="120"/>
        <v>810</v>
      </c>
      <c r="D708" s="18">
        <f t="shared" si="121"/>
        <v>1</v>
      </c>
      <c r="E708" s="18" t="str">
        <f>VLOOKUP(C708,'Tariff Schedule Lookup Table'!I$7:L$286,2,FALSE)</f>
        <v>MERCURY VAPOUR 80W</v>
      </c>
      <c r="F708" s="18" t="str">
        <f>IF(E708 = "BULKHEADS ETC", "SHARED OR NO POLE", VLOOKUP(C708,'Tariff Schedule Lookup Table'!I$7:L$286,3,FALSE))</f>
        <v>WOOD POLE</v>
      </c>
      <c r="G708" s="18">
        <f>IF(E708 = "NO CAPITAL", 1, VLOOKUP(C708,'Tariff Schedule Lookup Table'!I$7:L$286,4,FALSE))</f>
        <v>1</v>
      </c>
      <c r="H708" s="18" t="str">
        <f t="shared" si="122"/>
        <v>1-Unmetered, CE Funded, CE Maintained</v>
      </c>
      <c r="I708" s="123">
        <f>VLOOKUP(F708,'Maintenance Model'!$A$57:$B$61,2,FALSE)</f>
        <v>10.731618231111112</v>
      </c>
      <c r="J708" s="123">
        <f>IF(D708=1,VLOOKUP(C708,'Capital Code Schedules'!A$15:F$300,2,FALSE),IF(D708=2,VLOOKUP(C708,'Capital Code Schedules'!A$15:F$300,3,FALSE),0))</f>
        <v>51.156145528662286</v>
      </c>
      <c r="K708" s="123">
        <v>64.890075665956445</v>
      </c>
      <c r="L708" s="123">
        <f>VLOOKUP(LEFT(A708,10),'Streetlight Tariff Schedule'!B$11:H$260,7, FALSE)+I708</f>
        <v>31.634845666684122</v>
      </c>
      <c r="M708" s="161">
        <f t="shared" si="113"/>
        <v>96.52492133264056</v>
      </c>
      <c r="N708" s="405">
        <f t="shared" si="114"/>
        <v>85.375286239111631</v>
      </c>
      <c r="O708" s="405">
        <v>145.98944410480433</v>
      </c>
      <c r="P708" s="406">
        <v>143.04561541855739</v>
      </c>
      <c r="Q708" s="406">
        <v>148.43763996538274</v>
      </c>
      <c r="R708" s="406">
        <v>151.45432841161431</v>
      </c>
      <c r="S708" s="405">
        <f t="shared" si="115"/>
        <v>88.285420784226147</v>
      </c>
      <c r="T708" s="406">
        <v>153.42199345419365</v>
      </c>
      <c r="U708" s="406">
        <v>157.08558133856167</v>
      </c>
      <c r="V708" s="405">
        <f t="shared" si="116"/>
        <v>91.367552224384653</v>
      </c>
      <c r="W708" s="406">
        <v>158.1932794992201</v>
      </c>
      <c r="X708" s="406">
        <v>163.39715935449593</v>
      </c>
      <c r="Y708" s="405">
        <f t="shared" si="117"/>
        <v>94.88952764159805</v>
      </c>
      <c r="Z708" s="406">
        <v>162.46685842031624</v>
      </c>
      <c r="AA708" s="406">
        <v>168.41812010889092</v>
      </c>
      <c r="AB708" s="442">
        <f t="shared" si="118"/>
        <v>96.714677728488908</v>
      </c>
      <c r="AC708" s="438">
        <f t="shared" si="119"/>
        <v>99.559907090534296</v>
      </c>
      <c r="AD708" s="410"/>
      <c r="AE708" s="411"/>
      <c r="AF708" s="411"/>
      <c r="AG708" s="411"/>
    </row>
    <row r="709" spans="1:33" x14ac:dyDescent="0.2">
      <c r="A709" s="6" t="s">
        <v>628</v>
      </c>
      <c r="B709" s="18" t="str">
        <f>VLOOKUP(LEFT(A709,7),'Tariff Schedule Lookup Table'!$A$8:$G$186,2,FALSE)</f>
        <v>Incandescent 300</v>
      </c>
      <c r="C709" s="160">
        <f t="shared" si="120"/>
        <v>990</v>
      </c>
      <c r="D709" s="18">
        <f t="shared" si="121"/>
        <v>1</v>
      </c>
      <c r="E709" s="18" t="str">
        <f>VLOOKUP(C709,'Tariff Schedule Lookup Table'!I$7:L$286,2,FALSE)</f>
        <v>MERCURY VAPOUR 80W</v>
      </c>
      <c r="F709" s="18" t="str">
        <f>IF(E709 = "BULKHEADS ETC", "SHARED OR NO POLE", VLOOKUP(C709,'Tariff Schedule Lookup Table'!I$7:L$286,3,FALSE))</f>
        <v>STEEL POLE</v>
      </c>
      <c r="G709" s="18">
        <f>IF(E709 = "NO CAPITAL", 1, VLOOKUP(C709,'Tariff Schedule Lookup Table'!I$7:L$286,4,FALSE))</f>
        <v>1</v>
      </c>
      <c r="H709" s="18" t="str">
        <f t="shared" si="122"/>
        <v>1-Unmetered, CE Funded, CE Maintained</v>
      </c>
      <c r="I709" s="123">
        <f>VLOOKUP(F709,'Maintenance Model'!$A$57:$B$61,2,FALSE)</f>
        <v>9.9616182311111103</v>
      </c>
      <c r="J709" s="123">
        <f>IF(D709=1,VLOOKUP(C709,'Capital Code Schedules'!A$15:F$300,2,FALSE),IF(D709=2,VLOOKUP(C709,'Capital Code Schedules'!A$15:F$300,3,FALSE),0))</f>
        <v>86.253661186307269</v>
      </c>
      <c r="K709" s="123">
        <v>109.41024862221688</v>
      </c>
      <c r="L709" s="123">
        <f>VLOOKUP(LEFT(A709,10),'Streetlight Tariff Schedule'!B$11:H$260,7, FALSE)+I709</f>
        <v>30.864845666684118</v>
      </c>
      <c r="M709" s="161">
        <f t="shared" si="113"/>
        <v>140.27509428890102</v>
      </c>
      <c r="N709" s="405">
        <f t="shared" si="114"/>
        <v>120.53938056995833</v>
      </c>
      <c r="O709" s="405">
        <v>192.82912617325474</v>
      </c>
      <c r="P709" s="406">
        <v>187.86557781616025</v>
      </c>
      <c r="Q709" s="406">
        <v>194.34749491260013</v>
      </c>
      <c r="R709" s="406">
        <v>199.4338910915327</v>
      </c>
      <c r="S709" s="405">
        <f t="shared" si="115"/>
        <v>124.30042493003515</v>
      </c>
      <c r="T709" s="406">
        <v>200.45438567881897</v>
      </c>
      <c r="U709" s="406">
        <v>206.41878504858349</v>
      </c>
      <c r="V709" s="405">
        <f t="shared" si="116"/>
        <v>128.39520748207494</v>
      </c>
      <c r="W709" s="406">
        <v>206.37951691033831</v>
      </c>
      <c r="X709" s="406">
        <v>214.3924234260765</v>
      </c>
      <c r="Y709" s="405">
        <f t="shared" si="117"/>
        <v>133.16208516831307</v>
      </c>
      <c r="Z709" s="406">
        <v>211.84195099404852</v>
      </c>
      <c r="AA709" s="406">
        <v>220.86293373407094</v>
      </c>
      <c r="AB709" s="442">
        <f t="shared" si="118"/>
        <v>135.65705723145092</v>
      </c>
      <c r="AC709" s="438">
        <f t="shared" si="119"/>
        <v>139.63475937265019</v>
      </c>
      <c r="AD709" s="410"/>
      <c r="AE709" s="411"/>
      <c r="AF709" s="411"/>
      <c r="AG709" s="411"/>
    </row>
    <row r="710" spans="1:33" x14ac:dyDescent="0.2">
      <c r="A710" s="6" t="s">
        <v>629</v>
      </c>
      <c r="B710" s="18" t="str">
        <f>VLOOKUP(LEFT(A710,7),'Tariff Schedule Lookup Table'!$A$8:$G$186,2,FALSE)</f>
        <v>Incandescent 500</v>
      </c>
      <c r="C710" s="160">
        <f t="shared" si="120"/>
        <v>10</v>
      </c>
      <c r="D710" s="18">
        <f t="shared" si="121"/>
        <v>1</v>
      </c>
      <c r="E710" s="18" t="str">
        <f>VLOOKUP(C710,'Tariff Schedule Lookup Table'!I$7:L$286,2,FALSE)</f>
        <v>MERCURY VAPOUR 80W</v>
      </c>
      <c r="F710" s="18" t="str">
        <f>IF(E710 = "BULKHEADS ETC", "SHARED OR NO POLE", VLOOKUP(C710,'Tariff Schedule Lookup Table'!I$7:L$286,3,FALSE))</f>
        <v>SHARED OR NO POLE</v>
      </c>
      <c r="G710" s="18">
        <f>IF(E710 = "NO CAPITAL", 1, VLOOKUP(C710,'Tariff Schedule Lookup Table'!I$7:L$286,4,FALSE))</f>
        <v>1</v>
      </c>
      <c r="H710" s="18" t="str">
        <f t="shared" si="122"/>
        <v>1-Unmetered, CE Funded, CE Maintained</v>
      </c>
      <c r="I710" s="123">
        <f>VLOOKUP(F710,'Maintenance Model'!$A$57:$B$61,2,FALSE)</f>
        <v>0</v>
      </c>
      <c r="J710" s="123">
        <f>IF(D710=1,VLOOKUP(C710,'Capital Code Schedules'!A$15:F$300,2,FALSE),IF(D710=2,VLOOKUP(C710,'Capital Code Schedules'!A$15:F$300,3,FALSE),0))</f>
        <v>17.255027166785979</v>
      </c>
      <c r="K710" s="123">
        <v>21.887497717034414</v>
      </c>
      <c r="L710" s="123">
        <f>VLOOKUP(LEFT(A710,10),'Streetlight Tariff Schedule'!B$11:H$260,7, FALSE)+I710</f>
        <v>20.903227435573008</v>
      </c>
      <c r="M710" s="161">
        <f t="shared" si="113"/>
        <v>42.790725152607422</v>
      </c>
      <c r="N710" s="405">
        <f t="shared" si="114"/>
        <v>39.456325217781476</v>
      </c>
      <c r="O710" s="405">
        <v>89.575480417168194</v>
      </c>
      <c r="P710" s="406">
        <v>88.582523589975338</v>
      </c>
      <c r="Q710" s="406">
        <v>92.375114362042837</v>
      </c>
      <c r="R710" s="406">
        <v>93.392646870708703</v>
      </c>
      <c r="S710" s="405">
        <f t="shared" si="115"/>
        <v>40.959563266183586</v>
      </c>
      <c r="T710" s="406">
        <v>95.793938173447103</v>
      </c>
      <c r="U710" s="406">
        <v>97.190578075317106</v>
      </c>
      <c r="V710" s="405">
        <f t="shared" si="116"/>
        <v>42.500902304878103</v>
      </c>
      <c r="W710" s="406">
        <v>99.00663831466764</v>
      </c>
      <c r="X710" s="406">
        <v>101.33775550360558</v>
      </c>
      <c r="Y710" s="405">
        <f t="shared" si="117"/>
        <v>44.222254270083454</v>
      </c>
      <c r="Z710" s="406">
        <v>101.76668773625222</v>
      </c>
      <c r="AA710" s="406">
        <v>104.54056910957306</v>
      </c>
      <c r="AB710" s="442">
        <f t="shared" si="118"/>
        <v>45.103047037121385</v>
      </c>
      <c r="AC710" s="438">
        <f t="shared" si="119"/>
        <v>46.43591859897397</v>
      </c>
      <c r="AD710" s="410"/>
      <c r="AE710" s="411"/>
      <c r="AF710" s="411"/>
      <c r="AG710" s="411"/>
    </row>
    <row r="711" spans="1:33" x14ac:dyDescent="0.2">
      <c r="A711" s="6" t="s">
        <v>630</v>
      </c>
      <c r="B711" s="18" t="str">
        <f>VLOOKUP(LEFT(A711,7),'Tariff Schedule Lookup Table'!$A$8:$G$186,2,FALSE)</f>
        <v>Incandescent 500</v>
      </c>
      <c r="C711" s="160">
        <f t="shared" si="120"/>
        <v>10</v>
      </c>
      <c r="D711" s="18">
        <f t="shared" si="121"/>
        <v>2</v>
      </c>
      <c r="E711" s="18" t="str">
        <f>VLOOKUP(C711,'Tariff Schedule Lookup Table'!I$7:L$286,2,FALSE)</f>
        <v>MERCURY VAPOUR 80W</v>
      </c>
      <c r="F711" s="18" t="str">
        <f>IF(E711 = "BULKHEADS ETC", "SHARED OR NO POLE", VLOOKUP(C711,'Tariff Schedule Lookup Table'!I$7:L$286,3,FALSE))</f>
        <v>SHARED OR NO POLE</v>
      </c>
      <c r="G711" s="18">
        <f>IF(E711 = "NO CAPITAL", 1, VLOOKUP(C711,'Tariff Schedule Lookup Table'!I$7:L$286,4,FALSE))</f>
        <v>1</v>
      </c>
      <c r="H711" s="18" t="str">
        <f t="shared" si="122"/>
        <v>2-Unmetered, Funded by Others, CE Maintained</v>
      </c>
      <c r="I711" s="123">
        <f>VLOOKUP(F711,'Maintenance Model'!$A$57:$B$61,2,FALSE)</f>
        <v>0</v>
      </c>
      <c r="J711" s="123">
        <f>IF(D711=1,VLOOKUP(C711,'Capital Code Schedules'!A$15:F$300,2,FALSE),IF(D711=2,VLOOKUP(C711,'Capital Code Schedules'!A$15:F$300,3,FALSE),0))</f>
        <v>0</v>
      </c>
      <c r="K711" s="123">
        <v>0</v>
      </c>
      <c r="L711" s="123">
        <f>VLOOKUP(LEFT(A711,10),'Streetlight Tariff Schedule'!B$11:H$260,7, FALSE)+I711</f>
        <v>20.903227435573008</v>
      </c>
      <c r="M711" s="161">
        <f t="shared" si="113"/>
        <v>20.903227435573008</v>
      </c>
      <c r="N711" s="405">
        <f t="shared" si="114"/>
        <v>21.774236128617545</v>
      </c>
      <c r="O711" s="405">
        <v>66.153310304444332</v>
      </c>
      <c r="P711" s="406">
        <v>66.153310304444332</v>
      </c>
      <c r="Q711" s="406">
        <v>69.390778047694937</v>
      </c>
      <c r="R711" s="406">
        <v>69.390778047694937</v>
      </c>
      <c r="S711" s="405">
        <f t="shared" si="115"/>
        <v>22.839842472062848</v>
      </c>
      <c r="T711" s="406">
        <v>72.240739535319094</v>
      </c>
      <c r="U711" s="406">
        <v>72.504655990847439</v>
      </c>
      <c r="V711" s="405">
        <f t="shared" si="116"/>
        <v>23.864769468124923</v>
      </c>
      <c r="W711" s="406">
        <v>74.870498010245953</v>
      </c>
      <c r="X711" s="406">
        <v>75.814980660472401</v>
      </c>
      <c r="Y711" s="405">
        <f t="shared" si="117"/>
        <v>24.954356530164343</v>
      </c>
      <c r="Z711" s="406">
        <v>77.033177959296111</v>
      </c>
      <c r="AA711" s="406">
        <v>78.290395183410567</v>
      </c>
      <c r="AB711" s="442">
        <f t="shared" si="118"/>
        <v>25.496034296979694</v>
      </c>
      <c r="AC711" s="438">
        <f t="shared" si="119"/>
        <v>26.258341788094153</v>
      </c>
      <c r="AD711" s="410"/>
      <c r="AE711" s="411"/>
      <c r="AF711" s="411"/>
      <c r="AG711" s="411"/>
    </row>
    <row r="712" spans="1:33" x14ac:dyDescent="0.2">
      <c r="A712" s="6" t="s">
        <v>631</v>
      </c>
      <c r="B712" s="18" t="str">
        <f>VLOOKUP(LEFT(A712,7),'Tariff Schedule Lookup Table'!$A$8:$G$186,2,FALSE)</f>
        <v>Incandescent 500</v>
      </c>
      <c r="C712" s="160">
        <f t="shared" si="120"/>
        <v>110</v>
      </c>
      <c r="D712" s="18">
        <f t="shared" si="121"/>
        <v>1</v>
      </c>
      <c r="E712" s="18" t="str">
        <f>VLOOKUP(C712,'Tariff Schedule Lookup Table'!I$7:L$286,2,FALSE)</f>
        <v>BULKHEADS ETC</v>
      </c>
      <c r="F712" s="18" t="str">
        <f>IF(E712 = "BULKHEADS ETC", "SHARED OR NO POLE", VLOOKUP(C712,'Tariff Schedule Lookup Table'!I$7:L$286,3,FALSE))</f>
        <v>SHARED OR NO POLE</v>
      </c>
      <c r="G712" s="18">
        <f>IF(E712 = "NO CAPITAL", 1, VLOOKUP(C712,'Tariff Schedule Lookup Table'!I$7:L$286,4,FALSE))</f>
        <v>1</v>
      </c>
      <c r="H712" s="18" t="str">
        <f t="shared" si="122"/>
        <v>1-Unmetered, CE Funded, CE Maintained</v>
      </c>
      <c r="I712" s="123">
        <f>VLOOKUP(F712,'Maintenance Model'!$A$57:$B$61,2,FALSE)</f>
        <v>0</v>
      </c>
      <c r="J712" s="123">
        <f>IF(D712=1,VLOOKUP(C712,'Capital Code Schedules'!A$15:F$300,2,FALSE),IF(D712=2,VLOOKUP(C712,'Capital Code Schedules'!A$15:F$300,3,FALSE),0))</f>
        <v>8.1913367400317085</v>
      </c>
      <c r="K712" s="123">
        <v>10.390471279118792</v>
      </c>
      <c r="L712" s="123">
        <f>VLOOKUP(LEFT(A712,10),'Streetlight Tariff Schedule'!B$11:H$260,7, FALSE)+I712</f>
        <v>20.903227435573008</v>
      </c>
      <c r="M712" s="161">
        <f t="shared" si="113"/>
        <v>31.2936987146918</v>
      </c>
      <c r="N712" s="405">
        <f t="shared" si="114"/>
        <v>30.168308452965036</v>
      </c>
      <c r="O712" s="405">
        <v>77.272323953112164</v>
      </c>
      <c r="P712" s="406">
        <v>76.8009457477213</v>
      </c>
      <c r="Q712" s="406">
        <v>80.301942468193019</v>
      </c>
      <c r="R712" s="406">
        <v>80.7849872841673</v>
      </c>
      <c r="S712" s="405">
        <f t="shared" si="115"/>
        <v>31.441668086437943</v>
      </c>
      <c r="T712" s="406">
        <v>83.421955275224491</v>
      </c>
      <c r="U712" s="406">
        <v>84.223600190559267</v>
      </c>
      <c r="V712" s="405">
        <f t="shared" si="116"/>
        <v>32.711747112509705</v>
      </c>
      <c r="W712" s="406">
        <v>86.328448839714014</v>
      </c>
      <c r="X712" s="406">
        <v>87.93119706855444</v>
      </c>
      <c r="Y712" s="405">
        <f t="shared" si="117"/>
        <v>34.101246716693772</v>
      </c>
      <c r="Z712" s="406">
        <v>88.774713071793514</v>
      </c>
      <c r="AA712" s="406">
        <v>90.75192375912296</v>
      </c>
      <c r="AB712" s="442">
        <f t="shared" si="118"/>
        <v>34.803909750792045</v>
      </c>
      <c r="AC712" s="438">
        <f t="shared" si="119"/>
        <v>35.837076417612437</v>
      </c>
      <c r="AD712" s="410"/>
      <c r="AE712" s="411"/>
      <c r="AF712" s="411"/>
      <c r="AG712" s="411"/>
    </row>
    <row r="713" spans="1:33" x14ac:dyDescent="0.2">
      <c r="A713" s="6" t="s">
        <v>632</v>
      </c>
      <c r="B713" s="18" t="str">
        <f>VLOOKUP(LEFT(A713,7),'Tariff Schedule Lookup Table'!$A$8:$G$186,2,FALSE)</f>
        <v>Incandescent 500</v>
      </c>
      <c r="C713" s="160">
        <f t="shared" si="120"/>
        <v>810</v>
      </c>
      <c r="D713" s="18">
        <f t="shared" si="121"/>
        <v>1</v>
      </c>
      <c r="E713" s="18" t="str">
        <f>VLOOKUP(C713,'Tariff Schedule Lookup Table'!I$7:L$286,2,FALSE)</f>
        <v>MERCURY VAPOUR 80W</v>
      </c>
      <c r="F713" s="18" t="str">
        <f>IF(E713 = "BULKHEADS ETC", "SHARED OR NO POLE", VLOOKUP(C713,'Tariff Schedule Lookup Table'!I$7:L$286,3,FALSE))</f>
        <v>WOOD POLE</v>
      </c>
      <c r="G713" s="18">
        <f>IF(E713 = "NO CAPITAL", 1, VLOOKUP(C713,'Tariff Schedule Lookup Table'!I$7:L$286,4,FALSE))</f>
        <v>1</v>
      </c>
      <c r="H713" s="18" t="str">
        <f t="shared" si="122"/>
        <v>1-Unmetered, CE Funded, CE Maintained</v>
      </c>
      <c r="I713" s="123">
        <f>VLOOKUP(F713,'Maintenance Model'!$A$57:$B$61,2,FALSE)</f>
        <v>10.731618231111112</v>
      </c>
      <c r="J713" s="123">
        <f>IF(D713=1,VLOOKUP(C713,'Capital Code Schedules'!A$15:F$300,2,FALSE),IF(D713=2,VLOOKUP(C713,'Capital Code Schedules'!A$15:F$300,3,FALSE),0))</f>
        <v>51.156145528662286</v>
      </c>
      <c r="K713" s="123">
        <v>64.890075665956445</v>
      </c>
      <c r="L713" s="123">
        <f>VLOOKUP(LEFT(A713,10),'Streetlight Tariff Schedule'!B$11:H$260,7, FALSE)+I713</f>
        <v>31.634845666684122</v>
      </c>
      <c r="M713" s="161">
        <f t="shared" si="113"/>
        <v>96.52492133264056</v>
      </c>
      <c r="N713" s="405">
        <f t="shared" si="114"/>
        <v>85.375286239111631</v>
      </c>
      <c r="O713" s="405">
        <v>145.98944410480433</v>
      </c>
      <c r="P713" s="406">
        <v>143.04561541855739</v>
      </c>
      <c r="Q713" s="406">
        <v>148.43763996538274</v>
      </c>
      <c r="R713" s="406">
        <v>151.45432841161431</v>
      </c>
      <c r="S713" s="405">
        <f t="shared" si="115"/>
        <v>88.285420784226147</v>
      </c>
      <c r="T713" s="406">
        <v>153.42199345419365</v>
      </c>
      <c r="U713" s="406">
        <v>157.08558133856167</v>
      </c>
      <c r="V713" s="405">
        <f t="shared" si="116"/>
        <v>91.367552224384653</v>
      </c>
      <c r="W713" s="406">
        <v>158.1932794992201</v>
      </c>
      <c r="X713" s="406">
        <v>163.39715935449593</v>
      </c>
      <c r="Y713" s="405">
        <f t="shared" si="117"/>
        <v>94.88952764159805</v>
      </c>
      <c r="Z713" s="406">
        <v>162.46685842031624</v>
      </c>
      <c r="AA713" s="406">
        <v>168.41812010889092</v>
      </c>
      <c r="AB713" s="442">
        <f t="shared" si="118"/>
        <v>96.714677728488908</v>
      </c>
      <c r="AC713" s="438">
        <f t="shared" si="119"/>
        <v>99.559907090534296</v>
      </c>
      <c r="AD713" s="410"/>
      <c r="AE713" s="411"/>
      <c r="AF713" s="411"/>
      <c r="AG713" s="411"/>
    </row>
    <row r="714" spans="1:33" x14ac:dyDescent="0.2">
      <c r="A714" s="6" t="s">
        <v>633</v>
      </c>
      <c r="B714" s="18" t="str">
        <f>VLOOKUP(LEFT(A714,7),'Tariff Schedule Lookup Table'!$A$8:$G$186,2,FALSE)</f>
        <v>Incandescent 800</v>
      </c>
      <c r="C714" s="160">
        <f t="shared" si="120"/>
        <v>10</v>
      </c>
      <c r="D714" s="18">
        <f t="shared" si="121"/>
        <v>1</v>
      </c>
      <c r="E714" s="18" t="str">
        <f>VLOOKUP(C714,'Tariff Schedule Lookup Table'!I$7:L$286,2,FALSE)</f>
        <v>MERCURY VAPOUR 80W</v>
      </c>
      <c r="F714" s="18" t="str">
        <f>IF(E714 = "BULKHEADS ETC", "SHARED OR NO POLE", VLOOKUP(C714,'Tariff Schedule Lookup Table'!I$7:L$286,3,FALSE))</f>
        <v>SHARED OR NO POLE</v>
      </c>
      <c r="G714" s="18">
        <f>IF(E714 = "NO CAPITAL", 1, VLOOKUP(C714,'Tariff Schedule Lookup Table'!I$7:L$286,4,FALSE))</f>
        <v>1</v>
      </c>
      <c r="H714" s="18" t="str">
        <f t="shared" si="122"/>
        <v>1-Unmetered, CE Funded, CE Maintained</v>
      </c>
      <c r="I714" s="123">
        <f>VLOOKUP(F714,'Maintenance Model'!$A$57:$B$61,2,FALSE)</f>
        <v>0</v>
      </c>
      <c r="J714" s="123">
        <f>IF(D714=1,VLOOKUP(C714,'Capital Code Schedules'!A$15:F$300,2,FALSE),IF(D714=2,VLOOKUP(C714,'Capital Code Schedules'!A$15:F$300,3,FALSE),0))</f>
        <v>17.255027166785979</v>
      </c>
      <c r="K714" s="123">
        <v>21.887497717034414</v>
      </c>
      <c r="L714" s="123">
        <f>VLOOKUP(LEFT(A714,10),'Streetlight Tariff Schedule'!B$11:H$260,7, FALSE)+I714</f>
        <v>20.903227435573008</v>
      </c>
      <c r="M714" s="161">
        <f t="shared" si="113"/>
        <v>42.790725152607422</v>
      </c>
      <c r="N714" s="405">
        <f t="shared" si="114"/>
        <v>39.456325217781476</v>
      </c>
      <c r="O714" s="405">
        <v>89.575480417168194</v>
      </c>
      <c r="P714" s="406">
        <v>88.582523589975338</v>
      </c>
      <c r="Q714" s="406">
        <v>92.375114362042837</v>
      </c>
      <c r="R714" s="406">
        <v>93.392646870708703</v>
      </c>
      <c r="S714" s="405">
        <f t="shared" si="115"/>
        <v>40.959563266183586</v>
      </c>
      <c r="T714" s="406">
        <v>95.793938173447103</v>
      </c>
      <c r="U714" s="406">
        <v>97.190578075317106</v>
      </c>
      <c r="V714" s="405">
        <f t="shared" si="116"/>
        <v>42.500902304878103</v>
      </c>
      <c r="W714" s="406">
        <v>99.00663831466764</v>
      </c>
      <c r="X714" s="406">
        <v>101.33775550360558</v>
      </c>
      <c r="Y714" s="405">
        <f t="shared" si="117"/>
        <v>44.222254270083454</v>
      </c>
      <c r="Z714" s="406">
        <v>101.76668773625222</v>
      </c>
      <c r="AA714" s="406">
        <v>104.54056910957306</v>
      </c>
      <c r="AB714" s="442">
        <f t="shared" si="118"/>
        <v>45.103047037121385</v>
      </c>
      <c r="AC714" s="438">
        <f t="shared" si="119"/>
        <v>46.43591859897397</v>
      </c>
      <c r="AD714" s="410"/>
      <c r="AE714" s="411"/>
      <c r="AF714" s="411"/>
      <c r="AG714" s="411"/>
    </row>
    <row r="715" spans="1:33" x14ac:dyDescent="0.2">
      <c r="A715" s="6" t="s">
        <v>634</v>
      </c>
      <c r="B715" s="18" t="str">
        <f>VLOOKUP(LEFT(A715,7),'Tariff Schedule Lookup Table'!$A$8:$G$186,2,FALSE)</f>
        <v>Incandescent 1000</v>
      </c>
      <c r="C715" s="160">
        <f t="shared" si="120"/>
        <v>680</v>
      </c>
      <c r="D715" s="18">
        <f t="shared" si="121"/>
        <v>2</v>
      </c>
      <c r="E715" s="18" t="str">
        <f>VLOOKUP(C715,'Tariff Schedule Lookup Table'!I$7:L$286,2,FALSE)</f>
        <v>METAL HALIDE/HPS 400W FLOOD (310/360)</v>
      </c>
      <c r="F715" s="18" t="str">
        <f>IF(E715 = "BULKHEADS ETC", "SHARED OR NO POLE", VLOOKUP(C715,'Tariff Schedule Lookup Table'!I$7:L$286,3,FALSE))</f>
        <v>SHARED OR NO POLE</v>
      </c>
      <c r="G715" s="18">
        <f>IF(E715 = "NO CAPITAL", 1, VLOOKUP(C715,'Tariff Schedule Lookup Table'!I$7:L$286,4,FALSE))</f>
        <v>2</v>
      </c>
      <c r="H715" s="18" t="str">
        <f t="shared" si="122"/>
        <v>2-Unmetered, Funded by Others, CE Maintained</v>
      </c>
      <c r="I715" s="123">
        <f>VLOOKUP(F715,'Maintenance Model'!$A$57:$B$61,2,FALSE)</f>
        <v>0</v>
      </c>
      <c r="J715" s="123">
        <f>IF(D715=1,VLOOKUP(C715,'Capital Code Schedules'!A$15:F$300,2,FALSE),IF(D715=2,VLOOKUP(C715,'Capital Code Schedules'!A$15:F$300,3,FALSE),0))</f>
        <v>0</v>
      </c>
      <c r="K715" s="123">
        <v>0</v>
      </c>
      <c r="L715" s="123">
        <f>VLOOKUP(LEFT(A715,10),'Streetlight Tariff Schedule'!B$11:H$260,7, FALSE)+I715</f>
        <v>20.903227435573008</v>
      </c>
      <c r="M715" s="161">
        <f t="shared" si="113"/>
        <v>20.903227435573008</v>
      </c>
      <c r="N715" s="405">
        <f t="shared" si="114"/>
        <v>21.774236128617545</v>
      </c>
      <c r="O715" s="405">
        <v>66.153310304444332</v>
      </c>
      <c r="P715" s="406">
        <v>66.153310304444332</v>
      </c>
      <c r="Q715" s="406">
        <v>69.390778047694937</v>
      </c>
      <c r="R715" s="406">
        <v>69.390778047694937</v>
      </c>
      <c r="S715" s="405">
        <f t="shared" si="115"/>
        <v>22.839842472062848</v>
      </c>
      <c r="T715" s="406">
        <v>72.240739535319094</v>
      </c>
      <c r="U715" s="406">
        <v>72.504655990847439</v>
      </c>
      <c r="V715" s="405">
        <f t="shared" si="116"/>
        <v>23.864769468124923</v>
      </c>
      <c r="W715" s="406">
        <v>74.870498010245953</v>
      </c>
      <c r="X715" s="406">
        <v>75.814980660472401</v>
      </c>
      <c r="Y715" s="405">
        <f t="shared" si="117"/>
        <v>24.954356530164343</v>
      </c>
      <c r="Z715" s="406">
        <v>77.033177959296111</v>
      </c>
      <c r="AA715" s="406">
        <v>78.290395183410567</v>
      </c>
      <c r="AB715" s="442">
        <f t="shared" si="118"/>
        <v>25.496034296979694</v>
      </c>
      <c r="AC715" s="438">
        <f t="shared" si="119"/>
        <v>26.258341788094153</v>
      </c>
      <c r="AD715" s="410"/>
      <c r="AE715" s="411"/>
      <c r="AF715" s="411"/>
      <c r="AG715" s="411"/>
    </row>
    <row r="716" spans="1:33" x14ac:dyDescent="0.2">
      <c r="A716" s="6" t="s">
        <v>635</v>
      </c>
      <c r="B716" s="18" t="str">
        <f>VLOOKUP(LEFT(A716,7),'Tariff Schedule Lookup Table'!$A$8:$G$186,2,FALSE)</f>
        <v>Incandescent 1000</v>
      </c>
      <c r="C716" s="160">
        <f t="shared" si="120"/>
        <v>900</v>
      </c>
      <c r="D716" s="18">
        <f t="shared" si="121"/>
        <v>2</v>
      </c>
      <c r="E716" s="18" t="str">
        <f>VLOOKUP(C716,'Tariff Schedule Lookup Table'!I$7:L$286,2,FALSE)</f>
        <v>METAL HALIDE/HPS 400W FLOOD (310/360)</v>
      </c>
      <c r="F716" s="18" t="str">
        <f>IF(E716 = "BULKHEADS ETC", "SHARED OR NO POLE", VLOOKUP(C716,'Tariff Schedule Lookup Table'!I$7:L$286,3,FALSE))</f>
        <v>WOOD POLE</v>
      </c>
      <c r="G716" s="18">
        <f>IF(E716 = "NO CAPITAL", 1, VLOOKUP(C716,'Tariff Schedule Lookup Table'!I$7:L$286,4,FALSE))</f>
        <v>2</v>
      </c>
      <c r="H716" s="18" t="str">
        <f t="shared" si="122"/>
        <v>2-Unmetered, Funded by Others, CE Maintained</v>
      </c>
      <c r="I716" s="123">
        <f>VLOOKUP(F716,'Maintenance Model'!$A$57:$B$61,2,FALSE)</f>
        <v>10.731618231111112</v>
      </c>
      <c r="J716" s="123">
        <f>IF(D716=1,VLOOKUP(C716,'Capital Code Schedules'!A$15:F$300,2,FALSE),IF(D716=2,VLOOKUP(C716,'Capital Code Schedules'!A$15:F$300,3,FALSE),0))</f>
        <v>0</v>
      </c>
      <c r="K716" s="123">
        <v>0</v>
      </c>
      <c r="L716" s="123">
        <f>VLOOKUP(LEFT(A716,10),'Streetlight Tariff Schedule'!B$11:H$260,7, FALSE)+I716</f>
        <v>31.634845666684122</v>
      </c>
      <c r="M716" s="161">
        <f t="shared" si="113"/>
        <v>31.634845666684122</v>
      </c>
      <c r="N716" s="405">
        <f t="shared" si="114"/>
        <v>32.953026108614942</v>
      </c>
      <c r="O716" s="405">
        <v>76.549510379868494</v>
      </c>
      <c r="P716" s="406">
        <v>76.549510379868494</v>
      </c>
      <c r="Q716" s="406">
        <v>80.295756326986321</v>
      </c>
      <c r="R716" s="406">
        <v>80.295756326986321</v>
      </c>
      <c r="S716" s="405">
        <f t="shared" si="115"/>
        <v>34.565709715499672</v>
      </c>
      <c r="T716" s="406">
        <v>83.593598195746935</v>
      </c>
      <c r="U716" s="406">
        <v>83.898989949521791</v>
      </c>
      <c r="V716" s="405">
        <f t="shared" si="116"/>
        <v>36.11682939019947</v>
      </c>
      <c r="W716" s="406">
        <v>86.636631458126814</v>
      </c>
      <c r="X716" s="406">
        <v>87.729542517367605</v>
      </c>
      <c r="Y716" s="405">
        <f t="shared" si="117"/>
        <v>37.765805303334005</v>
      </c>
      <c r="Z716" s="406">
        <v>89.139183340205889</v>
      </c>
      <c r="AA716" s="406">
        <v>90.593976191904403</v>
      </c>
      <c r="AB716" s="442">
        <f t="shared" si="118"/>
        <v>38.585577877071401</v>
      </c>
      <c r="AC716" s="438">
        <f t="shared" si="119"/>
        <v>39.739250433440546</v>
      </c>
      <c r="AD716" s="410"/>
      <c r="AE716" s="411"/>
      <c r="AF716" s="411"/>
      <c r="AG716" s="411"/>
    </row>
    <row r="717" spans="1:33" x14ac:dyDescent="0.2">
      <c r="A717" s="6" t="s">
        <v>636</v>
      </c>
      <c r="B717" s="18" t="str">
        <f>VLOOKUP(LEFT(A717,7),'Tariff Schedule Lookup Table'!$A$8:$G$186,2,FALSE)</f>
        <v>Incandescent 1000</v>
      </c>
      <c r="C717" s="160">
        <f t="shared" si="120"/>
        <v>1130</v>
      </c>
      <c r="D717" s="18">
        <f t="shared" si="121"/>
        <v>2</v>
      </c>
      <c r="E717" s="18" t="str">
        <f>VLOOKUP(C717,'Tariff Schedule Lookup Table'!I$7:L$286,2,FALSE)</f>
        <v>METAL HALIDE/HPS 400W FLOOD (310/360)</v>
      </c>
      <c r="F717" s="18" t="str">
        <f>IF(E717 = "BULKHEADS ETC", "SHARED OR NO POLE", VLOOKUP(C717,'Tariff Schedule Lookup Table'!I$7:L$286,3,FALSE))</f>
        <v>STEEL POLE</v>
      </c>
      <c r="G717" s="18">
        <f>IF(E717 = "NO CAPITAL", 1, VLOOKUP(C717,'Tariff Schedule Lookup Table'!I$7:L$286,4,FALSE))</f>
        <v>2</v>
      </c>
      <c r="H717" s="18" t="str">
        <f t="shared" si="122"/>
        <v>2-Unmetered, Funded by Others, CE Maintained</v>
      </c>
      <c r="I717" s="123">
        <f>VLOOKUP(F717,'Maintenance Model'!$A$57:$B$61,2,FALSE)</f>
        <v>9.9616182311111103</v>
      </c>
      <c r="J717" s="123">
        <f>IF(D717=1,VLOOKUP(C717,'Capital Code Schedules'!A$15:F$300,2,FALSE),IF(D717=2,VLOOKUP(C717,'Capital Code Schedules'!A$15:F$300,3,FALSE),0))</f>
        <v>0</v>
      </c>
      <c r="K717" s="123">
        <v>0</v>
      </c>
      <c r="L717" s="123">
        <f>VLOOKUP(LEFT(A717,10),'Streetlight Tariff Schedule'!B$11:H$260,7, FALSE)+I717</f>
        <v>30.864845666684118</v>
      </c>
      <c r="M717" s="161">
        <f t="shared" si="113"/>
        <v>30.864845666684118</v>
      </c>
      <c r="N717" s="405">
        <f t="shared" si="114"/>
        <v>32.150941269289937</v>
      </c>
      <c r="O717" s="405">
        <v>75.747425540543503</v>
      </c>
      <c r="P717" s="406">
        <v>75.747425540543503</v>
      </c>
      <c r="Q717" s="406">
        <v>79.454418368161853</v>
      </c>
      <c r="R717" s="406">
        <v>79.454418368161853</v>
      </c>
      <c r="S717" s="405">
        <f t="shared" si="115"/>
        <v>33.724371756675211</v>
      </c>
      <c r="T717" s="406">
        <v>82.717705489905839</v>
      </c>
      <c r="U717" s="406">
        <v>83.019897352596573</v>
      </c>
      <c r="V717" s="405">
        <f t="shared" si="116"/>
        <v>35.237736793274259</v>
      </c>
      <c r="W717" s="406">
        <v>85.728853886749633</v>
      </c>
      <c r="X717" s="406">
        <v>86.810313437195674</v>
      </c>
      <c r="Y717" s="405">
        <f t="shared" si="117"/>
        <v>36.846576223162067</v>
      </c>
      <c r="Z717" s="406">
        <v>88.205184060625996</v>
      </c>
      <c r="AA717" s="406">
        <v>89.644733610506961</v>
      </c>
      <c r="AB717" s="442">
        <f t="shared" si="118"/>
        <v>37.646395328865239</v>
      </c>
      <c r="AC717" s="438">
        <f t="shared" si="119"/>
        <v>38.771987208699279</v>
      </c>
      <c r="AD717" s="410"/>
      <c r="AE717" s="411"/>
      <c r="AF717" s="411"/>
      <c r="AG717" s="411"/>
    </row>
    <row r="718" spans="1:33" x14ac:dyDescent="0.2">
      <c r="A718" s="6" t="s">
        <v>637</v>
      </c>
      <c r="B718" s="18" t="str">
        <f>VLOOKUP(LEFT(A718,7),'Tariff Schedule Lookup Table'!$A$8:$G$186,2,FALSE)</f>
        <v>Incandescent 1500</v>
      </c>
      <c r="C718" s="160">
        <f t="shared" si="120"/>
        <v>640</v>
      </c>
      <c r="D718" s="18">
        <f t="shared" si="121"/>
        <v>1</v>
      </c>
      <c r="E718" s="18" t="str">
        <f>VLOOKUP(C718,'Tariff Schedule Lookup Table'!I$7:L$286,2,FALSE)</f>
        <v>METAL HALIDE/HPS 400W FLOOD (310/360)</v>
      </c>
      <c r="F718" s="18" t="str">
        <f>IF(E718 = "BULKHEADS ETC", "SHARED OR NO POLE", VLOOKUP(C718,'Tariff Schedule Lookup Table'!I$7:L$286,3,FALSE))</f>
        <v>SHARED OR NO POLE</v>
      </c>
      <c r="G718" s="18">
        <f>IF(E718 = "NO CAPITAL", 1, VLOOKUP(C718,'Tariff Schedule Lookup Table'!I$7:L$286,4,FALSE))</f>
        <v>1</v>
      </c>
      <c r="H718" s="18" t="str">
        <f t="shared" si="122"/>
        <v>1-Unmetered, CE Funded, CE Maintained</v>
      </c>
      <c r="I718" s="123">
        <f>VLOOKUP(F718,'Maintenance Model'!$A$57:$B$61,2,FALSE)</f>
        <v>0</v>
      </c>
      <c r="J718" s="123">
        <f>IF(D718=1,VLOOKUP(C718,'Capital Code Schedules'!A$15:F$300,2,FALSE),IF(D718=2,VLOOKUP(C718,'Capital Code Schedules'!A$15:F$300,3,FALSE),0))</f>
        <v>34.4552059087722</v>
      </c>
      <c r="K718" s="123">
        <v>43.705421810047049</v>
      </c>
      <c r="L718" s="123">
        <f>VLOOKUP(LEFT(A718,10),'Streetlight Tariff Schedule'!B$11:H$260,7, FALSE)+I718</f>
        <v>20.903227435573008</v>
      </c>
      <c r="M718" s="161">
        <f t="shared" si="113"/>
        <v>64.608649245620057</v>
      </c>
      <c r="N718" s="405">
        <f t="shared" si="114"/>
        <v>57.082208383631858</v>
      </c>
      <c r="O718" s="405">
        <v>112.92319865429327</v>
      </c>
      <c r="P718" s="406">
        <v>110.94044130429005</v>
      </c>
      <c r="Q718" s="406">
        <v>115.28639053978682</v>
      </c>
      <c r="R718" s="406">
        <v>117.31822113420264</v>
      </c>
      <c r="S718" s="405">
        <f t="shared" si="115"/>
        <v>59.02168704038877</v>
      </c>
      <c r="T718" s="406">
        <v>119.27226843659025</v>
      </c>
      <c r="U718" s="406">
        <v>121.79803120532061</v>
      </c>
      <c r="V718" s="405">
        <f t="shared" si="116"/>
        <v>61.077796606648128</v>
      </c>
      <c r="W718" s="406">
        <v>123.06605725182358</v>
      </c>
      <c r="X718" s="406">
        <v>126.77940129471619</v>
      </c>
      <c r="Y718" s="405">
        <f t="shared" si="117"/>
        <v>63.428905288683481</v>
      </c>
      <c r="Z718" s="406">
        <v>126.42157729210277</v>
      </c>
      <c r="AA718" s="406">
        <v>130.70730180573034</v>
      </c>
      <c r="AB718" s="442">
        <f t="shared" si="118"/>
        <v>64.647735113648778</v>
      </c>
      <c r="AC718" s="438">
        <f t="shared" si="119"/>
        <v>66.549357098528304</v>
      </c>
      <c r="AD718" s="410"/>
      <c r="AE718" s="411"/>
      <c r="AF718" s="411"/>
      <c r="AG718" s="411"/>
    </row>
    <row r="719" spans="1:33" x14ac:dyDescent="0.2">
      <c r="A719" s="6" t="s">
        <v>638</v>
      </c>
      <c r="B719" s="18" t="str">
        <f>VLOOKUP(LEFT(A719,7),'Tariff Schedule Lookup Table'!$A$8:$G$186,2,FALSE)</f>
        <v>Incandescent 1500</v>
      </c>
      <c r="C719" s="160">
        <f t="shared" si="120"/>
        <v>640</v>
      </c>
      <c r="D719" s="18">
        <f t="shared" si="121"/>
        <v>2</v>
      </c>
      <c r="E719" s="18" t="str">
        <f>VLOOKUP(C719,'Tariff Schedule Lookup Table'!I$7:L$286,2,FALSE)</f>
        <v>METAL HALIDE/HPS 400W FLOOD (310/360)</v>
      </c>
      <c r="F719" s="18" t="str">
        <f>IF(E719 = "BULKHEADS ETC", "SHARED OR NO POLE", VLOOKUP(C719,'Tariff Schedule Lookup Table'!I$7:L$286,3,FALSE))</f>
        <v>SHARED OR NO POLE</v>
      </c>
      <c r="G719" s="18">
        <f>IF(E719 = "NO CAPITAL", 1, VLOOKUP(C719,'Tariff Schedule Lookup Table'!I$7:L$286,4,FALSE))</f>
        <v>1</v>
      </c>
      <c r="H719" s="18" t="str">
        <f t="shared" si="122"/>
        <v>2-Unmetered, Funded by Others, CE Maintained</v>
      </c>
      <c r="I719" s="123">
        <f>VLOOKUP(F719,'Maintenance Model'!$A$57:$B$61,2,FALSE)</f>
        <v>0</v>
      </c>
      <c r="J719" s="123">
        <f>IF(D719=1,VLOOKUP(C719,'Capital Code Schedules'!A$15:F$300,2,FALSE),IF(D719=2,VLOOKUP(C719,'Capital Code Schedules'!A$15:F$300,3,FALSE),0))</f>
        <v>0</v>
      </c>
      <c r="K719" s="123">
        <v>0</v>
      </c>
      <c r="L719" s="123">
        <f>VLOOKUP(LEFT(A719,10),'Streetlight Tariff Schedule'!B$11:H$260,7, FALSE)+I719</f>
        <v>20.903227435573008</v>
      </c>
      <c r="M719" s="161">
        <f t="shared" si="113"/>
        <v>20.903227435573008</v>
      </c>
      <c r="N719" s="405">
        <f t="shared" si="114"/>
        <v>21.774236128617545</v>
      </c>
      <c r="O719" s="405">
        <v>66.153310304444332</v>
      </c>
      <c r="P719" s="406">
        <v>66.153310304444332</v>
      </c>
      <c r="Q719" s="406">
        <v>69.390778047694937</v>
      </c>
      <c r="R719" s="406">
        <v>69.390778047694937</v>
      </c>
      <c r="S719" s="405">
        <f t="shared" si="115"/>
        <v>22.839842472062848</v>
      </c>
      <c r="T719" s="406">
        <v>72.240739535319094</v>
      </c>
      <c r="U719" s="406">
        <v>72.504655990847439</v>
      </c>
      <c r="V719" s="405">
        <f t="shared" si="116"/>
        <v>23.864769468124923</v>
      </c>
      <c r="W719" s="406">
        <v>74.870498010245953</v>
      </c>
      <c r="X719" s="406">
        <v>75.814980660472401</v>
      </c>
      <c r="Y719" s="405">
        <f t="shared" si="117"/>
        <v>24.954356530164343</v>
      </c>
      <c r="Z719" s="406">
        <v>77.033177959296111</v>
      </c>
      <c r="AA719" s="406">
        <v>78.290395183410567</v>
      </c>
      <c r="AB719" s="442">
        <f t="shared" si="118"/>
        <v>25.496034296979694</v>
      </c>
      <c r="AC719" s="438">
        <f t="shared" si="119"/>
        <v>26.258341788094153</v>
      </c>
      <c r="AD719" s="410"/>
      <c r="AE719" s="411"/>
      <c r="AF719" s="411"/>
      <c r="AG719" s="411"/>
    </row>
    <row r="720" spans="1:33" x14ac:dyDescent="0.2">
      <c r="A720" s="6" t="s">
        <v>639</v>
      </c>
      <c r="B720" s="18" t="str">
        <f>VLOOKUP(LEFT(A720,7),'Tariff Schedule Lookup Table'!$A$8:$G$186,2,FALSE)</f>
        <v>Incandescent 1500</v>
      </c>
      <c r="C720" s="160">
        <f t="shared" si="120"/>
        <v>1170</v>
      </c>
      <c r="D720" s="18">
        <f t="shared" si="121"/>
        <v>2</v>
      </c>
      <c r="E720" s="18" t="str">
        <f>VLOOKUP(C720,'Tariff Schedule Lookup Table'!I$7:L$286,2,FALSE)</f>
        <v>METAL HALIDE/HPS 400W FLOOD (310/360)</v>
      </c>
      <c r="F720" s="18" t="str">
        <f>IF(E720 = "BULKHEADS ETC", "SHARED OR NO POLE", VLOOKUP(C720,'Tariff Schedule Lookup Table'!I$7:L$286,3,FALSE))</f>
        <v>STEEL POLE</v>
      </c>
      <c r="G720" s="18">
        <f>IF(E720 = "NO CAPITAL", 1, VLOOKUP(C720,'Tariff Schedule Lookup Table'!I$7:L$286,4,FALSE))</f>
        <v>1</v>
      </c>
      <c r="H720" s="18" t="str">
        <f t="shared" si="122"/>
        <v>2-Unmetered, Funded by Others, CE Maintained</v>
      </c>
      <c r="I720" s="123">
        <f>VLOOKUP(F720,'Maintenance Model'!$A$57:$B$61,2,FALSE)</f>
        <v>9.9616182311111103</v>
      </c>
      <c r="J720" s="123">
        <f>IF(D720=1,VLOOKUP(C720,'Capital Code Schedules'!A$15:F$300,2,FALSE),IF(D720=2,VLOOKUP(C720,'Capital Code Schedules'!A$15:F$300,3,FALSE),0))</f>
        <v>0</v>
      </c>
      <c r="K720" s="123">
        <v>0</v>
      </c>
      <c r="L720" s="123">
        <f>VLOOKUP(LEFT(A720,10),'Streetlight Tariff Schedule'!B$11:H$260,7, FALSE)+I720</f>
        <v>30.864845666684118</v>
      </c>
      <c r="M720" s="161">
        <f t="shared" si="113"/>
        <v>30.864845666684118</v>
      </c>
      <c r="N720" s="405">
        <f t="shared" si="114"/>
        <v>32.150941269289937</v>
      </c>
      <c r="O720" s="405">
        <v>75.747425540543503</v>
      </c>
      <c r="P720" s="406">
        <v>75.747425540543503</v>
      </c>
      <c r="Q720" s="406">
        <v>79.454418368161853</v>
      </c>
      <c r="R720" s="406">
        <v>79.454418368161853</v>
      </c>
      <c r="S720" s="405">
        <f t="shared" si="115"/>
        <v>33.724371756675211</v>
      </c>
      <c r="T720" s="406">
        <v>82.717705489905839</v>
      </c>
      <c r="U720" s="406">
        <v>83.019897352596573</v>
      </c>
      <c r="V720" s="405">
        <f t="shared" si="116"/>
        <v>35.237736793274259</v>
      </c>
      <c r="W720" s="406">
        <v>85.728853886749633</v>
      </c>
      <c r="X720" s="406">
        <v>86.810313437195674</v>
      </c>
      <c r="Y720" s="405">
        <f t="shared" si="117"/>
        <v>36.846576223162067</v>
      </c>
      <c r="Z720" s="406">
        <v>88.205184060625996</v>
      </c>
      <c r="AA720" s="406">
        <v>89.644733610506961</v>
      </c>
      <c r="AB720" s="442">
        <f t="shared" si="118"/>
        <v>37.646395328865239</v>
      </c>
      <c r="AC720" s="438">
        <f t="shared" si="119"/>
        <v>38.771987208699279</v>
      </c>
      <c r="AD720" s="410"/>
      <c r="AE720" s="411"/>
      <c r="AF720" s="411"/>
      <c r="AG720" s="411"/>
    </row>
    <row r="721" spans="1:33" x14ac:dyDescent="0.2">
      <c r="A721" s="6" t="s">
        <v>640</v>
      </c>
      <c r="B721" s="18" t="str">
        <f>VLOOKUP(LEFT(A721,7),'Tariff Schedule Lookup Table'!$A$8:$G$186,2,FALSE)</f>
        <v>Low Pressure Sodium 18</v>
      </c>
      <c r="C721" s="160">
        <f t="shared" si="120"/>
        <v>40</v>
      </c>
      <c r="D721" s="18">
        <f t="shared" si="121"/>
        <v>1</v>
      </c>
      <c r="E721" s="18" t="str">
        <f>VLOOKUP(C721,'Tariff Schedule Lookup Table'!I$7:L$286,2,FALSE)</f>
        <v>HIGH PRESSURE SODIUM 70W (100)</v>
      </c>
      <c r="F721" s="18" t="str">
        <f>IF(E721 = "BULKHEADS ETC", "SHARED OR NO POLE", VLOOKUP(C721,'Tariff Schedule Lookup Table'!I$7:L$286,3,FALSE))</f>
        <v>SHARED OR NO POLE</v>
      </c>
      <c r="G721" s="18">
        <f>IF(E721 = "NO CAPITAL", 1, VLOOKUP(C721,'Tariff Schedule Lookup Table'!I$7:L$286,4,FALSE))</f>
        <v>1</v>
      </c>
      <c r="H721" s="18" t="str">
        <f t="shared" si="122"/>
        <v>1-Unmetered, CE Funded, CE Maintained</v>
      </c>
      <c r="I721" s="123">
        <f>VLOOKUP(F721,'Maintenance Model'!$A$57:$B$61,2,FALSE)</f>
        <v>0</v>
      </c>
      <c r="J721" s="123">
        <f>IF(D721=1,VLOOKUP(C721,'Capital Code Schedules'!A$15:F$300,2,FALSE),IF(D721=2,VLOOKUP(C721,'Capital Code Schedules'!A$15:F$300,3,FALSE),0))</f>
        <v>18.483521869130684</v>
      </c>
      <c r="K721" s="123">
        <v>23.445807346631316</v>
      </c>
      <c r="L721" s="123">
        <f>VLOOKUP(LEFT(A721,10),'Streetlight Tariff Schedule'!B$11:H$260,7, FALSE)+I721</f>
        <v>52.323726597751772</v>
      </c>
      <c r="M721" s="161">
        <f t="shared" si="113"/>
        <v>75.769533944383085</v>
      </c>
      <c r="N721" s="405">
        <f t="shared" si="114"/>
        <v>73.444973244538375</v>
      </c>
      <c r="O721" s="405">
        <v>71.893786389745046</v>
      </c>
      <c r="P721" s="406">
        <v>70.830134675197215</v>
      </c>
      <c r="Q721" s="406">
        <v>73.71531707375037</v>
      </c>
      <c r="R721" s="406">
        <v>74.80529416823326</v>
      </c>
      <c r="S721" s="405">
        <f t="shared" si="115"/>
        <v>76.581125700824686</v>
      </c>
      <c r="T721" s="406">
        <v>76.341052901569881</v>
      </c>
      <c r="U721" s="406">
        <v>77.741145298806842</v>
      </c>
      <c r="V721" s="405">
        <f t="shared" si="116"/>
        <v>79.69984122195585</v>
      </c>
      <c r="W721" s="406">
        <v>78.826074918842181</v>
      </c>
      <c r="X721" s="406">
        <v>80.979662461949943</v>
      </c>
      <c r="Y721" s="405">
        <f t="shared" si="117"/>
        <v>83.103975569789611</v>
      </c>
      <c r="Z721" s="406">
        <v>80.996089821427489</v>
      </c>
      <c r="AA721" s="406">
        <v>83.510227043447756</v>
      </c>
      <c r="AB721" s="442">
        <f t="shared" si="118"/>
        <v>84.823130167401303</v>
      </c>
      <c r="AC721" s="438">
        <f t="shared" si="119"/>
        <v>87.342479480157508</v>
      </c>
      <c r="AD721" s="410"/>
      <c r="AE721" s="411"/>
      <c r="AF721" s="411"/>
      <c r="AG721" s="411"/>
    </row>
    <row r="722" spans="1:33" x14ac:dyDescent="0.2">
      <c r="A722" s="6" t="s">
        <v>641</v>
      </c>
      <c r="B722" s="18" t="str">
        <f>VLOOKUP(LEFT(A722,7),'Tariff Schedule Lookup Table'!$A$8:$G$186,2,FALSE)</f>
        <v>Low Pressure Sodium 18</v>
      </c>
      <c r="C722" s="160">
        <f t="shared" si="120"/>
        <v>350</v>
      </c>
      <c r="D722" s="18">
        <f t="shared" si="121"/>
        <v>1</v>
      </c>
      <c r="E722" s="18" t="str">
        <f>VLOOKUP(C722,'Tariff Schedule Lookup Table'!I$7:L$286,2,FALSE)</f>
        <v>HIGH PRESSURE SODIUM 70W (100)</v>
      </c>
      <c r="F722" s="18" t="str">
        <f>IF(E722 = "BULKHEADS ETC", "SHARED OR NO POLE", VLOOKUP(C722,'Tariff Schedule Lookup Table'!I$7:L$286,3,FALSE))</f>
        <v>WOOD POLE</v>
      </c>
      <c r="G722" s="18">
        <f>IF(E722 = "NO CAPITAL", 1, VLOOKUP(C722,'Tariff Schedule Lookup Table'!I$7:L$286,4,FALSE))</f>
        <v>1</v>
      </c>
      <c r="H722" s="18" t="str">
        <f t="shared" si="122"/>
        <v>1-Unmetered, CE Funded, CE Maintained</v>
      </c>
      <c r="I722" s="123">
        <f>VLOOKUP(F722,'Maintenance Model'!$A$57:$B$61,2,FALSE)</f>
        <v>10.731618231111112</v>
      </c>
      <c r="J722" s="123">
        <f>IF(D722=1,VLOOKUP(C722,'Capital Code Schedules'!A$15:F$300,2,FALSE),IF(D722=2,VLOOKUP(C722,'Capital Code Schedules'!A$15:F$300,3,FALSE),0))</f>
        <v>52.384640231006998</v>
      </c>
      <c r="K722" s="123">
        <v>66.448385295553337</v>
      </c>
      <c r="L722" s="123">
        <f>VLOOKUP(LEFT(A722,10),'Streetlight Tariff Schedule'!B$11:H$260,7, FALSE)+I722</f>
        <v>63.055344828862886</v>
      </c>
      <c r="M722" s="161">
        <f t="shared" si="113"/>
        <v>129.50373012441622</v>
      </c>
      <c r="N722" s="405">
        <f t="shared" si="114"/>
        <v>119.36393426586854</v>
      </c>
      <c r="O722" s="405">
        <v>128.30775007738117</v>
      </c>
      <c r="P722" s="406">
        <v>125.29322650377924</v>
      </c>
      <c r="Q722" s="406">
        <v>129.77784267709026</v>
      </c>
      <c r="R722" s="406">
        <v>132.86697570913884</v>
      </c>
      <c r="S722" s="405">
        <f t="shared" si="115"/>
        <v>123.90698321886725</v>
      </c>
      <c r="T722" s="406">
        <v>133.96910818231643</v>
      </c>
      <c r="U722" s="406">
        <v>137.63614856205137</v>
      </c>
      <c r="V722" s="405">
        <f t="shared" si="116"/>
        <v>128.56649114146239</v>
      </c>
      <c r="W722" s="406">
        <v>138.01271610339464</v>
      </c>
      <c r="X722" s="406">
        <v>143.03906631284028</v>
      </c>
      <c r="Y722" s="405">
        <f t="shared" si="117"/>
        <v>133.77124894130421</v>
      </c>
      <c r="Z722" s="406">
        <v>141.69626050549149</v>
      </c>
      <c r="AA722" s="406">
        <v>147.3877780427656</v>
      </c>
      <c r="AB722" s="442">
        <f t="shared" si="118"/>
        <v>136.43476085876884</v>
      </c>
      <c r="AC722" s="438">
        <f t="shared" si="119"/>
        <v>140.46646797171783</v>
      </c>
      <c r="AD722" s="410"/>
      <c r="AE722" s="411"/>
      <c r="AF722" s="411"/>
      <c r="AG722" s="411"/>
    </row>
    <row r="723" spans="1:33" x14ac:dyDescent="0.2">
      <c r="A723" s="6" t="s">
        <v>642</v>
      </c>
      <c r="B723" s="18" t="str">
        <f>VLOOKUP(LEFT(A723,7),'Tariff Schedule Lookup Table'!$A$8:$G$186,2,FALSE)</f>
        <v>Low Pressure Sodium 18</v>
      </c>
      <c r="C723" s="160">
        <f t="shared" si="120"/>
        <v>350</v>
      </c>
      <c r="D723" s="18">
        <f t="shared" si="121"/>
        <v>2</v>
      </c>
      <c r="E723" s="18" t="str">
        <f>VLOOKUP(C723,'Tariff Schedule Lookup Table'!I$7:L$286,2,FALSE)</f>
        <v>HIGH PRESSURE SODIUM 70W (100)</v>
      </c>
      <c r="F723" s="18" t="str">
        <f>IF(E723 = "BULKHEADS ETC", "SHARED OR NO POLE", VLOOKUP(C723,'Tariff Schedule Lookup Table'!I$7:L$286,3,FALSE))</f>
        <v>WOOD POLE</v>
      </c>
      <c r="G723" s="18">
        <f>IF(E723 = "NO CAPITAL", 1, VLOOKUP(C723,'Tariff Schedule Lookup Table'!I$7:L$286,4,FALSE))</f>
        <v>1</v>
      </c>
      <c r="H723" s="18" t="str">
        <f t="shared" si="122"/>
        <v>2-Unmetered, Funded by Others, CE Maintained</v>
      </c>
      <c r="I723" s="123">
        <f>VLOOKUP(F723,'Maintenance Model'!$A$57:$B$61,2,FALSE)</f>
        <v>10.731618231111112</v>
      </c>
      <c r="J723" s="123">
        <f>IF(D723=1,VLOOKUP(C723,'Capital Code Schedules'!A$15:F$300,2,FALSE),IF(D723=2,VLOOKUP(C723,'Capital Code Schedules'!A$15:F$300,3,FALSE),0))</f>
        <v>0</v>
      </c>
      <c r="K723" s="123">
        <v>0</v>
      </c>
      <c r="L723" s="123">
        <f>VLOOKUP(LEFT(A723,10),'Streetlight Tariff Schedule'!B$11:H$260,7, FALSE)+I723</f>
        <v>63.055344828862886</v>
      </c>
      <c r="M723" s="161">
        <f t="shared" ref="M723:M786" si="123">IF(VLOOKUP(D723,A$11:D$15,3,FALSE)="Y",IF(VLOOKUP(D723,A$11:D$15,4,FALSE)="Y",K723+L723,K723),IF(VLOOKUP(D723,A$11:D$15,4,FALSE)="Y",L723,0))</f>
        <v>63.055344828862886</v>
      </c>
      <c r="N723" s="405">
        <f t="shared" ref="N723:N786" si="124">($J723+$L723+$L723*$M$10*$M$14)*(1+$M$12)</f>
        <v>65.682774189144112</v>
      </c>
      <c r="O723" s="405">
        <v>57.200243672160944</v>
      </c>
      <c r="P723" s="406">
        <v>57.200243672160944</v>
      </c>
      <c r="Q723" s="406">
        <v>59.999558520389407</v>
      </c>
      <c r="R723" s="406">
        <v>59.999558520389407</v>
      </c>
      <c r="S723" s="405">
        <f t="shared" ref="S723:S786" si="125">($J723+$L723+$L723*$N$10*$N$14)*(1+$N$12)</f>
        <v>68.897214430243906</v>
      </c>
      <c r="T723" s="406">
        <v>62.463811492737236</v>
      </c>
      <c r="U723" s="406">
        <v>62.692009983422608</v>
      </c>
      <c r="V723" s="405">
        <f t="shared" ref="V723:V786" si="126">($J723+$L723+$L723*$O$10*$O$14)*(1+$O$12)</f>
        <v>71.988943942363278</v>
      </c>
      <c r="W723" s="406">
        <v>64.737663320748354</v>
      </c>
      <c r="X723" s="406">
        <v>65.554321436395981</v>
      </c>
      <c r="Y723" s="405">
        <f t="shared" ref="Y723:Y786" si="127">($J723+$L723+$L723*$P$10*$P$14)*(1+$P$12)</f>
        <v>75.275722892155642</v>
      </c>
      <c r="Z723" s="406">
        <v>66.607650166474713</v>
      </c>
      <c r="AA723" s="406">
        <v>67.694717937342617</v>
      </c>
      <c r="AB723" s="442">
        <f t="shared" ref="AB723:AB786" si="128">($J723+$L723+$L723*$Q$10*$Q$14)*(1+$Q$12)</f>
        <v>76.909713551155249</v>
      </c>
      <c r="AC723" s="438">
        <f t="shared" ref="AC723:AC786" si="129">($J723+$L723+$L723*$R$10*$R$14)*(1+$R$12)</f>
        <v>79.209241787452697</v>
      </c>
      <c r="AD723" s="410"/>
      <c r="AE723" s="411"/>
      <c r="AF723" s="411"/>
      <c r="AG723" s="411"/>
    </row>
    <row r="724" spans="1:33" x14ac:dyDescent="0.2">
      <c r="A724" s="6" t="s">
        <v>643</v>
      </c>
      <c r="B724" s="18" t="str">
        <f>VLOOKUP(LEFT(A724,7),'Tariff Schedule Lookup Table'!$A$8:$G$186,2,FALSE)</f>
        <v>Low Pressure Sodium 35</v>
      </c>
      <c r="C724" s="160">
        <f t="shared" si="120"/>
        <v>40</v>
      </c>
      <c r="D724" s="18">
        <f t="shared" si="121"/>
        <v>1</v>
      </c>
      <c r="E724" s="18" t="str">
        <f>VLOOKUP(C724,'Tariff Schedule Lookup Table'!I$7:L$286,2,FALSE)</f>
        <v>HIGH PRESSURE SODIUM 70W (100)</v>
      </c>
      <c r="F724" s="18" t="str">
        <f>IF(E724 = "BULKHEADS ETC", "SHARED OR NO POLE", VLOOKUP(C724,'Tariff Schedule Lookup Table'!I$7:L$286,3,FALSE))</f>
        <v>SHARED OR NO POLE</v>
      </c>
      <c r="G724" s="18">
        <f>IF(E724 = "NO CAPITAL", 1, VLOOKUP(C724,'Tariff Schedule Lookup Table'!I$7:L$286,4,FALSE))</f>
        <v>1</v>
      </c>
      <c r="H724" s="18" t="str">
        <f t="shared" si="122"/>
        <v>1-Unmetered, CE Funded, CE Maintained</v>
      </c>
      <c r="I724" s="123">
        <f>VLOOKUP(F724,'Maintenance Model'!$A$57:$B$61,2,FALSE)</f>
        <v>0</v>
      </c>
      <c r="J724" s="123">
        <f>IF(D724=1,VLOOKUP(C724,'Capital Code Schedules'!A$15:F$300,2,FALSE),IF(D724=2,VLOOKUP(C724,'Capital Code Schedules'!A$15:F$300,3,FALSE),0))</f>
        <v>18.483521869130684</v>
      </c>
      <c r="K724" s="123">
        <v>23.445807346631316</v>
      </c>
      <c r="L724" s="123">
        <f>VLOOKUP(LEFT(A724,10),'Streetlight Tariff Schedule'!B$11:H$260,7, FALSE)+I724</f>
        <v>52.323726597751772</v>
      </c>
      <c r="M724" s="161">
        <f t="shared" si="123"/>
        <v>75.769533944383085</v>
      </c>
      <c r="N724" s="405">
        <f t="shared" si="124"/>
        <v>73.444973244538375</v>
      </c>
      <c r="O724" s="405">
        <v>71.893786389745046</v>
      </c>
      <c r="P724" s="406">
        <v>70.830134675197215</v>
      </c>
      <c r="Q724" s="406">
        <v>73.71531707375037</v>
      </c>
      <c r="R724" s="406">
        <v>74.80529416823326</v>
      </c>
      <c r="S724" s="405">
        <f t="shared" si="125"/>
        <v>76.581125700824686</v>
      </c>
      <c r="T724" s="406">
        <v>76.341052901569881</v>
      </c>
      <c r="U724" s="406">
        <v>77.741145298806842</v>
      </c>
      <c r="V724" s="405">
        <f t="shared" si="126"/>
        <v>79.69984122195585</v>
      </c>
      <c r="W724" s="406">
        <v>78.826074918842181</v>
      </c>
      <c r="X724" s="406">
        <v>80.979662461949943</v>
      </c>
      <c r="Y724" s="405">
        <f t="shared" si="127"/>
        <v>83.103975569789611</v>
      </c>
      <c r="Z724" s="406">
        <v>80.996089821427489</v>
      </c>
      <c r="AA724" s="406">
        <v>83.510227043447756</v>
      </c>
      <c r="AB724" s="442">
        <f t="shared" si="128"/>
        <v>84.823130167401303</v>
      </c>
      <c r="AC724" s="438">
        <f t="shared" si="129"/>
        <v>87.342479480157508</v>
      </c>
      <c r="AD724" s="410"/>
      <c r="AE724" s="411"/>
      <c r="AF724" s="411"/>
      <c r="AG724" s="411"/>
    </row>
    <row r="725" spans="1:33" x14ac:dyDescent="0.2">
      <c r="A725" s="6" t="s">
        <v>644</v>
      </c>
      <c r="B725" s="18" t="str">
        <f>VLOOKUP(LEFT(A725,7),'Tariff Schedule Lookup Table'!$A$8:$G$186,2,FALSE)</f>
        <v>Low Pressure Sodium 35</v>
      </c>
      <c r="C725" s="160">
        <f t="shared" si="120"/>
        <v>40</v>
      </c>
      <c r="D725" s="18">
        <f t="shared" si="121"/>
        <v>2</v>
      </c>
      <c r="E725" s="18" t="str">
        <f>VLOOKUP(C725,'Tariff Schedule Lookup Table'!I$7:L$286,2,FALSE)</f>
        <v>HIGH PRESSURE SODIUM 70W (100)</v>
      </c>
      <c r="F725" s="18" t="str">
        <f>IF(E725 = "BULKHEADS ETC", "SHARED OR NO POLE", VLOOKUP(C725,'Tariff Schedule Lookup Table'!I$7:L$286,3,FALSE))</f>
        <v>SHARED OR NO POLE</v>
      </c>
      <c r="G725" s="18">
        <f>IF(E725 = "NO CAPITAL", 1, VLOOKUP(C725,'Tariff Schedule Lookup Table'!I$7:L$286,4,FALSE))</f>
        <v>1</v>
      </c>
      <c r="H725" s="18" t="str">
        <f t="shared" si="122"/>
        <v>2-Unmetered, Funded by Others, CE Maintained</v>
      </c>
      <c r="I725" s="123">
        <f>VLOOKUP(F725,'Maintenance Model'!$A$57:$B$61,2,FALSE)</f>
        <v>0</v>
      </c>
      <c r="J725" s="123">
        <f>IF(D725=1,VLOOKUP(C725,'Capital Code Schedules'!A$15:F$300,2,FALSE),IF(D725=2,VLOOKUP(C725,'Capital Code Schedules'!A$15:F$300,3,FALSE),0))</f>
        <v>0</v>
      </c>
      <c r="K725" s="123">
        <v>0</v>
      </c>
      <c r="L725" s="123">
        <f>VLOOKUP(LEFT(A725,10),'Streetlight Tariff Schedule'!B$11:H$260,7, FALSE)+I725</f>
        <v>52.323726597751772</v>
      </c>
      <c r="M725" s="161">
        <f t="shared" si="123"/>
        <v>52.323726597751772</v>
      </c>
      <c r="N725" s="405">
        <f t="shared" si="124"/>
        <v>54.503984209146701</v>
      </c>
      <c r="O725" s="405">
        <v>46.804043596736783</v>
      </c>
      <c r="P725" s="406">
        <v>46.804043596736783</v>
      </c>
      <c r="Q725" s="406">
        <v>49.094580241098029</v>
      </c>
      <c r="R725" s="406">
        <v>49.094580241098029</v>
      </c>
      <c r="S725" s="405">
        <f t="shared" si="125"/>
        <v>57.171347186807076</v>
      </c>
      <c r="T725" s="406">
        <v>51.11095283230938</v>
      </c>
      <c r="U725" s="406">
        <v>51.297676024748256</v>
      </c>
      <c r="V725" s="405">
        <f t="shared" si="126"/>
        <v>59.736884020288734</v>
      </c>
      <c r="W725" s="406">
        <v>52.971529872867499</v>
      </c>
      <c r="X725" s="406">
        <v>53.639759579500783</v>
      </c>
      <c r="Y725" s="405">
        <f t="shared" si="127"/>
        <v>62.464274118985976</v>
      </c>
      <c r="Z725" s="406">
        <v>54.501644785564942</v>
      </c>
      <c r="AA725" s="406">
        <v>55.39113692884878</v>
      </c>
      <c r="AB725" s="442">
        <f t="shared" si="128"/>
        <v>63.820169971063535</v>
      </c>
      <c r="AC725" s="438">
        <f t="shared" si="129"/>
        <v>65.728333142106294</v>
      </c>
      <c r="AD725" s="410"/>
      <c r="AE725" s="411"/>
      <c r="AF725" s="411"/>
      <c r="AG725" s="411"/>
    </row>
    <row r="726" spans="1:33" x14ac:dyDescent="0.2">
      <c r="A726" s="6" t="s">
        <v>645</v>
      </c>
      <c r="B726" s="18" t="str">
        <f>VLOOKUP(LEFT(A726,7),'Tariff Schedule Lookup Table'!$A$8:$G$186,2,FALSE)</f>
        <v>Low Pressure Sodium 55</v>
      </c>
      <c r="C726" s="160">
        <f t="shared" si="120"/>
        <v>40</v>
      </c>
      <c r="D726" s="18">
        <f t="shared" si="121"/>
        <v>1</v>
      </c>
      <c r="E726" s="18" t="str">
        <f>VLOOKUP(C726,'Tariff Schedule Lookup Table'!I$7:L$286,2,FALSE)</f>
        <v>HIGH PRESSURE SODIUM 70W (100)</v>
      </c>
      <c r="F726" s="18" t="str">
        <f>IF(E726 = "BULKHEADS ETC", "SHARED OR NO POLE", VLOOKUP(C726,'Tariff Schedule Lookup Table'!I$7:L$286,3,FALSE))</f>
        <v>SHARED OR NO POLE</v>
      </c>
      <c r="G726" s="18">
        <f>IF(E726 = "NO CAPITAL", 1, VLOOKUP(C726,'Tariff Schedule Lookup Table'!I$7:L$286,4,FALSE))</f>
        <v>1</v>
      </c>
      <c r="H726" s="18" t="str">
        <f t="shared" si="122"/>
        <v>1-Unmetered, CE Funded, CE Maintained</v>
      </c>
      <c r="I726" s="123">
        <f>VLOOKUP(F726,'Maintenance Model'!$A$57:$B$61,2,FALSE)</f>
        <v>0</v>
      </c>
      <c r="J726" s="123">
        <f>IF(D726=1,VLOOKUP(C726,'Capital Code Schedules'!A$15:F$300,2,FALSE),IF(D726=2,VLOOKUP(C726,'Capital Code Schedules'!A$15:F$300,3,FALSE),0))</f>
        <v>18.483521869130684</v>
      </c>
      <c r="K726" s="123">
        <v>23.445807346631316</v>
      </c>
      <c r="L726" s="123">
        <f>VLOOKUP(LEFT(A726,10),'Streetlight Tariff Schedule'!B$11:H$260,7, FALSE)+I726</f>
        <v>52.323726597751772</v>
      </c>
      <c r="M726" s="161">
        <f t="shared" si="123"/>
        <v>75.769533944383085</v>
      </c>
      <c r="N726" s="405">
        <f t="shared" si="124"/>
        <v>73.444973244538375</v>
      </c>
      <c r="O726" s="405">
        <v>71.893786389745046</v>
      </c>
      <c r="P726" s="406">
        <v>70.830134675197215</v>
      </c>
      <c r="Q726" s="406">
        <v>73.71531707375037</v>
      </c>
      <c r="R726" s="406">
        <v>74.80529416823326</v>
      </c>
      <c r="S726" s="405">
        <f t="shared" si="125"/>
        <v>76.581125700824686</v>
      </c>
      <c r="T726" s="406">
        <v>76.341052901569881</v>
      </c>
      <c r="U726" s="406">
        <v>77.741145298806842</v>
      </c>
      <c r="V726" s="405">
        <f t="shared" si="126"/>
        <v>79.69984122195585</v>
      </c>
      <c r="W726" s="406">
        <v>78.826074918842181</v>
      </c>
      <c r="X726" s="406">
        <v>80.979662461949943</v>
      </c>
      <c r="Y726" s="405">
        <f t="shared" si="127"/>
        <v>83.103975569789611</v>
      </c>
      <c r="Z726" s="406">
        <v>80.996089821427489</v>
      </c>
      <c r="AA726" s="406">
        <v>83.510227043447756</v>
      </c>
      <c r="AB726" s="442">
        <f t="shared" si="128"/>
        <v>84.823130167401303</v>
      </c>
      <c r="AC726" s="438">
        <f t="shared" si="129"/>
        <v>87.342479480157508</v>
      </c>
      <c r="AD726" s="410"/>
      <c r="AE726" s="411"/>
      <c r="AF726" s="411"/>
      <c r="AG726" s="411"/>
    </row>
    <row r="727" spans="1:33" x14ac:dyDescent="0.2">
      <c r="A727" s="6" t="s">
        <v>646</v>
      </c>
      <c r="B727" s="18" t="str">
        <f>VLOOKUP(LEFT(A727,7),'Tariff Schedule Lookup Table'!$A$8:$G$186,2,FALSE)</f>
        <v>Low Pressure Sodium 55</v>
      </c>
      <c r="C727" s="160">
        <f t="shared" si="120"/>
        <v>40</v>
      </c>
      <c r="D727" s="18">
        <f t="shared" si="121"/>
        <v>2</v>
      </c>
      <c r="E727" s="18" t="str">
        <f>VLOOKUP(C727,'Tariff Schedule Lookup Table'!I$7:L$286,2,FALSE)</f>
        <v>HIGH PRESSURE SODIUM 70W (100)</v>
      </c>
      <c r="F727" s="18" t="str">
        <f>IF(E727 = "BULKHEADS ETC", "SHARED OR NO POLE", VLOOKUP(C727,'Tariff Schedule Lookup Table'!I$7:L$286,3,FALSE))</f>
        <v>SHARED OR NO POLE</v>
      </c>
      <c r="G727" s="18">
        <f>IF(E727 = "NO CAPITAL", 1, VLOOKUP(C727,'Tariff Schedule Lookup Table'!I$7:L$286,4,FALSE))</f>
        <v>1</v>
      </c>
      <c r="H727" s="18" t="str">
        <f t="shared" si="122"/>
        <v>2-Unmetered, Funded by Others, CE Maintained</v>
      </c>
      <c r="I727" s="123">
        <f>VLOOKUP(F727,'Maintenance Model'!$A$57:$B$61,2,FALSE)</f>
        <v>0</v>
      </c>
      <c r="J727" s="123">
        <f>IF(D727=1,VLOOKUP(C727,'Capital Code Schedules'!A$15:F$300,2,FALSE),IF(D727=2,VLOOKUP(C727,'Capital Code Schedules'!A$15:F$300,3,FALSE),0))</f>
        <v>0</v>
      </c>
      <c r="K727" s="123">
        <v>0</v>
      </c>
      <c r="L727" s="123">
        <f>VLOOKUP(LEFT(A727,10),'Streetlight Tariff Schedule'!B$11:H$260,7, FALSE)+I727</f>
        <v>52.323726597751772</v>
      </c>
      <c r="M727" s="161">
        <f t="shared" si="123"/>
        <v>52.323726597751772</v>
      </c>
      <c r="N727" s="405">
        <f t="shared" si="124"/>
        <v>54.503984209146701</v>
      </c>
      <c r="O727" s="405">
        <v>46.804043596736783</v>
      </c>
      <c r="P727" s="406">
        <v>46.804043596736783</v>
      </c>
      <c r="Q727" s="406">
        <v>49.094580241098029</v>
      </c>
      <c r="R727" s="406">
        <v>49.094580241098029</v>
      </c>
      <c r="S727" s="405">
        <f t="shared" si="125"/>
        <v>57.171347186807076</v>
      </c>
      <c r="T727" s="406">
        <v>51.11095283230938</v>
      </c>
      <c r="U727" s="406">
        <v>51.297676024748256</v>
      </c>
      <c r="V727" s="405">
        <f t="shared" si="126"/>
        <v>59.736884020288734</v>
      </c>
      <c r="W727" s="406">
        <v>52.971529872867499</v>
      </c>
      <c r="X727" s="406">
        <v>53.639759579500783</v>
      </c>
      <c r="Y727" s="405">
        <f t="shared" si="127"/>
        <v>62.464274118985976</v>
      </c>
      <c r="Z727" s="406">
        <v>54.501644785564942</v>
      </c>
      <c r="AA727" s="406">
        <v>55.39113692884878</v>
      </c>
      <c r="AB727" s="442">
        <f t="shared" si="128"/>
        <v>63.820169971063535</v>
      </c>
      <c r="AC727" s="438">
        <f t="shared" si="129"/>
        <v>65.728333142106294</v>
      </c>
      <c r="AD727" s="410"/>
      <c r="AE727" s="411"/>
      <c r="AF727" s="411"/>
      <c r="AG727" s="411"/>
    </row>
    <row r="728" spans="1:33" x14ac:dyDescent="0.2">
      <c r="A728" s="6" t="s">
        <v>647</v>
      </c>
      <c r="B728" s="18" t="str">
        <f>VLOOKUP(LEFT(A728,7),'Tariff Schedule Lookup Table'!$A$8:$G$186,2,FALSE)</f>
        <v>Low Pressure Sodium 55</v>
      </c>
      <c r="C728" s="160">
        <f t="shared" si="120"/>
        <v>360</v>
      </c>
      <c r="D728" s="18">
        <f t="shared" si="121"/>
        <v>1</v>
      </c>
      <c r="E728" s="18" t="str">
        <f>VLOOKUP(C728,'Tariff Schedule Lookup Table'!I$7:L$286,2,FALSE)</f>
        <v>HIGH PRESSURE SODIUM 70W (100)</v>
      </c>
      <c r="F728" s="18" t="str">
        <f>IF(E728 = "BULKHEADS ETC", "SHARED OR NO POLE", VLOOKUP(C728,'Tariff Schedule Lookup Table'!I$7:L$286,3,FALSE))</f>
        <v>STEEL POLE</v>
      </c>
      <c r="G728" s="18">
        <f>IF(E728 = "NO CAPITAL", 1, VLOOKUP(C728,'Tariff Schedule Lookup Table'!I$7:L$286,4,FALSE))</f>
        <v>1</v>
      </c>
      <c r="H728" s="18" t="str">
        <f t="shared" si="122"/>
        <v>1-Unmetered, CE Funded, CE Maintained</v>
      </c>
      <c r="I728" s="123">
        <f>VLOOKUP(F728,'Maintenance Model'!$A$57:$B$61,2,FALSE)</f>
        <v>9.9616182311111103</v>
      </c>
      <c r="J728" s="123">
        <f>IF(D728=1,VLOOKUP(C728,'Capital Code Schedules'!A$15:F$300,2,FALSE),IF(D728=2,VLOOKUP(C728,'Capital Code Schedules'!A$15:F$300,3,FALSE),0))</f>
        <v>87.482155888651974</v>
      </c>
      <c r="K728" s="123">
        <v>110.96855825181379</v>
      </c>
      <c r="L728" s="123">
        <f>VLOOKUP(LEFT(A728,10),'Streetlight Tariff Schedule'!B$11:H$260,7, FALSE)+I728</f>
        <v>62.285344828862883</v>
      </c>
      <c r="M728" s="161">
        <f t="shared" si="123"/>
        <v>173.25390308067668</v>
      </c>
      <c r="N728" s="405">
        <f t="shared" si="124"/>
        <v>154.52802859671522</v>
      </c>
      <c r="O728" s="405">
        <v>175.1474321458316</v>
      </c>
      <c r="P728" s="406">
        <v>170.1131889013821</v>
      </c>
      <c r="Q728" s="406">
        <v>175.68769762430762</v>
      </c>
      <c r="R728" s="406">
        <v>180.84653838905726</v>
      </c>
      <c r="S728" s="405">
        <f t="shared" si="125"/>
        <v>159.92198736467623</v>
      </c>
      <c r="T728" s="406">
        <v>181.00150040694172</v>
      </c>
      <c r="U728" s="406">
        <v>186.96935227207322</v>
      </c>
      <c r="V728" s="405">
        <f t="shared" si="126"/>
        <v>165.59414639915266</v>
      </c>
      <c r="W728" s="406">
        <v>186.19895351451285</v>
      </c>
      <c r="X728" s="406">
        <v>194.03433038442088</v>
      </c>
      <c r="Y728" s="405">
        <f t="shared" si="127"/>
        <v>172.04380646801923</v>
      </c>
      <c r="Z728" s="406">
        <v>191.07135307922377</v>
      </c>
      <c r="AA728" s="406">
        <v>199.83259166794565</v>
      </c>
      <c r="AB728" s="442">
        <f t="shared" si="128"/>
        <v>175.37714036173085</v>
      </c>
      <c r="AC728" s="438">
        <f t="shared" si="129"/>
        <v>180.5413202538337</v>
      </c>
      <c r="AD728" s="410"/>
      <c r="AE728" s="411"/>
      <c r="AF728" s="411"/>
      <c r="AG728" s="411"/>
    </row>
    <row r="729" spans="1:33" x14ac:dyDescent="0.2">
      <c r="A729" s="6" t="s">
        <v>648</v>
      </c>
      <c r="B729" s="18" t="str">
        <f>VLOOKUP(LEFT(A729,7),'Tariff Schedule Lookup Table'!$A$8:$G$186,2,FALSE)</f>
        <v>Low Pressure Sodium 90/100</v>
      </c>
      <c r="C729" s="160">
        <f t="shared" si="120"/>
        <v>50</v>
      </c>
      <c r="D729" s="18">
        <f t="shared" si="121"/>
        <v>1</v>
      </c>
      <c r="E729" s="18" t="str">
        <f>VLOOKUP(C729,'Tariff Schedule Lookup Table'!I$7:L$286,2,FALSE)</f>
        <v>HIGH PRESSURE SODIUM 150W</v>
      </c>
      <c r="F729" s="18" t="str">
        <f>IF(E729 = "BULKHEADS ETC", "SHARED OR NO POLE", VLOOKUP(C729,'Tariff Schedule Lookup Table'!I$7:L$286,3,FALSE))</f>
        <v>SHARED OR NO POLE</v>
      </c>
      <c r="G729" s="18">
        <f>IF(E729 = "NO CAPITAL", 1, VLOOKUP(C729,'Tariff Schedule Lookup Table'!I$7:L$286,4,FALSE))</f>
        <v>1</v>
      </c>
      <c r="H729" s="18" t="str">
        <f t="shared" si="122"/>
        <v>1-Unmetered, CE Funded, CE Maintained</v>
      </c>
      <c r="I729" s="123">
        <f>VLOOKUP(F729,'Maintenance Model'!$A$57:$B$61,2,FALSE)</f>
        <v>0</v>
      </c>
      <c r="J729" s="123">
        <f>IF(D729=1,VLOOKUP(C729,'Capital Code Schedules'!A$15:F$300,2,FALSE),IF(D729=2,VLOOKUP(C729,'Capital Code Schedules'!A$15:F$300,3,FALSE),0))</f>
        <v>32.009790998230237</v>
      </c>
      <c r="K729" s="123">
        <v>40.603484458437606</v>
      </c>
      <c r="L729" s="123">
        <f>VLOOKUP(LEFT(A729,10),'Streetlight Tariff Schedule'!B$11:H$260,7, FALSE)+I729</f>
        <v>54.487833851501769</v>
      </c>
      <c r="M729" s="161">
        <f t="shared" si="123"/>
        <v>95.091318309939368</v>
      </c>
      <c r="N729" s="405">
        <f t="shared" si="124"/>
        <v>89.560300156539157</v>
      </c>
      <c r="O729" s="405">
        <v>92.462428513900392</v>
      </c>
      <c r="P729" s="406">
        <v>90.620394873415052</v>
      </c>
      <c r="Q729" s="406">
        <v>94.048793540576455</v>
      </c>
      <c r="R729" s="406">
        <v>95.936417513663812</v>
      </c>
      <c r="S729" s="405">
        <f t="shared" si="125"/>
        <v>93.149835485810684</v>
      </c>
      <c r="T729" s="406">
        <v>97.215582517517177</v>
      </c>
      <c r="U729" s="406">
        <v>99.512428791859648</v>
      </c>
      <c r="V729" s="405">
        <f t="shared" si="126"/>
        <v>96.779478504852207</v>
      </c>
      <c r="W729" s="406">
        <v>100.2453450359514</v>
      </c>
      <c r="X729" s="406">
        <v>103.517442699862</v>
      </c>
      <c r="Y729" s="405">
        <f t="shared" si="127"/>
        <v>100.79166005912967</v>
      </c>
      <c r="Z729" s="406">
        <v>102.95582124501307</v>
      </c>
      <c r="AA729" s="406">
        <v>106.70083701964052</v>
      </c>
      <c r="AB729" s="442">
        <f t="shared" si="128"/>
        <v>102.83272775216128</v>
      </c>
      <c r="AC729" s="438">
        <f t="shared" si="129"/>
        <v>105.87826555646963</v>
      </c>
      <c r="AD729" s="410"/>
      <c r="AE729" s="411"/>
      <c r="AF729" s="411"/>
      <c r="AG729" s="411"/>
    </row>
    <row r="730" spans="1:33" x14ac:dyDescent="0.2">
      <c r="A730" s="6" t="s">
        <v>649</v>
      </c>
      <c r="B730" s="18" t="str">
        <f>VLOOKUP(LEFT(A730,7),'Tariff Schedule Lookup Table'!$A$8:$G$186,2,FALSE)</f>
        <v>Low Pressure Sodium 90/100</v>
      </c>
      <c r="C730" s="160">
        <f t="shared" si="120"/>
        <v>50</v>
      </c>
      <c r="D730" s="18">
        <f t="shared" si="121"/>
        <v>2</v>
      </c>
      <c r="E730" s="18" t="str">
        <f>VLOOKUP(C730,'Tariff Schedule Lookup Table'!I$7:L$286,2,FALSE)</f>
        <v>HIGH PRESSURE SODIUM 150W</v>
      </c>
      <c r="F730" s="18" t="str">
        <f>IF(E730 = "BULKHEADS ETC", "SHARED OR NO POLE", VLOOKUP(C730,'Tariff Schedule Lookup Table'!I$7:L$286,3,FALSE))</f>
        <v>SHARED OR NO POLE</v>
      </c>
      <c r="G730" s="18">
        <f>IF(E730 = "NO CAPITAL", 1, VLOOKUP(C730,'Tariff Schedule Lookup Table'!I$7:L$286,4,FALSE))</f>
        <v>1</v>
      </c>
      <c r="H730" s="18" t="str">
        <f t="shared" si="122"/>
        <v>2-Unmetered, Funded by Others, CE Maintained</v>
      </c>
      <c r="I730" s="123">
        <f>VLOOKUP(F730,'Maintenance Model'!$A$57:$B$61,2,FALSE)</f>
        <v>0</v>
      </c>
      <c r="J730" s="123">
        <f>IF(D730=1,VLOOKUP(C730,'Capital Code Schedules'!A$15:F$300,2,FALSE),IF(D730=2,VLOOKUP(C730,'Capital Code Schedules'!A$15:F$300,3,FALSE),0))</f>
        <v>0</v>
      </c>
      <c r="K730" s="123">
        <v>0</v>
      </c>
      <c r="L730" s="123">
        <f>VLOOKUP(LEFT(A730,10),'Streetlight Tariff Schedule'!B$11:H$260,7, FALSE)+I730</f>
        <v>54.487833851501769</v>
      </c>
      <c r="M730" s="161">
        <f t="shared" si="123"/>
        <v>54.487833851501769</v>
      </c>
      <c r="N730" s="405">
        <f t="shared" si="124"/>
        <v>56.758266831102723</v>
      </c>
      <c r="O730" s="405">
        <v>49.011974174631113</v>
      </c>
      <c r="P730" s="406">
        <v>49.011974174631113</v>
      </c>
      <c r="Q730" s="406">
        <v>51.410564429497619</v>
      </c>
      <c r="R730" s="406">
        <v>51.410564429497619</v>
      </c>
      <c r="S730" s="405">
        <f t="shared" si="125"/>
        <v>59.535951835569705</v>
      </c>
      <c r="T730" s="406">
        <v>53.522057235939144</v>
      </c>
      <c r="U730" s="406">
        <v>53.717588894794723</v>
      </c>
      <c r="V730" s="405">
        <f t="shared" si="126"/>
        <v>62.207599170579343</v>
      </c>
      <c r="W730" s="406">
        <v>55.470405003654314</v>
      </c>
      <c r="X730" s="406">
        <v>56.170157730286576</v>
      </c>
      <c r="Y730" s="405">
        <f t="shared" si="127"/>
        <v>65.047794015424969</v>
      </c>
      <c r="Z730" s="406">
        <v>57.072701446916618</v>
      </c>
      <c r="AA730" s="406">
        <v>58.004154428432187</v>
      </c>
      <c r="AB730" s="442">
        <f t="shared" si="128"/>
        <v>66.459769666087382</v>
      </c>
      <c r="AC730" s="438">
        <f t="shared" si="129"/>
        <v>68.446854390090962</v>
      </c>
      <c r="AD730" s="410"/>
      <c r="AE730" s="411"/>
      <c r="AF730" s="411"/>
      <c r="AG730" s="411"/>
    </row>
    <row r="731" spans="1:33" x14ac:dyDescent="0.2">
      <c r="A731" s="6" t="s">
        <v>650</v>
      </c>
      <c r="B731" s="18" t="str">
        <f>VLOOKUP(LEFT(A731,7),'Tariff Schedule Lookup Table'!$A$8:$G$186,2,FALSE)</f>
        <v>Low Pressure Sodium 90/100</v>
      </c>
      <c r="C731" s="160">
        <f t="shared" si="120"/>
        <v>60</v>
      </c>
      <c r="D731" s="18">
        <f t="shared" si="121"/>
        <v>1</v>
      </c>
      <c r="E731" s="18" t="str">
        <f>VLOOKUP(C731,'Tariff Schedule Lookup Table'!I$7:L$286,2,FALSE)</f>
        <v>HIGH PRESSURE SODIUM 250W (210/220)</v>
      </c>
      <c r="F731" s="18" t="str">
        <f>IF(E731 = "BULKHEADS ETC", "SHARED OR NO POLE", VLOOKUP(C731,'Tariff Schedule Lookup Table'!I$7:L$286,3,FALSE))</f>
        <v>SHARED OR NO POLE</v>
      </c>
      <c r="G731" s="18">
        <f>IF(E731 = "NO CAPITAL", 1, VLOOKUP(C731,'Tariff Schedule Lookup Table'!I$7:L$286,4,FALSE))</f>
        <v>1</v>
      </c>
      <c r="H731" s="18" t="str">
        <f t="shared" si="122"/>
        <v>1-Unmetered, CE Funded, CE Maintained</v>
      </c>
      <c r="I731" s="123">
        <f>VLOOKUP(F731,'Maintenance Model'!$A$57:$B$61,2,FALSE)</f>
        <v>0</v>
      </c>
      <c r="J731" s="123">
        <f>IF(D731=1,VLOOKUP(C731,'Capital Code Schedules'!A$15:F$300,2,FALSE),IF(D731=2,VLOOKUP(C731,'Capital Code Schedules'!A$15:F$300,3,FALSE),0))</f>
        <v>32.138130136529035</v>
      </c>
      <c r="K731" s="123">
        <v>40.766278904912198</v>
      </c>
      <c r="L731" s="123">
        <f>VLOOKUP(LEFT(A731,10),'Streetlight Tariff Schedule'!B$11:H$260,7, FALSE)+I731</f>
        <v>54.487833851501769</v>
      </c>
      <c r="M731" s="161">
        <f t="shared" si="123"/>
        <v>95.254112756413974</v>
      </c>
      <c r="N731" s="405">
        <f t="shared" si="124"/>
        <v>89.691815688510857</v>
      </c>
      <c r="O731" s="405">
        <v>92.636637519791776</v>
      </c>
      <c r="P731" s="406">
        <v>90.787218482439897</v>
      </c>
      <c r="Q731" s="406">
        <v>94.219746033924665</v>
      </c>
      <c r="R731" s="406">
        <v>96.114938192451021</v>
      </c>
      <c r="S731" s="405">
        <f t="shared" si="125"/>
        <v>93.284606027198677</v>
      </c>
      <c r="T731" s="406">
        <v>97.390766085075754</v>
      </c>
      <c r="U731" s="406">
        <v>99.696037309992292</v>
      </c>
      <c r="V731" s="405">
        <f t="shared" si="126"/>
        <v>96.918090006669757</v>
      </c>
      <c r="W731" s="406">
        <v>100.42486439680705</v>
      </c>
      <c r="X731" s="406">
        <v>103.70727554675935</v>
      </c>
      <c r="Y731" s="405">
        <f t="shared" si="127"/>
        <v>100.93497049085883</v>
      </c>
      <c r="Z731" s="406">
        <v>103.13978371004988</v>
      </c>
      <c r="AA731" s="406">
        <v>106.89608010267443</v>
      </c>
      <c r="AB731" s="442">
        <f t="shared" si="128"/>
        <v>102.97856044748887</v>
      </c>
      <c r="AC731" s="438">
        <f t="shared" si="129"/>
        <v>106.02834198323126</v>
      </c>
      <c r="AD731" s="410"/>
      <c r="AE731" s="411"/>
      <c r="AF731" s="411"/>
      <c r="AG731" s="411"/>
    </row>
    <row r="732" spans="1:33" x14ac:dyDescent="0.2">
      <c r="A732" s="6" t="s">
        <v>651</v>
      </c>
      <c r="B732" s="18" t="str">
        <f>VLOOKUP(LEFT(A732,7),'Tariff Schedule Lookup Table'!$A$8:$G$186,2,FALSE)</f>
        <v>Low Pressure Sodium 90/100</v>
      </c>
      <c r="C732" s="160">
        <f t="shared" si="120"/>
        <v>220</v>
      </c>
      <c r="D732" s="18">
        <f t="shared" si="121"/>
        <v>1</v>
      </c>
      <c r="E732" s="18" t="str">
        <f>VLOOKUP(C732,'Tariff Schedule Lookup Table'!I$7:L$286,2,FALSE)</f>
        <v>HIGH PRESSURE SODIUM 150W</v>
      </c>
      <c r="F732" s="18" t="str">
        <f>IF(E732 = "BULKHEADS ETC", "SHARED OR NO POLE", VLOOKUP(C732,'Tariff Schedule Lookup Table'!I$7:L$286,3,FALSE))</f>
        <v>WOOD POLE</v>
      </c>
      <c r="G732" s="18">
        <f>IF(E732 = "NO CAPITAL", 1, VLOOKUP(C732,'Tariff Schedule Lookup Table'!I$7:L$286,4,FALSE))</f>
        <v>1</v>
      </c>
      <c r="H732" s="18" t="str">
        <f t="shared" si="122"/>
        <v>1-Unmetered, CE Funded, CE Maintained</v>
      </c>
      <c r="I732" s="123">
        <f>VLOOKUP(F732,'Maintenance Model'!$A$57:$B$61,2,FALSE)</f>
        <v>10.731618231111112</v>
      </c>
      <c r="J732" s="123">
        <f>IF(D732=1,VLOOKUP(C732,'Capital Code Schedules'!A$15:F$300,2,FALSE),IF(D732=2,VLOOKUP(C732,'Capital Code Schedules'!A$15:F$300,3,FALSE),0))</f>
        <v>65.91090936010653</v>
      </c>
      <c r="K732" s="123">
        <v>83.606062407359644</v>
      </c>
      <c r="L732" s="123">
        <f>VLOOKUP(LEFT(A732,10),'Streetlight Tariff Schedule'!B$11:H$260,7, FALSE)+I732</f>
        <v>65.219452082612875</v>
      </c>
      <c r="M732" s="161">
        <f t="shared" si="123"/>
        <v>148.82551448997253</v>
      </c>
      <c r="N732" s="405">
        <f t="shared" si="124"/>
        <v>135.47926117786929</v>
      </c>
      <c r="O732" s="405">
        <v>148.87639220153656</v>
      </c>
      <c r="P732" s="406">
        <v>145.08348670199709</v>
      </c>
      <c r="Q732" s="406">
        <v>150.11131914391638</v>
      </c>
      <c r="R732" s="406">
        <v>153.99809905456945</v>
      </c>
      <c r="S732" s="405">
        <f t="shared" si="125"/>
        <v>140.47569300385319</v>
      </c>
      <c r="T732" s="406">
        <v>154.84363779826376</v>
      </c>
      <c r="U732" s="406">
        <v>159.40743205510424</v>
      </c>
      <c r="V732" s="405">
        <f t="shared" si="126"/>
        <v>145.64612842435869</v>
      </c>
      <c r="W732" s="406">
        <v>159.43198622050389</v>
      </c>
      <c r="X732" s="406">
        <v>165.57684655075238</v>
      </c>
      <c r="Y732" s="405">
        <f t="shared" si="127"/>
        <v>151.45893343064424</v>
      </c>
      <c r="Z732" s="406">
        <v>163.65599192907706</v>
      </c>
      <c r="AA732" s="406">
        <v>170.57838801895838</v>
      </c>
      <c r="AB732" s="442">
        <f t="shared" si="128"/>
        <v>154.44435844352876</v>
      </c>
      <c r="AC732" s="438">
        <f t="shared" si="129"/>
        <v>159.0022540480299</v>
      </c>
      <c r="AD732" s="410"/>
      <c r="AE732" s="411"/>
      <c r="AF732" s="411"/>
      <c r="AG732" s="411"/>
    </row>
    <row r="733" spans="1:33" x14ac:dyDescent="0.2">
      <c r="A733" s="6" t="s">
        <v>652</v>
      </c>
      <c r="B733" s="18" t="str">
        <f>VLOOKUP(LEFT(A733,7),'Tariff Schedule Lookup Table'!$A$8:$G$186,2,FALSE)</f>
        <v>Low Pressure Sodium 90/100</v>
      </c>
      <c r="C733" s="160">
        <f t="shared" si="120"/>
        <v>310</v>
      </c>
      <c r="D733" s="18">
        <f t="shared" si="121"/>
        <v>1</v>
      </c>
      <c r="E733" s="18" t="str">
        <f>VLOOKUP(C733,'Tariff Schedule Lookup Table'!I$7:L$286,2,FALSE)</f>
        <v>HIGH PRESSURE SODIUM 150W</v>
      </c>
      <c r="F733" s="18" t="str">
        <f>IF(E733 = "BULKHEADS ETC", "SHARED OR NO POLE", VLOOKUP(C733,'Tariff Schedule Lookup Table'!I$7:L$286,3,FALSE))</f>
        <v>STEEL POLE</v>
      </c>
      <c r="G733" s="18">
        <f>IF(E733 = "NO CAPITAL", 1, VLOOKUP(C733,'Tariff Schedule Lookup Table'!I$7:L$286,4,FALSE))</f>
        <v>1</v>
      </c>
      <c r="H733" s="18" t="str">
        <f t="shared" si="122"/>
        <v>1-Unmetered, CE Funded, CE Maintained</v>
      </c>
      <c r="I733" s="123">
        <f>VLOOKUP(F733,'Maintenance Model'!$A$57:$B$61,2,FALSE)</f>
        <v>9.9616182311111103</v>
      </c>
      <c r="J733" s="123">
        <f>IF(D733=1,VLOOKUP(C733,'Capital Code Schedules'!A$15:F$300,2,FALSE),IF(D733=2,VLOOKUP(C733,'Capital Code Schedules'!A$15:F$300,3,FALSE),0))</f>
        <v>92.1941745337366</v>
      </c>
      <c r="K733" s="123">
        <v>116.94561620368043</v>
      </c>
      <c r="L733" s="123">
        <f>VLOOKUP(LEFT(A733,10),'Streetlight Tariff Schedule'!B$11:H$260,7, FALSE)+I733</f>
        <v>64.449452082612879</v>
      </c>
      <c r="M733" s="161">
        <f t="shared" si="123"/>
        <v>181.39506828629331</v>
      </c>
      <c r="N733" s="405">
        <f t="shared" si="124"/>
        <v>161.61095232522172</v>
      </c>
      <c r="O733" s="405">
        <v>183.75151042101501</v>
      </c>
      <c r="P733" s="406">
        <v>178.4461096154518</v>
      </c>
      <c r="Q733" s="406">
        <v>184.28026545475294</v>
      </c>
      <c r="R733" s="406">
        <v>189.71697493025383</v>
      </c>
      <c r="S733" s="405">
        <f t="shared" si="125"/>
        <v>167.23474198737645</v>
      </c>
      <c r="T733" s="406">
        <v>189.8445338977578</v>
      </c>
      <c r="U733" s="406">
        <v>196.13051938697137</v>
      </c>
      <c r="V733" s="405">
        <f t="shared" si="126"/>
        <v>173.15403379763811</v>
      </c>
      <c r="W733" s="406">
        <v>195.28894797739383</v>
      </c>
      <c r="X733" s="406">
        <v>203.53451129895882</v>
      </c>
      <c r="Y733" s="405">
        <f t="shared" si="127"/>
        <v>179.88902155186682</v>
      </c>
      <c r="Z733" s="406">
        <v>200.39665927613896</v>
      </c>
      <c r="AA733" s="406">
        <v>209.61403074004812</v>
      </c>
      <c r="AB733" s="442">
        <f t="shared" si="128"/>
        <v>183.37104107946169</v>
      </c>
      <c r="AC733" s="438">
        <f t="shared" si="129"/>
        <v>188.76995268428618</v>
      </c>
      <c r="AD733" s="410"/>
      <c r="AE733" s="411"/>
      <c r="AF733" s="411"/>
      <c r="AG733" s="411"/>
    </row>
    <row r="734" spans="1:33" x14ac:dyDescent="0.2">
      <c r="A734" s="6" t="s">
        <v>653</v>
      </c>
      <c r="B734" s="18" t="str">
        <f>VLOOKUP(LEFT(A734,7),'Tariff Schedule Lookup Table'!$A$8:$G$186,2,FALSE)</f>
        <v>Low Pressure Sodium 135</v>
      </c>
      <c r="C734" s="160">
        <f t="shared" si="120"/>
        <v>60</v>
      </c>
      <c r="D734" s="18">
        <f t="shared" si="121"/>
        <v>1</v>
      </c>
      <c r="E734" s="18" t="str">
        <f>VLOOKUP(C734,'Tariff Schedule Lookup Table'!I$7:L$286,2,FALSE)</f>
        <v>HIGH PRESSURE SODIUM 250W (210/220)</v>
      </c>
      <c r="F734" s="18" t="str">
        <f>IF(E734 = "BULKHEADS ETC", "SHARED OR NO POLE", VLOOKUP(C734,'Tariff Schedule Lookup Table'!I$7:L$286,3,FALSE))</f>
        <v>SHARED OR NO POLE</v>
      </c>
      <c r="G734" s="18">
        <f>IF(E734 = "NO CAPITAL", 1, VLOOKUP(C734,'Tariff Schedule Lookup Table'!I$7:L$286,4,FALSE))</f>
        <v>1</v>
      </c>
      <c r="H734" s="18" t="str">
        <f t="shared" si="122"/>
        <v>1-Unmetered, CE Funded, CE Maintained</v>
      </c>
      <c r="I734" s="123">
        <f>VLOOKUP(F734,'Maintenance Model'!$A$57:$B$61,2,FALSE)</f>
        <v>0</v>
      </c>
      <c r="J734" s="123">
        <f>IF(D734=1,VLOOKUP(C734,'Capital Code Schedules'!A$15:F$300,2,FALSE),IF(D734=2,VLOOKUP(C734,'Capital Code Schedules'!A$15:F$300,3,FALSE),0))</f>
        <v>32.138130136529035</v>
      </c>
      <c r="K734" s="123">
        <v>40.766278904912198</v>
      </c>
      <c r="L734" s="123">
        <f>VLOOKUP(LEFT(A734,10),'Streetlight Tariff Schedule'!B$11:H$260,7, FALSE)+I734</f>
        <v>57.114304072118436</v>
      </c>
      <c r="M734" s="161">
        <f t="shared" si="123"/>
        <v>97.880582977030627</v>
      </c>
      <c r="N734" s="405">
        <f t="shared" si="124"/>
        <v>92.427727305257889</v>
      </c>
      <c r="O734" s="405">
        <v>95.328781992955527</v>
      </c>
      <c r="P734" s="406">
        <v>93.479362955603634</v>
      </c>
      <c r="Q734" s="406">
        <v>97.043640994734858</v>
      </c>
      <c r="R734" s="406">
        <v>98.938833153261214</v>
      </c>
      <c r="S734" s="405">
        <f t="shared" si="125"/>
        <v>96.15441004580498</v>
      </c>
      <c r="T734" s="406">
        <v>100.33064175845085</v>
      </c>
      <c r="U734" s="406">
        <v>102.64665320519238</v>
      </c>
      <c r="V734" s="405">
        <f t="shared" si="126"/>
        <v>99.916675106654992</v>
      </c>
      <c r="W734" s="406">
        <v>103.47175950294296</v>
      </c>
      <c r="X734" s="406">
        <v>106.79260688133346</v>
      </c>
      <c r="Y734" s="405">
        <f t="shared" si="127"/>
        <v>104.07046114669836</v>
      </c>
      <c r="Z734" s="406">
        <v>106.27469023761371</v>
      </c>
      <c r="AA734" s="406">
        <v>110.0821497600331</v>
      </c>
      <c r="AB734" s="442">
        <f t="shared" si="128"/>
        <v>106.18211238851012</v>
      </c>
      <c r="AC734" s="438">
        <f t="shared" si="129"/>
        <v>109.32767711995929</v>
      </c>
      <c r="AD734" s="410"/>
      <c r="AE734" s="411"/>
      <c r="AF734" s="411"/>
      <c r="AG734" s="411"/>
    </row>
    <row r="735" spans="1:33" x14ac:dyDescent="0.2">
      <c r="A735" s="6" t="s">
        <v>660</v>
      </c>
      <c r="B735" s="18" t="str">
        <f>VLOOKUP(LEFT(A735,7),'Tariff Schedule Lookup Table'!$A$8:$G$186,2,FALSE)</f>
        <v>Low Pressure Sodium 135</v>
      </c>
      <c r="C735" s="160">
        <f t="shared" si="120"/>
        <v>60</v>
      </c>
      <c r="D735" s="18">
        <f t="shared" si="121"/>
        <v>2</v>
      </c>
      <c r="E735" s="18" t="str">
        <f>VLOOKUP(C735,'Tariff Schedule Lookup Table'!I$7:L$286,2,FALSE)</f>
        <v>HIGH PRESSURE SODIUM 250W (210/220)</v>
      </c>
      <c r="F735" s="18" t="str">
        <f>IF(E735 = "BULKHEADS ETC", "SHARED OR NO POLE", VLOOKUP(C735,'Tariff Schedule Lookup Table'!I$7:L$286,3,FALSE))</f>
        <v>SHARED OR NO POLE</v>
      </c>
      <c r="G735" s="18">
        <f>IF(E735 = "NO CAPITAL", 1, VLOOKUP(C735,'Tariff Schedule Lookup Table'!I$7:L$286,4,FALSE))</f>
        <v>1</v>
      </c>
      <c r="H735" s="18" t="str">
        <f t="shared" si="122"/>
        <v>2-Unmetered, Funded by Others, CE Maintained</v>
      </c>
      <c r="I735" s="123">
        <f>VLOOKUP(F735,'Maintenance Model'!$A$57:$B$61,2,FALSE)</f>
        <v>0</v>
      </c>
      <c r="J735" s="123">
        <f>IF(D735=1,VLOOKUP(C735,'Capital Code Schedules'!A$15:F$300,2,FALSE),IF(D735=2,VLOOKUP(C735,'Capital Code Schedules'!A$15:F$300,3,FALSE),0))</f>
        <v>0</v>
      </c>
      <c r="K735" s="123">
        <v>0</v>
      </c>
      <c r="L735" s="123">
        <f>VLOOKUP(LEFT(A735,10),'Streetlight Tariff Schedule'!B$11:H$260,7, FALSE)+I735</f>
        <v>57.114304072118436</v>
      </c>
      <c r="M735" s="161">
        <f t="shared" si="123"/>
        <v>57.114304072118436</v>
      </c>
      <c r="N735" s="405">
        <f t="shared" si="124"/>
        <v>59.494178447849755</v>
      </c>
      <c r="O735" s="405">
        <v>51.704118647794857</v>
      </c>
      <c r="P735" s="406">
        <v>51.704118647794857</v>
      </c>
      <c r="Q735" s="406">
        <v>54.234459390307819</v>
      </c>
      <c r="R735" s="406">
        <v>54.234459390307819</v>
      </c>
      <c r="S735" s="405">
        <f t="shared" si="125"/>
        <v>62.405755854176</v>
      </c>
      <c r="T735" s="406">
        <v>56.46193290931425</v>
      </c>
      <c r="U735" s="406">
        <v>56.668204789994824</v>
      </c>
      <c r="V735" s="405">
        <f t="shared" si="126"/>
        <v>65.206184270564592</v>
      </c>
      <c r="W735" s="406">
        <v>58.517300109790206</v>
      </c>
      <c r="X735" s="406">
        <v>59.25548906486069</v>
      </c>
      <c r="Y735" s="405">
        <f t="shared" si="127"/>
        <v>68.183284671264502</v>
      </c>
      <c r="Z735" s="406">
        <v>60.207607974480439</v>
      </c>
      <c r="AA735" s="406">
        <v>61.190224085790874</v>
      </c>
      <c r="AB735" s="442">
        <f t="shared" si="128"/>
        <v>69.663321607108614</v>
      </c>
      <c r="AC735" s="438">
        <f t="shared" si="129"/>
        <v>71.746189526818995</v>
      </c>
      <c r="AD735" s="410"/>
      <c r="AE735" s="411"/>
      <c r="AF735" s="411"/>
      <c r="AG735" s="411"/>
    </row>
    <row r="736" spans="1:33" x14ac:dyDescent="0.2">
      <c r="A736" s="6" t="s">
        <v>661</v>
      </c>
      <c r="B736" s="18" t="str">
        <f>VLOOKUP(LEFT(A736,7),'Tariff Schedule Lookup Table'!$A$8:$G$186,2,FALSE)</f>
        <v>Low Pressure Sodium 135</v>
      </c>
      <c r="C736" s="160">
        <f t="shared" si="120"/>
        <v>230</v>
      </c>
      <c r="D736" s="18">
        <f t="shared" si="121"/>
        <v>1</v>
      </c>
      <c r="E736" s="18" t="str">
        <f>VLOOKUP(C736,'Tariff Schedule Lookup Table'!I$7:L$286,2,FALSE)</f>
        <v>HIGH PRESSURE SODIUM 250W (210/220)</v>
      </c>
      <c r="F736" s="18" t="str">
        <f>IF(E736 = "BULKHEADS ETC", "SHARED OR NO POLE", VLOOKUP(C736,'Tariff Schedule Lookup Table'!I$7:L$286,3,FALSE))</f>
        <v>WOOD POLE</v>
      </c>
      <c r="G736" s="18">
        <f>IF(E736 = "NO CAPITAL", 1, VLOOKUP(C736,'Tariff Schedule Lookup Table'!I$7:L$286,4,FALSE))</f>
        <v>1</v>
      </c>
      <c r="H736" s="18" t="str">
        <f t="shared" si="122"/>
        <v>1-Unmetered, CE Funded, CE Maintained</v>
      </c>
      <c r="I736" s="123">
        <f>VLOOKUP(F736,'Maintenance Model'!$A$57:$B$61,2,FALSE)</f>
        <v>10.731618231111112</v>
      </c>
      <c r="J736" s="123">
        <f>IF(D736=1,VLOOKUP(C736,'Capital Code Schedules'!A$15:F$300,2,FALSE),IF(D736=2,VLOOKUP(C736,'Capital Code Schedules'!A$15:F$300,3,FALSE),0))</f>
        <v>66.039248498405314</v>
      </c>
      <c r="K736" s="123">
        <v>83.768856853834222</v>
      </c>
      <c r="L736" s="123">
        <f>VLOOKUP(LEFT(A736,10),'Streetlight Tariff Schedule'!B$11:H$260,7, FALSE)+I736</f>
        <v>67.845922303229543</v>
      </c>
      <c r="M736" s="161">
        <f t="shared" si="123"/>
        <v>151.61477915706377</v>
      </c>
      <c r="N736" s="405">
        <f t="shared" si="124"/>
        <v>138.34668832658798</v>
      </c>
      <c r="O736" s="405">
        <v>151.74274568059164</v>
      </c>
      <c r="P736" s="406">
        <v>147.94245478418566</v>
      </c>
      <c r="Q736" s="406">
        <v>153.10616659807474</v>
      </c>
      <c r="R736" s="406">
        <v>157.00051469416678</v>
      </c>
      <c r="S736" s="405">
        <f t="shared" si="125"/>
        <v>143.48026756384749</v>
      </c>
      <c r="T736" s="406">
        <v>157.95869703919743</v>
      </c>
      <c r="U736" s="406">
        <v>162.54165646843694</v>
      </c>
      <c r="V736" s="405">
        <f t="shared" si="126"/>
        <v>148.78332502616149</v>
      </c>
      <c r="W736" s="406">
        <v>162.65840068749543</v>
      </c>
      <c r="X736" s="406">
        <v>168.85201073222379</v>
      </c>
      <c r="Y736" s="405">
        <f t="shared" si="127"/>
        <v>154.73773451821293</v>
      </c>
      <c r="Z736" s="406">
        <v>166.9748609216777</v>
      </c>
      <c r="AA736" s="406">
        <v>173.95970075935094</v>
      </c>
      <c r="AB736" s="442">
        <f t="shared" si="128"/>
        <v>157.79374307987757</v>
      </c>
      <c r="AC736" s="438">
        <f t="shared" si="129"/>
        <v>162.45166561151956</v>
      </c>
      <c r="AD736" s="410"/>
      <c r="AE736" s="411"/>
      <c r="AF736" s="411"/>
      <c r="AG736" s="411"/>
    </row>
    <row r="737" spans="1:33" x14ac:dyDescent="0.2">
      <c r="A737" s="6" t="s">
        <v>662</v>
      </c>
      <c r="B737" s="18" t="str">
        <f>VLOOKUP(LEFT(A737,7),'Tariff Schedule Lookup Table'!$A$8:$G$186,2,FALSE)</f>
        <v>Low Pressure Sodium 135</v>
      </c>
      <c r="C737" s="160">
        <f t="shared" si="120"/>
        <v>230</v>
      </c>
      <c r="D737" s="18">
        <f t="shared" si="121"/>
        <v>2</v>
      </c>
      <c r="E737" s="18" t="str">
        <f>VLOOKUP(C737,'Tariff Schedule Lookup Table'!I$7:L$286,2,FALSE)</f>
        <v>HIGH PRESSURE SODIUM 250W (210/220)</v>
      </c>
      <c r="F737" s="18" t="str">
        <f>IF(E737 = "BULKHEADS ETC", "SHARED OR NO POLE", VLOOKUP(C737,'Tariff Schedule Lookup Table'!I$7:L$286,3,FALSE))</f>
        <v>WOOD POLE</v>
      </c>
      <c r="G737" s="18">
        <f>IF(E737 = "NO CAPITAL", 1, VLOOKUP(C737,'Tariff Schedule Lookup Table'!I$7:L$286,4,FALSE))</f>
        <v>1</v>
      </c>
      <c r="H737" s="18" t="str">
        <f t="shared" si="122"/>
        <v>2-Unmetered, Funded by Others, CE Maintained</v>
      </c>
      <c r="I737" s="123">
        <f>VLOOKUP(F737,'Maintenance Model'!$A$57:$B$61,2,FALSE)</f>
        <v>10.731618231111112</v>
      </c>
      <c r="J737" s="123">
        <f>IF(D737=1,VLOOKUP(C737,'Capital Code Schedules'!A$15:F$300,2,FALSE),IF(D737=2,VLOOKUP(C737,'Capital Code Schedules'!A$15:F$300,3,FALSE),0))</f>
        <v>0</v>
      </c>
      <c r="K737" s="123">
        <v>0</v>
      </c>
      <c r="L737" s="123">
        <f>VLOOKUP(LEFT(A737,10),'Streetlight Tariff Schedule'!B$11:H$260,7, FALSE)+I737</f>
        <v>67.845922303229543</v>
      </c>
      <c r="M737" s="161">
        <f t="shared" si="123"/>
        <v>67.845922303229543</v>
      </c>
      <c r="N737" s="405">
        <f t="shared" si="124"/>
        <v>70.672968427847138</v>
      </c>
      <c r="O737" s="405">
        <v>62.100318723219026</v>
      </c>
      <c r="P737" s="406">
        <v>62.100318723219026</v>
      </c>
      <c r="Q737" s="406">
        <v>65.139437669599204</v>
      </c>
      <c r="R737" s="406">
        <v>65.139437669599204</v>
      </c>
      <c r="S737" s="405">
        <f t="shared" si="125"/>
        <v>74.131623097612817</v>
      </c>
      <c r="T737" s="406">
        <v>67.814791569742098</v>
      </c>
      <c r="U737" s="406">
        <v>68.062538748669169</v>
      </c>
      <c r="V737" s="405">
        <f t="shared" si="126"/>
        <v>77.458244192639143</v>
      </c>
      <c r="W737" s="406">
        <v>70.28343355767106</v>
      </c>
      <c r="X737" s="406">
        <v>71.170050921755902</v>
      </c>
      <c r="Y737" s="405">
        <f t="shared" si="127"/>
        <v>80.994733444434161</v>
      </c>
      <c r="Z737" s="406">
        <v>72.313613355390217</v>
      </c>
      <c r="AA737" s="406">
        <v>73.49380509428471</v>
      </c>
      <c r="AB737" s="442">
        <f t="shared" si="128"/>
        <v>82.752865187200314</v>
      </c>
      <c r="AC737" s="438">
        <f t="shared" si="129"/>
        <v>85.22709817216537</v>
      </c>
      <c r="AD737" s="410"/>
      <c r="AE737" s="411"/>
      <c r="AF737" s="411"/>
      <c r="AG737" s="411"/>
    </row>
    <row r="738" spans="1:33" x14ac:dyDescent="0.2">
      <c r="A738" s="6" t="s">
        <v>663</v>
      </c>
      <c r="B738" s="18" t="str">
        <f>VLOOKUP(LEFT(A738,7),'Tariff Schedule Lookup Table'!$A$8:$G$186,2,FALSE)</f>
        <v>Low Pressure Sodium 150</v>
      </c>
      <c r="C738" s="160">
        <f t="shared" si="120"/>
        <v>60</v>
      </c>
      <c r="D738" s="18">
        <f t="shared" si="121"/>
        <v>2</v>
      </c>
      <c r="E738" s="18" t="str">
        <f>VLOOKUP(C738,'Tariff Schedule Lookup Table'!I$7:L$286,2,FALSE)</f>
        <v>HIGH PRESSURE SODIUM 250W (210/220)</v>
      </c>
      <c r="F738" s="18" t="str">
        <f>IF(E738 = "BULKHEADS ETC", "SHARED OR NO POLE", VLOOKUP(C738,'Tariff Schedule Lookup Table'!I$7:L$286,3,FALSE))</f>
        <v>SHARED OR NO POLE</v>
      </c>
      <c r="G738" s="18">
        <f>IF(E738 = "NO CAPITAL", 1, VLOOKUP(C738,'Tariff Schedule Lookup Table'!I$7:L$286,4,FALSE))</f>
        <v>1</v>
      </c>
      <c r="H738" s="18" t="str">
        <f t="shared" si="122"/>
        <v>2-Unmetered, Funded by Others, CE Maintained</v>
      </c>
      <c r="I738" s="123">
        <f>VLOOKUP(F738,'Maintenance Model'!$A$57:$B$61,2,FALSE)</f>
        <v>0</v>
      </c>
      <c r="J738" s="123">
        <f>IF(D738=1,VLOOKUP(C738,'Capital Code Schedules'!A$15:F$300,2,FALSE),IF(D738=2,VLOOKUP(C738,'Capital Code Schedules'!A$15:F$300,3,FALSE),0))</f>
        <v>0</v>
      </c>
      <c r="K738" s="123">
        <v>0</v>
      </c>
      <c r="L738" s="123">
        <f>VLOOKUP(LEFT(A738,10),'Streetlight Tariff Schedule'!B$11:H$260,7, FALSE)+I738</f>
        <v>62.261757494340657</v>
      </c>
      <c r="M738" s="161">
        <f t="shared" si="123"/>
        <v>62.261757494340657</v>
      </c>
      <c r="N738" s="405">
        <f t="shared" si="124"/>
        <v>64.856119163558887</v>
      </c>
      <c r="O738" s="405">
        <v>55.461440517343959</v>
      </c>
      <c r="P738" s="406">
        <v>55.461440517343959</v>
      </c>
      <c r="Q738" s="406">
        <v>58.175660317423272</v>
      </c>
      <c r="R738" s="406">
        <v>58.175660317423272</v>
      </c>
      <c r="S738" s="405">
        <f t="shared" si="125"/>
        <v>68.030103848197314</v>
      </c>
      <c r="T738" s="406">
        <v>60.56500362912098</v>
      </c>
      <c r="U738" s="406">
        <v>60.786265221813359</v>
      </c>
      <c r="V738" s="405">
        <f t="shared" si="126"/>
        <v>71.082922188087835</v>
      </c>
      <c r="W738" s="406">
        <v>62.769733710819388</v>
      </c>
      <c r="X738" s="406">
        <v>63.56156662264388</v>
      </c>
      <c r="Y738" s="405">
        <f t="shared" si="127"/>
        <v>74.328335157676463</v>
      </c>
      <c r="Z738" s="406">
        <v>64.582875710823572</v>
      </c>
      <c r="AA738" s="406">
        <v>65.636898222648199</v>
      </c>
      <c r="AB738" s="442">
        <f t="shared" si="128"/>
        <v>75.941761116011449</v>
      </c>
      <c r="AC738" s="438">
        <f t="shared" si="129"/>
        <v>78.212348483162046</v>
      </c>
      <c r="AD738" s="410"/>
      <c r="AE738" s="411"/>
      <c r="AF738" s="411"/>
      <c r="AG738" s="411"/>
    </row>
    <row r="739" spans="1:33" x14ac:dyDescent="0.2">
      <c r="A739" s="6" t="s">
        <v>664</v>
      </c>
      <c r="B739" s="18" t="str">
        <f>VLOOKUP(LEFT(A739,7),'Tariff Schedule Lookup Table'!$A$8:$G$186,2,FALSE)</f>
        <v>Low Pressure Sodium 150</v>
      </c>
      <c r="C739" s="160">
        <f t="shared" si="120"/>
        <v>230</v>
      </c>
      <c r="D739" s="18">
        <f t="shared" si="121"/>
        <v>2</v>
      </c>
      <c r="E739" s="18" t="str">
        <f>VLOOKUP(C739,'Tariff Schedule Lookup Table'!I$7:L$286,2,FALSE)</f>
        <v>HIGH PRESSURE SODIUM 250W (210/220)</v>
      </c>
      <c r="F739" s="18" t="str">
        <f>IF(E739 = "BULKHEADS ETC", "SHARED OR NO POLE", VLOOKUP(C739,'Tariff Schedule Lookup Table'!I$7:L$286,3,FALSE))</f>
        <v>WOOD POLE</v>
      </c>
      <c r="G739" s="18">
        <f>IF(E739 = "NO CAPITAL", 1, VLOOKUP(C739,'Tariff Schedule Lookup Table'!I$7:L$286,4,FALSE))</f>
        <v>1</v>
      </c>
      <c r="H739" s="18" t="str">
        <f t="shared" si="122"/>
        <v>2-Unmetered, Funded by Others, CE Maintained</v>
      </c>
      <c r="I739" s="123">
        <f>VLOOKUP(F739,'Maintenance Model'!$A$57:$B$61,2,FALSE)</f>
        <v>10.731618231111112</v>
      </c>
      <c r="J739" s="123">
        <f>IF(D739=1,VLOOKUP(C739,'Capital Code Schedules'!A$15:F$300,2,FALSE),IF(D739=2,VLOOKUP(C739,'Capital Code Schedules'!A$15:F$300,3,FALSE),0))</f>
        <v>0</v>
      </c>
      <c r="K739" s="123">
        <v>0</v>
      </c>
      <c r="L739" s="123">
        <f>VLOOKUP(LEFT(A739,10),'Streetlight Tariff Schedule'!B$11:H$260,7, FALSE)+I739</f>
        <v>72.99337572545177</v>
      </c>
      <c r="M739" s="161">
        <f t="shared" si="123"/>
        <v>72.99337572545177</v>
      </c>
      <c r="N739" s="405">
        <f t="shared" si="124"/>
        <v>76.034909143556291</v>
      </c>
      <c r="O739" s="405">
        <v>65.857640592768135</v>
      </c>
      <c r="P739" s="406">
        <v>65.857640592768135</v>
      </c>
      <c r="Q739" s="406">
        <v>69.08063859671465</v>
      </c>
      <c r="R739" s="406">
        <v>69.08063859671465</v>
      </c>
      <c r="S739" s="405">
        <f t="shared" si="125"/>
        <v>79.755971091634137</v>
      </c>
      <c r="T739" s="406">
        <v>71.917862289548836</v>
      </c>
      <c r="U739" s="406">
        <v>72.180599180487704</v>
      </c>
      <c r="V739" s="405">
        <f t="shared" si="126"/>
        <v>83.334982110162372</v>
      </c>
      <c r="W739" s="406">
        <v>74.535867158700256</v>
      </c>
      <c r="X739" s="406">
        <v>75.476128479539085</v>
      </c>
      <c r="Y739" s="405">
        <f t="shared" si="127"/>
        <v>87.139783930846122</v>
      </c>
      <c r="Z739" s="406">
        <v>76.688881091733364</v>
      </c>
      <c r="AA739" s="406">
        <v>77.940479231142049</v>
      </c>
      <c r="AB739" s="442">
        <f t="shared" si="128"/>
        <v>89.031304696103163</v>
      </c>
      <c r="AC739" s="438">
        <f t="shared" si="129"/>
        <v>91.693257128508435</v>
      </c>
      <c r="AD739" s="410"/>
      <c r="AE739" s="411"/>
      <c r="AF739" s="411"/>
      <c r="AG739" s="411"/>
    </row>
    <row r="740" spans="1:33" x14ac:dyDescent="0.2">
      <c r="A740" s="6" t="s">
        <v>665</v>
      </c>
      <c r="B740" s="18" t="str">
        <f>VLOOKUP(LEFT(A740,7),'Tariff Schedule Lookup Table'!$A$8:$G$186,2,FALSE)</f>
        <v>Low Pressure Sodium 150</v>
      </c>
      <c r="C740" s="160">
        <f t="shared" si="120"/>
        <v>320</v>
      </c>
      <c r="D740" s="18">
        <f t="shared" si="121"/>
        <v>2</v>
      </c>
      <c r="E740" s="18" t="str">
        <f>VLOOKUP(C740,'Tariff Schedule Lookup Table'!I$7:L$286,2,FALSE)</f>
        <v>HIGH PRESSURE SODIUM 250W (210/220)</v>
      </c>
      <c r="F740" s="18" t="str">
        <f>IF(E740 = "BULKHEADS ETC", "SHARED OR NO POLE", VLOOKUP(C740,'Tariff Schedule Lookup Table'!I$7:L$286,3,FALSE))</f>
        <v>STEEL POLE</v>
      </c>
      <c r="G740" s="18">
        <f>IF(E740 = "NO CAPITAL", 1, VLOOKUP(C740,'Tariff Schedule Lookup Table'!I$7:L$286,4,FALSE))</f>
        <v>1</v>
      </c>
      <c r="H740" s="18" t="str">
        <f t="shared" si="122"/>
        <v>2-Unmetered, Funded by Others, CE Maintained</v>
      </c>
      <c r="I740" s="123">
        <f>VLOOKUP(F740,'Maintenance Model'!$A$57:$B$61,2,FALSE)</f>
        <v>9.9616182311111103</v>
      </c>
      <c r="J740" s="123">
        <f>IF(D740=1,VLOOKUP(C740,'Capital Code Schedules'!A$15:F$300,2,FALSE),IF(D740=2,VLOOKUP(C740,'Capital Code Schedules'!A$15:F$300,3,FALSE),0))</f>
        <v>0</v>
      </c>
      <c r="K740" s="123">
        <v>0</v>
      </c>
      <c r="L740" s="123">
        <f>VLOOKUP(LEFT(A740,10),'Streetlight Tariff Schedule'!B$11:H$260,7, FALSE)+I740</f>
        <v>72.223375725451774</v>
      </c>
      <c r="M740" s="161">
        <f t="shared" si="123"/>
        <v>72.223375725451774</v>
      </c>
      <c r="N740" s="405">
        <f t="shared" si="124"/>
        <v>75.232824304231286</v>
      </c>
      <c r="O740" s="405">
        <v>65.055555753443116</v>
      </c>
      <c r="P740" s="406">
        <v>65.055555753443116</v>
      </c>
      <c r="Q740" s="406">
        <v>68.239300637890196</v>
      </c>
      <c r="R740" s="406">
        <v>68.239300637890196</v>
      </c>
      <c r="S740" s="405">
        <f t="shared" si="125"/>
        <v>78.914633132809684</v>
      </c>
      <c r="T740" s="406">
        <v>71.04196958370774</v>
      </c>
      <c r="U740" s="406">
        <v>71.301506583562485</v>
      </c>
      <c r="V740" s="405">
        <f t="shared" si="126"/>
        <v>82.455889513237182</v>
      </c>
      <c r="W740" s="406">
        <v>73.628089587323046</v>
      </c>
      <c r="X740" s="406">
        <v>74.55689939936714</v>
      </c>
      <c r="Y740" s="405">
        <f t="shared" si="127"/>
        <v>86.220554850674191</v>
      </c>
      <c r="Z740" s="406">
        <v>75.754881812153471</v>
      </c>
      <c r="AA740" s="406">
        <v>76.991236649744593</v>
      </c>
      <c r="AB740" s="442">
        <f t="shared" si="128"/>
        <v>88.092122147897001</v>
      </c>
      <c r="AC740" s="438">
        <f t="shared" si="129"/>
        <v>90.725993903767161</v>
      </c>
      <c r="AD740" s="410"/>
      <c r="AE740" s="411"/>
      <c r="AF740" s="411"/>
      <c r="AG740" s="411"/>
    </row>
    <row r="741" spans="1:33" x14ac:dyDescent="0.2">
      <c r="A741" s="6" t="s">
        <v>666</v>
      </c>
      <c r="B741" s="18" t="str">
        <f>VLOOKUP(LEFT(A741,7),'Tariff Schedule Lookup Table'!$A$8:$G$186,2,FALSE)</f>
        <v>Low Pressure Sodium 180</v>
      </c>
      <c r="C741" s="160">
        <f t="shared" si="120"/>
        <v>70</v>
      </c>
      <c r="D741" s="18">
        <f t="shared" si="121"/>
        <v>1</v>
      </c>
      <c r="E741" s="18" t="str">
        <f>VLOOKUP(C741,'Tariff Schedule Lookup Table'!I$7:L$286,2,FALSE)</f>
        <v>HIGH PRESSURE SODIUM 400W (310/360)</v>
      </c>
      <c r="F741" s="18" t="str">
        <f>IF(E741 = "BULKHEADS ETC", "SHARED OR NO POLE", VLOOKUP(C741,'Tariff Schedule Lookup Table'!I$7:L$286,3,FALSE))</f>
        <v>SHARED OR NO POLE</v>
      </c>
      <c r="G741" s="18">
        <f>IF(E741 = "NO CAPITAL", 1, VLOOKUP(C741,'Tariff Schedule Lookup Table'!I$7:L$286,4,FALSE))</f>
        <v>1</v>
      </c>
      <c r="H741" s="18" t="str">
        <f t="shared" si="122"/>
        <v>1-Unmetered, CE Funded, CE Maintained</v>
      </c>
      <c r="I741" s="123">
        <f>VLOOKUP(F741,'Maintenance Model'!$A$57:$B$61,2,FALSE)</f>
        <v>0</v>
      </c>
      <c r="J741" s="123">
        <f>IF(D741=1,VLOOKUP(C741,'Capital Code Schedules'!A$15:F$300,2,FALSE),IF(D741=2,VLOOKUP(C741,'Capital Code Schedules'!A$15:F$300,3,FALSE),0))</f>
        <v>35.784047435083579</v>
      </c>
      <c r="K741" s="123">
        <v>45.391018453408257</v>
      </c>
      <c r="L741" s="123">
        <f>VLOOKUP(LEFT(A741,10),'Streetlight Tariff Schedule'!B$11:H$260,7, FALSE)+I741</f>
        <v>62.261757494340657</v>
      </c>
      <c r="M741" s="161">
        <f t="shared" si="123"/>
        <v>107.65277594774892</v>
      </c>
      <c r="N741" s="405">
        <f t="shared" si="124"/>
        <v>101.52582177266078</v>
      </c>
      <c r="O741" s="405">
        <v>104.03511346754563</v>
      </c>
      <c r="P741" s="406">
        <v>101.97588667747408</v>
      </c>
      <c r="Q741" s="406">
        <v>105.8413390200166</v>
      </c>
      <c r="R741" s="406">
        <v>107.95153167314243</v>
      </c>
      <c r="S741" s="405">
        <f t="shared" si="125"/>
        <v>105.60738159687448</v>
      </c>
      <c r="T741" s="406">
        <v>109.41040787960351</v>
      </c>
      <c r="U741" s="406">
        <v>111.98074891117051</v>
      </c>
      <c r="V741" s="405">
        <f t="shared" si="126"/>
        <v>109.73115235260231</v>
      </c>
      <c r="W741" s="406">
        <v>112.82406171650136</v>
      </c>
      <c r="X741" s="406">
        <v>116.49154330907025</v>
      </c>
      <c r="Y741" s="405">
        <f t="shared" si="127"/>
        <v>114.28674032476796</v>
      </c>
      <c r="Z741" s="406">
        <v>115.87604833464617</v>
      </c>
      <c r="AA741" s="406">
        <v>120.07537924463773</v>
      </c>
      <c r="AB741" s="442">
        <f t="shared" si="128"/>
        <v>116.60343421404377</v>
      </c>
      <c r="AC741" s="438">
        <f t="shared" si="129"/>
        <v>120.05727626834711</v>
      </c>
      <c r="AD741" s="410"/>
      <c r="AE741" s="411"/>
      <c r="AF741" s="411"/>
      <c r="AG741" s="411"/>
    </row>
    <row r="742" spans="1:33" x14ac:dyDescent="0.2">
      <c r="A742" s="6" t="s">
        <v>667</v>
      </c>
      <c r="B742" s="18" t="str">
        <f>VLOOKUP(LEFT(A742,7),'Tariff Schedule Lookup Table'!$A$8:$G$186,2,FALSE)</f>
        <v>Low Pressure Sodium 180</v>
      </c>
      <c r="C742" s="160">
        <f t="shared" si="120"/>
        <v>230</v>
      </c>
      <c r="D742" s="18">
        <f t="shared" si="121"/>
        <v>1</v>
      </c>
      <c r="E742" s="18" t="str">
        <f>VLOOKUP(C742,'Tariff Schedule Lookup Table'!I$7:L$286,2,FALSE)</f>
        <v>HIGH PRESSURE SODIUM 250W (210/220)</v>
      </c>
      <c r="F742" s="18" t="str">
        <f>IF(E742 = "BULKHEADS ETC", "SHARED OR NO POLE", VLOOKUP(C742,'Tariff Schedule Lookup Table'!I$7:L$286,3,FALSE))</f>
        <v>WOOD POLE</v>
      </c>
      <c r="G742" s="18">
        <f>IF(E742 = "NO CAPITAL", 1, VLOOKUP(C742,'Tariff Schedule Lookup Table'!I$7:L$286,4,FALSE))</f>
        <v>1</v>
      </c>
      <c r="H742" s="18" t="str">
        <f t="shared" si="122"/>
        <v>1-Unmetered, CE Funded, CE Maintained</v>
      </c>
      <c r="I742" s="123">
        <f>VLOOKUP(F742,'Maintenance Model'!$A$57:$B$61,2,FALSE)</f>
        <v>10.731618231111112</v>
      </c>
      <c r="J742" s="123">
        <f>IF(D742=1,VLOOKUP(C742,'Capital Code Schedules'!A$15:F$300,2,FALSE),IF(D742=2,VLOOKUP(C742,'Capital Code Schedules'!A$15:F$300,3,FALSE),0))</f>
        <v>66.039248498405314</v>
      </c>
      <c r="K742" s="123">
        <v>83.768856853834222</v>
      </c>
      <c r="L742" s="123">
        <f>VLOOKUP(LEFT(A742,10),'Streetlight Tariff Schedule'!B$11:H$260,7, FALSE)+I742</f>
        <v>72.99337572545177</v>
      </c>
      <c r="M742" s="161">
        <f t="shared" si="123"/>
        <v>156.76223257928598</v>
      </c>
      <c r="N742" s="405">
        <f t="shared" si="124"/>
        <v>143.70862904229713</v>
      </c>
      <c r="O742" s="405">
        <v>155.50006755014076</v>
      </c>
      <c r="P742" s="406">
        <v>151.69977665373474</v>
      </c>
      <c r="Q742" s="406">
        <v>157.0473675251902</v>
      </c>
      <c r="R742" s="406">
        <v>160.94171562128224</v>
      </c>
      <c r="S742" s="405">
        <f t="shared" si="125"/>
        <v>149.10461555786884</v>
      </c>
      <c r="T742" s="406">
        <v>162.06176775900414</v>
      </c>
      <c r="U742" s="406">
        <v>166.65971690025549</v>
      </c>
      <c r="V742" s="405">
        <f t="shared" si="126"/>
        <v>154.66006294368475</v>
      </c>
      <c r="W742" s="406">
        <v>166.9108342885246</v>
      </c>
      <c r="X742" s="406">
        <v>173.15808829000696</v>
      </c>
      <c r="Y742" s="405">
        <f t="shared" si="127"/>
        <v>160.88278500462491</v>
      </c>
      <c r="Z742" s="406">
        <v>171.35012865802082</v>
      </c>
      <c r="AA742" s="406">
        <v>178.40637489620829</v>
      </c>
      <c r="AB742" s="442">
        <f t="shared" si="128"/>
        <v>164.07218258878046</v>
      </c>
      <c r="AC742" s="438">
        <f t="shared" si="129"/>
        <v>168.91782456786262</v>
      </c>
      <c r="AD742" s="410"/>
      <c r="AE742" s="411"/>
      <c r="AF742" s="411"/>
      <c r="AG742" s="411"/>
    </row>
    <row r="743" spans="1:33" x14ac:dyDescent="0.2">
      <c r="A743" s="6" t="s">
        <v>668</v>
      </c>
      <c r="B743" s="18" t="str">
        <f>VLOOKUP(LEFT(A743,7),'Tariff Schedule Lookup Table'!$A$8:$G$186,2,FALSE)</f>
        <v>Low Pressure Sodium 180</v>
      </c>
      <c r="C743" s="160">
        <f t="shared" si="120"/>
        <v>240</v>
      </c>
      <c r="D743" s="18">
        <f t="shared" si="121"/>
        <v>1</v>
      </c>
      <c r="E743" s="18" t="str">
        <f>VLOOKUP(C743,'Tariff Schedule Lookup Table'!I$7:L$286,2,FALSE)</f>
        <v>HIGH PRESSURE SODIUM 400W (310/360)</v>
      </c>
      <c r="F743" s="18" t="str">
        <f>IF(E743 = "BULKHEADS ETC", "SHARED OR NO POLE", VLOOKUP(C743,'Tariff Schedule Lookup Table'!I$7:L$286,3,FALSE))</f>
        <v>WOOD POLE</v>
      </c>
      <c r="G743" s="18">
        <f>IF(E743 = "NO CAPITAL", 1, VLOOKUP(C743,'Tariff Schedule Lookup Table'!I$7:L$286,4,FALSE))</f>
        <v>1</v>
      </c>
      <c r="H743" s="18" t="str">
        <f t="shared" si="122"/>
        <v>1-Unmetered, CE Funded, CE Maintained</v>
      </c>
      <c r="I743" s="123">
        <f>VLOOKUP(F743,'Maintenance Model'!$A$57:$B$61,2,FALSE)</f>
        <v>10.731618231111112</v>
      </c>
      <c r="J743" s="123">
        <f>IF(D743=1,VLOOKUP(C743,'Capital Code Schedules'!A$15:F$300,2,FALSE),IF(D743=2,VLOOKUP(C743,'Capital Code Schedules'!A$15:F$300,3,FALSE),0))</f>
        <v>69.685165796959865</v>
      </c>
      <c r="K743" s="123">
        <v>88.393596402330274</v>
      </c>
      <c r="L743" s="123">
        <f>VLOOKUP(LEFT(A743,10),'Streetlight Tariff Schedule'!B$11:H$260,7, FALSE)+I743</f>
        <v>72.99337572545177</v>
      </c>
      <c r="M743" s="161">
        <f t="shared" si="123"/>
        <v>161.38697212778203</v>
      </c>
      <c r="N743" s="405">
        <f t="shared" si="124"/>
        <v>147.44478279399092</v>
      </c>
      <c r="O743" s="405">
        <v>160.44907715518175</v>
      </c>
      <c r="P743" s="406">
        <v>156.43897850605606</v>
      </c>
      <c r="Q743" s="406">
        <v>161.90386462335647</v>
      </c>
      <c r="R743" s="406">
        <v>166.01321321404802</v>
      </c>
      <c r="S743" s="405">
        <f t="shared" si="125"/>
        <v>152.93323911491706</v>
      </c>
      <c r="T743" s="406">
        <v>167.03846316035003</v>
      </c>
      <c r="U743" s="406">
        <v>171.87575217441508</v>
      </c>
      <c r="V743" s="405">
        <f t="shared" si="126"/>
        <v>158.59780227210882</v>
      </c>
      <c r="W743" s="406">
        <v>172.0107029010538</v>
      </c>
      <c r="X743" s="406">
        <v>178.55094715996057</v>
      </c>
      <c r="Y743" s="405">
        <f t="shared" si="127"/>
        <v>164.95401369628257</v>
      </c>
      <c r="Z743" s="406">
        <v>176.57621901871013</v>
      </c>
      <c r="AA743" s="406">
        <v>183.95293024395559</v>
      </c>
      <c r="AB743" s="442">
        <f t="shared" si="128"/>
        <v>168.21506490541128</v>
      </c>
      <c r="AC743" s="438">
        <f t="shared" si="129"/>
        <v>173.18126475990741</v>
      </c>
      <c r="AD743" s="410"/>
      <c r="AE743" s="411"/>
      <c r="AF743" s="411"/>
      <c r="AG743" s="411"/>
    </row>
    <row r="744" spans="1:33" x14ac:dyDescent="0.2">
      <c r="A744" s="6" t="s">
        <v>669</v>
      </c>
      <c r="B744" s="18" t="str">
        <f>VLOOKUP(LEFT(A744,7),'Tariff Schedule Lookup Table'!$A$8:$G$186,2,FALSE)</f>
        <v>Low Pressure Sodium 310</v>
      </c>
      <c r="C744" s="160">
        <f t="shared" si="120"/>
        <v>70</v>
      </c>
      <c r="D744" s="18">
        <f t="shared" si="121"/>
        <v>2</v>
      </c>
      <c r="E744" s="18" t="str">
        <f>VLOOKUP(C744,'Tariff Schedule Lookup Table'!I$7:L$286,2,FALSE)</f>
        <v>HIGH PRESSURE SODIUM 400W (310/360)</v>
      </c>
      <c r="F744" s="18" t="str">
        <f>IF(E744 = "BULKHEADS ETC", "SHARED OR NO POLE", VLOOKUP(C744,'Tariff Schedule Lookup Table'!I$7:L$286,3,FALSE))</f>
        <v>SHARED OR NO POLE</v>
      </c>
      <c r="G744" s="18">
        <f>IF(E744 = "NO CAPITAL", 1, VLOOKUP(C744,'Tariff Schedule Lookup Table'!I$7:L$286,4,FALSE))</f>
        <v>1</v>
      </c>
      <c r="H744" s="18" t="str">
        <f t="shared" si="122"/>
        <v>2-Unmetered, Funded by Others, CE Maintained</v>
      </c>
      <c r="I744" s="123">
        <f>VLOOKUP(F744,'Maintenance Model'!$A$57:$B$61,2,FALSE)</f>
        <v>0</v>
      </c>
      <c r="J744" s="123">
        <f>IF(D744=1,VLOOKUP(C744,'Capital Code Schedules'!A$15:F$300,2,FALSE),IF(D744=2,VLOOKUP(C744,'Capital Code Schedules'!A$15:F$300,3,FALSE),0))</f>
        <v>0</v>
      </c>
      <c r="K744" s="123">
        <v>0</v>
      </c>
      <c r="L744" s="123">
        <f>VLOOKUP(LEFT(A744,10),'Streetlight Tariff Schedule'!B$11:H$260,7, FALSE)+I744</f>
        <v>62.261757494340657</v>
      </c>
      <c r="M744" s="161">
        <f t="shared" si="123"/>
        <v>62.261757494340657</v>
      </c>
      <c r="N744" s="405">
        <f t="shared" si="124"/>
        <v>64.856119163558887</v>
      </c>
      <c r="O744" s="405">
        <v>55.461440517343959</v>
      </c>
      <c r="P744" s="406">
        <v>55.461440517343959</v>
      </c>
      <c r="Q744" s="406">
        <v>58.175660317423272</v>
      </c>
      <c r="R744" s="406">
        <v>58.175660317423272</v>
      </c>
      <c r="S744" s="405">
        <f t="shared" si="125"/>
        <v>68.030103848197314</v>
      </c>
      <c r="T744" s="406">
        <v>60.56500362912098</v>
      </c>
      <c r="U744" s="406">
        <v>60.786265221813359</v>
      </c>
      <c r="V744" s="405">
        <f t="shared" si="126"/>
        <v>71.082922188087835</v>
      </c>
      <c r="W744" s="406">
        <v>62.769733710819388</v>
      </c>
      <c r="X744" s="406">
        <v>63.56156662264388</v>
      </c>
      <c r="Y744" s="405">
        <f t="shared" si="127"/>
        <v>74.328335157676463</v>
      </c>
      <c r="Z744" s="406">
        <v>64.582875710823572</v>
      </c>
      <c r="AA744" s="406">
        <v>65.636898222648199</v>
      </c>
      <c r="AB744" s="442">
        <f t="shared" si="128"/>
        <v>75.941761116011449</v>
      </c>
      <c r="AC744" s="438">
        <f t="shared" si="129"/>
        <v>78.212348483162046</v>
      </c>
      <c r="AD744" s="410"/>
      <c r="AE744" s="411"/>
      <c r="AF744" s="411"/>
      <c r="AG744" s="411"/>
    </row>
    <row r="745" spans="1:33" x14ac:dyDescent="0.2">
      <c r="A745" s="6" t="s">
        <v>670</v>
      </c>
      <c r="B745" s="18" t="str">
        <f>VLOOKUP(LEFT(A745,7),'Tariff Schedule Lookup Table'!$A$8:$G$186,2,FALSE)</f>
        <v>Metal Hallide (Reactor Control Gear) 70</v>
      </c>
      <c r="C745" s="160">
        <f t="shared" si="120"/>
        <v>40</v>
      </c>
      <c r="D745" s="18">
        <f t="shared" si="121"/>
        <v>2</v>
      </c>
      <c r="E745" s="18" t="str">
        <f>VLOOKUP(C745,'Tariff Schedule Lookup Table'!I$7:L$286,2,FALSE)</f>
        <v>HIGH PRESSURE SODIUM 70W (100)</v>
      </c>
      <c r="F745" s="18" t="str">
        <f>IF(E745 = "BULKHEADS ETC", "SHARED OR NO POLE", VLOOKUP(C745,'Tariff Schedule Lookup Table'!I$7:L$286,3,FALSE))</f>
        <v>SHARED OR NO POLE</v>
      </c>
      <c r="G745" s="18">
        <f>IF(E745 = "NO CAPITAL", 1, VLOOKUP(C745,'Tariff Schedule Lookup Table'!I$7:L$286,4,FALSE))</f>
        <v>1</v>
      </c>
      <c r="H745" s="18" t="str">
        <f t="shared" si="122"/>
        <v>2-Unmetered, Funded by Others, CE Maintained</v>
      </c>
      <c r="I745" s="123">
        <f>VLOOKUP(F745,'Maintenance Model'!$A$57:$B$61,2,FALSE)</f>
        <v>0</v>
      </c>
      <c r="J745" s="123">
        <f>IF(D745=1,VLOOKUP(C745,'Capital Code Schedules'!A$15:F$300,2,FALSE),IF(D745=2,VLOOKUP(C745,'Capital Code Schedules'!A$15:F$300,3,FALSE),0))</f>
        <v>0</v>
      </c>
      <c r="K745" s="123">
        <v>0</v>
      </c>
      <c r="L745" s="123">
        <f>VLOOKUP(LEFT(A745,10),'Streetlight Tariff Schedule'!B$11:H$260,7, FALSE)+I745</f>
        <v>65.211775100276469</v>
      </c>
      <c r="M745" s="161">
        <f t="shared" si="123"/>
        <v>65.211775100276469</v>
      </c>
      <c r="N745" s="405">
        <f t="shared" si="124"/>
        <v>67.929059939484802</v>
      </c>
      <c r="O745" s="405">
        <v>55.968177805366196</v>
      </c>
      <c r="P745" s="406">
        <v>55.968177805366196</v>
      </c>
      <c r="Q745" s="406">
        <v>58.707196751803032</v>
      </c>
      <c r="R745" s="406">
        <v>58.707196751803032</v>
      </c>
      <c r="S745" s="405">
        <f t="shared" si="125"/>
        <v>71.253430849592434</v>
      </c>
      <c r="T745" s="406">
        <v>61.118370894770713</v>
      </c>
      <c r="U745" s="406">
        <v>61.341654099205918</v>
      </c>
      <c r="V745" s="405">
        <f t="shared" si="126"/>
        <v>74.450894445460833</v>
      </c>
      <c r="W745" s="406">
        <v>63.343245042905181</v>
      </c>
      <c r="X745" s="406">
        <v>64.142312733678096</v>
      </c>
      <c r="Y745" s="405">
        <f t="shared" si="127"/>
        <v>77.850077976371779</v>
      </c>
      <c r="Z745" s="406">
        <v>65.172953267142105</v>
      </c>
      <c r="AA745" s="406">
        <v>66.236606118607654</v>
      </c>
      <c r="AB745" s="442">
        <f t="shared" si="128"/>
        <v>79.539949495746299</v>
      </c>
      <c r="AC745" s="438">
        <f t="shared" si="129"/>
        <v>81.918119317656831</v>
      </c>
      <c r="AD745" s="410"/>
      <c r="AE745" s="411"/>
      <c r="AF745" s="411"/>
      <c r="AG745" s="411"/>
    </row>
    <row r="746" spans="1:33" x14ac:dyDescent="0.2">
      <c r="A746" s="6" t="s">
        <v>671</v>
      </c>
      <c r="B746" s="18" t="str">
        <f>VLOOKUP(LEFT(A746,7),'Tariff Schedule Lookup Table'!$A$8:$G$186,2,FALSE)</f>
        <v>Metal Hallide (Reactor Control Gear) 70</v>
      </c>
      <c r="C746" s="160">
        <f t="shared" si="120"/>
        <v>360</v>
      </c>
      <c r="D746" s="18">
        <f t="shared" si="121"/>
        <v>2</v>
      </c>
      <c r="E746" s="18" t="str">
        <f>VLOOKUP(C746,'Tariff Schedule Lookup Table'!I$7:L$286,2,FALSE)</f>
        <v>HIGH PRESSURE SODIUM 70W (100)</v>
      </c>
      <c r="F746" s="18" t="str">
        <f>IF(E746 = "BULKHEADS ETC", "SHARED OR NO POLE", VLOOKUP(C746,'Tariff Schedule Lookup Table'!I$7:L$286,3,FALSE))</f>
        <v>STEEL POLE</v>
      </c>
      <c r="G746" s="18">
        <f>IF(E746 = "NO CAPITAL", 1, VLOOKUP(C746,'Tariff Schedule Lookup Table'!I$7:L$286,4,FALSE))</f>
        <v>1</v>
      </c>
      <c r="H746" s="18" t="str">
        <f t="shared" si="122"/>
        <v>2-Unmetered, Funded by Others, CE Maintained</v>
      </c>
      <c r="I746" s="123">
        <f>VLOOKUP(F746,'Maintenance Model'!$A$57:$B$61,2,FALSE)</f>
        <v>9.9616182311111103</v>
      </c>
      <c r="J746" s="123">
        <f>IF(D746=1,VLOOKUP(C746,'Capital Code Schedules'!A$15:F$300,2,FALSE),IF(D746=2,VLOOKUP(C746,'Capital Code Schedules'!A$15:F$300,3,FALSE),0))</f>
        <v>0</v>
      </c>
      <c r="K746" s="123">
        <v>0</v>
      </c>
      <c r="L746" s="123">
        <f>VLOOKUP(LEFT(A746,10),'Streetlight Tariff Schedule'!B$11:H$260,7, FALSE)+I746</f>
        <v>75.173393331387587</v>
      </c>
      <c r="M746" s="161">
        <f t="shared" si="123"/>
        <v>75.173393331387587</v>
      </c>
      <c r="N746" s="405">
        <f t="shared" si="124"/>
        <v>78.305765080157201</v>
      </c>
      <c r="O746" s="405">
        <v>65.562293041465367</v>
      </c>
      <c r="P746" s="406">
        <v>65.562293041465367</v>
      </c>
      <c r="Q746" s="406">
        <v>68.770837072269941</v>
      </c>
      <c r="R746" s="406">
        <v>68.770837072269941</v>
      </c>
      <c r="S746" s="405">
        <f t="shared" si="125"/>
        <v>82.137960134204818</v>
      </c>
      <c r="T746" s="406">
        <v>71.595336849357466</v>
      </c>
      <c r="U746" s="406">
        <v>71.856895460955059</v>
      </c>
      <c r="V746" s="405">
        <f t="shared" si="126"/>
        <v>85.823861770610179</v>
      </c>
      <c r="W746" s="406">
        <v>74.201600919408833</v>
      </c>
      <c r="X746" s="406">
        <v>75.13764551040137</v>
      </c>
      <c r="Y746" s="405">
        <f t="shared" si="127"/>
        <v>89.74229766936952</v>
      </c>
      <c r="Z746" s="406">
        <v>76.34495936847199</v>
      </c>
      <c r="AA746" s="406">
        <v>77.590944545704033</v>
      </c>
      <c r="AB746" s="442">
        <f t="shared" si="128"/>
        <v>91.690310527631851</v>
      </c>
      <c r="AC746" s="438">
        <f t="shared" si="129"/>
        <v>94.431764738261947</v>
      </c>
      <c r="AD746" s="410"/>
      <c r="AE746" s="411"/>
      <c r="AF746" s="411"/>
      <c r="AG746" s="411"/>
    </row>
    <row r="747" spans="1:33" x14ac:dyDescent="0.2">
      <c r="A747" s="6" t="s">
        <v>672</v>
      </c>
      <c r="B747" s="18" t="str">
        <f>VLOOKUP(LEFT(A747,7),'Tariff Schedule Lookup Table'!$A$8:$G$186,2,FALSE)</f>
        <v>Metal Hallide (Reactor Control Gear) 150</v>
      </c>
      <c r="C747" s="160">
        <f t="shared" si="120"/>
        <v>50</v>
      </c>
      <c r="D747" s="18">
        <f t="shared" si="121"/>
        <v>2</v>
      </c>
      <c r="E747" s="18" t="str">
        <f>VLOOKUP(C747,'Tariff Schedule Lookup Table'!I$7:L$286,2,FALSE)</f>
        <v>HIGH PRESSURE SODIUM 150W</v>
      </c>
      <c r="F747" s="18" t="str">
        <f>IF(E747 = "BULKHEADS ETC", "SHARED OR NO POLE", VLOOKUP(C747,'Tariff Schedule Lookup Table'!I$7:L$286,3,FALSE))</f>
        <v>SHARED OR NO POLE</v>
      </c>
      <c r="G747" s="18">
        <f>IF(E747 = "NO CAPITAL", 1, VLOOKUP(C747,'Tariff Schedule Lookup Table'!I$7:L$286,4,FALSE))</f>
        <v>1</v>
      </c>
      <c r="H747" s="18" t="str">
        <f t="shared" si="122"/>
        <v>2-Unmetered, Funded by Others, CE Maintained</v>
      </c>
      <c r="I747" s="123">
        <f>VLOOKUP(F747,'Maintenance Model'!$A$57:$B$61,2,FALSE)</f>
        <v>0</v>
      </c>
      <c r="J747" s="123">
        <f>IF(D747=1,VLOOKUP(C747,'Capital Code Schedules'!A$15:F$300,2,FALSE),IF(D747=2,VLOOKUP(C747,'Capital Code Schedules'!A$15:F$300,3,FALSE),0))</f>
        <v>0</v>
      </c>
      <c r="K747" s="123">
        <v>0</v>
      </c>
      <c r="L747" s="123">
        <f>VLOOKUP(LEFT(A747,10),'Streetlight Tariff Schedule'!B$11:H$260,7, FALSE)+I747</f>
        <v>70.992054655832021</v>
      </c>
      <c r="M747" s="161">
        <f t="shared" si="123"/>
        <v>70.992054655832021</v>
      </c>
      <c r="N747" s="405">
        <f t="shared" si="124"/>
        <v>73.950195781785254</v>
      </c>
      <c r="O747" s="405">
        <v>59.725499674915305</v>
      </c>
      <c r="P747" s="406">
        <v>59.725499674915305</v>
      </c>
      <c r="Q747" s="406">
        <v>62.648397678918485</v>
      </c>
      <c r="R747" s="406">
        <v>62.648397678918485</v>
      </c>
      <c r="S747" s="405">
        <f t="shared" si="125"/>
        <v>77.569234229729915</v>
      </c>
      <c r="T747" s="406">
        <v>65.221441614577458</v>
      </c>
      <c r="U747" s="406">
        <v>65.45971453102446</v>
      </c>
      <c r="V747" s="405">
        <f t="shared" si="126"/>
        <v>81.050116478508926</v>
      </c>
      <c r="W747" s="406">
        <v>67.595678643934377</v>
      </c>
      <c r="X747" s="406">
        <v>68.448390291461308</v>
      </c>
      <c r="Y747" s="405">
        <f t="shared" si="127"/>
        <v>84.750598832202911</v>
      </c>
      <c r="Z747" s="406">
        <v>69.548221003485253</v>
      </c>
      <c r="AA747" s="406">
        <v>70.683280255464993</v>
      </c>
      <c r="AB747" s="442">
        <f t="shared" si="128"/>
        <v>86.590258174097769</v>
      </c>
      <c r="AC747" s="438">
        <f t="shared" si="129"/>
        <v>89.179225607023952</v>
      </c>
      <c r="AD747" s="410"/>
      <c r="AE747" s="411"/>
      <c r="AF747" s="411"/>
      <c r="AG747" s="411"/>
    </row>
    <row r="748" spans="1:33" x14ac:dyDescent="0.2">
      <c r="A748" s="6" t="s">
        <v>673</v>
      </c>
      <c r="B748" s="18" t="str">
        <f>VLOOKUP(LEFT(A748,7),'Tariff Schedule Lookup Table'!$A$8:$G$186,2,FALSE)</f>
        <v>Metal Hallide (Reactor Control Gear) 150</v>
      </c>
      <c r="C748" s="160">
        <f t="shared" si="120"/>
        <v>310</v>
      </c>
      <c r="D748" s="18">
        <f t="shared" si="121"/>
        <v>2</v>
      </c>
      <c r="E748" s="18" t="str">
        <f>VLOOKUP(C748,'Tariff Schedule Lookup Table'!I$7:L$286,2,FALSE)</f>
        <v>HIGH PRESSURE SODIUM 150W</v>
      </c>
      <c r="F748" s="18" t="str">
        <f>IF(E748 = "BULKHEADS ETC", "SHARED OR NO POLE", VLOOKUP(C748,'Tariff Schedule Lookup Table'!I$7:L$286,3,FALSE))</f>
        <v>STEEL POLE</v>
      </c>
      <c r="G748" s="18">
        <f>IF(E748 = "NO CAPITAL", 1, VLOOKUP(C748,'Tariff Schedule Lookup Table'!I$7:L$286,4,FALSE))</f>
        <v>1</v>
      </c>
      <c r="H748" s="18" t="str">
        <f t="shared" si="122"/>
        <v>2-Unmetered, Funded by Others, CE Maintained</v>
      </c>
      <c r="I748" s="123">
        <f>VLOOKUP(F748,'Maintenance Model'!$A$57:$B$61,2,FALSE)</f>
        <v>9.9616182311111103</v>
      </c>
      <c r="J748" s="123">
        <f>IF(D748=1,VLOOKUP(C748,'Capital Code Schedules'!A$15:F$300,2,FALSE),IF(D748=2,VLOOKUP(C748,'Capital Code Schedules'!A$15:F$300,3,FALSE),0))</f>
        <v>0</v>
      </c>
      <c r="K748" s="123">
        <v>0</v>
      </c>
      <c r="L748" s="123">
        <f>VLOOKUP(LEFT(A748,10),'Streetlight Tariff Schedule'!B$11:H$260,7, FALSE)+I748</f>
        <v>80.953672886943139</v>
      </c>
      <c r="M748" s="161">
        <f t="shared" si="123"/>
        <v>80.953672886943139</v>
      </c>
      <c r="N748" s="405">
        <f t="shared" si="124"/>
        <v>84.326900922457668</v>
      </c>
      <c r="O748" s="405">
        <v>69.319614911014469</v>
      </c>
      <c r="P748" s="406">
        <v>69.319614911014469</v>
      </c>
      <c r="Q748" s="406">
        <v>72.712037999385402</v>
      </c>
      <c r="R748" s="406">
        <v>72.712037999385402</v>
      </c>
      <c r="S748" s="405">
        <f t="shared" si="125"/>
        <v>88.453763514342285</v>
      </c>
      <c r="T748" s="406">
        <v>75.698407569164203</v>
      </c>
      <c r="U748" s="406">
        <v>75.974955892773608</v>
      </c>
      <c r="V748" s="405">
        <f t="shared" si="126"/>
        <v>92.423083803658272</v>
      </c>
      <c r="W748" s="406">
        <v>78.454034520438043</v>
      </c>
      <c r="X748" s="406">
        <v>79.443723068184568</v>
      </c>
      <c r="Y748" s="405">
        <f t="shared" si="127"/>
        <v>96.642818525200653</v>
      </c>
      <c r="Z748" s="406">
        <v>80.720227104815152</v>
      </c>
      <c r="AA748" s="406">
        <v>82.037618682561387</v>
      </c>
      <c r="AB748" s="442">
        <f t="shared" si="128"/>
        <v>98.740619205983322</v>
      </c>
      <c r="AC748" s="438">
        <f t="shared" si="129"/>
        <v>101.6928710276291</v>
      </c>
      <c r="AD748" s="410"/>
      <c r="AE748" s="411"/>
      <c r="AF748" s="411"/>
      <c r="AG748" s="411"/>
    </row>
    <row r="749" spans="1:33" x14ac:dyDescent="0.2">
      <c r="A749" s="6" t="s">
        <v>674</v>
      </c>
      <c r="B749" s="18" t="str">
        <f>VLOOKUP(LEFT(A749,7),'Tariff Schedule Lookup Table'!$A$8:$G$186,2,FALSE)</f>
        <v>Metal Hallide (Reactor Control Gear) 250</v>
      </c>
      <c r="C749" s="160">
        <f t="shared" si="120"/>
        <v>60</v>
      </c>
      <c r="D749" s="18">
        <f t="shared" si="121"/>
        <v>2</v>
      </c>
      <c r="E749" s="18" t="str">
        <f>VLOOKUP(C749,'Tariff Schedule Lookup Table'!I$7:L$286,2,FALSE)</f>
        <v>HIGH PRESSURE SODIUM 250W (210/220)</v>
      </c>
      <c r="F749" s="18" t="str">
        <f>IF(E749 = "BULKHEADS ETC", "SHARED OR NO POLE", VLOOKUP(C749,'Tariff Schedule Lookup Table'!I$7:L$286,3,FALSE))</f>
        <v>SHARED OR NO POLE</v>
      </c>
      <c r="G749" s="18">
        <f>IF(E749 = "NO CAPITAL", 1, VLOOKUP(C749,'Tariff Schedule Lookup Table'!I$7:L$286,4,FALSE))</f>
        <v>1</v>
      </c>
      <c r="H749" s="18" t="str">
        <f t="shared" si="122"/>
        <v>2-Unmetered, Funded by Others, CE Maintained</v>
      </c>
      <c r="I749" s="123">
        <f>VLOOKUP(F749,'Maintenance Model'!$A$57:$B$61,2,FALSE)</f>
        <v>0</v>
      </c>
      <c r="J749" s="123">
        <f>IF(D749=1,VLOOKUP(C749,'Capital Code Schedules'!A$15:F$300,2,FALSE),IF(D749=2,VLOOKUP(C749,'Capital Code Schedules'!A$15:F$300,3,FALSE),0))</f>
        <v>0</v>
      </c>
      <c r="K749" s="123">
        <v>0</v>
      </c>
      <c r="L749" s="123">
        <f>VLOOKUP(LEFT(A749,10),'Streetlight Tariff Schedule'!B$11:H$260,7, FALSE)+I749</f>
        <v>70.992054655832021</v>
      </c>
      <c r="M749" s="161">
        <f t="shared" si="123"/>
        <v>70.992054655832021</v>
      </c>
      <c r="N749" s="405">
        <f t="shared" si="124"/>
        <v>73.950195781785254</v>
      </c>
      <c r="O749" s="405">
        <v>59.725499674915305</v>
      </c>
      <c r="P749" s="406">
        <v>59.725499674915305</v>
      </c>
      <c r="Q749" s="406">
        <v>62.648397678918485</v>
      </c>
      <c r="R749" s="406">
        <v>62.648397678918485</v>
      </c>
      <c r="S749" s="405">
        <f t="shared" si="125"/>
        <v>77.569234229729915</v>
      </c>
      <c r="T749" s="406">
        <v>65.221441614577458</v>
      </c>
      <c r="U749" s="406">
        <v>65.45971453102446</v>
      </c>
      <c r="V749" s="405">
        <f t="shared" si="126"/>
        <v>81.050116478508926</v>
      </c>
      <c r="W749" s="406">
        <v>67.595678643934377</v>
      </c>
      <c r="X749" s="406">
        <v>68.448390291461308</v>
      </c>
      <c r="Y749" s="405">
        <f t="shared" si="127"/>
        <v>84.750598832202911</v>
      </c>
      <c r="Z749" s="406">
        <v>69.548221003485253</v>
      </c>
      <c r="AA749" s="406">
        <v>70.683280255464993</v>
      </c>
      <c r="AB749" s="442">
        <f t="shared" si="128"/>
        <v>86.590258174097769</v>
      </c>
      <c r="AC749" s="438">
        <f t="shared" si="129"/>
        <v>89.179225607023952</v>
      </c>
      <c r="AD749" s="410"/>
      <c r="AE749" s="411"/>
      <c r="AF749" s="411"/>
      <c r="AG749" s="411"/>
    </row>
    <row r="750" spans="1:33" x14ac:dyDescent="0.2">
      <c r="A750" s="6" t="s">
        <v>675</v>
      </c>
      <c r="B750" s="18" t="str">
        <f>VLOOKUP(LEFT(A750,7),'Tariff Schedule Lookup Table'!$A$8:$G$186,2,FALSE)</f>
        <v>Metal Hallide (Reactor Control Gear) 250</v>
      </c>
      <c r="C750" s="160">
        <f t="shared" si="120"/>
        <v>320</v>
      </c>
      <c r="D750" s="18">
        <f t="shared" si="121"/>
        <v>1</v>
      </c>
      <c r="E750" s="18" t="str">
        <f>VLOOKUP(C750,'Tariff Schedule Lookup Table'!I$7:L$286,2,FALSE)</f>
        <v>HIGH PRESSURE SODIUM 250W (210/220)</v>
      </c>
      <c r="F750" s="18" t="str">
        <f>IF(E750 = "BULKHEADS ETC", "SHARED OR NO POLE", VLOOKUP(C750,'Tariff Schedule Lookup Table'!I$7:L$286,3,FALSE))</f>
        <v>STEEL POLE</v>
      </c>
      <c r="G750" s="18">
        <f>IF(E750 = "NO CAPITAL", 1, VLOOKUP(C750,'Tariff Schedule Lookup Table'!I$7:L$286,4,FALSE))</f>
        <v>1</v>
      </c>
      <c r="H750" s="18" t="str">
        <f t="shared" si="122"/>
        <v>1-Unmetered, CE Funded, CE Maintained</v>
      </c>
      <c r="I750" s="123">
        <f>VLOOKUP(F750,'Maintenance Model'!$A$57:$B$61,2,FALSE)</f>
        <v>9.9616182311111103</v>
      </c>
      <c r="J750" s="123">
        <f>IF(D750=1,VLOOKUP(C750,'Capital Code Schedules'!A$15:F$300,2,FALSE),IF(D750=2,VLOOKUP(C750,'Capital Code Schedules'!A$15:F$300,3,FALSE),0))</f>
        <v>92.322513672035399</v>
      </c>
      <c r="K750" s="123">
        <v>117.10841065015505</v>
      </c>
      <c r="L750" s="123">
        <f>VLOOKUP(LEFT(A750,10),'Streetlight Tariff Schedule'!B$11:H$260,7, FALSE)+I750</f>
        <v>80.953672886943139</v>
      </c>
      <c r="M750" s="161">
        <f t="shared" si="123"/>
        <v>198.0620835370982</v>
      </c>
      <c r="N750" s="405">
        <f t="shared" si="124"/>
        <v>178.93439680787594</v>
      </c>
      <c r="O750" s="405">
        <v>194.63924492719059</v>
      </c>
      <c r="P750" s="406">
        <v>189.3264587247609</v>
      </c>
      <c r="Q750" s="406">
        <v>195.68905119752205</v>
      </c>
      <c r="R750" s="406">
        <v>201.13332885846188</v>
      </c>
      <c r="S750" s="405">
        <f t="shared" si="125"/>
        <v>185.40279492292467</v>
      </c>
      <c r="T750" s="406">
        <v>201.71910184395475</v>
      </c>
      <c r="U750" s="406">
        <v>208.05625354133375</v>
      </c>
      <c r="V750" s="405">
        <f t="shared" si="126"/>
        <v>192.13516260738524</v>
      </c>
      <c r="W750" s="406">
        <v>207.59374097852964</v>
      </c>
      <c r="X750" s="406">
        <v>216.0025767070309</v>
      </c>
      <c r="Y750" s="405">
        <f t="shared" si="127"/>
        <v>199.73513680037394</v>
      </c>
      <c r="Z750" s="406">
        <v>213.05614129774446</v>
      </c>
      <c r="AA750" s="406">
        <v>222.48839965011484</v>
      </c>
      <c r="AB750" s="442">
        <f t="shared" si="128"/>
        <v>203.64736228279972</v>
      </c>
      <c r="AC750" s="438">
        <f t="shared" si="129"/>
        <v>209.65240032798081</v>
      </c>
      <c r="AD750" s="410"/>
      <c r="AE750" s="411"/>
      <c r="AF750" s="411"/>
      <c r="AG750" s="411"/>
    </row>
    <row r="751" spans="1:33" x14ac:dyDescent="0.2">
      <c r="A751" s="6" t="s">
        <v>676</v>
      </c>
      <c r="B751" s="18" t="str">
        <f>VLOOKUP(LEFT(A751,7),'Tariff Schedule Lookup Table'!$A$8:$G$186,2,FALSE)</f>
        <v>Metal Hallide (Reactor Control Gear) 250</v>
      </c>
      <c r="C751" s="160">
        <f t="shared" ref="C751:C794" si="130">1*MID(A751,12,4)</f>
        <v>320</v>
      </c>
      <c r="D751" s="18">
        <f t="shared" ref="D751:D794" si="131">1*(MID(A751,17,3))</f>
        <v>2</v>
      </c>
      <c r="E751" s="18" t="str">
        <f>VLOOKUP(C751,'Tariff Schedule Lookup Table'!I$7:L$286,2,FALSE)</f>
        <v>HIGH PRESSURE SODIUM 250W (210/220)</v>
      </c>
      <c r="F751" s="18" t="str">
        <f>IF(E751 = "BULKHEADS ETC", "SHARED OR NO POLE", VLOOKUP(C751,'Tariff Schedule Lookup Table'!I$7:L$286,3,FALSE))</f>
        <v>STEEL POLE</v>
      </c>
      <c r="G751" s="18">
        <f>IF(E751 = "NO CAPITAL", 1, VLOOKUP(C751,'Tariff Schedule Lookup Table'!I$7:L$286,4,FALSE))</f>
        <v>1</v>
      </c>
      <c r="H751" s="18" t="str">
        <f t="shared" ref="H751:H794" si="132">VLOOKUP(D751,A$11:B$15, 2, FALSE)</f>
        <v>2-Unmetered, Funded by Others, CE Maintained</v>
      </c>
      <c r="I751" s="123">
        <f>VLOOKUP(F751,'Maintenance Model'!$A$57:$B$61,2,FALSE)</f>
        <v>9.9616182311111103</v>
      </c>
      <c r="J751" s="123">
        <f>IF(D751=1,VLOOKUP(C751,'Capital Code Schedules'!A$15:F$300,2,FALSE),IF(D751=2,VLOOKUP(C751,'Capital Code Schedules'!A$15:F$300,3,FALSE),0))</f>
        <v>0</v>
      </c>
      <c r="K751" s="123">
        <v>0</v>
      </c>
      <c r="L751" s="123">
        <f>VLOOKUP(LEFT(A751,10),'Streetlight Tariff Schedule'!B$11:H$260,7, FALSE)+I751</f>
        <v>80.953672886943139</v>
      </c>
      <c r="M751" s="161">
        <f t="shared" si="123"/>
        <v>80.953672886943139</v>
      </c>
      <c r="N751" s="405">
        <f t="shared" si="124"/>
        <v>84.326900922457668</v>
      </c>
      <c r="O751" s="405">
        <v>69.319614911014469</v>
      </c>
      <c r="P751" s="406">
        <v>69.319614911014469</v>
      </c>
      <c r="Q751" s="406">
        <v>72.712037999385402</v>
      </c>
      <c r="R751" s="406">
        <v>72.712037999385402</v>
      </c>
      <c r="S751" s="405">
        <f t="shared" si="125"/>
        <v>88.453763514342285</v>
      </c>
      <c r="T751" s="406">
        <v>75.698407569164203</v>
      </c>
      <c r="U751" s="406">
        <v>75.974955892773608</v>
      </c>
      <c r="V751" s="405">
        <f t="shared" si="126"/>
        <v>92.423083803658272</v>
      </c>
      <c r="W751" s="406">
        <v>78.454034520438043</v>
      </c>
      <c r="X751" s="406">
        <v>79.443723068184568</v>
      </c>
      <c r="Y751" s="405">
        <f t="shared" si="127"/>
        <v>96.642818525200653</v>
      </c>
      <c r="Z751" s="406">
        <v>80.720227104815152</v>
      </c>
      <c r="AA751" s="406">
        <v>82.037618682561387</v>
      </c>
      <c r="AB751" s="442">
        <f t="shared" si="128"/>
        <v>98.740619205983322</v>
      </c>
      <c r="AC751" s="438">
        <f t="shared" si="129"/>
        <v>101.6928710276291</v>
      </c>
      <c r="AD751" s="410"/>
      <c r="AE751" s="411"/>
      <c r="AF751" s="411"/>
      <c r="AG751" s="411"/>
    </row>
    <row r="752" spans="1:33" x14ac:dyDescent="0.2">
      <c r="A752" s="6" t="s">
        <v>677</v>
      </c>
      <c r="B752" s="18" t="str">
        <f>VLOOKUP(LEFT(A752,7),'Tariff Schedule Lookup Table'!$A$8:$G$186,2,FALSE)</f>
        <v>Metal Hallide (Reactor Control Gear) 250</v>
      </c>
      <c r="C752" s="160">
        <f t="shared" si="130"/>
        <v>390</v>
      </c>
      <c r="D752" s="18">
        <f t="shared" si="131"/>
        <v>2</v>
      </c>
      <c r="E752" s="18" t="str">
        <f>VLOOKUP(C752,'Tariff Schedule Lookup Table'!I$7:L$286,2,FALSE)</f>
        <v>HIGH PRESSURE SODIUM 250W (210/220)</v>
      </c>
      <c r="F752" s="18" t="str">
        <f>IF(E752 = "BULKHEADS ETC", "SHARED OR NO POLE", VLOOKUP(C752,'Tariff Schedule Lookup Table'!I$7:L$286,3,FALSE))</f>
        <v>STEEL POLE</v>
      </c>
      <c r="G752" s="18">
        <f>IF(E752 = "NO CAPITAL", 1, VLOOKUP(C752,'Tariff Schedule Lookup Table'!I$7:L$286,4,FALSE))</f>
        <v>2</v>
      </c>
      <c r="H752" s="18" t="str">
        <f t="shared" si="132"/>
        <v>2-Unmetered, Funded by Others, CE Maintained</v>
      </c>
      <c r="I752" s="123">
        <f>VLOOKUP(F752,'Maintenance Model'!$A$57:$B$61,2,FALSE)</f>
        <v>9.9616182311111103</v>
      </c>
      <c r="J752" s="123">
        <f>IF(D752=1,VLOOKUP(C752,'Capital Code Schedules'!A$15:F$300,2,FALSE),IF(D752=2,VLOOKUP(C752,'Capital Code Schedules'!A$15:F$300,3,FALSE),0))</f>
        <v>0</v>
      </c>
      <c r="K752" s="123">
        <v>0</v>
      </c>
      <c r="L752" s="123">
        <f>VLOOKUP(LEFT(A752,10),'Streetlight Tariff Schedule'!B$11:H$260,7, FALSE)+I752</f>
        <v>80.953672886943139</v>
      </c>
      <c r="M752" s="161">
        <f t="shared" si="123"/>
        <v>80.953672886943139</v>
      </c>
      <c r="N752" s="405">
        <f t="shared" si="124"/>
        <v>84.326900922457668</v>
      </c>
      <c r="O752" s="405">
        <v>69.319614911014469</v>
      </c>
      <c r="P752" s="406">
        <v>69.319614911014469</v>
      </c>
      <c r="Q752" s="406">
        <v>72.712037999385402</v>
      </c>
      <c r="R752" s="406">
        <v>72.712037999385402</v>
      </c>
      <c r="S752" s="405">
        <f t="shared" si="125"/>
        <v>88.453763514342285</v>
      </c>
      <c r="T752" s="406">
        <v>75.698407569164203</v>
      </c>
      <c r="U752" s="406">
        <v>75.974955892773608</v>
      </c>
      <c r="V752" s="405">
        <f t="shared" si="126"/>
        <v>92.423083803658272</v>
      </c>
      <c r="W752" s="406">
        <v>78.454034520438043</v>
      </c>
      <c r="X752" s="406">
        <v>79.443723068184568</v>
      </c>
      <c r="Y752" s="405">
        <f t="shared" si="127"/>
        <v>96.642818525200653</v>
      </c>
      <c r="Z752" s="406">
        <v>80.720227104815152</v>
      </c>
      <c r="AA752" s="406">
        <v>82.037618682561387</v>
      </c>
      <c r="AB752" s="442">
        <f t="shared" si="128"/>
        <v>98.740619205983322</v>
      </c>
      <c r="AC752" s="438">
        <f t="shared" si="129"/>
        <v>101.6928710276291</v>
      </c>
      <c r="AD752" s="410"/>
      <c r="AE752" s="411"/>
      <c r="AF752" s="411"/>
      <c r="AG752" s="411"/>
    </row>
    <row r="753" spans="1:33" x14ac:dyDescent="0.2">
      <c r="A753" s="6" t="s">
        <v>678</v>
      </c>
      <c r="B753" s="18" t="str">
        <f>VLOOKUP(LEFT(A753,7),'Tariff Schedule Lookup Table'!$A$8:$G$186,2,FALSE)</f>
        <v>Metal Hallide (Reactor Control Gear) 250</v>
      </c>
      <c r="C753" s="160">
        <f t="shared" si="130"/>
        <v>430</v>
      </c>
      <c r="D753" s="18">
        <f t="shared" si="131"/>
        <v>2</v>
      </c>
      <c r="E753" s="18" t="str">
        <f>VLOOKUP(C753,'Tariff Schedule Lookup Table'!I$7:L$286,2,FALSE)</f>
        <v>HIGH PRESSURE SODIUM 250W (210/220)</v>
      </c>
      <c r="F753" s="18" t="str">
        <f>IF(E753 = "BULKHEADS ETC", "SHARED OR NO POLE", VLOOKUP(C753,'Tariff Schedule Lookup Table'!I$7:L$286,3,FALSE))</f>
        <v>STEEL POLE</v>
      </c>
      <c r="G753" s="18">
        <f>IF(E753 = "NO CAPITAL", 1, VLOOKUP(C753,'Tariff Schedule Lookup Table'!I$7:L$286,4,FALSE))</f>
        <v>3</v>
      </c>
      <c r="H753" s="18" t="str">
        <f t="shared" si="132"/>
        <v>2-Unmetered, Funded by Others, CE Maintained</v>
      </c>
      <c r="I753" s="123">
        <f>VLOOKUP(F753,'Maintenance Model'!$A$57:$B$61,2,FALSE)</f>
        <v>9.9616182311111103</v>
      </c>
      <c r="J753" s="123">
        <f>IF(D753=1,VLOOKUP(C753,'Capital Code Schedules'!A$15:F$300,2,FALSE),IF(D753=2,VLOOKUP(C753,'Capital Code Schedules'!A$15:F$300,3,FALSE),0))</f>
        <v>0</v>
      </c>
      <c r="K753" s="123">
        <v>0</v>
      </c>
      <c r="L753" s="123">
        <f>VLOOKUP(LEFT(A753,10),'Streetlight Tariff Schedule'!B$11:H$260,7, FALSE)+I753</f>
        <v>80.953672886943139</v>
      </c>
      <c r="M753" s="161">
        <f t="shared" si="123"/>
        <v>80.953672886943139</v>
      </c>
      <c r="N753" s="405">
        <f t="shared" si="124"/>
        <v>84.326900922457668</v>
      </c>
      <c r="O753" s="405">
        <v>69.319614911014469</v>
      </c>
      <c r="P753" s="406">
        <v>69.319614911014469</v>
      </c>
      <c r="Q753" s="406">
        <v>72.712037999385402</v>
      </c>
      <c r="R753" s="406">
        <v>72.712037999385402</v>
      </c>
      <c r="S753" s="405">
        <f t="shared" si="125"/>
        <v>88.453763514342285</v>
      </c>
      <c r="T753" s="406">
        <v>75.698407569164203</v>
      </c>
      <c r="U753" s="406">
        <v>75.974955892773608</v>
      </c>
      <c r="V753" s="405">
        <f t="shared" si="126"/>
        <v>92.423083803658272</v>
      </c>
      <c r="W753" s="406">
        <v>78.454034520438043</v>
      </c>
      <c r="X753" s="406">
        <v>79.443723068184568</v>
      </c>
      <c r="Y753" s="405">
        <f t="shared" si="127"/>
        <v>96.642818525200653</v>
      </c>
      <c r="Z753" s="406">
        <v>80.720227104815152</v>
      </c>
      <c r="AA753" s="406">
        <v>82.037618682561387</v>
      </c>
      <c r="AB753" s="442">
        <f t="shared" si="128"/>
        <v>98.740619205983322</v>
      </c>
      <c r="AC753" s="438">
        <f t="shared" si="129"/>
        <v>101.6928710276291</v>
      </c>
      <c r="AD753" s="410"/>
      <c r="AE753" s="411"/>
      <c r="AF753" s="411"/>
      <c r="AG753" s="411"/>
    </row>
    <row r="754" spans="1:33" x14ac:dyDescent="0.2">
      <c r="A754" s="6" t="s">
        <v>679</v>
      </c>
      <c r="B754" s="18" t="str">
        <f>VLOOKUP(LEFT(A754,7),'Tariff Schedule Lookup Table'!$A$8:$G$186,2,FALSE)</f>
        <v>Metal Hallide (Reactor Control Gear) 250</v>
      </c>
      <c r="C754" s="160">
        <f t="shared" si="130"/>
        <v>610</v>
      </c>
      <c r="D754" s="18">
        <f t="shared" si="131"/>
        <v>1</v>
      </c>
      <c r="E754" s="18" t="str">
        <f>VLOOKUP(C754,'Tariff Schedule Lookup Table'!I$7:L$286,2,FALSE)</f>
        <v>METAL HALIDE/HPS 250W FLOOD (210/220)</v>
      </c>
      <c r="F754" s="18" t="str">
        <f>IF(E754 = "BULKHEADS ETC", "SHARED OR NO POLE", VLOOKUP(C754,'Tariff Schedule Lookup Table'!I$7:L$286,3,FALSE))</f>
        <v>SHARED OR NO POLE</v>
      </c>
      <c r="G754" s="18">
        <f>IF(E754 = "NO CAPITAL", 1, VLOOKUP(C754,'Tariff Schedule Lookup Table'!I$7:L$286,4,FALSE))</f>
        <v>1</v>
      </c>
      <c r="H754" s="18" t="str">
        <f t="shared" si="132"/>
        <v>1-Unmetered, CE Funded, CE Maintained</v>
      </c>
      <c r="I754" s="123">
        <f>VLOOKUP(F754,'Maintenance Model'!$A$57:$B$61,2,FALSE)</f>
        <v>0</v>
      </c>
      <c r="J754" s="123">
        <f>IF(D754=1,VLOOKUP(C754,'Capital Code Schedules'!A$15:F$300,2,FALSE),IF(D754=2,VLOOKUP(C754,'Capital Code Schedules'!A$15:F$300,3,FALSE),0))</f>
        <v>37.215587737644988</v>
      </c>
      <c r="K754" s="123">
        <v>47.206885493274058</v>
      </c>
      <c r="L754" s="123">
        <f>VLOOKUP(LEFT(A754,10),'Streetlight Tariff Schedule'!B$11:H$260,7, FALSE)+I754</f>
        <v>70.992054655832021</v>
      </c>
      <c r="M754" s="161">
        <f t="shared" si="123"/>
        <v>118.19894014910608</v>
      </c>
      <c r="N754" s="405">
        <f t="shared" si="124"/>
        <v>112.08686931593697</v>
      </c>
      <c r="O754" s="405">
        <v>110.24236171231554</v>
      </c>
      <c r="P754" s="406">
        <v>108.10075558414789</v>
      </c>
      <c r="Q754" s="406">
        <v>112.22094117190457</v>
      </c>
      <c r="R754" s="406">
        <v>114.41555205174438</v>
      </c>
      <c r="S754" s="405">
        <f t="shared" si="125"/>
        <v>116.64979043385188</v>
      </c>
      <c r="T754" s="406">
        <v>116.02090555901496</v>
      </c>
      <c r="U754" s="406">
        <v>118.70223280347589</v>
      </c>
      <c r="V754" s="405">
        <f t="shared" si="126"/>
        <v>121.24446853444836</v>
      </c>
      <c r="W754" s="406">
        <v>119.65242932099672</v>
      </c>
      <c r="X754" s="406">
        <v>123.49582993334884</v>
      </c>
      <c r="Y754" s="405">
        <f t="shared" si="127"/>
        <v>126.3075394228387</v>
      </c>
      <c r="Z754" s="406">
        <v>122.89337625980487</v>
      </c>
      <c r="AA754" s="406">
        <v>127.29957192714632</v>
      </c>
      <c r="AB754" s="442">
        <f t="shared" si="128"/>
        <v>128.87860091912876</v>
      </c>
      <c r="AC754" s="438">
        <f t="shared" si="129"/>
        <v>132.69815912593535</v>
      </c>
      <c r="AD754" s="410"/>
      <c r="AE754" s="411"/>
      <c r="AF754" s="411"/>
      <c r="AG754" s="411"/>
    </row>
    <row r="755" spans="1:33" x14ac:dyDescent="0.2">
      <c r="A755" s="6" t="s">
        <v>680</v>
      </c>
      <c r="B755" s="18" t="str">
        <f>VLOOKUP(LEFT(A755,7),'Tariff Schedule Lookup Table'!$A$8:$G$186,2,FALSE)</f>
        <v>Metal Hallide (Reactor Control Gear) 250</v>
      </c>
      <c r="C755" s="160">
        <f t="shared" si="130"/>
        <v>610</v>
      </c>
      <c r="D755" s="18">
        <f t="shared" si="131"/>
        <v>2</v>
      </c>
      <c r="E755" s="18" t="str">
        <f>VLOOKUP(C755,'Tariff Schedule Lookup Table'!I$7:L$286,2,FALSE)</f>
        <v>METAL HALIDE/HPS 250W FLOOD (210/220)</v>
      </c>
      <c r="F755" s="18" t="str">
        <f>IF(E755 = "BULKHEADS ETC", "SHARED OR NO POLE", VLOOKUP(C755,'Tariff Schedule Lookup Table'!I$7:L$286,3,FALSE))</f>
        <v>SHARED OR NO POLE</v>
      </c>
      <c r="G755" s="18">
        <f>IF(E755 = "NO CAPITAL", 1, VLOOKUP(C755,'Tariff Schedule Lookup Table'!I$7:L$286,4,FALSE))</f>
        <v>1</v>
      </c>
      <c r="H755" s="18" t="str">
        <f t="shared" si="132"/>
        <v>2-Unmetered, Funded by Others, CE Maintained</v>
      </c>
      <c r="I755" s="123">
        <f>VLOOKUP(F755,'Maintenance Model'!$A$57:$B$61,2,FALSE)</f>
        <v>0</v>
      </c>
      <c r="J755" s="123">
        <f>IF(D755=1,VLOOKUP(C755,'Capital Code Schedules'!A$15:F$300,2,FALSE),IF(D755=2,VLOOKUP(C755,'Capital Code Schedules'!A$15:F$300,3,FALSE),0))</f>
        <v>0</v>
      </c>
      <c r="K755" s="123">
        <v>0</v>
      </c>
      <c r="L755" s="123">
        <f>VLOOKUP(LEFT(A755,10),'Streetlight Tariff Schedule'!B$11:H$260,7, FALSE)+I755</f>
        <v>70.992054655832021</v>
      </c>
      <c r="M755" s="161">
        <f t="shared" si="123"/>
        <v>70.992054655832021</v>
      </c>
      <c r="N755" s="405">
        <f t="shared" si="124"/>
        <v>73.950195781785254</v>
      </c>
      <c r="O755" s="405">
        <v>59.725499674915305</v>
      </c>
      <c r="P755" s="406">
        <v>59.725499674915305</v>
      </c>
      <c r="Q755" s="406">
        <v>62.648397678918485</v>
      </c>
      <c r="R755" s="406">
        <v>62.648397678918485</v>
      </c>
      <c r="S755" s="405">
        <f t="shared" si="125"/>
        <v>77.569234229729915</v>
      </c>
      <c r="T755" s="406">
        <v>65.221441614577458</v>
      </c>
      <c r="U755" s="406">
        <v>65.45971453102446</v>
      </c>
      <c r="V755" s="405">
        <f t="shared" si="126"/>
        <v>81.050116478508926</v>
      </c>
      <c r="W755" s="406">
        <v>67.595678643934377</v>
      </c>
      <c r="X755" s="406">
        <v>68.448390291461308</v>
      </c>
      <c r="Y755" s="405">
        <f t="shared" si="127"/>
        <v>84.750598832202911</v>
      </c>
      <c r="Z755" s="406">
        <v>69.548221003485253</v>
      </c>
      <c r="AA755" s="406">
        <v>70.683280255464993</v>
      </c>
      <c r="AB755" s="442">
        <f t="shared" si="128"/>
        <v>86.590258174097769</v>
      </c>
      <c r="AC755" s="438">
        <f t="shared" si="129"/>
        <v>89.179225607023952</v>
      </c>
      <c r="AD755" s="410"/>
      <c r="AE755" s="411"/>
      <c r="AF755" s="411"/>
      <c r="AG755" s="411"/>
    </row>
    <row r="756" spans="1:33" x14ac:dyDescent="0.2">
      <c r="A756" s="6" t="s">
        <v>681</v>
      </c>
      <c r="B756" s="18" t="str">
        <f>VLOOKUP(LEFT(A756,7),'Tariff Schedule Lookup Table'!$A$8:$G$186,2,FALSE)</f>
        <v>Metal Hallide (Reactor Control Gear) 250</v>
      </c>
      <c r="C756" s="160">
        <f t="shared" si="130"/>
        <v>960</v>
      </c>
      <c r="D756" s="18">
        <f t="shared" si="131"/>
        <v>2</v>
      </c>
      <c r="E756" s="18" t="str">
        <f>VLOOKUP(C756,'Tariff Schedule Lookup Table'!I$7:L$286,2,FALSE)</f>
        <v>HIGH PRESSURE SODIUM 250W (210/220)</v>
      </c>
      <c r="F756" s="18" t="str">
        <f>IF(E756 = "BULKHEADS ETC", "SHARED OR NO POLE", VLOOKUP(C756,'Tariff Schedule Lookup Table'!I$7:L$286,3,FALSE))</f>
        <v>SHARED OR NO POLE</v>
      </c>
      <c r="G756" s="18">
        <f>IF(E756 = "NO CAPITAL", 1, VLOOKUP(C756,'Tariff Schedule Lookup Table'!I$7:L$286,4,FALSE))</f>
        <v>2</v>
      </c>
      <c r="H756" s="18" t="str">
        <f t="shared" si="132"/>
        <v>2-Unmetered, Funded by Others, CE Maintained</v>
      </c>
      <c r="I756" s="123">
        <f>VLOOKUP(F756,'Maintenance Model'!$A$57:$B$61,2,FALSE)</f>
        <v>0</v>
      </c>
      <c r="J756" s="123">
        <f>IF(D756=1,VLOOKUP(C756,'Capital Code Schedules'!A$15:F$300,2,FALSE),IF(D756=2,VLOOKUP(C756,'Capital Code Schedules'!A$15:F$300,3,FALSE),0))</f>
        <v>0</v>
      </c>
      <c r="K756" s="123">
        <v>0</v>
      </c>
      <c r="L756" s="123">
        <f>VLOOKUP(LEFT(A756,10),'Streetlight Tariff Schedule'!B$11:H$260,7, FALSE)+I756</f>
        <v>70.992054655832021</v>
      </c>
      <c r="M756" s="161">
        <f t="shared" si="123"/>
        <v>70.992054655832021</v>
      </c>
      <c r="N756" s="405">
        <f t="shared" si="124"/>
        <v>73.950195781785254</v>
      </c>
      <c r="O756" s="405">
        <v>59.725499674915305</v>
      </c>
      <c r="P756" s="406">
        <v>59.725499674915305</v>
      </c>
      <c r="Q756" s="406">
        <v>62.648397678918485</v>
      </c>
      <c r="R756" s="406">
        <v>62.648397678918485</v>
      </c>
      <c r="S756" s="405">
        <f t="shared" si="125"/>
        <v>77.569234229729915</v>
      </c>
      <c r="T756" s="406">
        <v>65.221441614577458</v>
      </c>
      <c r="U756" s="406">
        <v>65.45971453102446</v>
      </c>
      <c r="V756" s="405">
        <f t="shared" si="126"/>
        <v>81.050116478508926</v>
      </c>
      <c r="W756" s="406">
        <v>67.595678643934377</v>
      </c>
      <c r="X756" s="406">
        <v>68.448390291461308</v>
      </c>
      <c r="Y756" s="405">
        <f t="shared" si="127"/>
        <v>84.750598832202911</v>
      </c>
      <c r="Z756" s="406">
        <v>69.548221003485253</v>
      </c>
      <c r="AA756" s="406">
        <v>70.683280255464993</v>
      </c>
      <c r="AB756" s="442">
        <f t="shared" si="128"/>
        <v>86.590258174097769</v>
      </c>
      <c r="AC756" s="438">
        <f t="shared" si="129"/>
        <v>89.179225607023952</v>
      </c>
      <c r="AD756" s="410"/>
      <c r="AE756" s="411"/>
      <c r="AF756" s="411"/>
      <c r="AG756" s="411"/>
    </row>
    <row r="757" spans="1:33" x14ac:dyDescent="0.2">
      <c r="A757" s="6" t="s">
        <v>682</v>
      </c>
      <c r="B757" s="18" t="str">
        <f>VLOOKUP(LEFT(A757,7),'Tariff Schedule Lookup Table'!$A$8:$G$186,2,FALSE)</f>
        <v>Metal Hallide (Reactor Control Gear) 250</v>
      </c>
      <c r="C757" s="160">
        <f t="shared" si="130"/>
        <v>1120</v>
      </c>
      <c r="D757" s="18">
        <f t="shared" si="131"/>
        <v>2</v>
      </c>
      <c r="E757" s="18" t="str">
        <f>VLOOKUP(C757,'Tariff Schedule Lookup Table'!I$7:L$286,2,FALSE)</f>
        <v>METAL HALIDE/HPS 250W FLOOD (210/220)</v>
      </c>
      <c r="F757" s="18" t="str">
        <f>IF(E757 = "BULKHEADS ETC", "SHARED OR NO POLE", VLOOKUP(C757,'Tariff Schedule Lookup Table'!I$7:L$286,3,FALSE))</f>
        <v>STEEL POLE</v>
      </c>
      <c r="G757" s="18">
        <f>IF(E757 = "NO CAPITAL", 1, VLOOKUP(C757,'Tariff Schedule Lookup Table'!I$7:L$286,4,FALSE))</f>
        <v>1</v>
      </c>
      <c r="H757" s="18" t="str">
        <f t="shared" si="132"/>
        <v>2-Unmetered, Funded by Others, CE Maintained</v>
      </c>
      <c r="I757" s="123">
        <f>VLOOKUP(F757,'Maintenance Model'!$A$57:$B$61,2,FALSE)</f>
        <v>9.9616182311111103</v>
      </c>
      <c r="J757" s="123">
        <f>IF(D757=1,VLOOKUP(C757,'Capital Code Schedules'!A$15:F$300,2,FALSE),IF(D757=2,VLOOKUP(C757,'Capital Code Schedules'!A$15:F$300,3,FALSE),0))</f>
        <v>0</v>
      </c>
      <c r="K757" s="123">
        <v>0</v>
      </c>
      <c r="L757" s="123">
        <f>VLOOKUP(LEFT(A757,10),'Streetlight Tariff Schedule'!B$11:H$260,7, FALSE)+I757</f>
        <v>80.953672886943139</v>
      </c>
      <c r="M757" s="161">
        <f t="shared" si="123"/>
        <v>80.953672886943139</v>
      </c>
      <c r="N757" s="405">
        <f t="shared" si="124"/>
        <v>84.326900922457668</v>
      </c>
      <c r="O757" s="405">
        <v>69.319614911014469</v>
      </c>
      <c r="P757" s="406">
        <v>69.319614911014469</v>
      </c>
      <c r="Q757" s="406">
        <v>72.712037999385402</v>
      </c>
      <c r="R757" s="406">
        <v>72.712037999385402</v>
      </c>
      <c r="S757" s="405">
        <f t="shared" si="125"/>
        <v>88.453763514342285</v>
      </c>
      <c r="T757" s="406">
        <v>75.698407569164203</v>
      </c>
      <c r="U757" s="406">
        <v>75.974955892773608</v>
      </c>
      <c r="V757" s="405">
        <f t="shared" si="126"/>
        <v>92.423083803658272</v>
      </c>
      <c r="W757" s="406">
        <v>78.454034520438043</v>
      </c>
      <c r="X757" s="406">
        <v>79.443723068184568</v>
      </c>
      <c r="Y757" s="405">
        <f t="shared" si="127"/>
        <v>96.642818525200653</v>
      </c>
      <c r="Z757" s="406">
        <v>80.720227104815152</v>
      </c>
      <c r="AA757" s="406">
        <v>82.037618682561387</v>
      </c>
      <c r="AB757" s="442">
        <f t="shared" si="128"/>
        <v>98.740619205983322</v>
      </c>
      <c r="AC757" s="438">
        <f t="shared" si="129"/>
        <v>101.6928710276291</v>
      </c>
      <c r="AD757" s="410"/>
      <c r="AE757" s="411"/>
      <c r="AF757" s="411"/>
      <c r="AG757" s="411"/>
    </row>
    <row r="758" spans="1:33" x14ac:dyDescent="0.2">
      <c r="A758" s="6" t="s">
        <v>683</v>
      </c>
      <c r="B758" s="18" t="str">
        <f>VLOOKUP(LEFT(A758,7),'Tariff Schedule Lookup Table'!$A$8:$G$186,2,FALSE)</f>
        <v>Metal Hallide (Reactor Control Gear) 250</v>
      </c>
      <c r="C758" s="160">
        <f t="shared" si="130"/>
        <v>1270</v>
      </c>
      <c r="D758" s="18">
        <f t="shared" si="131"/>
        <v>2</v>
      </c>
      <c r="E758" s="18" t="str">
        <f>VLOOKUP(C758,'Tariff Schedule Lookup Table'!I$7:L$286,2,FALSE)</f>
        <v>METAL HALIDE 250W BOSTON 3</v>
      </c>
      <c r="F758" s="18" t="str">
        <f>IF(E758 = "BULKHEADS ETC", "SHARED OR NO POLE", VLOOKUP(C758,'Tariff Schedule Lookup Table'!I$7:L$286,3,FALSE))</f>
        <v>STEEL POLE</v>
      </c>
      <c r="G758" s="18">
        <f>IF(E758 = "NO CAPITAL", 1, VLOOKUP(C758,'Tariff Schedule Lookup Table'!I$7:L$286,4,FALSE))</f>
        <v>1</v>
      </c>
      <c r="H758" s="18" t="str">
        <f t="shared" si="132"/>
        <v>2-Unmetered, Funded by Others, CE Maintained</v>
      </c>
      <c r="I758" s="123">
        <f>VLOOKUP(F758,'Maintenance Model'!$A$57:$B$61,2,FALSE)</f>
        <v>9.9616182311111103</v>
      </c>
      <c r="J758" s="123">
        <f>IF(D758=1,VLOOKUP(C758,'Capital Code Schedules'!A$15:F$300,2,FALSE),IF(D758=2,VLOOKUP(C758,'Capital Code Schedules'!A$15:F$300,3,FALSE),0))</f>
        <v>0</v>
      </c>
      <c r="K758" s="123">
        <v>0</v>
      </c>
      <c r="L758" s="123">
        <f>VLOOKUP(LEFT(A758,10),'Streetlight Tariff Schedule'!B$11:H$260,7, FALSE)+I758</f>
        <v>80.953672886943139</v>
      </c>
      <c r="M758" s="161">
        <f t="shared" si="123"/>
        <v>80.953672886943139</v>
      </c>
      <c r="N758" s="405">
        <f t="shared" si="124"/>
        <v>84.326900922457668</v>
      </c>
      <c r="O758" s="405">
        <v>69.319614911014469</v>
      </c>
      <c r="P758" s="406">
        <v>69.319614911014469</v>
      </c>
      <c r="Q758" s="406">
        <v>72.712037999385402</v>
      </c>
      <c r="R758" s="406">
        <v>72.712037999385402</v>
      </c>
      <c r="S758" s="405">
        <f t="shared" si="125"/>
        <v>88.453763514342285</v>
      </c>
      <c r="T758" s="406">
        <v>75.698407569164203</v>
      </c>
      <c r="U758" s="406">
        <v>75.974955892773608</v>
      </c>
      <c r="V758" s="405">
        <f t="shared" si="126"/>
        <v>92.423083803658272</v>
      </c>
      <c r="W758" s="406">
        <v>78.454034520438043</v>
      </c>
      <c r="X758" s="406">
        <v>79.443723068184568</v>
      </c>
      <c r="Y758" s="405">
        <f t="shared" si="127"/>
        <v>96.642818525200653</v>
      </c>
      <c r="Z758" s="406">
        <v>80.720227104815152</v>
      </c>
      <c r="AA758" s="406">
        <v>82.037618682561387</v>
      </c>
      <c r="AB758" s="442">
        <f t="shared" si="128"/>
        <v>98.740619205983322</v>
      </c>
      <c r="AC758" s="438">
        <f t="shared" si="129"/>
        <v>101.6928710276291</v>
      </c>
      <c r="AD758" s="410"/>
      <c r="AE758" s="411"/>
      <c r="AF758" s="411"/>
      <c r="AG758" s="411"/>
    </row>
    <row r="759" spans="1:33" x14ac:dyDescent="0.2">
      <c r="A759" s="6" t="s">
        <v>684</v>
      </c>
      <c r="B759" s="18" t="str">
        <f>VLOOKUP(LEFT(A759,7),'Tariff Schedule Lookup Table'!$A$8:$G$186,2,FALSE)</f>
        <v>Metal Hallide (Reactor Control Gear) 250</v>
      </c>
      <c r="C759" s="160">
        <f t="shared" si="130"/>
        <v>1280</v>
      </c>
      <c r="D759" s="18">
        <f t="shared" si="131"/>
        <v>2</v>
      </c>
      <c r="E759" s="18" t="str">
        <f>VLOOKUP(C759,'Tariff Schedule Lookup Table'!I$7:L$286,2,FALSE)</f>
        <v>METAL HALIDE 250W BOSTON 3</v>
      </c>
      <c r="F759" s="18" t="str">
        <f>IF(E759 = "BULKHEADS ETC", "SHARED OR NO POLE", VLOOKUP(C759,'Tariff Schedule Lookup Table'!I$7:L$286,3,FALSE))</f>
        <v>STEEL POLE</v>
      </c>
      <c r="G759" s="18">
        <f>IF(E759 = "NO CAPITAL", 1, VLOOKUP(C759,'Tariff Schedule Lookup Table'!I$7:L$286,4,FALSE))</f>
        <v>2</v>
      </c>
      <c r="H759" s="18" t="str">
        <f t="shared" si="132"/>
        <v>2-Unmetered, Funded by Others, CE Maintained</v>
      </c>
      <c r="I759" s="123">
        <f>VLOOKUP(F759,'Maintenance Model'!$A$57:$B$61,2,FALSE)</f>
        <v>9.9616182311111103</v>
      </c>
      <c r="J759" s="123">
        <f>IF(D759=1,VLOOKUP(C759,'Capital Code Schedules'!A$15:F$300,2,FALSE),IF(D759=2,VLOOKUP(C759,'Capital Code Schedules'!A$15:F$300,3,FALSE),0))</f>
        <v>0</v>
      </c>
      <c r="K759" s="123">
        <v>0</v>
      </c>
      <c r="L759" s="123">
        <f>VLOOKUP(LEFT(A759,10),'Streetlight Tariff Schedule'!B$11:H$260,7, FALSE)+I759</f>
        <v>80.953672886943139</v>
      </c>
      <c r="M759" s="161">
        <f t="shared" si="123"/>
        <v>80.953672886943139</v>
      </c>
      <c r="N759" s="405">
        <f t="shared" si="124"/>
        <v>84.326900922457668</v>
      </c>
      <c r="O759" s="405">
        <v>69.319614911014469</v>
      </c>
      <c r="P759" s="406">
        <v>69.319614911014469</v>
      </c>
      <c r="Q759" s="406">
        <v>72.712037999385402</v>
      </c>
      <c r="R759" s="406">
        <v>72.712037999385402</v>
      </c>
      <c r="S759" s="405">
        <f t="shared" si="125"/>
        <v>88.453763514342285</v>
      </c>
      <c r="T759" s="406">
        <v>75.698407569164203</v>
      </c>
      <c r="U759" s="406">
        <v>75.974955892773608</v>
      </c>
      <c r="V759" s="405">
        <f t="shared" si="126"/>
        <v>92.423083803658272</v>
      </c>
      <c r="W759" s="406">
        <v>78.454034520438043</v>
      </c>
      <c r="X759" s="406">
        <v>79.443723068184568</v>
      </c>
      <c r="Y759" s="405">
        <f t="shared" si="127"/>
        <v>96.642818525200653</v>
      </c>
      <c r="Z759" s="406">
        <v>80.720227104815152</v>
      </c>
      <c r="AA759" s="406">
        <v>82.037618682561387</v>
      </c>
      <c r="AB759" s="442">
        <f t="shared" si="128"/>
        <v>98.740619205983322</v>
      </c>
      <c r="AC759" s="438">
        <f t="shared" si="129"/>
        <v>101.6928710276291</v>
      </c>
      <c r="AD759" s="410"/>
      <c r="AE759" s="411"/>
      <c r="AF759" s="411"/>
      <c r="AG759" s="411"/>
    </row>
    <row r="760" spans="1:33" x14ac:dyDescent="0.2">
      <c r="A760" s="6" t="s">
        <v>685</v>
      </c>
      <c r="B760" s="18" t="str">
        <f>VLOOKUP(LEFT(A760,7),'Tariff Schedule Lookup Table'!$A$8:$G$186,2,FALSE)</f>
        <v>Metal Hallide (Reactor Control Gear) 250</v>
      </c>
      <c r="C760" s="160">
        <f t="shared" si="130"/>
        <v>1290</v>
      </c>
      <c r="D760" s="18">
        <f t="shared" si="131"/>
        <v>2</v>
      </c>
      <c r="E760" s="18" t="str">
        <f>VLOOKUP(C760,'Tariff Schedule Lookup Table'!I$7:L$286,2,FALSE)</f>
        <v>METAL HALIDE 250W BOSTON 3</v>
      </c>
      <c r="F760" s="18" t="str">
        <f>IF(E760 = "BULKHEADS ETC", "SHARED OR NO POLE", VLOOKUP(C760,'Tariff Schedule Lookup Table'!I$7:L$286,3,FALSE))</f>
        <v>STEEL POLE</v>
      </c>
      <c r="G760" s="18">
        <f>IF(E760 = "NO CAPITAL", 1, VLOOKUP(C760,'Tariff Schedule Lookup Table'!I$7:L$286,4,FALSE))</f>
        <v>4</v>
      </c>
      <c r="H760" s="18" t="str">
        <f t="shared" si="132"/>
        <v>2-Unmetered, Funded by Others, CE Maintained</v>
      </c>
      <c r="I760" s="123">
        <f>VLOOKUP(F760,'Maintenance Model'!$A$57:$B$61,2,FALSE)</f>
        <v>9.9616182311111103</v>
      </c>
      <c r="J760" s="123">
        <f>IF(D760=1,VLOOKUP(C760,'Capital Code Schedules'!A$15:F$300,2,FALSE),IF(D760=2,VLOOKUP(C760,'Capital Code Schedules'!A$15:F$300,3,FALSE),0))</f>
        <v>0</v>
      </c>
      <c r="K760" s="123">
        <v>0</v>
      </c>
      <c r="L760" s="123">
        <f>VLOOKUP(LEFT(A760,10),'Streetlight Tariff Schedule'!B$11:H$260,7, FALSE)+I760</f>
        <v>80.953672886943139</v>
      </c>
      <c r="M760" s="161">
        <f t="shared" si="123"/>
        <v>80.953672886943139</v>
      </c>
      <c r="N760" s="405">
        <f t="shared" si="124"/>
        <v>84.326900922457668</v>
      </c>
      <c r="O760" s="405">
        <v>69.319614911014469</v>
      </c>
      <c r="P760" s="406">
        <v>69.319614911014469</v>
      </c>
      <c r="Q760" s="406">
        <v>72.712037999385402</v>
      </c>
      <c r="R760" s="406">
        <v>72.712037999385402</v>
      </c>
      <c r="S760" s="405">
        <f t="shared" si="125"/>
        <v>88.453763514342285</v>
      </c>
      <c r="T760" s="406">
        <v>75.698407569164203</v>
      </c>
      <c r="U760" s="406">
        <v>75.974955892773608</v>
      </c>
      <c r="V760" s="405">
        <f t="shared" si="126"/>
        <v>92.423083803658272</v>
      </c>
      <c r="W760" s="406">
        <v>78.454034520438043</v>
      </c>
      <c r="X760" s="406">
        <v>79.443723068184568</v>
      </c>
      <c r="Y760" s="405">
        <f t="shared" si="127"/>
        <v>96.642818525200653</v>
      </c>
      <c r="Z760" s="406">
        <v>80.720227104815152</v>
      </c>
      <c r="AA760" s="406">
        <v>82.037618682561387</v>
      </c>
      <c r="AB760" s="442">
        <f t="shared" si="128"/>
        <v>98.740619205983322</v>
      </c>
      <c r="AC760" s="438">
        <f t="shared" si="129"/>
        <v>101.6928710276291</v>
      </c>
      <c r="AD760" s="410"/>
      <c r="AE760" s="411"/>
      <c r="AF760" s="411"/>
      <c r="AG760" s="411"/>
    </row>
    <row r="761" spans="1:33" x14ac:dyDescent="0.2">
      <c r="A761" s="6" t="s">
        <v>686</v>
      </c>
      <c r="B761" s="18" t="str">
        <f>VLOOKUP(LEFT(A761,7),'Tariff Schedule Lookup Table'!$A$8:$G$186,2,FALSE)</f>
        <v>Metal Hallide (Reactor Control Gear) 400</v>
      </c>
      <c r="C761" s="160">
        <f t="shared" si="130"/>
        <v>70</v>
      </c>
      <c r="D761" s="18">
        <f t="shared" si="131"/>
        <v>1</v>
      </c>
      <c r="E761" s="18" t="str">
        <f>VLOOKUP(C761,'Tariff Schedule Lookup Table'!I$7:L$286,2,FALSE)</f>
        <v>HIGH PRESSURE SODIUM 400W (310/360)</v>
      </c>
      <c r="F761" s="18" t="str">
        <f>IF(E761 = "BULKHEADS ETC", "SHARED OR NO POLE", VLOOKUP(C761,'Tariff Schedule Lookup Table'!I$7:L$286,3,FALSE))</f>
        <v>SHARED OR NO POLE</v>
      </c>
      <c r="G761" s="18">
        <f>IF(E761 = "NO CAPITAL", 1, VLOOKUP(C761,'Tariff Schedule Lookup Table'!I$7:L$286,4,FALSE))</f>
        <v>1</v>
      </c>
      <c r="H761" s="18" t="str">
        <f t="shared" si="132"/>
        <v>1-Unmetered, CE Funded, CE Maintained</v>
      </c>
      <c r="I761" s="123">
        <f>VLOOKUP(F761,'Maintenance Model'!$A$57:$B$61,2,FALSE)</f>
        <v>0</v>
      </c>
      <c r="J761" s="123">
        <f>IF(D761=1,VLOOKUP(C761,'Capital Code Schedules'!A$15:F$300,2,FALSE),IF(D761=2,VLOOKUP(C761,'Capital Code Schedules'!A$15:F$300,3,FALSE),0))</f>
        <v>35.784047435083579</v>
      </c>
      <c r="K761" s="123">
        <v>45.391018453408257</v>
      </c>
      <c r="L761" s="123">
        <f>VLOOKUP(LEFT(A761,10),'Streetlight Tariff Schedule'!B$11:H$260,7, FALSE)+I761</f>
        <v>74.613917220498692</v>
      </c>
      <c r="M761" s="161">
        <f t="shared" si="123"/>
        <v>120.00493567390694</v>
      </c>
      <c r="N761" s="405">
        <f t="shared" si="124"/>
        <v>114.39267897950781</v>
      </c>
      <c r="O761" s="405">
        <v>111.95998040141451</v>
      </c>
      <c r="P761" s="406">
        <v>109.90075361134296</v>
      </c>
      <c r="Q761" s="406">
        <v>114.1540399254567</v>
      </c>
      <c r="R761" s="406">
        <v>116.26423257858252</v>
      </c>
      <c r="S761" s="405">
        <f t="shared" si="125"/>
        <v>119.10392815671794</v>
      </c>
      <c r="T761" s="406">
        <v>118.06452126239553</v>
      </c>
      <c r="U761" s="406">
        <v>120.66647828992852</v>
      </c>
      <c r="V761" s="405">
        <f t="shared" si="126"/>
        <v>123.83334997767147</v>
      </c>
      <c r="W761" s="406">
        <v>121.79320825313104</v>
      </c>
      <c r="X761" s="406">
        <v>125.57383458917451</v>
      </c>
      <c r="Y761" s="405">
        <f t="shared" si="127"/>
        <v>129.0327980172525</v>
      </c>
      <c r="Z761" s="406">
        <v>125.10427413333989</v>
      </c>
      <c r="AA761" s="406">
        <v>129.45421397223043</v>
      </c>
      <c r="AB761" s="442">
        <f t="shared" si="128"/>
        <v>131.66958076919002</v>
      </c>
      <c r="AC761" s="438">
        <f t="shared" si="129"/>
        <v>135.57388646216899</v>
      </c>
      <c r="AD761" s="410"/>
      <c r="AE761" s="411"/>
      <c r="AF761" s="411"/>
      <c r="AG761" s="411"/>
    </row>
    <row r="762" spans="1:33" x14ac:dyDescent="0.2">
      <c r="A762" s="6" t="s">
        <v>687</v>
      </c>
      <c r="B762" s="18" t="str">
        <f>VLOOKUP(LEFT(A762,7),'Tariff Schedule Lookup Table'!$A$8:$G$186,2,FALSE)</f>
        <v>Metal Hallide (Reactor Control Gear) 400</v>
      </c>
      <c r="C762" s="160">
        <f t="shared" si="130"/>
        <v>70</v>
      </c>
      <c r="D762" s="18">
        <f t="shared" si="131"/>
        <v>2</v>
      </c>
      <c r="E762" s="18" t="str">
        <f>VLOOKUP(C762,'Tariff Schedule Lookup Table'!I$7:L$286,2,FALSE)</f>
        <v>HIGH PRESSURE SODIUM 400W (310/360)</v>
      </c>
      <c r="F762" s="18" t="str">
        <f>IF(E762 = "BULKHEADS ETC", "SHARED OR NO POLE", VLOOKUP(C762,'Tariff Schedule Lookup Table'!I$7:L$286,3,FALSE))</f>
        <v>SHARED OR NO POLE</v>
      </c>
      <c r="G762" s="18">
        <f>IF(E762 = "NO CAPITAL", 1, VLOOKUP(C762,'Tariff Schedule Lookup Table'!I$7:L$286,4,FALSE))</f>
        <v>1</v>
      </c>
      <c r="H762" s="18" t="str">
        <f t="shared" si="132"/>
        <v>2-Unmetered, Funded by Others, CE Maintained</v>
      </c>
      <c r="I762" s="123">
        <f>VLOOKUP(F762,'Maintenance Model'!$A$57:$B$61,2,FALSE)</f>
        <v>0</v>
      </c>
      <c r="J762" s="123">
        <f>IF(D762=1,VLOOKUP(C762,'Capital Code Schedules'!A$15:F$300,2,FALSE),IF(D762=2,VLOOKUP(C762,'Capital Code Schedules'!A$15:F$300,3,FALSE),0))</f>
        <v>0</v>
      </c>
      <c r="K762" s="123">
        <v>0</v>
      </c>
      <c r="L762" s="123">
        <f>VLOOKUP(LEFT(A762,10),'Streetlight Tariff Schedule'!B$11:H$260,7, FALSE)+I762</f>
        <v>74.613917220498692</v>
      </c>
      <c r="M762" s="161">
        <f t="shared" si="123"/>
        <v>74.613917220498692</v>
      </c>
      <c r="N762" s="405">
        <f t="shared" si="124"/>
        <v>77.722976370405902</v>
      </c>
      <c r="O762" s="405">
        <v>63.386307451212851</v>
      </c>
      <c r="P762" s="406">
        <v>63.386307451212851</v>
      </c>
      <c r="Q762" s="406">
        <v>66.488361222863347</v>
      </c>
      <c r="R762" s="406">
        <v>66.488361222863347</v>
      </c>
      <c r="S762" s="405">
        <f t="shared" si="125"/>
        <v>81.52665040804078</v>
      </c>
      <c r="T762" s="406">
        <v>69.219117011912999</v>
      </c>
      <c r="U762" s="406">
        <v>69.47199460057135</v>
      </c>
      <c r="V762" s="405">
        <f t="shared" si="126"/>
        <v>85.185119813157002</v>
      </c>
      <c r="W762" s="406">
        <v>71.73888024744906</v>
      </c>
      <c r="X762" s="406">
        <v>72.643857902748152</v>
      </c>
      <c r="Y762" s="405">
        <f t="shared" si="127"/>
        <v>89.074392850160976</v>
      </c>
      <c r="Z762" s="406">
        <v>73.811101509517286</v>
      </c>
      <c r="AA762" s="406">
        <v>75.015732950240903</v>
      </c>
      <c r="AB762" s="442">
        <f t="shared" si="128"/>
        <v>91.007907671157696</v>
      </c>
      <c r="AC762" s="438">
        <f t="shared" si="129"/>
        <v>93.728958676983922</v>
      </c>
      <c r="AD762" s="410"/>
      <c r="AE762" s="411"/>
      <c r="AF762" s="411"/>
      <c r="AG762" s="411"/>
    </row>
    <row r="763" spans="1:33" x14ac:dyDescent="0.2">
      <c r="A763" s="6" t="s">
        <v>688</v>
      </c>
      <c r="B763" s="18" t="str">
        <f>VLOOKUP(LEFT(A763,7),'Tariff Schedule Lookup Table'!$A$8:$G$186,2,FALSE)</f>
        <v>Metal Hallide (Reactor Control Gear) 400</v>
      </c>
      <c r="C763" s="160">
        <f t="shared" si="130"/>
        <v>620</v>
      </c>
      <c r="D763" s="18">
        <f t="shared" si="131"/>
        <v>1</v>
      </c>
      <c r="E763" s="18" t="str">
        <f>VLOOKUP(C763,'Tariff Schedule Lookup Table'!I$7:L$286,2,FALSE)</f>
        <v>METAL HALIDE/HPS 400W FLOOD (310/360)</v>
      </c>
      <c r="F763" s="18" t="str">
        <f>IF(E763 = "BULKHEADS ETC", "SHARED OR NO POLE", VLOOKUP(C763,'Tariff Schedule Lookup Table'!I$7:L$286,3,FALSE))</f>
        <v>SHARED OR NO POLE</v>
      </c>
      <c r="G763" s="18">
        <f>IF(E763 = "NO CAPITAL", 1, VLOOKUP(C763,'Tariff Schedule Lookup Table'!I$7:L$286,4,FALSE))</f>
        <v>1</v>
      </c>
      <c r="H763" s="18" t="str">
        <f t="shared" si="132"/>
        <v>1-Unmetered, CE Funded, CE Maintained</v>
      </c>
      <c r="I763" s="123">
        <f>VLOOKUP(F763,'Maintenance Model'!$A$57:$B$61,2,FALSE)</f>
        <v>0</v>
      </c>
      <c r="J763" s="123">
        <f>IF(D763=1,VLOOKUP(C763,'Capital Code Schedules'!A$15:F$300,2,FALSE),IF(D763=2,VLOOKUP(C763,'Capital Code Schedules'!A$15:F$300,3,FALSE),0))</f>
        <v>34.455205908772193</v>
      </c>
      <c r="K763" s="123">
        <v>43.705421810047042</v>
      </c>
      <c r="L763" s="123">
        <f>VLOOKUP(LEFT(A763,10),'Streetlight Tariff Schedule'!B$11:H$260,7, FALSE)+I763</f>
        <v>74.613917220498692</v>
      </c>
      <c r="M763" s="161">
        <f t="shared" si="123"/>
        <v>118.31933903054573</v>
      </c>
      <c r="N763" s="405">
        <f t="shared" si="124"/>
        <v>113.03094862542021</v>
      </c>
      <c r="O763" s="405">
        <v>110.15619580106177</v>
      </c>
      <c r="P763" s="406">
        <v>108.17343845105856</v>
      </c>
      <c r="Q763" s="406">
        <v>112.38397371495525</v>
      </c>
      <c r="R763" s="406">
        <v>114.41580430937104</v>
      </c>
      <c r="S763" s="405">
        <f t="shared" si="125"/>
        <v>117.70849497636668</v>
      </c>
      <c r="T763" s="406">
        <v>116.25064591318416</v>
      </c>
      <c r="U763" s="406">
        <v>118.76536981504451</v>
      </c>
      <c r="V763" s="405">
        <f t="shared" si="126"/>
        <v>122.3981469516802</v>
      </c>
      <c r="W763" s="406">
        <v>119.9344394890267</v>
      </c>
      <c r="X763" s="406">
        <v>123.60827853699195</v>
      </c>
      <c r="Y763" s="405">
        <f t="shared" si="127"/>
        <v>127.54894160868011</v>
      </c>
      <c r="Z763" s="406">
        <v>123.19950084232396</v>
      </c>
      <c r="AA763" s="406">
        <v>127.43263957256066</v>
      </c>
      <c r="AB763" s="442">
        <f t="shared" si="128"/>
        <v>130.15960848782677</v>
      </c>
      <c r="AC763" s="438">
        <f t="shared" si="129"/>
        <v>134.01997398741804</v>
      </c>
      <c r="AD763" s="410"/>
      <c r="AE763" s="411"/>
      <c r="AF763" s="411"/>
      <c r="AG763" s="411"/>
    </row>
    <row r="764" spans="1:33" x14ac:dyDescent="0.2">
      <c r="A764" s="6" t="s">
        <v>689</v>
      </c>
      <c r="B764" s="18" t="str">
        <f>VLOOKUP(LEFT(A764,7),'Tariff Schedule Lookup Table'!$A$8:$G$186,2,FALSE)</f>
        <v>Metal Hallide (Reactor Control Gear) 400</v>
      </c>
      <c r="C764" s="160">
        <f t="shared" si="130"/>
        <v>640</v>
      </c>
      <c r="D764" s="18">
        <f t="shared" si="131"/>
        <v>1</v>
      </c>
      <c r="E764" s="18" t="str">
        <f>VLOOKUP(C764,'Tariff Schedule Lookup Table'!I$7:L$286,2,FALSE)</f>
        <v>METAL HALIDE/HPS 400W FLOOD (310/360)</v>
      </c>
      <c r="F764" s="18" t="str">
        <f>IF(E764 = "BULKHEADS ETC", "SHARED OR NO POLE", VLOOKUP(C764,'Tariff Schedule Lookup Table'!I$7:L$286,3,FALSE))</f>
        <v>SHARED OR NO POLE</v>
      </c>
      <c r="G764" s="18">
        <f>IF(E764 = "NO CAPITAL", 1, VLOOKUP(C764,'Tariff Schedule Lookup Table'!I$7:L$286,4,FALSE))</f>
        <v>1</v>
      </c>
      <c r="H764" s="18" t="str">
        <f t="shared" si="132"/>
        <v>1-Unmetered, CE Funded, CE Maintained</v>
      </c>
      <c r="I764" s="123">
        <f>VLOOKUP(F764,'Maintenance Model'!$A$57:$B$61,2,FALSE)</f>
        <v>0</v>
      </c>
      <c r="J764" s="123">
        <f>IF(D764=1,VLOOKUP(C764,'Capital Code Schedules'!A$15:F$300,2,FALSE),IF(D764=2,VLOOKUP(C764,'Capital Code Schedules'!A$15:F$300,3,FALSE),0))</f>
        <v>34.4552059087722</v>
      </c>
      <c r="K764" s="123">
        <v>43.705421810047049</v>
      </c>
      <c r="L764" s="123">
        <f>VLOOKUP(LEFT(A764,10),'Streetlight Tariff Schedule'!B$11:H$260,7, FALSE)+I764</f>
        <v>74.613917220498692</v>
      </c>
      <c r="M764" s="161">
        <f t="shared" si="123"/>
        <v>118.31933903054573</v>
      </c>
      <c r="N764" s="405">
        <f t="shared" si="124"/>
        <v>113.03094862542022</v>
      </c>
      <c r="O764" s="405">
        <v>110.15619580106177</v>
      </c>
      <c r="P764" s="406">
        <v>108.17343845105856</v>
      </c>
      <c r="Q764" s="406">
        <v>112.38397371495526</v>
      </c>
      <c r="R764" s="406">
        <v>114.41580430937104</v>
      </c>
      <c r="S764" s="405">
        <f t="shared" si="125"/>
        <v>117.70849497636669</v>
      </c>
      <c r="T764" s="406">
        <v>116.25064591318419</v>
      </c>
      <c r="U764" s="406">
        <v>118.76536981504451</v>
      </c>
      <c r="V764" s="405">
        <f t="shared" si="126"/>
        <v>122.39814695168022</v>
      </c>
      <c r="W764" s="406">
        <v>119.93443948902672</v>
      </c>
      <c r="X764" s="406">
        <v>123.60827853699195</v>
      </c>
      <c r="Y764" s="405">
        <f t="shared" si="127"/>
        <v>127.54894160868012</v>
      </c>
      <c r="Z764" s="406">
        <v>123.19950084232397</v>
      </c>
      <c r="AA764" s="406">
        <v>127.43263957256066</v>
      </c>
      <c r="AB764" s="442">
        <f t="shared" si="128"/>
        <v>130.15960848782677</v>
      </c>
      <c r="AC764" s="438">
        <f t="shared" si="129"/>
        <v>134.01997398741807</v>
      </c>
      <c r="AD764" s="410"/>
      <c r="AE764" s="411"/>
      <c r="AF764" s="411"/>
      <c r="AG764" s="411"/>
    </row>
    <row r="765" spans="1:33" x14ac:dyDescent="0.2">
      <c r="A765" s="6" t="s">
        <v>690</v>
      </c>
      <c r="B765" s="18" t="str">
        <f>VLOOKUP(LEFT(A765,7),'Tariff Schedule Lookup Table'!$A$8:$G$186,2,FALSE)</f>
        <v>Metal Hallide (Reactor Control Gear) 400</v>
      </c>
      <c r="C765" s="160">
        <f t="shared" si="130"/>
        <v>640</v>
      </c>
      <c r="D765" s="18">
        <f t="shared" si="131"/>
        <v>2</v>
      </c>
      <c r="E765" s="18" t="str">
        <f>VLOOKUP(C765,'Tariff Schedule Lookup Table'!I$7:L$286,2,FALSE)</f>
        <v>METAL HALIDE/HPS 400W FLOOD (310/360)</v>
      </c>
      <c r="F765" s="18" t="str">
        <f>IF(E765 = "BULKHEADS ETC", "SHARED OR NO POLE", VLOOKUP(C765,'Tariff Schedule Lookup Table'!I$7:L$286,3,FALSE))</f>
        <v>SHARED OR NO POLE</v>
      </c>
      <c r="G765" s="18">
        <f>IF(E765 = "NO CAPITAL", 1, VLOOKUP(C765,'Tariff Schedule Lookup Table'!I$7:L$286,4,FALSE))</f>
        <v>1</v>
      </c>
      <c r="H765" s="18" t="str">
        <f t="shared" si="132"/>
        <v>2-Unmetered, Funded by Others, CE Maintained</v>
      </c>
      <c r="I765" s="123">
        <f>VLOOKUP(F765,'Maintenance Model'!$A$57:$B$61,2,FALSE)</f>
        <v>0</v>
      </c>
      <c r="J765" s="123">
        <f>IF(D765=1,VLOOKUP(C765,'Capital Code Schedules'!A$15:F$300,2,FALSE),IF(D765=2,VLOOKUP(C765,'Capital Code Schedules'!A$15:F$300,3,FALSE),0))</f>
        <v>0</v>
      </c>
      <c r="K765" s="123">
        <v>0</v>
      </c>
      <c r="L765" s="123">
        <f>VLOOKUP(LEFT(A765,10),'Streetlight Tariff Schedule'!B$11:H$260,7, FALSE)+I765</f>
        <v>74.613917220498692</v>
      </c>
      <c r="M765" s="161">
        <f t="shared" si="123"/>
        <v>74.613917220498692</v>
      </c>
      <c r="N765" s="405">
        <f t="shared" si="124"/>
        <v>77.722976370405902</v>
      </c>
      <c r="O765" s="405">
        <v>63.386307451212851</v>
      </c>
      <c r="P765" s="406">
        <v>63.386307451212851</v>
      </c>
      <c r="Q765" s="406">
        <v>66.488361222863347</v>
      </c>
      <c r="R765" s="406">
        <v>66.488361222863347</v>
      </c>
      <c r="S765" s="405">
        <f t="shared" si="125"/>
        <v>81.52665040804078</v>
      </c>
      <c r="T765" s="406">
        <v>69.219117011912999</v>
      </c>
      <c r="U765" s="406">
        <v>69.47199460057135</v>
      </c>
      <c r="V765" s="405">
        <f t="shared" si="126"/>
        <v>85.185119813157002</v>
      </c>
      <c r="W765" s="406">
        <v>71.73888024744906</v>
      </c>
      <c r="X765" s="406">
        <v>72.643857902748152</v>
      </c>
      <c r="Y765" s="405">
        <f t="shared" si="127"/>
        <v>89.074392850160976</v>
      </c>
      <c r="Z765" s="406">
        <v>73.811101509517286</v>
      </c>
      <c r="AA765" s="406">
        <v>75.015732950240903</v>
      </c>
      <c r="AB765" s="442">
        <f t="shared" si="128"/>
        <v>91.007907671157696</v>
      </c>
      <c r="AC765" s="438">
        <f t="shared" si="129"/>
        <v>93.728958676983922</v>
      </c>
      <c r="AD765" s="410"/>
      <c r="AE765" s="411"/>
      <c r="AF765" s="411"/>
      <c r="AG765" s="411"/>
    </row>
    <row r="766" spans="1:33" x14ac:dyDescent="0.2">
      <c r="A766" s="6" t="s">
        <v>691</v>
      </c>
      <c r="B766" s="18" t="str">
        <f>VLOOKUP(LEFT(A766,7),'Tariff Schedule Lookup Table'!$A$8:$G$186,2,FALSE)</f>
        <v>Metal Hallide (Reactor Control Gear) 400</v>
      </c>
      <c r="C766" s="160">
        <f t="shared" si="130"/>
        <v>680</v>
      </c>
      <c r="D766" s="18">
        <f t="shared" si="131"/>
        <v>2</v>
      </c>
      <c r="E766" s="18" t="str">
        <f>VLOOKUP(C766,'Tariff Schedule Lookup Table'!I$7:L$286,2,FALSE)</f>
        <v>METAL HALIDE/HPS 400W FLOOD (310/360)</v>
      </c>
      <c r="F766" s="18" t="str">
        <f>IF(E766 = "BULKHEADS ETC", "SHARED OR NO POLE", VLOOKUP(C766,'Tariff Schedule Lookup Table'!I$7:L$286,3,FALSE))</f>
        <v>SHARED OR NO POLE</v>
      </c>
      <c r="G766" s="18">
        <f>IF(E766 = "NO CAPITAL", 1, VLOOKUP(C766,'Tariff Schedule Lookup Table'!I$7:L$286,4,FALSE))</f>
        <v>2</v>
      </c>
      <c r="H766" s="18" t="str">
        <f t="shared" si="132"/>
        <v>2-Unmetered, Funded by Others, CE Maintained</v>
      </c>
      <c r="I766" s="123">
        <f>VLOOKUP(F766,'Maintenance Model'!$A$57:$B$61,2,FALSE)</f>
        <v>0</v>
      </c>
      <c r="J766" s="123">
        <f>IF(D766=1,VLOOKUP(C766,'Capital Code Schedules'!A$15:F$300,2,FALSE),IF(D766=2,VLOOKUP(C766,'Capital Code Schedules'!A$15:F$300,3,FALSE),0))</f>
        <v>0</v>
      </c>
      <c r="K766" s="123">
        <v>0</v>
      </c>
      <c r="L766" s="123">
        <f>VLOOKUP(LEFT(A766,10),'Streetlight Tariff Schedule'!B$11:H$260,7, FALSE)+I766</f>
        <v>74.613917220498692</v>
      </c>
      <c r="M766" s="161">
        <f t="shared" si="123"/>
        <v>74.613917220498692</v>
      </c>
      <c r="N766" s="405">
        <f t="shared" si="124"/>
        <v>77.722976370405902</v>
      </c>
      <c r="O766" s="405">
        <v>63.386307451212851</v>
      </c>
      <c r="P766" s="406">
        <v>63.386307451212851</v>
      </c>
      <c r="Q766" s="406">
        <v>66.488361222863347</v>
      </c>
      <c r="R766" s="406">
        <v>66.488361222863347</v>
      </c>
      <c r="S766" s="405">
        <f t="shared" si="125"/>
        <v>81.52665040804078</v>
      </c>
      <c r="T766" s="406">
        <v>69.219117011912999</v>
      </c>
      <c r="U766" s="406">
        <v>69.47199460057135</v>
      </c>
      <c r="V766" s="405">
        <f t="shared" si="126"/>
        <v>85.185119813157002</v>
      </c>
      <c r="W766" s="406">
        <v>71.73888024744906</v>
      </c>
      <c r="X766" s="406">
        <v>72.643857902748152</v>
      </c>
      <c r="Y766" s="405">
        <f t="shared" si="127"/>
        <v>89.074392850160976</v>
      </c>
      <c r="Z766" s="406">
        <v>73.811101509517286</v>
      </c>
      <c r="AA766" s="406">
        <v>75.015732950240903</v>
      </c>
      <c r="AB766" s="442">
        <f t="shared" si="128"/>
        <v>91.007907671157696</v>
      </c>
      <c r="AC766" s="438">
        <f t="shared" si="129"/>
        <v>93.728958676983922</v>
      </c>
      <c r="AD766" s="410"/>
      <c r="AE766" s="411"/>
      <c r="AF766" s="411"/>
      <c r="AG766" s="411"/>
    </row>
    <row r="767" spans="1:33" x14ac:dyDescent="0.2">
      <c r="A767" s="6" t="s">
        <v>692</v>
      </c>
      <c r="B767" s="18" t="str">
        <f>VLOOKUP(LEFT(A767,7),'Tariff Schedule Lookup Table'!$A$8:$G$186,2,FALSE)</f>
        <v>Metal Hallide (Reactor Control Gear) 400</v>
      </c>
      <c r="C767" s="160">
        <f t="shared" si="130"/>
        <v>1100</v>
      </c>
      <c r="D767" s="18">
        <f t="shared" si="131"/>
        <v>1</v>
      </c>
      <c r="E767" s="18" t="str">
        <f>VLOOKUP(C767,'Tariff Schedule Lookup Table'!I$7:L$286,2,FALSE)</f>
        <v>METAL HALIDE/HPS 400W FLOOD (310/360)</v>
      </c>
      <c r="F767" s="18" t="str">
        <f>IF(E767 = "BULKHEADS ETC", "SHARED OR NO POLE", VLOOKUP(C767,'Tariff Schedule Lookup Table'!I$7:L$286,3,FALSE))</f>
        <v>WOOD POLE</v>
      </c>
      <c r="G767" s="18">
        <f>IF(E767 = "NO CAPITAL", 1, VLOOKUP(C767,'Tariff Schedule Lookup Table'!I$7:L$286,4,FALSE))</f>
        <v>1</v>
      </c>
      <c r="H767" s="18" t="str">
        <f t="shared" si="132"/>
        <v>1-Unmetered, CE Funded, CE Maintained</v>
      </c>
      <c r="I767" s="123">
        <f>VLOOKUP(F767,'Maintenance Model'!$A$57:$B$61,2,FALSE)</f>
        <v>10.731618231111112</v>
      </c>
      <c r="J767" s="123">
        <f>IF(D767=1,VLOOKUP(C767,'Capital Code Schedules'!A$15:F$300,2,FALSE),IF(D767=2,VLOOKUP(C767,'Capital Code Schedules'!A$15:F$300,3,FALSE),0))</f>
        <v>73.527525225964666</v>
      </c>
      <c r="K767" s="123">
        <v>93.267517052669831</v>
      </c>
      <c r="L767" s="123">
        <f>VLOOKUP(LEFT(A767,10),'Streetlight Tariff Schedule'!B$11:H$260,7, FALSE)+I767</f>
        <v>85.345535451609805</v>
      </c>
      <c r="M767" s="161">
        <f t="shared" si="123"/>
        <v>178.61305250427964</v>
      </c>
      <c r="N767" s="405">
        <f t="shared" si="124"/>
        <v>164.24909782571061</v>
      </c>
      <c r="O767" s="405">
        <v>173.58960647604542</v>
      </c>
      <c r="P767" s="406">
        <v>169.35839562636042</v>
      </c>
      <c r="Q767" s="406">
        <v>175.33473083234628</v>
      </c>
      <c r="R767" s="406">
        <v>179.67066415056098</v>
      </c>
      <c r="S767" s="405">
        <f t="shared" si="125"/>
        <v>170.46469558079878</v>
      </c>
      <c r="T767" s="406">
        <v>180.93741643795465</v>
      </c>
      <c r="U767" s="406">
        <v>186.05855696013151</v>
      </c>
      <c r="V767" s="405">
        <f t="shared" si="126"/>
        <v>176.84990473553836</v>
      </c>
      <c r="W767" s="406">
        <v>186.35449911989269</v>
      </c>
      <c r="X767" s="406">
        <v>193.31666470331922</v>
      </c>
      <c r="Y767" s="405">
        <f t="shared" si="127"/>
        <v>183.99065800114786</v>
      </c>
      <c r="Z767" s="406">
        <v>191.31211707924771</v>
      </c>
      <c r="AA767" s="406">
        <v>199.1771688833054</v>
      </c>
      <c r="AB767" s="442">
        <f t="shared" si="128"/>
        <v>187.64731239731617</v>
      </c>
      <c r="AC767" s="438">
        <f t="shared" si="129"/>
        <v>193.19102942774762</v>
      </c>
      <c r="AD767" s="410"/>
      <c r="AE767" s="411"/>
      <c r="AF767" s="411"/>
      <c r="AG767" s="411"/>
    </row>
    <row r="768" spans="1:33" x14ac:dyDescent="0.2">
      <c r="A768" s="6" t="s">
        <v>693</v>
      </c>
      <c r="B768" s="18" t="str">
        <f>VLOOKUP(LEFT(A768,7),'Tariff Schedule Lookup Table'!$A$8:$G$186,2,FALSE)</f>
        <v>Metal Hallide (Reactor Control Gear) 400</v>
      </c>
      <c r="C768" s="160">
        <f t="shared" si="130"/>
        <v>1100</v>
      </c>
      <c r="D768" s="18">
        <f t="shared" si="131"/>
        <v>2</v>
      </c>
      <c r="E768" s="18" t="str">
        <f>VLOOKUP(C768,'Tariff Schedule Lookup Table'!I$7:L$286,2,FALSE)</f>
        <v>METAL HALIDE/HPS 400W FLOOD (310/360)</v>
      </c>
      <c r="F768" s="18" t="str">
        <f>IF(E768 = "BULKHEADS ETC", "SHARED OR NO POLE", VLOOKUP(C768,'Tariff Schedule Lookup Table'!I$7:L$286,3,FALSE))</f>
        <v>WOOD POLE</v>
      </c>
      <c r="G768" s="18">
        <f>IF(E768 = "NO CAPITAL", 1, VLOOKUP(C768,'Tariff Schedule Lookup Table'!I$7:L$286,4,FALSE))</f>
        <v>1</v>
      </c>
      <c r="H768" s="18" t="str">
        <f t="shared" si="132"/>
        <v>2-Unmetered, Funded by Others, CE Maintained</v>
      </c>
      <c r="I768" s="123">
        <f>VLOOKUP(F768,'Maintenance Model'!$A$57:$B$61,2,FALSE)</f>
        <v>10.731618231111112</v>
      </c>
      <c r="J768" s="123">
        <f>IF(D768=1,VLOOKUP(C768,'Capital Code Schedules'!A$15:F$300,2,FALSE),IF(D768=2,VLOOKUP(C768,'Capital Code Schedules'!A$15:F$300,3,FALSE),0))</f>
        <v>0</v>
      </c>
      <c r="K768" s="123">
        <v>0</v>
      </c>
      <c r="L768" s="123">
        <f>VLOOKUP(LEFT(A768,10),'Streetlight Tariff Schedule'!B$11:H$260,7, FALSE)+I768</f>
        <v>85.345535451609805</v>
      </c>
      <c r="M768" s="161">
        <f t="shared" si="123"/>
        <v>85.345535451609805</v>
      </c>
      <c r="N768" s="405">
        <f t="shared" si="124"/>
        <v>88.901766350403307</v>
      </c>
      <c r="O768" s="405">
        <v>73.782507526637019</v>
      </c>
      <c r="P768" s="406">
        <v>73.782507526637019</v>
      </c>
      <c r="Q768" s="406">
        <v>77.393339502154731</v>
      </c>
      <c r="R768" s="406">
        <v>77.393339502154731</v>
      </c>
      <c r="S768" s="405">
        <f t="shared" si="125"/>
        <v>93.252517651477604</v>
      </c>
      <c r="T768" s="406">
        <v>80.571975672340855</v>
      </c>
      <c r="U768" s="406">
        <v>80.866328559245687</v>
      </c>
      <c r="V768" s="405">
        <f t="shared" si="126"/>
        <v>97.437179735231567</v>
      </c>
      <c r="W768" s="406">
        <v>83.505013695329922</v>
      </c>
      <c r="X768" s="406">
        <v>84.558419759643371</v>
      </c>
      <c r="Y768" s="405">
        <f t="shared" si="127"/>
        <v>101.88584162333063</v>
      </c>
      <c r="Z768" s="406">
        <v>85.917106890427064</v>
      </c>
      <c r="AA768" s="406">
        <v>87.319313958734739</v>
      </c>
      <c r="AB768" s="442">
        <f t="shared" si="128"/>
        <v>104.0974512512494</v>
      </c>
      <c r="AC768" s="438">
        <f t="shared" si="129"/>
        <v>107.20986732233031</v>
      </c>
      <c r="AD768" s="410"/>
      <c r="AE768" s="411"/>
      <c r="AF768" s="411"/>
      <c r="AG768" s="411"/>
    </row>
    <row r="769" spans="1:33" x14ac:dyDescent="0.2">
      <c r="A769" s="6" t="s">
        <v>694</v>
      </c>
      <c r="B769" s="18" t="str">
        <f>VLOOKUP(LEFT(A769,7),'Tariff Schedule Lookup Table'!$A$8:$G$186,2,FALSE)</f>
        <v>Metal Hallide (Reactor Control Gear) 1000</v>
      </c>
      <c r="C769" s="160">
        <f t="shared" si="130"/>
        <v>120</v>
      </c>
      <c r="D769" s="18">
        <f t="shared" si="131"/>
        <v>1</v>
      </c>
      <c r="E769" s="18" t="str">
        <f>VLOOKUP(C769,'Tariff Schedule Lookup Table'!I$7:L$286,2,FALSE)</f>
        <v xml:space="preserve">METAL HALIDE 1000W FLOODLIGHT </v>
      </c>
      <c r="F769" s="18" t="str">
        <f>IF(E769 = "BULKHEADS ETC", "SHARED OR NO POLE", VLOOKUP(C769,'Tariff Schedule Lookup Table'!I$7:L$286,3,FALSE))</f>
        <v>SHARED OR NO POLE</v>
      </c>
      <c r="G769" s="18">
        <f>IF(E769 = "NO CAPITAL", 1, VLOOKUP(C769,'Tariff Schedule Lookup Table'!I$7:L$286,4,FALSE))</f>
        <v>1</v>
      </c>
      <c r="H769" s="18" t="str">
        <f t="shared" si="132"/>
        <v>1-Unmetered, CE Funded, CE Maintained</v>
      </c>
      <c r="I769" s="123">
        <f>VLOOKUP(F769,'Maintenance Model'!$A$57:$B$61,2,FALSE)</f>
        <v>0</v>
      </c>
      <c r="J769" s="123">
        <f>IF(D769=1,VLOOKUP(C769,'Capital Code Schedules'!A$15:F$300,2,FALSE),IF(D769=2,VLOOKUP(C769,'Capital Code Schedules'!A$15:F$300,3,FALSE),0))</f>
        <v>60.355285078550516</v>
      </c>
      <c r="K769" s="123">
        <v>76.558915358334843</v>
      </c>
      <c r="L769" s="123">
        <f>VLOOKUP(LEFT(A769,10),'Streetlight Tariff Schedule'!B$11:H$260,7, FALSE)+I769</f>
        <v>168.20557774034535</v>
      </c>
      <c r="M769" s="161">
        <f t="shared" si="123"/>
        <v>244.76449309868019</v>
      </c>
      <c r="N769" s="405">
        <f t="shared" si="124"/>
        <v>237.06355084584683</v>
      </c>
      <c r="O769" s="405">
        <v>238.1144334933926</v>
      </c>
      <c r="P769" s="406">
        <v>234.64123163768789</v>
      </c>
      <c r="Q769" s="406">
        <v>244.22659964198641</v>
      </c>
      <c r="R769" s="406">
        <v>247.78576324361981</v>
      </c>
      <c r="S769" s="405">
        <f t="shared" si="125"/>
        <v>247.16911247548941</v>
      </c>
      <c r="T769" s="406">
        <v>252.94512602744163</v>
      </c>
      <c r="U769" s="406">
        <v>257.53031366374734</v>
      </c>
      <c r="V769" s="405">
        <f t="shared" si="126"/>
        <v>257.22289347598212</v>
      </c>
      <c r="W769" s="406">
        <v>261.19300196149629</v>
      </c>
      <c r="X769" s="406">
        <v>268.27314121890254</v>
      </c>
      <c r="Y769" s="405">
        <f t="shared" si="127"/>
        <v>268.20047128376871</v>
      </c>
      <c r="Z769" s="406">
        <v>268.38857502775068</v>
      </c>
      <c r="AA769" s="406">
        <v>276.66190081087905</v>
      </c>
      <c r="AB769" s="442">
        <f t="shared" si="128"/>
        <v>273.74545171980947</v>
      </c>
      <c r="AC769" s="438">
        <f t="shared" si="129"/>
        <v>281.87538241031041</v>
      </c>
      <c r="AD769" s="410"/>
      <c r="AE769" s="411"/>
      <c r="AF769" s="411"/>
      <c r="AG769" s="411"/>
    </row>
    <row r="770" spans="1:33" x14ac:dyDescent="0.2">
      <c r="A770" s="6" t="s">
        <v>695</v>
      </c>
      <c r="B770" s="18" t="str">
        <f>VLOOKUP(LEFT(A770,7),'Tariff Schedule Lookup Table'!$A$8:$G$186,2,FALSE)</f>
        <v>Metal Hallide (Reactor Control Gear) 1000</v>
      </c>
      <c r="C770" s="160">
        <f t="shared" si="130"/>
        <v>120</v>
      </c>
      <c r="D770" s="18">
        <f t="shared" si="131"/>
        <v>2</v>
      </c>
      <c r="E770" s="18" t="str">
        <f>VLOOKUP(C770,'Tariff Schedule Lookup Table'!I$7:L$286,2,FALSE)</f>
        <v xml:space="preserve">METAL HALIDE 1000W FLOODLIGHT </v>
      </c>
      <c r="F770" s="18" t="str">
        <f>IF(E770 = "BULKHEADS ETC", "SHARED OR NO POLE", VLOOKUP(C770,'Tariff Schedule Lookup Table'!I$7:L$286,3,FALSE))</f>
        <v>SHARED OR NO POLE</v>
      </c>
      <c r="G770" s="18">
        <f>IF(E770 = "NO CAPITAL", 1, VLOOKUP(C770,'Tariff Schedule Lookup Table'!I$7:L$286,4,FALSE))</f>
        <v>1</v>
      </c>
      <c r="H770" s="18" t="str">
        <f t="shared" si="132"/>
        <v>2-Unmetered, Funded by Others, CE Maintained</v>
      </c>
      <c r="I770" s="123">
        <f>VLOOKUP(F770,'Maintenance Model'!$A$57:$B$61,2,FALSE)</f>
        <v>0</v>
      </c>
      <c r="J770" s="123">
        <f>IF(D770=1,VLOOKUP(C770,'Capital Code Schedules'!A$15:F$300,2,FALSE),IF(D770=2,VLOOKUP(C770,'Capital Code Schedules'!A$15:F$300,3,FALSE),0))</f>
        <v>0</v>
      </c>
      <c r="K770" s="123">
        <v>0</v>
      </c>
      <c r="L770" s="123">
        <f>VLOOKUP(LEFT(A770,10),'Streetlight Tariff Schedule'!B$11:H$260,7, FALSE)+I770</f>
        <v>168.20557774034535</v>
      </c>
      <c r="M770" s="161">
        <f t="shared" si="123"/>
        <v>168.20557774034535</v>
      </c>
      <c r="N770" s="405">
        <f t="shared" si="124"/>
        <v>175.21447246160221</v>
      </c>
      <c r="O770" s="405">
        <v>156.18748312423426</v>
      </c>
      <c r="P770" s="406">
        <v>156.18748312423426</v>
      </c>
      <c r="Q770" s="406">
        <v>163.8311208528248</v>
      </c>
      <c r="R770" s="406">
        <v>163.8311208528248</v>
      </c>
      <c r="S770" s="405">
        <f t="shared" si="125"/>
        <v>183.78926940123472</v>
      </c>
      <c r="T770" s="406">
        <v>170.55985913824827</v>
      </c>
      <c r="U770" s="406">
        <v>171.18296396481466</v>
      </c>
      <c r="V770" s="405">
        <f t="shared" si="126"/>
        <v>192.0367248741112</v>
      </c>
      <c r="W770" s="406">
        <v>176.76869971679537</v>
      </c>
      <c r="X770" s="406">
        <v>178.99861636517608</v>
      </c>
      <c r="Y770" s="405">
        <f t="shared" si="127"/>
        <v>200.80449156629436</v>
      </c>
      <c r="Z770" s="406">
        <v>181.87477130249346</v>
      </c>
      <c r="AA770" s="406">
        <v>184.84305199882138</v>
      </c>
      <c r="AB770" s="442">
        <f t="shared" si="128"/>
        <v>205.16330275930756</v>
      </c>
      <c r="AC770" s="438">
        <f t="shared" si="129"/>
        <v>211.29749291505786</v>
      </c>
      <c r="AD770" s="410"/>
      <c r="AE770" s="411"/>
      <c r="AF770" s="411"/>
      <c r="AG770" s="411"/>
    </row>
    <row r="771" spans="1:33" x14ac:dyDescent="0.2">
      <c r="A771" s="6" t="s">
        <v>696</v>
      </c>
      <c r="B771" s="18" t="str">
        <f>VLOOKUP(LEFT(A771,7),'Tariff Schedule Lookup Table'!$A$8:$G$186,2,FALSE)</f>
        <v>Mercury Vapour 50</v>
      </c>
      <c r="C771" s="160">
        <f t="shared" si="130"/>
        <v>10</v>
      </c>
      <c r="D771" s="18">
        <f t="shared" si="131"/>
        <v>1</v>
      </c>
      <c r="E771" s="18" t="str">
        <f>VLOOKUP(C771,'Tariff Schedule Lookup Table'!I$7:L$286,2,FALSE)</f>
        <v>MERCURY VAPOUR 80W</v>
      </c>
      <c r="F771" s="18" t="str">
        <f>IF(E771 = "BULKHEADS ETC", "SHARED OR NO POLE", VLOOKUP(C771,'Tariff Schedule Lookup Table'!I$7:L$286,3,FALSE))</f>
        <v>SHARED OR NO POLE</v>
      </c>
      <c r="G771" s="18">
        <f>IF(E771 = "NO CAPITAL", 1, VLOOKUP(C771,'Tariff Schedule Lookup Table'!I$7:L$286,4,FALSE))</f>
        <v>1</v>
      </c>
      <c r="H771" s="18" t="str">
        <f t="shared" si="132"/>
        <v>1-Unmetered, CE Funded, CE Maintained</v>
      </c>
      <c r="I771" s="123">
        <f>VLOOKUP(F771,'Maintenance Model'!$A$57:$B$61,2,FALSE)</f>
        <v>0</v>
      </c>
      <c r="J771" s="123">
        <f>IF(D771=1,VLOOKUP(C771,'Capital Code Schedules'!A$15:F$300,2,FALSE),IF(D771=2,VLOOKUP(C771,'Capital Code Schedules'!A$15:F$300,3,FALSE),0))</f>
        <v>17.255027166785979</v>
      </c>
      <c r="K771" s="123">
        <v>21.887497717034414</v>
      </c>
      <c r="L771" s="123">
        <f>VLOOKUP(LEFT(A771,10),'Streetlight Tariff Schedule'!B$11:H$260,7, FALSE)+I771</f>
        <v>34.136728572789771</v>
      </c>
      <c r="M771" s="161">
        <f t="shared" si="123"/>
        <v>56.024226289824185</v>
      </c>
      <c r="N771" s="405">
        <f t="shared" si="124"/>
        <v>53.241248118238246</v>
      </c>
      <c r="O771" s="405">
        <v>52.989703699083528</v>
      </c>
      <c r="P771" s="406">
        <v>51.996746871890693</v>
      </c>
      <c r="Q771" s="406">
        <v>53.998871355249875</v>
      </c>
      <c r="R771" s="406">
        <v>55.016403863915734</v>
      </c>
      <c r="S771" s="405">
        <f t="shared" si="125"/>
        <v>55.41910461019279</v>
      </c>
      <c r="T771" s="406">
        <v>55.841537387678223</v>
      </c>
      <c r="U771" s="406">
        <v>57.092219536719924</v>
      </c>
      <c r="V771" s="405">
        <f t="shared" si="126"/>
        <v>57.60930864400617</v>
      </c>
      <c r="W771" s="406">
        <v>57.599861989059733</v>
      </c>
      <c r="X771" s="406">
        <v>59.408637496284896</v>
      </c>
      <c r="Y771" s="405">
        <f t="shared" si="127"/>
        <v>60.020460864652321</v>
      </c>
      <c r="Z771" s="406">
        <v>59.163851449857866</v>
      </c>
      <c r="AA771" s="406">
        <v>61.242434758185368</v>
      </c>
      <c r="AB771" s="442">
        <f t="shared" si="128"/>
        <v>61.244181218602357</v>
      </c>
      <c r="AC771" s="438">
        <f t="shared" si="129"/>
        <v>63.059657540014911</v>
      </c>
      <c r="AD771" s="410"/>
      <c r="AE771" s="411"/>
      <c r="AF771" s="411"/>
      <c r="AG771" s="411"/>
    </row>
    <row r="772" spans="1:33" x14ac:dyDescent="0.2">
      <c r="A772" s="6" t="s">
        <v>697</v>
      </c>
      <c r="B772" s="18" t="str">
        <f>VLOOKUP(LEFT(A772,7),'Tariff Schedule Lookup Table'!$A$8:$G$186,2,FALSE)</f>
        <v>Mercury Vapour 50</v>
      </c>
      <c r="C772" s="160">
        <f t="shared" si="130"/>
        <v>10</v>
      </c>
      <c r="D772" s="18">
        <f t="shared" si="131"/>
        <v>2</v>
      </c>
      <c r="E772" s="18" t="str">
        <f>VLOOKUP(C772,'Tariff Schedule Lookup Table'!I$7:L$286,2,FALSE)</f>
        <v>MERCURY VAPOUR 80W</v>
      </c>
      <c r="F772" s="18" t="str">
        <f>IF(E772 = "BULKHEADS ETC", "SHARED OR NO POLE", VLOOKUP(C772,'Tariff Schedule Lookup Table'!I$7:L$286,3,FALSE))</f>
        <v>SHARED OR NO POLE</v>
      </c>
      <c r="G772" s="18">
        <f>IF(E772 = "NO CAPITAL", 1, VLOOKUP(C772,'Tariff Schedule Lookup Table'!I$7:L$286,4,FALSE))</f>
        <v>1</v>
      </c>
      <c r="H772" s="18" t="str">
        <f t="shared" si="132"/>
        <v>2-Unmetered, Funded by Others, CE Maintained</v>
      </c>
      <c r="I772" s="123">
        <f>VLOOKUP(F772,'Maintenance Model'!$A$57:$B$61,2,FALSE)</f>
        <v>0</v>
      </c>
      <c r="J772" s="123">
        <f>IF(D772=1,VLOOKUP(C772,'Capital Code Schedules'!A$15:F$300,2,FALSE),IF(D772=2,VLOOKUP(C772,'Capital Code Schedules'!A$15:F$300,3,FALSE),0))</f>
        <v>0</v>
      </c>
      <c r="K772" s="123">
        <v>0</v>
      </c>
      <c r="L772" s="123">
        <f>VLOOKUP(LEFT(A772,10),'Streetlight Tariff Schedule'!B$11:H$260,7, FALSE)+I772</f>
        <v>34.136728572789771</v>
      </c>
      <c r="M772" s="161">
        <f t="shared" si="123"/>
        <v>34.136728572789771</v>
      </c>
      <c r="N772" s="405">
        <f t="shared" si="124"/>
        <v>35.559159029074316</v>
      </c>
      <c r="O772" s="405">
        <v>29.567533586359676</v>
      </c>
      <c r="P772" s="406">
        <v>29.567533586359676</v>
      </c>
      <c r="Q772" s="406">
        <v>31.014535040901965</v>
      </c>
      <c r="R772" s="406">
        <v>31.014535040901965</v>
      </c>
      <c r="S772" s="405">
        <f t="shared" si="125"/>
        <v>37.299383816072051</v>
      </c>
      <c r="T772" s="406">
        <v>32.288338749550199</v>
      </c>
      <c r="U772" s="406">
        <v>32.406297452250271</v>
      </c>
      <c r="V772" s="405">
        <f t="shared" si="126"/>
        <v>38.973175807252993</v>
      </c>
      <c r="W772" s="406">
        <v>33.463721684638038</v>
      </c>
      <c r="X772" s="406">
        <v>33.885862653151719</v>
      </c>
      <c r="Y772" s="405">
        <f t="shared" si="127"/>
        <v>40.752563124733207</v>
      </c>
      <c r="Z772" s="406">
        <v>34.43034167290174</v>
      </c>
      <c r="AA772" s="406">
        <v>34.992260832022893</v>
      </c>
      <c r="AB772" s="442">
        <f t="shared" si="128"/>
        <v>41.637168478460666</v>
      </c>
      <c r="AC772" s="438">
        <f t="shared" si="129"/>
        <v>42.882080729135097</v>
      </c>
      <c r="AD772" s="410"/>
      <c r="AE772" s="411"/>
      <c r="AF772" s="411"/>
      <c r="AG772" s="411"/>
    </row>
    <row r="773" spans="1:33" x14ac:dyDescent="0.2">
      <c r="A773" s="6" t="s">
        <v>698</v>
      </c>
      <c r="B773" s="18" t="str">
        <f>VLOOKUP(LEFT(A773,7),'Tariff Schedule Lookup Table'!$A$8:$G$186,2,FALSE)</f>
        <v>Mercury Vapour 50</v>
      </c>
      <c r="C773" s="160">
        <f t="shared" si="130"/>
        <v>810</v>
      </c>
      <c r="D773" s="18">
        <f t="shared" si="131"/>
        <v>2</v>
      </c>
      <c r="E773" s="18" t="str">
        <f>VLOOKUP(C773,'Tariff Schedule Lookup Table'!I$7:L$286,2,FALSE)</f>
        <v>MERCURY VAPOUR 80W</v>
      </c>
      <c r="F773" s="18" t="str">
        <f>IF(E773 = "BULKHEADS ETC", "SHARED OR NO POLE", VLOOKUP(C773,'Tariff Schedule Lookup Table'!I$7:L$286,3,FALSE))</f>
        <v>WOOD POLE</v>
      </c>
      <c r="G773" s="18">
        <f>IF(E773 = "NO CAPITAL", 1, VLOOKUP(C773,'Tariff Schedule Lookup Table'!I$7:L$286,4,FALSE))</f>
        <v>1</v>
      </c>
      <c r="H773" s="18" t="str">
        <f t="shared" si="132"/>
        <v>2-Unmetered, Funded by Others, CE Maintained</v>
      </c>
      <c r="I773" s="123">
        <f>VLOOKUP(F773,'Maintenance Model'!$A$57:$B$61,2,FALSE)</f>
        <v>10.731618231111112</v>
      </c>
      <c r="J773" s="123">
        <f>IF(D773=1,VLOOKUP(C773,'Capital Code Schedules'!A$15:F$300,2,FALSE),IF(D773=2,VLOOKUP(C773,'Capital Code Schedules'!A$15:F$300,3,FALSE),0))</f>
        <v>0</v>
      </c>
      <c r="K773" s="123">
        <v>0</v>
      </c>
      <c r="L773" s="123">
        <f>VLOOKUP(LEFT(A773,10),'Streetlight Tariff Schedule'!B$11:H$260,7, FALSE)+I773</f>
        <v>44.868346803900884</v>
      </c>
      <c r="M773" s="161">
        <f t="shared" si="123"/>
        <v>44.868346803900884</v>
      </c>
      <c r="N773" s="405">
        <f t="shared" si="124"/>
        <v>46.737949009071713</v>
      </c>
      <c r="O773" s="405">
        <v>39.963733661783849</v>
      </c>
      <c r="P773" s="406">
        <v>39.963733661783849</v>
      </c>
      <c r="Q773" s="406">
        <v>41.919513320193339</v>
      </c>
      <c r="R773" s="406">
        <v>41.919513320193339</v>
      </c>
      <c r="S773" s="405">
        <f t="shared" si="125"/>
        <v>49.025251059508875</v>
      </c>
      <c r="T773" s="406">
        <v>43.641197409978048</v>
      </c>
      <c r="U773" s="406">
        <v>43.800631410924616</v>
      </c>
      <c r="V773" s="405">
        <f t="shared" si="126"/>
        <v>51.225235729327537</v>
      </c>
      <c r="W773" s="406">
        <v>45.2298551325189</v>
      </c>
      <c r="X773" s="406">
        <v>45.800424510046923</v>
      </c>
      <c r="Y773" s="405">
        <f t="shared" si="127"/>
        <v>53.56401189790288</v>
      </c>
      <c r="Z773" s="406">
        <v>46.536347053811518</v>
      </c>
      <c r="AA773" s="406">
        <v>47.295841840516729</v>
      </c>
      <c r="AB773" s="442">
        <f t="shared" si="128"/>
        <v>54.72671205855238</v>
      </c>
      <c r="AC773" s="438">
        <f t="shared" si="129"/>
        <v>56.362989374481494</v>
      </c>
      <c r="AD773" s="410"/>
      <c r="AE773" s="411"/>
      <c r="AF773" s="411"/>
      <c r="AG773" s="411"/>
    </row>
    <row r="774" spans="1:33" x14ac:dyDescent="0.2">
      <c r="A774" s="6" t="s">
        <v>699</v>
      </c>
      <c r="B774" s="18" t="str">
        <f>VLOOKUP(LEFT(A774,7),'Tariff Schedule Lookup Table'!$A$8:$G$186,2,FALSE)</f>
        <v>Mercury Vapour 50</v>
      </c>
      <c r="C774" s="160">
        <f t="shared" si="130"/>
        <v>990</v>
      </c>
      <c r="D774" s="18">
        <f t="shared" si="131"/>
        <v>1</v>
      </c>
      <c r="E774" s="18" t="str">
        <f>VLOOKUP(C774,'Tariff Schedule Lookup Table'!I$7:L$286,2,FALSE)</f>
        <v>MERCURY VAPOUR 80W</v>
      </c>
      <c r="F774" s="18" t="str">
        <f>IF(E774 = "BULKHEADS ETC", "SHARED OR NO POLE", VLOOKUP(C774,'Tariff Schedule Lookup Table'!I$7:L$286,3,FALSE))</f>
        <v>STEEL POLE</v>
      </c>
      <c r="G774" s="18">
        <f>IF(E774 = "NO CAPITAL", 1, VLOOKUP(C774,'Tariff Schedule Lookup Table'!I$7:L$286,4,FALSE))</f>
        <v>1</v>
      </c>
      <c r="H774" s="18" t="str">
        <f t="shared" si="132"/>
        <v>1-Unmetered, CE Funded, CE Maintained</v>
      </c>
      <c r="I774" s="123">
        <f>VLOOKUP(F774,'Maintenance Model'!$A$57:$B$61,2,FALSE)</f>
        <v>9.9616182311111103</v>
      </c>
      <c r="J774" s="123">
        <f>IF(D774=1,VLOOKUP(C774,'Capital Code Schedules'!A$15:F$300,2,FALSE),IF(D774=2,VLOOKUP(C774,'Capital Code Schedules'!A$15:F$300,3,FALSE),0))</f>
        <v>86.253661186307269</v>
      </c>
      <c r="K774" s="123">
        <v>109.41024862221688</v>
      </c>
      <c r="L774" s="123">
        <f>VLOOKUP(LEFT(A774,10),'Streetlight Tariff Schedule'!B$11:H$260,7, FALSE)+I774</f>
        <v>44.098346803900881</v>
      </c>
      <c r="M774" s="161">
        <f t="shared" si="123"/>
        <v>153.50859542611778</v>
      </c>
      <c r="N774" s="405">
        <f t="shared" si="124"/>
        <v>134.32430347041512</v>
      </c>
      <c r="O774" s="405">
        <v>156.24334945517006</v>
      </c>
      <c r="P774" s="406">
        <v>151.27980109807558</v>
      </c>
      <c r="Q774" s="406">
        <v>155.97125190580715</v>
      </c>
      <c r="R774" s="406">
        <v>161.05764808473972</v>
      </c>
      <c r="S774" s="405">
        <f t="shared" si="125"/>
        <v>138.75996627404436</v>
      </c>
      <c r="T774" s="406">
        <v>160.50198489305006</v>
      </c>
      <c r="U774" s="406">
        <v>166.32042650998631</v>
      </c>
      <c r="V774" s="405">
        <f t="shared" si="126"/>
        <v>143.503613821203</v>
      </c>
      <c r="W774" s="406">
        <v>164.97274058473039</v>
      </c>
      <c r="X774" s="406">
        <v>172.46330541875582</v>
      </c>
      <c r="Y774" s="405">
        <f t="shared" si="127"/>
        <v>148.96029176288195</v>
      </c>
      <c r="Z774" s="406">
        <v>169.23911470765412</v>
      </c>
      <c r="AA774" s="406">
        <v>177.56479938268325</v>
      </c>
      <c r="AB774" s="442">
        <f t="shared" si="128"/>
        <v>151.79819141293194</v>
      </c>
      <c r="AC774" s="438">
        <f t="shared" si="129"/>
        <v>156.25849831369115</v>
      </c>
      <c r="AD774" s="410"/>
      <c r="AE774" s="411"/>
      <c r="AF774" s="411"/>
      <c r="AG774" s="411"/>
    </row>
    <row r="775" spans="1:33" x14ac:dyDescent="0.2">
      <c r="A775" s="6" t="s">
        <v>700</v>
      </c>
      <c r="B775" s="18" t="str">
        <f>VLOOKUP(LEFT(A775,7),'Tariff Schedule Lookup Table'!$A$8:$G$186,2,FALSE)</f>
        <v>Mercury Vapour 50</v>
      </c>
      <c r="C775" s="160">
        <f t="shared" si="130"/>
        <v>990</v>
      </c>
      <c r="D775" s="18">
        <f t="shared" si="131"/>
        <v>2</v>
      </c>
      <c r="E775" s="18" t="str">
        <f>VLOOKUP(C775,'Tariff Schedule Lookup Table'!I$7:L$286,2,FALSE)</f>
        <v>MERCURY VAPOUR 80W</v>
      </c>
      <c r="F775" s="18" t="str">
        <f>IF(E775 = "BULKHEADS ETC", "SHARED OR NO POLE", VLOOKUP(C775,'Tariff Schedule Lookup Table'!I$7:L$286,3,FALSE))</f>
        <v>STEEL POLE</v>
      </c>
      <c r="G775" s="18">
        <f>IF(E775 = "NO CAPITAL", 1, VLOOKUP(C775,'Tariff Schedule Lookup Table'!I$7:L$286,4,FALSE))</f>
        <v>1</v>
      </c>
      <c r="H775" s="18" t="str">
        <f t="shared" si="132"/>
        <v>2-Unmetered, Funded by Others, CE Maintained</v>
      </c>
      <c r="I775" s="123">
        <f>VLOOKUP(F775,'Maintenance Model'!$A$57:$B$61,2,FALSE)</f>
        <v>9.9616182311111103</v>
      </c>
      <c r="J775" s="123">
        <f>IF(D775=1,VLOOKUP(C775,'Capital Code Schedules'!A$15:F$300,2,FALSE),IF(D775=2,VLOOKUP(C775,'Capital Code Schedules'!A$15:F$300,3,FALSE),0))</f>
        <v>0</v>
      </c>
      <c r="K775" s="123">
        <v>0</v>
      </c>
      <c r="L775" s="123">
        <f>VLOOKUP(LEFT(A775,10),'Streetlight Tariff Schedule'!B$11:H$260,7, FALSE)+I775</f>
        <v>44.098346803900881</v>
      </c>
      <c r="M775" s="161">
        <f t="shared" si="123"/>
        <v>44.098346803900881</v>
      </c>
      <c r="N775" s="405">
        <f t="shared" si="124"/>
        <v>45.935864169746708</v>
      </c>
      <c r="O775" s="405">
        <v>39.161648822458844</v>
      </c>
      <c r="P775" s="406">
        <v>39.161648822458844</v>
      </c>
      <c r="Q775" s="406">
        <v>41.078175361368878</v>
      </c>
      <c r="R775" s="406">
        <v>41.078175361368878</v>
      </c>
      <c r="S775" s="405">
        <f t="shared" si="125"/>
        <v>48.183913100684421</v>
      </c>
      <c r="T775" s="406">
        <v>42.765304704136952</v>
      </c>
      <c r="U775" s="406">
        <v>42.921538813999405</v>
      </c>
      <c r="V775" s="405">
        <f t="shared" si="126"/>
        <v>50.346143132402332</v>
      </c>
      <c r="W775" s="406">
        <v>44.32207756114169</v>
      </c>
      <c r="X775" s="406">
        <v>44.881195429874985</v>
      </c>
      <c r="Y775" s="405">
        <f t="shared" si="127"/>
        <v>52.644782817730935</v>
      </c>
      <c r="Z775" s="406">
        <v>45.602347774231617</v>
      </c>
      <c r="AA775" s="406">
        <v>46.346599259119287</v>
      </c>
      <c r="AB775" s="442">
        <f t="shared" si="128"/>
        <v>53.787529510346211</v>
      </c>
      <c r="AC775" s="438">
        <f t="shared" si="129"/>
        <v>55.395726149740213</v>
      </c>
      <c r="AD775" s="410"/>
      <c r="AE775" s="411"/>
      <c r="AF775" s="411"/>
      <c r="AG775" s="411"/>
    </row>
    <row r="776" spans="1:33" x14ac:dyDescent="0.2">
      <c r="A776" s="6" t="s">
        <v>701</v>
      </c>
      <c r="B776" s="18" t="str">
        <f>VLOOKUP(LEFT(A776,7),'Tariff Schedule Lookup Table'!$A$8:$G$186,2,FALSE)</f>
        <v>Mercury Vapour 80</v>
      </c>
      <c r="C776" s="160">
        <f t="shared" si="130"/>
        <v>10</v>
      </c>
      <c r="D776" s="18">
        <f t="shared" si="131"/>
        <v>1</v>
      </c>
      <c r="E776" s="18" t="str">
        <f>VLOOKUP(C776,'Tariff Schedule Lookup Table'!I$7:L$286,2,FALSE)</f>
        <v>MERCURY VAPOUR 80W</v>
      </c>
      <c r="F776" s="18" t="str">
        <f>IF(E776 = "BULKHEADS ETC", "SHARED OR NO POLE", VLOOKUP(C776,'Tariff Schedule Lookup Table'!I$7:L$286,3,FALSE))</f>
        <v>SHARED OR NO POLE</v>
      </c>
      <c r="G776" s="18">
        <f>IF(E776 = "NO CAPITAL", 1, VLOOKUP(C776,'Tariff Schedule Lookup Table'!I$7:L$286,4,FALSE))</f>
        <v>1</v>
      </c>
      <c r="H776" s="18" t="str">
        <f t="shared" si="132"/>
        <v>1-Unmetered, CE Funded, CE Maintained</v>
      </c>
      <c r="I776" s="123">
        <f>VLOOKUP(F776,'Maintenance Model'!$A$57:$B$61,2,FALSE)</f>
        <v>0</v>
      </c>
      <c r="J776" s="123">
        <f>IF(D776=1,VLOOKUP(C776,'Capital Code Schedules'!A$15:F$300,2,FALSE),IF(D776=2,VLOOKUP(C776,'Capital Code Schedules'!A$15:F$300,3,FALSE),0))</f>
        <v>17.255027166785979</v>
      </c>
      <c r="K776" s="123">
        <v>21.887497717034414</v>
      </c>
      <c r="L776" s="123">
        <f>VLOOKUP(LEFT(A776,10),'Streetlight Tariff Schedule'!B$11:H$260,7, FALSE)+I776</f>
        <v>34.396113742339779</v>
      </c>
      <c r="M776" s="161">
        <f t="shared" si="123"/>
        <v>56.283611459374193</v>
      </c>
      <c r="N776" s="405">
        <f t="shared" si="124"/>
        <v>53.511441510500333</v>
      </c>
      <c r="O776" s="405">
        <v>53.266666510774591</v>
      </c>
      <c r="P776" s="406">
        <v>52.273709683581764</v>
      </c>
      <c r="Q776" s="406">
        <v>54.289388411842722</v>
      </c>
      <c r="R776" s="406">
        <v>55.306920920508581</v>
      </c>
      <c r="S776" s="405">
        <f t="shared" si="125"/>
        <v>55.702520959671418</v>
      </c>
      <c r="T776" s="406">
        <v>56.143986324069537</v>
      </c>
      <c r="U776" s="406">
        <v>57.395773407138563</v>
      </c>
      <c r="V776" s="405">
        <f t="shared" si="126"/>
        <v>57.905443166478378</v>
      </c>
      <c r="W776" s="406">
        <v>57.91332088546563</v>
      </c>
      <c r="X776" s="406">
        <v>59.726050640319464</v>
      </c>
      <c r="Y776" s="405">
        <f t="shared" si="127"/>
        <v>60.330115917659718</v>
      </c>
      <c r="Z776" s="406">
        <v>59.486364797457824</v>
      </c>
      <c r="AA776" s="406">
        <v>61.570211673333112</v>
      </c>
      <c r="AB776" s="442">
        <f t="shared" si="128"/>
        <v>61.560557873803482</v>
      </c>
      <c r="AC776" s="438">
        <f t="shared" si="129"/>
        <v>63.385493560208417</v>
      </c>
      <c r="AD776" s="410"/>
      <c r="AE776" s="411"/>
      <c r="AF776" s="411"/>
      <c r="AG776" s="411"/>
    </row>
    <row r="777" spans="1:33" x14ac:dyDescent="0.2">
      <c r="A777" s="6" t="s">
        <v>702</v>
      </c>
      <c r="B777" s="18" t="str">
        <f>VLOOKUP(LEFT(A777,7),'Tariff Schedule Lookup Table'!$A$8:$G$186,2,FALSE)</f>
        <v>Mercury Vapour 80</v>
      </c>
      <c r="C777" s="160">
        <f t="shared" si="130"/>
        <v>10</v>
      </c>
      <c r="D777" s="18">
        <f t="shared" si="131"/>
        <v>2</v>
      </c>
      <c r="E777" s="18" t="str">
        <f>VLOOKUP(C777,'Tariff Schedule Lookup Table'!I$7:L$286,2,FALSE)</f>
        <v>MERCURY VAPOUR 80W</v>
      </c>
      <c r="F777" s="18" t="str">
        <f>IF(E777 = "BULKHEADS ETC", "SHARED OR NO POLE", VLOOKUP(C777,'Tariff Schedule Lookup Table'!I$7:L$286,3,FALSE))</f>
        <v>SHARED OR NO POLE</v>
      </c>
      <c r="G777" s="18">
        <f>IF(E777 = "NO CAPITAL", 1, VLOOKUP(C777,'Tariff Schedule Lookup Table'!I$7:L$286,4,FALSE))</f>
        <v>1</v>
      </c>
      <c r="H777" s="18" t="str">
        <f t="shared" si="132"/>
        <v>2-Unmetered, Funded by Others, CE Maintained</v>
      </c>
      <c r="I777" s="123">
        <f>VLOOKUP(F777,'Maintenance Model'!$A$57:$B$61,2,FALSE)</f>
        <v>0</v>
      </c>
      <c r="J777" s="123">
        <f>IF(D777=1,VLOOKUP(C777,'Capital Code Schedules'!A$15:F$300,2,FALSE),IF(D777=2,VLOOKUP(C777,'Capital Code Schedules'!A$15:F$300,3,FALSE),0))</f>
        <v>0</v>
      </c>
      <c r="K777" s="123">
        <v>0</v>
      </c>
      <c r="L777" s="123">
        <f>VLOOKUP(LEFT(A777,10),'Streetlight Tariff Schedule'!B$11:H$260,7, FALSE)+I777</f>
        <v>34.396113742339779</v>
      </c>
      <c r="M777" s="161">
        <f t="shared" si="123"/>
        <v>34.396113742339779</v>
      </c>
      <c r="N777" s="405">
        <f t="shared" si="124"/>
        <v>35.829352421336402</v>
      </c>
      <c r="O777" s="405">
        <v>29.84449639805074</v>
      </c>
      <c r="P777" s="406">
        <v>29.84449639805074</v>
      </c>
      <c r="Q777" s="406">
        <v>31.305052097494812</v>
      </c>
      <c r="R777" s="406">
        <v>31.305052097494812</v>
      </c>
      <c r="S777" s="405">
        <f t="shared" si="125"/>
        <v>37.582800165550672</v>
      </c>
      <c r="T777" s="406">
        <v>32.590787685941514</v>
      </c>
      <c r="U777" s="406">
        <v>32.709851322668897</v>
      </c>
      <c r="V777" s="405">
        <f t="shared" si="126"/>
        <v>39.269310329725201</v>
      </c>
      <c r="W777" s="406">
        <v>33.777180581043936</v>
      </c>
      <c r="X777" s="406">
        <v>34.203275797186286</v>
      </c>
      <c r="Y777" s="405">
        <f t="shared" si="127"/>
        <v>41.062218177740604</v>
      </c>
      <c r="Z777" s="406">
        <v>34.752855020501691</v>
      </c>
      <c r="AA777" s="406">
        <v>35.320037747170637</v>
      </c>
      <c r="AB777" s="442">
        <f t="shared" si="128"/>
        <v>41.953545133661791</v>
      </c>
      <c r="AC777" s="438">
        <f t="shared" si="129"/>
        <v>43.207916749328604</v>
      </c>
      <c r="AD777" s="410"/>
      <c r="AE777" s="411"/>
      <c r="AF777" s="411"/>
      <c r="AG777" s="411"/>
    </row>
    <row r="778" spans="1:33" x14ac:dyDescent="0.2">
      <c r="A778" s="6" t="s">
        <v>703</v>
      </c>
      <c r="B778" s="18" t="str">
        <f>VLOOKUP(LEFT(A778,7),'Tariff Schedule Lookup Table'!$A$8:$G$186,2,FALSE)</f>
        <v>Mercury Vapour 80</v>
      </c>
      <c r="C778" s="160">
        <f t="shared" si="130"/>
        <v>110</v>
      </c>
      <c r="D778" s="18">
        <f t="shared" si="131"/>
        <v>2</v>
      </c>
      <c r="E778" s="18" t="str">
        <f>VLOOKUP(C778,'Tariff Schedule Lookup Table'!I$7:L$286,2,FALSE)</f>
        <v>BULKHEADS ETC</v>
      </c>
      <c r="F778" s="18" t="str">
        <f>IF(E778 = "BULKHEADS ETC", "SHARED OR NO POLE", VLOOKUP(C778,'Tariff Schedule Lookup Table'!I$7:L$286,3,FALSE))</f>
        <v>SHARED OR NO POLE</v>
      </c>
      <c r="G778" s="18">
        <f>IF(E778 = "NO CAPITAL", 1, VLOOKUP(C778,'Tariff Schedule Lookup Table'!I$7:L$286,4,FALSE))</f>
        <v>1</v>
      </c>
      <c r="H778" s="18" t="str">
        <f t="shared" si="132"/>
        <v>2-Unmetered, Funded by Others, CE Maintained</v>
      </c>
      <c r="I778" s="123">
        <f>VLOOKUP(F778,'Maintenance Model'!$A$57:$B$61,2,FALSE)</f>
        <v>0</v>
      </c>
      <c r="J778" s="123">
        <f>IF(D778=1,VLOOKUP(C778,'Capital Code Schedules'!A$15:F$300,2,FALSE),IF(D778=2,VLOOKUP(C778,'Capital Code Schedules'!A$15:F$300,3,FALSE),0))</f>
        <v>0</v>
      </c>
      <c r="K778" s="123">
        <v>0</v>
      </c>
      <c r="L778" s="123">
        <f>VLOOKUP(LEFT(A778,10),'Streetlight Tariff Schedule'!B$11:H$260,7, FALSE)+I778</f>
        <v>34.396113742339779</v>
      </c>
      <c r="M778" s="161">
        <f t="shared" si="123"/>
        <v>34.396113742339779</v>
      </c>
      <c r="N778" s="405">
        <f t="shared" si="124"/>
        <v>35.829352421336402</v>
      </c>
      <c r="O778" s="405">
        <v>29.84449639805074</v>
      </c>
      <c r="P778" s="406">
        <v>29.84449639805074</v>
      </c>
      <c r="Q778" s="406">
        <v>31.305052097494812</v>
      </c>
      <c r="R778" s="406">
        <v>31.305052097494812</v>
      </c>
      <c r="S778" s="405">
        <f t="shared" si="125"/>
        <v>37.582800165550672</v>
      </c>
      <c r="T778" s="406">
        <v>32.590787685941514</v>
      </c>
      <c r="U778" s="406">
        <v>32.709851322668897</v>
      </c>
      <c r="V778" s="405">
        <f t="shared" si="126"/>
        <v>39.269310329725201</v>
      </c>
      <c r="W778" s="406">
        <v>33.777180581043936</v>
      </c>
      <c r="X778" s="406">
        <v>34.203275797186286</v>
      </c>
      <c r="Y778" s="405">
        <f t="shared" si="127"/>
        <v>41.062218177740604</v>
      </c>
      <c r="Z778" s="406">
        <v>34.752855020501691</v>
      </c>
      <c r="AA778" s="406">
        <v>35.320037747170637</v>
      </c>
      <c r="AB778" s="442">
        <f t="shared" si="128"/>
        <v>41.953545133661791</v>
      </c>
      <c r="AC778" s="438">
        <f t="shared" si="129"/>
        <v>43.207916749328604</v>
      </c>
      <c r="AD778" s="410"/>
      <c r="AE778" s="411"/>
      <c r="AF778" s="411"/>
      <c r="AG778" s="411"/>
    </row>
    <row r="779" spans="1:33" x14ac:dyDescent="0.2">
      <c r="A779" s="6" t="s">
        <v>704</v>
      </c>
      <c r="B779" s="18" t="str">
        <f>VLOOKUP(LEFT(A779,7),'Tariff Schedule Lookup Table'!$A$8:$G$186,2,FALSE)</f>
        <v>Mercury Vapour 80</v>
      </c>
      <c r="C779" s="160">
        <f t="shared" si="130"/>
        <v>740</v>
      </c>
      <c r="D779" s="18">
        <f t="shared" si="131"/>
        <v>1</v>
      </c>
      <c r="E779" s="18" t="str">
        <f>VLOOKUP(C779,'Tariff Schedule Lookup Table'!I$7:L$286,2,FALSE)</f>
        <v>MERCURY VAPOUR 80W</v>
      </c>
      <c r="F779" s="18" t="str">
        <f>IF(E779 = "BULKHEADS ETC", "SHARED OR NO POLE", VLOOKUP(C779,'Tariff Schedule Lookup Table'!I$7:L$286,3,FALSE))</f>
        <v>SHARED OR NO POLE</v>
      </c>
      <c r="G779" s="18">
        <f>IF(E779 = "NO CAPITAL", 1, VLOOKUP(C779,'Tariff Schedule Lookup Table'!I$7:L$286,4,FALSE))</f>
        <v>2</v>
      </c>
      <c r="H779" s="18" t="str">
        <f t="shared" si="132"/>
        <v>1-Unmetered, CE Funded, CE Maintained</v>
      </c>
      <c r="I779" s="123">
        <f>VLOOKUP(F779,'Maintenance Model'!$A$57:$B$61,2,FALSE)</f>
        <v>0</v>
      </c>
      <c r="J779" s="123">
        <f>IF(D779=1,VLOOKUP(C779,'Capital Code Schedules'!A$15:F$300,2,FALSE),IF(D779=2,VLOOKUP(C779,'Capital Code Schedules'!A$15:F$300,3,FALSE),0))</f>
        <v>23.919781035330548</v>
      </c>
      <c r="K779" s="123">
        <v>30.34154323503618</v>
      </c>
      <c r="L779" s="123">
        <f>VLOOKUP(LEFT(A779,10),'Streetlight Tariff Schedule'!B$11:H$260,7, FALSE)+I779</f>
        <v>34.396113742339779</v>
      </c>
      <c r="M779" s="161">
        <f t="shared" si="123"/>
        <v>64.737656977375963</v>
      </c>
      <c r="N779" s="405">
        <f t="shared" si="124"/>
        <v>60.341148037291376</v>
      </c>
      <c r="O779" s="405">
        <v>62.313479208291888</v>
      </c>
      <c r="P779" s="406">
        <v>60.936992828154068</v>
      </c>
      <c r="Q779" s="406">
        <v>63.167087814243196</v>
      </c>
      <c r="R779" s="406">
        <v>64.577642232289435</v>
      </c>
      <c r="S779" s="405">
        <f t="shared" si="125"/>
        <v>62.701262723000539</v>
      </c>
      <c r="T779" s="406">
        <v>65.241408786679429</v>
      </c>
      <c r="U779" s="406">
        <v>66.930710276305163</v>
      </c>
      <c r="V779" s="405">
        <f t="shared" si="126"/>
        <v>65.103649070062374</v>
      </c>
      <c r="W779" s="406">
        <v>67.235904554025112</v>
      </c>
      <c r="X779" s="406">
        <v>69.584221869350813</v>
      </c>
      <c r="Y779" s="405">
        <f t="shared" si="127"/>
        <v>67.772341001375224</v>
      </c>
      <c r="Z779" s="406">
        <v>69.039682411814141</v>
      </c>
      <c r="AA779" s="406">
        <v>71.709340782391862</v>
      </c>
      <c r="AB779" s="442">
        <f t="shared" si="128"/>
        <v>69.133766118992369</v>
      </c>
      <c r="AC779" s="438">
        <f t="shared" si="129"/>
        <v>71.179082165332304</v>
      </c>
      <c r="AD779" s="410"/>
      <c r="AE779" s="411"/>
      <c r="AF779" s="411"/>
      <c r="AG779" s="411"/>
    </row>
    <row r="780" spans="1:33" x14ac:dyDescent="0.2">
      <c r="A780" s="6" t="s">
        <v>705</v>
      </c>
      <c r="B780" s="18" t="str">
        <f>VLOOKUP(LEFT(A780,7),'Tariff Schedule Lookup Table'!$A$8:$G$186,2,FALSE)</f>
        <v>Mercury Vapour 80</v>
      </c>
      <c r="C780" s="160">
        <f t="shared" si="130"/>
        <v>740</v>
      </c>
      <c r="D780" s="18">
        <f t="shared" si="131"/>
        <v>2</v>
      </c>
      <c r="E780" s="18" t="str">
        <f>VLOOKUP(C780,'Tariff Schedule Lookup Table'!I$7:L$286,2,FALSE)</f>
        <v>MERCURY VAPOUR 80W</v>
      </c>
      <c r="F780" s="18" t="str">
        <f>IF(E780 = "BULKHEADS ETC", "SHARED OR NO POLE", VLOOKUP(C780,'Tariff Schedule Lookup Table'!I$7:L$286,3,FALSE))</f>
        <v>SHARED OR NO POLE</v>
      </c>
      <c r="G780" s="18">
        <f>IF(E780 = "NO CAPITAL", 1, VLOOKUP(C780,'Tariff Schedule Lookup Table'!I$7:L$286,4,FALSE))</f>
        <v>2</v>
      </c>
      <c r="H780" s="18" t="str">
        <f t="shared" si="132"/>
        <v>2-Unmetered, Funded by Others, CE Maintained</v>
      </c>
      <c r="I780" s="123">
        <f>VLOOKUP(F780,'Maintenance Model'!$A$57:$B$61,2,FALSE)</f>
        <v>0</v>
      </c>
      <c r="J780" s="123">
        <f>IF(D780=1,VLOOKUP(C780,'Capital Code Schedules'!A$15:F$300,2,FALSE),IF(D780=2,VLOOKUP(C780,'Capital Code Schedules'!A$15:F$300,3,FALSE),0))</f>
        <v>0</v>
      </c>
      <c r="K780" s="123">
        <v>0</v>
      </c>
      <c r="L780" s="123">
        <f>VLOOKUP(LEFT(A780,10),'Streetlight Tariff Schedule'!B$11:H$260,7, FALSE)+I780</f>
        <v>34.396113742339779</v>
      </c>
      <c r="M780" s="161">
        <f t="shared" si="123"/>
        <v>34.396113742339779</v>
      </c>
      <c r="N780" s="405">
        <f t="shared" si="124"/>
        <v>35.829352421336402</v>
      </c>
      <c r="O780" s="405">
        <v>29.84449639805074</v>
      </c>
      <c r="P780" s="406">
        <v>29.84449639805074</v>
      </c>
      <c r="Q780" s="406">
        <v>31.305052097494812</v>
      </c>
      <c r="R780" s="406">
        <v>31.305052097494812</v>
      </c>
      <c r="S780" s="405">
        <f t="shared" si="125"/>
        <v>37.582800165550672</v>
      </c>
      <c r="T780" s="406">
        <v>32.590787685941514</v>
      </c>
      <c r="U780" s="406">
        <v>32.709851322668897</v>
      </c>
      <c r="V780" s="405">
        <f t="shared" si="126"/>
        <v>39.269310329725201</v>
      </c>
      <c r="W780" s="406">
        <v>33.777180581043936</v>
      </c>
      <c r="X780" s="406">
        <v>34.203275797186286</v>
      </c>
      <c r="Y780" s="405">
        <f t="shared" si="127"/>
        <v>41.062218177740604</v>
      </c>
      <c r="Z780" s="406">
        <v>34.752855020501691</v>
      </c>
      <c r="AA780" s="406">
        <v>35.320037747170637</v>
      </c>
      <c r="AB780" s="442">
        <f t="shared" si="128"/>
        <v>41.953545133661791</v>
      </c>
      <c r="AC780" s="438">
        <f t="shared" si="129"/>
        <v>43.207916749328604</v>
      </c>
      <c r="AD780" s="410"/>
      <c r="AE780" s="411"/>
      <c r="AF780" s="411"/>
      <c r="AG780" s="411"/>
    </row>
    <row r="781" spans="1:33" x14ac:dyDescent="0.2">
      <c r="A781" s="6" t="s">
        <v>706</v>
      </c>
      <c r="B781" s="18" t="str">
        <f>VLOOKUP(LEFT(A781,7),'Tariff Schedule Lookup Table'!$A$8:$G$186,2,FALSE)</f>
        <v>Mercury Vapour 80</v>
      </c>
      <c r="C781" s="160">
        <f t="shared" si="130"/>
        <v>810</v>
      </c>
      <c r="D781" s="18">
        <f t="shared" si="131"/>
        <v>1</v>
      </c>
      <c r="E781" s="18" t="str">
        <f>VLOOKUP(C781,'Tariff Schedule Lookup Table'!I$7:L$286,2,FALSE)</f>
        <v>MERCURY VAPOUR 80W</v>
      </c>
      <c r="F781" s="18" t="str">
        <f>IF(E781 = "BULKHEADS ETC", "SHARED OR NO POLE", VLOOKUP(C781,'Tariff Schedule Lookup Table'!I$7:L$286,3,FALSE))</f>
        <v>WOOD POLE</v>
      </c>
      <c r="G781" s="18">
        <f>IF(E781 = "NO CAPITAL", 1, VLOOKUP(C781,'Tariff Schedule Lookup Table'!I$7:L$286,4,FALSE))</f>
        <v>1</v>
      </c>
      <c r="H781" s="18" t="str">
        <f t="shared" si="132"/>
        <v>1-Unmetered, CE Funded, CE Maintained</v>
      </c>
      <c r="I781" s="123">
        <f>VLOOKUP(F781,'Maintenance Model'!$A$57:$B$61,2,FALSE)</f>
        <v>10.731618231111112</v>
      </c>
      <c r="J781" s="123">
        <f>IF(D781=1,VLOOKUP(C781,'Capital Code Schedules'!A$15:F$300,2,FALSE),IF(D781=2,VLOOKUP(C781,'Capital Code Schedules'!A$15:F$300,3,FALSE),0))</f>
        <v>51.156145528662286</v>
      </c>
      <c r="K781" s="123">
        <v>64.890075665956445</v>
      </c>
      <c r="L781" s="123">
        <f>VLOOKUP(LEFT(A781,10),'Streetlight Tariff Schedule'!B$11:H$260,7, FALSE)+I781</f>
        <v>45.127731973450892</v>
      </c>
      <c r="M781" s="161">
        <f t="shared" si="123"/>
        <v>110.01780763940734</v>
      </c>
      <c r="N781" s="405">
        <f t="shared" si="124"/>
        <v>99.430402531830481</v>
      </c>
      <c r="O781" s="405">
        <v>109.68063019841073</v>
      </c>
      <c r="P781" s="406">
        <v>106.73680151216377</v>
      </c>
      <c r="Q781" s="406">
        <v>110.35191401518262</v>
      </c>
      <c r="R781" s="406">
        <v>113.36860246141417</v>
      </c>
      <c r="S781" s="405">
        <f t="shared" si="125"/>
        <v>103.02837847771397</v>
      </c>
      <c r="T781" s="406">
        <v>113.77204160481611</v>
      </c>
      <c r="U781" s="406">
        <v>117.29077667038312</v>
      </c>
      <c r="V781" s="405">
        <f t="shared" si="126"/>
        <v>106.77209308598492</v>
      </c>
      <c r="W781" s="406">
        <v>117.09996207001808</v>
      </c>
      <c r="X781" s="406">
        <v>121.78545449120982</v>
      </c>
      <c r="Y781" s="405">
        <f t="shared" si="127"/>
        <v>110.99738928917431</v>
      </c>
      <c r="Z781" s="406">
        <v>120.1865354815218</v>
      </c>
      <c r="AA781" s="406">
        <v>125.44776267265095</v>
      </c>
      <c r="AB781" s="442">
        <f t="shared" si="128"/>
        <v>113.172188565171</v>
      </c>
      <c r="AC781" s="438">
        <f t="shared" si="129"/>
        <v>116.50948205176874</v>
      </c>
      <c r="AD781" s="410"/>
      <c r="AE781" s="411"/>
      <c r="AF781" s="411"/>
      <c r="AG781" s="411"/>
    </row>
    <row r="782" spans="1:33" x14ac:dyDescent="0.2">
      <c r="A782" s="6" t="s">
        <v>707</v>
      </c>
      <c r="B782" s="18" t="str">
        <f>VLOOKUP(LEFT(A782,7),'Tariff Schedule Lookup Table'!$A$8:$G$186,2,FALSE)</f>
        <v>Mercury Vapour 80</v>
      </c>
      <c r="C782" s="160">
        <f t="shared" si="130"/>
        <v>810</v>
      </c>
      <c r="D782" s="18">
        <f t="shared" si="131"/>
        <v>2</v>
      </c>
      <c r="E782" s="18" t="str">
        <f>VLOOKUP(C782,'Tariff Schedule Lookup Table'!I$7:L$286,2,FALSE)</f>
        <v>MERCURY VAPOUR 80W</v>
      </c>
      <c r="F782" s="18" t="str">
        <f>IF(E782 = "BULKHEADS ETC", "SHARED OR NO POLE", VLOOKUP(C782,'Tariff Schedule Lookup Table'!I$7:L$286,3,FALSE))</f>
        <v>WOOD POLE</v>
      </c>
      <c r="G782" s="18">
        <f>IF(E782 = "NO CAPITAL", 1, VLOOKUP(C782,'Tariff Schedule Lookup Table'!I$7:L$286,4,FALSE))</f>
        <v>1</v>
      </c>
      <c r="H782" s="18" t="str">
        <f t="shared" si="132"/>
        <v>2-Unmetered, Funded by Others, CE Maintained</v>
      </c>
      <c r="I782" s="123">
        <f>VLOOKUP(F782,'Maintenance Model'!$A$57:$B$61,2,FALSE)</f>
        <v>10.731618231111112</v>
      </c>
      <c r="J782" s="123">
        <f>IF(D782=1,VLOOKUP(C782,'Capital Code Schedules'!A$15:F$300,2,FALSE),IF(D782=2,VLOOKUP(C782,'Capital Code Schedules'!A$15:F$300,3,FALSE),0))</f>
        <v>0</v>
      </c>
      <c r="K782" s="123">
        <v>0</v>
      </c>
      <c r="L782" s="123">
        <f>VLOOKUP(LEFT(A782,10),'Streetlight Tariff Schedule'!B$11:H$260,7, FALSE)+I782</f>
        <v>45.127731973450892</v>
      </c>
      <c r="M782" s="161">
        <f t="shared" si="123"/>
        <v>45.127731973450892</v>
      </c>
      <c r="N782" s="405">
        <f t="shared" si="124"/>
        <v>47.008142401333799</v>
      </c>
      <c r="O782" s="405">
        <v>40.240696473474905</v>
      </c>
      <c r="P782" s="406">
        <v>40.240696473474905</v>
      </c>
      <c r="Q782" s="406">
        <v>42.210030376786186</v>
      </c>
      <c r="R782" s="406">
        <v>42.210030376786186</v>
      </c>
      <c r="S782" s="405">
        <f t="shared" si="125"/>
        <v>49.308667408987503</v>
      </c>
      <c r="T782" s="406">
        <v>43.943646346369363</v>
      </c>
      <c r="U782" s="406">
        <v>44.104185281343241</v>
      </c>
      <c r="V782" s="405">
        <f t="shared" si="126"/>
        <v>51.521370251799752</v>
      </c>
      <c r="W782" s="406">
        <v>45.54331402892479</v>
      </c>
      <c r="X782" s="406">
        <v>46.117837654081491</v>
      </c>
      <c r="Y782" s="405">
        <f t="shared" si="127"/>
        <v>53.87366695091027</v>
      </c>
      <c r="Z782" s="406">
        <v>46.858860401411469</v>
      </c>
      <c r="AA782" s="406">
        <v>47.623618755664467</v>
      </c>
      <c r="AB782" s="442">
        <f t="shared" si="128"/>
        <v>55.043088713753505</v>
      </c>
      <c r="AC782" s="438">
        <f t="shared" si="129"/>
        <v>56.688825394675</v>
      </c>
      <c r="AD782" s="410"/>
      <c r="AE782" s="411"/>
      <c r="AF782" s="411"/>
      <c r="AG782" s="411"/>
    </row>
    <row r="783" spans="1:33" x14ac:dyDescent="0.2">
      <c r="A783" s="6" t="s">
        <v>708</v>
      </c>
      <c r="B783" s="18" t="str">
        <f>VLOOKUP(LEFT(A783,7),'Tariff Schedule Lookup Table'!$A$8:$G$186,2,FALSE)</f>
        <v>Mercury Vapour 80</v>
      </c>
      <c r="C783" s="160">
        <f t="shared" si="130"/>
        <v>990</v>
      </c>
      <c r="D783" s="18">
        <f t="shared" si="131"/>
        <v>1</v>
      </c>
      <c r="E783" s="18" t="str">
        <f>VLOOKUP(C783,'Tariff Schedule Lookup Table'!I$7:L$286,2,FALSE)</f>
        <v>MERCURY VAPOUR 80W</v>
      </c>
      <c r="F783" s="18" t="str">
        <f>IF(E783 = "BULKHEADS ETC", "SHARED OR NO POLE", VLOOKUP(C783,'Tariff Schedule Lookup Table'!I$7:L$286,3,FALSE))</f>
        <v>STEEL POLE</v>
      </c>
      <c r="G783" s="18">
        <f>IF(E783 = "NO CAPITAL", 1, VLOOKUP(C783,'Tariff Schedule Lookup Table'!I$7:L$286,4,FALSE))</f>
        <v>1</v>
      </c>
      <c r="H783" s="18" t="str">
        <f t="shared" si="132"/>
        <v>1-Unmetered, CE Funded, CE Maintained</v>
      </c>
      <c r="I783" s="123">
        <f>VLOOKUP(F783,'Maintenance Model'!$A$57:$B$61,2,FALSE)</f>
        <v>9.9616182311111103</v>
      </c>
      <c r="J783" s="123">
        <f>IF(D783=1,VLOOKUP(C783,'Capital Code Schedules'!A$15:F$300,2,FALSE),IF(D783=2,VLOOKUP(C783,'Capital Code Schedules'!A$15:F$300,3,FALSE),0))</f>
        <v>86.253661186307269</v>
      </c>
      <c r="K783" s="123">
        <v>109.41024862221688</v>
      </c>
      <c r="L783" s="123">
        <f>VLOOKUP(LEFT(A783,10),'Streetlight Tariff Schedule'!B$11:H$260,7, FALSE)+I783</f>
        <v>44.357731973450889</v>
      </c>
      <c r="M783" s="161">
        <f t="shared" si="123"/>
        <v>153.76798059566778</v>
      </c>
      <c r="N783" s="405">
        <f t="shared" si="124"/>
        <v>134.59449686267718</v>
      </c>
      <c r="O783" s="405">
        <v>156.52031226686111</v>
      </c>
      <c r="P783" s="406">
        <v>151.55676390976666</v>
      </c>
      <c r="Q783" s="406">
        <v>156.2617689624</v>
      </c>
      <c r="R783" s="406">
        <v>161.34816514133254</v>
      </c>
      <c r="S783" s="405">
        <f t="shared" si="125"/>
        <v>139.04338262352297</v>
      </c>
      <c r="T783" s="406">
        <v>160.80443382944136</v>
      </c>
      <c r="U783" s="406">
        <v>166.62398038040493</v>
      </c>
      <c r="V783" s="405">
        <f t="shared" si="126"/>
        <v>143.79974834367522</v>
      </c>
      <c r="W783" s="406">
        <v>165.28619948113632</v>
      </c>
      <c r="X783" s="406">
        <v>172.78071856279038</v>
      </c>
      <c r="Y783" s="405">
        <f t="shared" si="127"/>
        <v>149.26994681588934</v>
      </c>
      <c r="Z783" s="406">
        <v>169.56162805525409</v>
      </c>
      <c r="AA783" s="406">
        <v>177.89257629783097</v>
      </c>
      <c r="AB783" s="442">
        <f t="shared" si="128"/>
        <v>152.11456806813302</v>
      </c>
      <c r="AC783" s="438">
        <f t="shared" si="129"/>
        <v>156.58433433388464</v>
      </c>
      <c r="AD783" s="410"/>
      <c r="AE783" s="411"/>
      <c r="AF783" s="411"/>
      <c r="AG783" s="411"/>
    </row>
    <row r="784" spans="1:33" x14ac:dyDescent="0.2">
      <c r="A784" s="6" t="s">
        <v>709</v>
      </c>
      <c r="B784" s="18" t="str">
        <f>VLOOKUP(LEFT(A784,7),'Tariff Schedule Lookup Table'!$A$8:$G$186,2,FALSE)</f>
        <v>Mercury Vapour 80</v>
      </c>
      <c r="C784" s="160">
        <f t="shared" si="130"/>
        <v>990</v>
      </c>
      <c r="D784" s="18">
        <f t="shared" si="131"/>
        <v>2</v>
      </c>
      <c r="E784" s="18" t="str">
        <f>VLOOKUP(C784,'Tariff Schedule Lookup Table'!I$7:L$286,2,FALSE)</f>
        <v>MERCURY VAPOUR 80W</v>
      </c>
      <c r="F784" s="18" t="str">
        <f>IF(E784 = "BULKHEADS ETC", "SHARED OR NO POLE", VLOOKUP(C784,'Tariff Schedule Lookup Table'!I$7:L$286,3,FALSE))</f>
        <v>STEEL POLE</v>
      </c>
      <c r="G784" s="18">
        <f>IF(E784 = "NO CAPITAL", 1, VLOOKUP(C784,'Tariff Schedule Lookup Table'!I$7:L$286,4,FALSE))</f>
        <v>1</v>
      </c>
      <c r="H784" s="18" t="str">
        <f t="shared" si="132"/>
        <v>2-Unmetered, Funded by Others, CE Maintained</v>
      </c>
      <c r="I784" s="123">
        <f>VLOOKUP(F784,'Maintenance Model'!$A$57:$B$61,2,FALSE)</f>
        <v>9.9616182311111103</v>
      </c>
      <c r="J784" s="123">
        <f>IF(D784=1,VLOOKUP(C784,'Capital Code Schedules'!A$15:F$300,2,FALSE),IF(D784=2,VLOOKUP(C784,'Capital Code Schedules'!A$15:F$300,3,FALSE),0))</f>
        <v>0</v>
      </c>
      <c r="K784" s="123">
        <v>0</v>
      </c>
      <c r="L784" s="123">
        <f>VLOOKUP(LEFT(A784,10),'Streetlight Tariff Schedule'!B$11:H$260,7, FALSE)+I784</f>
        <v>44.357731973450889</v>
      </c>
      <c r="M784" s="161">
        <f t="shared" si="123"/>
        <v>44.357731973450889</v>
      </c>
      <c r="N784" s="405">
        <f t="shared" si="124"/>
        <v>46.206057562008795</v>
      </c>
      <c r="O784" s="405">
        <v>39.438611634149908</v>
      </c>
      <c r="P784" s="406">
        <v>39.438611634149908</v>
      </c>
      <c r="Q784" s="406">
        <v>41.368692417961732</v>
      </c>
      <c r="R784" s="406">
        <v>41.368692417961732</v>
      </c>
      <c r="S784" s="405">
        <f t="shared" si="125"/>
        <v>48.467329450163042</v>
      </c>
      <c r="T784" s="406">
        <v>43.067753640528267</v>
      </c>
      <c r="U784" s="406">
        <v>43.22509268441803</v>
      </c>
      <c r="V784" s="405">
        <f t="shared" si="126"/>
        <v>50.64227765487454</v>
      </c>
      <c r="W784" s="406">
        <v>44.635536457547595</v>
      </c>
      <c r="X784" s="406">
        <v>45.198608573909553</v>
      </c>
      <c r="Y784" s="405">
        <f t="shared" si="127"/>
        <v>52.954437870738332</v>
      </c>
      <c r="Z784" s="406">
        <v>45.924861121831583</v>
      </c>
      <c r="AA784" s="406">
        <v>46.674376174267032</v>
      </c>
      <c r="AB784" s="442">
        <f t="shared" si="128"/>
        <v>54.103906165547336</v>
      </c>
      <c r="AC784" s="438">
        <f t="shared" si="129"/>
        <v>55.721562169933726</v>
      </c>
      <c r="AD784" s="410"/>
      <c r="AE784" s="411"/>
      <c r="AF784" s="411"/>
      <c r="AG784" s="411"/>
    </row>
    <row r="785" spans="1:33" x14ac:dyDescent="0.2">
      <c r="A785" s="6" t="s">
        <v>710</v>
      </c>
      <c r="B785" s="18" t="str">
        <f>VLOOKUP(LEFT(A785,7),'Tariff Schedule Lookup Table'!$A$8:$G$186,2,FALSE)</f>
        <v>Mercury Vapour 80</v>
      </c>
      <c r="C785" s="160">
        <f t="shared" si="130"/>
        <v>1000</v>
      </c>
      <c r="D785" s="18">
        <f t="shared" si="131"/>
        <v>2</v>
      </c>
      <c r="E785" s="18" t="str">
        <f>VLOOKUP(C785,'Tariff Schedule Lookup Table'!I$7:L$286,2,FALSE)</f>
        <v>MERCURY VAPOUR 80W</v>
      </c>
      <c r="F785" s="18" t="str">
        <f>IF(E785 = "BULKHEADS ETC", "SHARED OR NO POLE", VLOOKUP(C785,'Tariff Schedule Lookup Table'!I$7:L$286,3,FALSE))</f>
        <v>STEEL POLE</v>
      </c>
      <c r="G785" s="18">
        <f>IF(E785 = "NO CAPITAL", 1, VLOOKUP(C785,'Tariff Schedule Lookup Table'!I$7:L$286,4,FALSE))</f>
        <v>2</v>
      </c>
      <c r="H785" s="18" t="str">
        <f t="shared" si="132"/>
        <v>2-Unmetered, Funded by Others, CE Maintained</v>
      </c>
      <c r="I785" s="123">
        <f>VLOOKUP(F785,'Maintenance Model'!$A$57:$B$61,2,FALSE)</f>
        <v>9.9616182311111103</v>
      </c>
      <c r="J785" s="123">
        <f>IF(D785=1,VLOOKUP(C785,'Capital Code Schedules'!A$15:F$300,2,FALSE),IF(D785=2,VLOOKUP(C785,'Capital Code Schedules'!A$15:F$300,3,FALSE),0))</f>
        <v>0</v>
      </c>
      <c r="K785" s="123">
        <v>0</v>
      </c>
      <c r="L785" s="123">
        <f>VLOOKUP(LEFT(A785,10),'Streetlight Tariff Schedule'!B$11:H$260,7, FALSE)+I785</f>
        <v>44.357731973450889</v>
      </c>
      <c r="M785" s="161">
        <f t="shared" si="123"/>
        <v>44.357731973450889</v>
      </c>
      <c r="N785" s="405">
        <f t="shared" si="124"/>
        <v>46.206057562008795</v>
      </c>
      <c r="O785" s="405">
        <v>39.438611634149908</v>
      </c>
      <c r="P785" s="406">
        <v>39.438611634149908</v>
      </c>
      <c r="Q785" s="406">
        <v>41.368692417961732</v>
      </c>
      <c r="R785" s="406">
        <v>41.368692417961732</v>
      </c>
      <c r="S785" s="405">
        <f t="shared" si="125"/>
        <v>48.467329450163042</v>
      </c>
      <c r="T785" s="406">
        <v>43.067753640528267</v>
      </c>
      <c r="U785" s="406">
        <v>43.22509268441803</v>
      </c>
      <c r="V785" s="405">
        <f t="shared" si="126"/>
        <v>50.64227765487454</v>
      </c>
      <c r="W785" s="406">
        <v>44.635536457547595</v>
      </c>
      <c r="X785" s="406">
        <v>45.198608573909553</v>
      </c>
      <c r="Y785" s="405">
        <f t="shared" si="127"/>
        <v>52.954437870738332</v>
      </c>
      <c r="Z785" s="406">
        <v>45.924861121831583</v>
      </c>
      <c r="AA785" s="406">
        <v>46.674376174267032</v>
      </c>
      <c r="AB785" s="442">
        <f t="shared" si="128"/>
        <v>54.103906165547336</v>
      </c>
      <c r="AC785" s="438">
        <f t="shared" si="129"/>
        <v>55.721562169933726</v>
      </c>
      <c r="AD785" s="410"/>
      <c r="AE785" s="411"/>
      <c r="AF785" s="411"/>
      <c r="AG785" s="411"/>
    </row>
    <row r="786" spans="1:33" x14ac:dyDescent="0.2">
      <c r="A786" s="6" t="s">
        <v>711</v>
      </c>
      <c r="B786" s="18" t="str">
        <f>VLOOKUP(LEFT(A786,7),'Tariff Schedule Lookup Table'!$A$8:$G$186,2,FALSE)</f>
        <v>Mercury Vapour 80</v>
      </c>
      <c r="C786" s="160">
        <f t="shared" si="130"/>
        <v>1260</v>
      </c>
      <c r="D786" s="18">
        <f t="shared" si="131"/>
        <v>2</v>
      </c>
      <c r="E786" s="18" t="str">
        <f>VLOOKUP(C786,'Tariff Schedule Lookup Table'!I$7:L$286,2,FALSE)</f>
        <v>MERCURY VAPOUR 80W</v>
      </c>
      <c r="F786" s="18" t="str">
        <f>IF(E786 = "BULKHEADS ETC", "SHARED OR NO POLE", VLOOKUP(C786,'Tariff Schedule Lookup Table'!I$7:L$286,3,FALSE))</f>
        <v>WOOD POLE</v>
      </c>
      <c r="G786" s="18">
        <f>IF(E786 = "NO CAPITAL", 1, VLOOKUP(C786,'Tariff Schedule Lookup Table'!I$7:L$286,4,FALSE))</f>
        <v>2</v>
      </c>
      <c r="H786" s="18" t="str">
        <f t="shared" si="132"/>
        <v>2-Unmetered, Funded by Others, CE Maintained</v>
      </c>
      <c r="I786" s="123">
        <f>VLOOKUP(F786,'Maintenance Model'!$A$57:$B$61,2,FALSE)</f>
        <v>10.731618231111112</v>
      </c>
      <c r="J786" s="123">
        <f>IF(D786=1,VLOOKUP(C786,'Capital Code Schedules'!A$15:F$300,2,FALSE),IF(D786=2,VLOOKUP(C786,'Capital Code Schedules'!A$15:F$300,3,FALSE),0))</f>
        <v>0</v>
      </c>
      <c r="K786" s="123">
        <v>0</v>
      </c>
      <c r="L786" s="123">
        <f>VLOOKUP(LEFT(A786,10),'Streetlight Tariff Schedule'!B$11:H$260,7, FALSE)+I786</f>
        <v>45.127731973450892</v>
      </c>
      <c r="M786" s="161">
        <f t="shared" si="123"/>
        <v>45.127731973450892</v>
      </c>
      <c r="N786" s="405">
        <f t="shared" si="124"/>
        <v>47.008142401333799</v>
      </c>
      <c r="O786" s="405">
        <v>40.240696473474905</v>
      </c>
      <c r="P786" s="406">
        <v>40.240696473474905</v>
      </c>
      <c r="Q786" s="406">
        <v>42.210030376786186</v>
      </c>
      <c r="R786" s="406">
        <v>42.210030376786186</v>
      </c>
      <c r="S786" s="405">
        <f t="shared" si="125"/>
        <v>49.308667408987503</v>
      </c>
      <c r="T786" s="406">
        <v>43.943646346369363</v>
      </c>
      <c r="U786" s="406">
        <v>44.104185281343241</v>
      </c>
      <c r="V786" s="405">
        <f t="shared" si="126"/>
        <v>51.521370251799752</v>
      </c>
      <c r="W786" s="406">
        <v>45.54331402892479</v>
      </c>
      <c r="X786" s="406">
        <v>46.117837654081491</v>
      </c>
      <c r="Y786" s="405">
        <f t="shared" si="127"/>
        <v>53.87366695091027</v>
      </c>
      <c r="Z786" s="406">
        <v>46.858860401411469</v>
      </c>
      <c r="AA786" s="406">
        <v>47.623618755664467</v>
      </c>
      <c r="AB786" s="442">
        <f t="shared" si="128"/>
        <v>55.043088713753505</v>
      </c>
      <c r="AC786" s="438">
        <f t="shared" si="129"/>
        <v>56.688825394675</v>
      </c>
      <c r="AD786" s="410"/>
      <c r="AE786" s="411"/>
      <c r="AF786" s="411"/>
      <c r="AG786" s="411"/>
    </row>
    <row r="787" spans="1:33" x14ac:dyDescent="0.2">
      <c r="A787" s="6" t="s">
        <v>712</v>
      </c>
      <c r="B787" s="18" t="str">
        <f>VLOOKUP(LEFT(A787,7),'Tariff Schedule Lookup Table'!$A$8:$G$186,2,FALSE)</f>
        <v>Mercury Vapour 125</v>
      </c>
      <c r="C787" s="160">
        <f t="shared" si="130"/>
        <v>10</v>
      </c>
      <c r="D787" s="18">
        <f t="shared" si="131"/>
        <v>1</v>
      </c>
      <c r="E787" s="18" t="str">
        <f>VLOOKUP(C787,'Tariff Schedule Lookup Table'!I$7:L$286,2,FALSE)</f>
        <v>MERCURY VAPOUR 80W</v>
      </c>
      <c r="F787" s="18" t="str">
        <f>IF(E787 = "BULKHEADS ETC", "SHARED OR NO POLE", VLOOKUP(C787,'Tariff Schedule Lookup Table'!I$7:L$286,3,FALSE))</f>
        <v>SHARED OR NO POLE</v>
      </c>
      <c r="G787" s="18">
        <f>IF(E787 = "NO CAPITAL", 1, VLOOKUP(C787,'Tariff Schedule Lookup Table'!I$7:L$286,4,FALSE))</f>
        <v>1</v>
      </c>
      <c r="H787" s="18" t="str">
        <f t="shared" si="132"/>
        <v>1-Unmetered, CE Funded, CE Maintained</v>
      </c>
      <c r="I787" s="123">
        <f>VLOOKUP(F787,'Maintenance Model'!$A$57:$B$61,2,FALSE)</f>
        <v>0</v>
      </c>
      <c r="J787" s="123">
        <f>IF(D787=1,VLOOKUP(C787,'Capital Code Schedules'!A$15:F$300,2,FALSE),IF(D787=2,VLOOKUP(C787,'Capital Code Schedules'!A$15:F$300,3,FALSE),0))</f>
        <v>17.255027166785979</v>
      </c>
      <c r="K787" s="123">
        <v>21.887497717034414</v>
      </c>
      <c r="L787" s="123">
        <f>VLOOKUP(LEFT(A787,10),'Streetlight Tariff Schedule'!B$11:H$260,7, FALSE)+I787</f>
        <v>34.764063013691775</v>
      </c>
      <c r="M787" s="161">
        <f t="shared" ref="M787:M850" si="133">IF(VLOOKUP(D787,A$11:D$15,3,FALSE)="Y",IF(VLOOKUP(D787,A$11:D$15,4,FALSE)="Y",K787+L787,K787),IF(VLOOKUP(D787,A$11:D$15,4,FALSE)="Y",L787,0))</f>
        <v>56.651560730726189</v>
      </c>
      <c r="N787" s="405">
        <f t="shared" ref="N787:N850" si="134">($J787+$L787+$L787*$M$10*$M$14)*(1+$M$12)</f>
        <v>53.894722721139445</v>
      </c>
      <c r="O787" s="405">
        <v>53.659614565239131</v>
      </c>
      <c r="P787" s="406">
        <v>52.666657738046304</v>
      </c>
      <c r="Q787" s="406">
        <v>54.701566897033217</v>
      </c>
      <c r="R787" s="406">
        <v>55.719099405699076</v>
      </c>
      <c r="S787" s="405">
        <f t="shared" ref="S787:S850" si="135">($J787+$L787+$L787*$N$10*$N$14)*(1+$N$12)</f>
        <v>56.104559516697691</v>
      </c>
      <c r="T787" s="406">
        <v>56.573093468108809</v>
      </c>
      <c r="U787" s="406">
        <v>57.826448204516161</v>
      </c>
      <c r="V787" s="405">
        <f t="shared" ref="V787:V850" si="136">($J787+$L787+$L787*$O$10*$O$14)*(1+$O$12)</f>
        <v>58.325523011270022</v>
      </c>
      <c r="W787" s="406">
        <v>58.35804869114191</v>
      </c>
      <c r="X787" s="406">
        <v>60.176388635692589</v>
      </c>
      <c r="Y787" s="405">
        <f t="shared" ref="Y787:Y850" si="137">($J787+$L787+$L787*$P$10*$P$14)*(1+$P$12)</f>
        <v>60.769375229678971</v>
      </c>
      <c r="Z787" s="406">
        <v>59.943938836746561</v>
      </c>
      <c r="AA787" s="406">
        <v>62.035253533354961</v>
      </c>
      <c r="AB787" s="442">
        <f t="shared" ref="AB787:AB850" si="138">($J787+$L787+$L787*$Q$10*$Q$14)*(1+$Q$12)</f>
        <v>62.009352074165783</v>
      </c>
      <c r="AC787" s="438">
        <f t="shared" ref="AC787:AC850" si="139">($J787+$L787+$L787*$R$10*$R$14)*(1+$R$12)</f>
        <v>63.847706285856638</v>
      </c>
      <c r="AD787" s="410"/>
      <c r="AE787" s="411"/>
      <c r="AF787" s="411"/>
      <c r="AG787" s="411"/>
    </row>
    <row r="788" spans="1:33" x14ac:dyDescent="0.2">
      <c r="A788" s="6" t="s">
        <v>713</v>
      </c>
      <c r="B788" s="18" t="str">
        <f>VLOOKUP(LEFT(A788,7),'Tariff Schedule Lookup Table'!$A$8:$G$186,2,FALSE)</f>
        <v>Mercury Vapour 125</v>
      </c>
      <c r="C788" s="160">
        <f t="shared" si="130"/>
        <v>10</v>
      </c>
      <c r="D788" s="18">
        <f t="shared" si="131"/>
        <v>2</v>
      </c>
      <c r="E788" s="18" t="str">
        <f>VLOOKUP(C788,'Tariff Schedule Lookup Table'!I$7:L$286,2,FALSE)</f>
        <v>MERCURY VAPOUR 80W</v>
      </c>
      <c r="F788" s="18" t="str">
        <f>IF(E788 = "BULKHEADS ETC", "SHARED OR NO POLE", VLOOKUP(C788,'Tariff Schedule Lookup Table'!I$7:L$286,3,FALSE))</f>
        <v>SHARED OR NO POLE</v>
      </c>
      <c r="G788" s="18">
        <f>IF(E788 = "NO CAPITAL", 1, VLOOKUP(C788,'Tariff Schedule Lookup Table'!I$7:L$286,4,FALSE))</f>
        <v>1</v>
      </c>
      <c r="H788" s="18" t="str">
        <f t="shared" si="132"/>
        <v>2-Unmetered, Funded by Others, CE Maintained</v>
      </c>
      <c r="I788" s="123">
        <f>VLOOKUP(F788,'Maintenance Model'!$A$57:$B$61,2,FALSE)</f>
        <v>0</v>
      </c>
      <c r="J788" s="123">
        <f>IF(D788=1,VLOOKUP(C788,'Capital Code Schedules'!A$15:F$300,2,FALSE),IF(D788=2,VLOOKUP(C788,'Capital Code Schedules'!A$15:F$300,3,FALSE),0))</f>
        <v>0</v>
      </c>
      <c r="K788" s="123">
        <v>0</v>
      </c>
      <c r="L788" s="123">
        <f>VLOOKUP(LEFT(A788,10),'Streetlight Tariff Schedule'!B$11:H$260,7, FALSE)+I788</f>
        <v>34.764063013691775</v>
      </c>
      <c r="M788" s="161">
        <f t="shared" si="133"/>
        <v>34.764063013691775</v>
      </c>
      <c r="N788" s="405">
        <f t="shared" si="134"/>
        <v>36.212633631975514</v>
      </c>
      <c r="O788" s="405">
        <v>30.237444452515287</v>
      </c>
      <c r="P788" s="406">
        <v>30.237444452515287</v>
      </c>
      <c r="Q788" s="406">
        <v>31.71723058268531</v>
      </c>
      <c r="R788" s="406">
        <v>31.71723058268531</v>
      </c>
      <c r="S788" s="405">
        <f t="shared" si="135"/>
        <v>37.984838722576946</v>
      </c>
      <c r="T788" s="406">
        <v>33.019894829980778</v>
      </c>
      <c r="U788" s="406">
        <v>33.140526120046509</v>
      </c>
      <c r="V788" s="405">
        <f t="shared" si="136"/>
        <v>39.689390174516845</v>
      </c>
      <c r="W788" s="406">
        <v>34.221908386720216</v>
      </c>
      <c r="X788" s="406">
        <v>34.653613792559412</v>
      </c>
      <c r="Y788" s="405">
        <f t="shared" si="137"/>
        <v>41.501477489759864</v>
      </c>
      <c r="Z788" s="406">
        <v>35.210429059790435</v>
      </c>
      <c r="AA788" s="406">
        <v>35.785079607192486</v>
      </c>
      <c r="AB788" s="442">
        <f t="shared" si="138"/>
        <v>42.402339334024091</v>
      </c>
      <c r="AC788" s="438">
        <f t="shared" si="139"/>
        <v>43.670129474976825</v>
      </c>
      <c r="AD788" s="410"/>
      <c r="AE788" s="411"/>
      <c r="AF788" s="411"/>
      <c r="AG788" s="411"/>
    </row>
    <row r="789" spans="1:33" x14ac:dyDescent="0.2">
      <c r="A789" s="6" t="s">
        <v>714</v>
      </c>
      <c r="B789" s="18" t="str">
        <f>VLOOKUP(LEFT(A789,7),'Tariff Schedule Lookup Table'!$A$8:$G$186,2,FALSE)</f>
        <v>Mercury Vapour 125</v>
      </c>
      <c r="C789" s="160">
        <f t="shared" si="130"/>
        <v>810</v>
      </c>
      <c r="D789" s="18">
        <f t="shared" si="131"/>
        <v>2</v>
      </c>
      <c r="E789" s="18" t="str">
        <f>VLOOKUP(C789,'Tariff Schedule Lookup Table'!I$7:L$286,2,FALSE)</f>
        <v>MERCURY VAPOUR 80W</v>
      </c>
      <c r="F789" s="18" t="str">
        <f>IF(E789 = "BULKHEADS ETC", "SHARED OR NO POLE", VLOOKUP(C789,'Tariff Schedule Lookup Table'!I$7:L$286,3,FALSE))</f>
        <v>WOOD POLE</v>
      </c>
      <c r="G789" s="18">
        <f>IF(E789 = "NO CAPITAL", 1, VLOOKUP(C789,'Tariff Schedule Lookup Table'!I$7:L$286,4,FALSE))</f>
        <v>1</v>
      </c>
      <c r="H789" s="18" t="str">
        <f t="shared" si="132"/>
        <v>2-Unmetered, Funded by Others, CE Maintained</v>
      </c>
      <c r="I789" s="123">
        <f>VLOOKUP(F789,'Maintenance Model'!$A$57:$B$61,2,FALSE)</f>
        <v>10.731618231111112</v>
      </c>
      <c r="J789" s="123">
        <f>IF(D789=1,VLOOKUP(C789,'Capital Code Schedules'!A$15:F$300,2,FALSE),IF(D789=2,VLOOKUP(C789,'Capital Code Schedules'!A$15:F$300,3,FALSE),0))</f>
        <v>0</v>
      </c>
      <c r="K789" s="123">
        <v>0</v>
      </c>
      <c r="L789" s="123">
        <f>VLOOKUP(LEFT(A789,10),'Streetlight Tariff Schedule'!B$11:H$260,7, FALSE)+I789</f>
        <v>45.495681244802888</v>
      </c>
      <c r="M789" s="161">
        <f t="shared" si="133"/>
        <v>45.495681244802888</v>
      </c>
      <c r="N789" s="405">
        <f t="shared" si="134"/>
        <v>47.391423611972911</v>
      </c>
      <c r="O789" s="405">
        <v>40.633644527939452</v>
      </c>
      <c r="P789" s="406">
        <v>40.633644527939452</v>
      </c>
      <c r="Q789" s="406">
        <v>42.622208861976681</v>
      </c>
      <c r="R789" s="406">
        <v>42.622208861976681</v>
      </c>
      <c r="S789" s="405">
        <f t="shared" si="135"/>
        <v>49.710705966013784</v>
      </c>
      <c r="T789" s="406">
        <v>44.372753490408634</v>
      </c>
      <c r="U789" s="406">
        <v>44.534860078720854</v>
      </c>
      <c r="V789" s="405">
        <f t="shared" si="136"/>
        <v>51.941450096591396</v>
      </c>
      <c r="W789" s="406">
        <v>45.988041834601077</v>
      </c>
      <c r="X789" s="406">
        <v>46.568175649454616</v>
      </c>
      <c r="Y789" s="405">
        <f t="shared" si="137"/>
        <v>54.312926262929537</v>
      </c>
      <c r="Z789" s="406">
        <v>47.31643444070022</v>
      </c>
      <c r="AA789" s="406">
        <v>48.088660615686322</v>
      </c>
      <c r="AB789" s="442">
        <f t="shared" si="138"/>
        <v>55.491882914115791</v>
      </c>
      <c r="AC789" s="438">
        <f t="shared" si="139"/>
        <v>57.151038120323221</v>
      </c>
      <c r="AD789" s="410"/>
      <c r="AE789" s="411"/>
      <c r="AF789" s="411"/>
      <c r="AG789" s="411"/>
    </row>
    <row r="790" spans="1:33" x14ac:dyDescent="0.2">
      <c r="A790" s="6" t="s">
        <v>715</v>
      </c>
      <c r="B790" s="18" t="str">
        <f>VLOOKUP(LEFT(A790,7),'Tariff Schedule Lookup Table'!$A$8:$G$186,2,FALSE)</f>
        <v>Mercury Vapour 125</v>
      </c>
      <c r="C790" s="160">
        <f t="shared" si="130"/>
        <v>990</v>
      </c>
      <c r="D790" s="18">
        <f t="shared" si="131"/>
        <v>1</v>
      </c>
      <c r="E790" s="18" t="str">
        <f>VLOOKUP(C790,'Tariff Schedule Lookup Table'!I$7:L$286,2,FALSE)</f>
        <v>MERCURY VAPOUR 80W</v>
      </c>
      <c r="F790" s="18" t="str">
        <f>IF(E790 = "BULKHEADS ETC", "SHARED OR NO POLE", VLOOKUP(C790,'Tariff Schedule Lookup Table'!I$7:L$286,3,FALSE))</f>
        <v>STEEL POLE</v>
      </c>
      <c r="G790" s="18">
        <f>IF(E790 = "NO CAPITAL", 1, VLOOKUP(C790,'Tariff Schedule Lookup Table'!I$7:L$286,4,FALSE))</f>
        <v>1</v>
      </c>
      <c r="H790" s="18" t="str">
        <f t="shared" si="132"/>
        <v>1-Unmetered, CE Funded, CE Maintained</v>
      </c>
      <c r="I790" s="123">
        <f>VLOOKUP(F790,'Maintenance Model'!$A$57:$B$61,2,FALSE)</f>
        <v>9.9616182311111103</v>
      </c>
      <c r="J790" s="123">
        <f>IF(D790=1,VLOOKUP(C790,'Capital Code Schedules'!A$15:F$300,2,FALSE),IF(D790=2,VLOOKUP(C790,'Capital Code Schedules'!A$15:F$300,3,FALSE),0))</f>
        <v>86.253661186307269</v>
      </c>
      <c r="K790" s="123">
        <v>109.41024862221688</v>
      </c>
      <c r="L790" s="123">
        <f>VLOOKUP(LEFT(A790,10),'Streetlight Tariff Schedule'!B$11:H$260,7, FALSE)+I790</f>
        <v>44.725681244802885</v>
      </c>
      <c r="M790" s="161">
        <f t="shared" si="133"/>
        <v>154.13592986701977</v>
      </c>
      <c r="N790" s="405">
        <f t="shared" si="134"/>
        <v>134.97777807331627</v>
      </c>
      <c r="O790" s="405">
        <v>156.91326032132568</v>
      </c>
      <c r="P790" s="406">
        <v>151.94971196423123</v>
      </c>
      <c r="Q790" s="406">
        <v>156.67394744759051</v>
      </c>
      <c r="R790" s="406">
        <v>161.76034362652305</v>
      </c>
      <c r="S790" s="405">
        <f t="shared" si="135"/>
        <v>139.44542118054926</v>
      </c>
      <c r="T790" s="406">
        <v>161.23354097348067</v>
      </c>
      <c r="U790" s="406">
        <v>167.05465517778251</v>
      </c>
      <c r="V790" s="405">
        <f t="shared" si="136"/>
        <v>144.21982818846686</v>
      </c>
      <c r="W790" s="406">
        <v>165.73092728681263</v>
      </c>
      <c r="X790" s="406">
        <v>173.23105655816352</v>
      </c>
      <c r="Y790" s="405">
        <f t="shared" si="137"/>
        <v>149.7092061279086</v>
      </c>
      <c r="Z790" s="406">
        <v>170.01920209454286</v>
      </c>
      <c r="AA790" s="406">
        <v>178.35761815785281</v>
      </c>
      <c r="AB790" s="442">
        <f t="shared" si="138"/>
        <v>152.56336226849533</v>
      </c>
      <c r="AC790" s="438">
        <f t="shared" si="139"/>
        <v>157.04654705953288</v>
      </c>
      <c r="AD790" s="410"/>
      <c r="AE790" s="411"/>
      <c r="AF790" s="411"/>
      <c r="AG790" s="411"/>
    </row>
    <row r="791" spans="1:33" x14ac:dyDescent="0.2">
      <c r="A791" s="6" t="s">
        <v>716</v>
      </c>
      <c r="B791" s="18" t="str">
        <f>VLOOKUP(LEFT(A791,7),'Tariff Schedule Lookup Table'!$A$8:$G$186,2,FALSE)</f>
        <v>Mercury Vapour 125</v>
      </c>
      <c r="C791" s="160">
        <f t="shared" si="130"/>
        <v>990</v>
      </c>
      <c r="D791" s="18">
        <f t="shared" si="131"/>
        <v>2</v>
      </c>
      <c r="E791" s="18" t="str">
        <f>VLOOKUP(C791,'Tariff Schedule Lookup Table'!I$7:L$286,2,FALSE)</f>
        <v>MERCURY VAPOUR 80W</v>
      </c>
      <c r="F791" s="18" t="str">
        <f>IF(E791 = "BULKHEADS ETC", "SHARED OR NO POLE", VLOOKUP(C791,'Tariff Schedule Lookup Table'!I$7:L$286,3,FALSE))</f>
        <v>STEEL POLE</v>
      </c>
      <c r="G791" s="18">
        <f>IF(E791 = "NO CAPITAL", 1, VLOOKUP(C791,'Tariff Schedule Lookup Table'!I$7:L$286,4,FALSE))</f>
        <v>1</v>
      </c>
      <c r="H791" s="18" t="str">
        <f t="shared" si="132"/>
        <v>2-Unmetered, Funded by Others, CE Maintained</v>
      </c>
      <c r="I791" s="123">
        <f>VLOOKUP(F791,'Maintenance Model'!$A$57:$B$61,2,FALSE)</f>
        <v>9.9616182311111103</v>
      </c>
      <c r="J791" s="123">
        <f>IF(D791=1,VLOOKUP(C791,'Capital Code Schedules'!A$15:F$300,2,FALSE),IF(D791=2,VLOOKUP(C791,'Capital Code Schedules'!A$15:F$300,3,FALSE),0))</f>
        <v>0</v>
      </c>
      <c r="K791" s="123">
        <v>0</v>
      </c>
      <c r="L791" s="123">
        <f>VLOOKUP(LEFT(A791,10),'Streetlight Tariff Schedule'!B$11:H$260,7, FALSE)+I791</f>
        <v>44.725681244802885</v>
      </c>
      <c r="M791" s="161">
        <f t="shared" si="133"/>
        <v>44.725681244802885</v>
      </c>
      <c r="N791" s="405">
        <f t="shared" si="134"/>
        <v>46.589338772647906</v>
      </c>
      <c r="O791" s="405">
        <v>39.831559688614448</v>
      </c>
      <c r="P791" s="406">
        <v>39.831559688614448</v>
      </c>
      <c r="Q791" s="406">
        <v>41.780870903152227</v>
      </c>
      <c r="R791" s="406">
        <v>41.780870903152227</v>
      </c>
      <c r="S791" s="405">
        <f t="shared" si="135"/>
        <v>48.869368007189323</v>
      </c>
      <c r="T791" s="406">
        <v>43.496860784567531</v>
      </c>
      <c r="U791" s="406">
        <v>43.655767481795635</v>
      </c>
      <c r="V791" s="405">
        <f t="shared" si="136"/>
        <v>51.062357499666184</v>
      </c>
      <c r="W791" s="406">
        <v>45.080264263223874</v>
      </c>
      <c r="X791" s="406">
        <v>45.648946569282678</v>
      </c>
      <c r="Y791" s="405">
        <f t="shared" si="137"/>
        <v>53.393697182757585</v>
      </c>
      <c r="Z791" s="406">
        <v>46.382435161120327</v>
      </c>
      <c r="AA791" s="406">
        <v>47.13941803428888</v>
      </c>
      <c r="AB791" s="442">
        <f t="shared" si="138"/>
        <v>54.552700365909629</v>
      </c>
      <c r="AC791" s="438">
        <f t="shared" si="139"/>
        <v>56.183774895581948</v>
      </c>
      <c r="AD791" s="410"/>
      <c r="AE791" s="411"/>
      <c r="AF791" s="411"/>
      <c r="AG791" s="411"/>
    </row>
    <row r="792" spans="1:33" x14ac:dyDescent="0.2">
      <c r="A792" s="6" t="s">
        <v>717</v>
      </c>
      <c r="B792" s="18" t="str">
        <f>VLOOKUP(LEFT(A792,7),'Tariff Schedule Lookup Table'!$A$8:$G$186,2,FALSE)</f>
        <v>Mercury Vapour 160</v>
      </c>
      <c r="C792" s="160">
        <f t="shared" si="130"/>
        <v>10</v>
      </c>
      <c r="D792" s="18">
        <f t="shared" si="131"/>
        <v>2</v>
      </c>
      <c r="E792" s="18" t="str">
        <f>VLOOKUP(C792,'Tariff Schedule Lookup Table'!I$7:L$286,2,FALSE)</f>
        <v>MERCURY VAPOUR 80W</v>
      </c>
      <c r="F792" s="18" t="str">
        <f>IF(E792 = "BULKHEADS ETC", "SHARED OR NO POLE", VLOOKUP(C792,'Tariff Schedule Lookup Table'!I$7:L$286,3,FALSE))</f>
        <v>SHARED OR NO POLE</v>
      </c>
      <c r="G792" s="18">
        <f>IF(E792 = "NO CAPITAL", 1, VLOOKUP(C792,'Tariff Schedule Lookup Table'!I$7:L$286,4,FALSE))</f>
        <v>1</v>
      </c>
      <c r="H792" s="18" t="str">
        <f t="shared" si="132"/>
        <v>2-Unmetered, Funded by Others, CE Maintained</v>
      </c>
      <c r="I792" s="123">
        <f>VLOOKUP(F792,'Maintenance Model'!$A$57:$B$61,2,FALSE)</f>
        <v>0</v>
      </c>
      <c r="J792" s="123">
        <f>IF(D792=1,VLOOKUP(C792,'Capital Code Schedules'!A$15:F$300,2,FALSE),IF(D792=2,VLOOKUP(C792,'Capital Code Schedules'!A$15:F$300,3,FALSE),0))</f>
        <v>0</v>
      </c>
      <c r="K792" s="123">
        <v>0</v>
      </c>
      <c r="L792" s="123">
        <f>VLOOKUP(LEFT(A792,10),'Streetlight Tariff Schedule'!B$11:H$260,7, FALSE)+I792</f>
        <v>39.911516435913995</v>
      </c>
      <c r="M792" s="161">
        <f t="shared" si="133"/>
        <v>39.911516435913995</v>
      </c>
      <c r="N792" s="405">
        <f t="shared" si="134"/>
        <v>41.574574347684646</v>
      </c>
      <c r="O792" s="405">
        <v>34.292266880650395</v>
      </c>
      <c r="P792" s="406">
        <v>34.292266880650395</v>
      </c>
      <c r="Q792" s="406">
        <v>35.970491407255658</v>
      </c>
      <c r="R792" s="406">
        <v>35.970491407255658</v>
      </c>
      <c r="S792" s="405">
        <f t="shared" si="135"/>
        <v>43.609186716598266</v>
      </c>
      <c r="T792" s="406">
        <v>37.447842117044956</v>
      </c>
      <c r="U792" s="406">
        <v>37.584649987815496</v>
      </c>
      <c r="V792" s="405">
        <f t="shared" si="136"/>
        <v>45.566128092040081</v>
      </c>
      <c r="W792" s="406">
        <v>38.811044941496597</v>
      </c>
      <c r="X792" s="406">
        <v>39.300641772806387</v>
      </c>
      <c r="Y792" s="405">
        <f t="shared" si="137"/>
        <v>47.646527976171832</v>
      </c>
      <c r="Z792" s="406">
        <v>39.932125619832306</v>
      </c>
      <c r="AA792" s="406">
        <v>40.583836446968149</v>
      </c>
      <c r="AB792" s="442">
        <f t="shared" si="138"/>
        <v>48.680778842926927</v>
      </c>
      <c r="AC792" s="438">
        <f t="shared" si="139"/>
        <v>50.136288431319876</v>
      </c>
      <c r="AD792" s="410"/>
      <c r="AE792" s="411"/>
      <c r="AF792" s="411"/>
      <c r="AG792" s="411"/>
    </row>
    <row r="793" spans="1:33" x14ac:dyDescent="0.2">
      <c r="A793" s="6" t="s">
        <v>718</v>
      </c>
      <c r="B793" s="18" t="str">
        <f>VLOOKUP(LEFT(A793,7),'Tariff Schedule Lookup Table'!$A$8:$G$186,2,FALSE)</f>
        <v>Mercury Vapour 160</v>
      </c>
      <c r="C793" s="160">
        <f t="shared" si="130"/>
        <v>740</v>
      </c>
      <c r="D793" s="18">
        <f t="shared" si="131"/>
        <v>2</v>
      </c>
      <c r="E793" s="18" t="str">
        <f>VLOOKUP(C793,'Tariff Schedule Lookup Table'!I$7:L$286,2,FALSE)</f>
        <v>MERCURY VAPOUR 80W</v>
      </c>
      <c r="F793" s="18" t="str">
        <f>IF(E793 = "BULKHEADS ETC", "SHARED OR NO POLE", VLOOKUP(C793,'Tariff Schedule Lookup Table'!I$7:L$286,3,FALSE))</f>
        <v>SHARED OR NO POLE</v>
      </c>
      <c r="G793" s="18">
        <f>IF(E793 = "NO CAPITAL", 1, VLOOKUP(C793,'Tariff Schedule Lookup Table'!I$7:L$286,4,FALSE))</f>
        <v>2</v>
      </c>
      <c r="H793" s="18" t="str">
        <f t="shared" si="132"/>
        <v>2-Unmetered, Funded by Others, CE Maintained</v>
      </c>
      <c r="I793" s="123">
        <f>VLOOKUP(F793,'Maintenance Model'!$A$57:$B$61,2,FALSE)</f>
        <v>0</v>
      </c>
      <c r="J793" s="123">
        <f>IF(D793=1,VLOOKUP(C793,'Capital Code Schedules'!A$15:F$300,2,FALSE),IF(D793=2,VLOOKUP(C793,'Capital Code Schedules'!A$15:F$300,3,FALSE),0))</f>
        <v>0</v>
      </c>
      <c r="K793" s="123">
        <v>0</v>
      </c>
      <c r="L793" s="123">
        <f>VLOOKUP(LEFT(A793,10),'Streetlight Tariff Schedule'!B$11:H$260,7, FALSE)+I793</f>
        <v>39.911516435913995</v>
      </c>
      <c r="M793" s="161">
        <f t="shared" si="133"/>
        <v>39.911516435913995</v>
      </c>
      <c r="N793" s="405">
        <f t="shared" si="134"/>
        <v>41.574574347684646</v>
      </c>
      <c r="O793" s="405">
        <v>34.292266880650395</v>
      </c>
      <c r="P793" s="406">
        <v>34.292266880650395</v>
      </c>
      <c r="Q793" s="406">
        <v>35.970491407255658</v>
      </c>
      <c r="R793" s="406">
        <v>35.970491407255658</v>
      </c>
      <c r="S793" s="405">
        <f t="shared" si="135"/>
        <v>43.609186716598266</v>
      </c>
      <c r="T793" s="406">
        <v>37.447842117044956</v>
      </c>
      <c r="U793" s="406">
        <v>37.584649987815496</v>
      </c>
      <c r="V793" s="405">
        <f t="shared" si="136"/>
        <v>45.566128092040081</v>
      </c>
      <c r="W793" s="406">
        <v>38.811044941496597</v>
      </c>
      <c r="X793" s="406">
        <v>39.300641772806387</v>
      </c>
      <c r="Y793" s="405">
        <f t="shared" si="137"/>
        <v>47.646527976171832</v>
      </c>
      <c r="Z793" s="406">
        <v>39.932125619832306</v>
      </c>
      <c r="AA793" s="406">
        <v>40.583836446968149</v>
      </c>
      <c r="AB793" s="442">
        <f t="shared" si="138"/>
        <v>48.680778842926927</v>
      </c>
      <c r="AC793" s="438">
        <f t="shared" si="139"/>
        <v>50.136288431319876</v>
      </c>
      <c r="AD793" s="410"/>
      <c r="AE793" s="411"/>
      <c r="AF793" s="411"/>
      <c r="AG793" s="411"/>
    </row>
    <row r="794" spans="1:33" x14ac:dyDescent="0.2">
      <c r="A794" s="6" t="s">
        <v>719</v>
      </c>
      <c r="B794" s="18" t="str">
        <f>VLOOKUP(LEFT(A794,7),'Tariff Schedule Lookup Table'!$A$8:$G$186,2,FALSE)</f>
        <v>Mercury Vapour 160</v>
      </c>
      <c r="C794" s="160">
        <f t="shared" si="130"/>
        <v>1000</v>
      </c>
      <c r="D794" s="18">
        <f t="shared" si="131"/>
        <v>2</v>
      </c>
      <c r="E794" s="18" t="str">
        <f>VLOOKUP(C794,'Tariff Schedule Lookup Table'!I$7:L$286,2,FALSE)</f>
        <v>MERCURY VAPOUR 80W</v>
      </c>
      <c r="F794" s="18" t="str">
        <f>IF(E794 = "BULKHEADS ETC", "SHARED OR NO POLE", VLOOKUP(C794,'Tariff Schedule Lookup Table'!I$7:L$286,3,FALSE))</f>
        <v>STEEL POLE</v>
      </c>
      <c r="G794" s="18">
        <f>IF(E794 = "NO CAPITAL", 1, VLOOKUP(C794,'Tariff Schedule Lookup Table'!I$7:L$286,4,FALSE))</f>
        <v>2</v>
      </c>
      <c r="H794" s="18" t="str">
        <f t="shared" si="132"/>
        <v>2-Unmetered, Funded by Others, CE Maintained</v>
      </c>
      <c r="I794" s="123">
        <f>VLOOKUP(F794,'Maintenance Model'!$A$57:$B$61,2,FALSE)</f>
        <v>9.9616182311111103</v>
      </c>
      <c r="J794" s="123">
        <f>IF(D794=1,VLOOKUP(C794,'Capital Code Schedules'!A$15:F$300,2,FALSE),IF(D794=2,VLOOKUP(C794,'Capital Code Schedules'!A$15:F$300,3,FALSE),0))</f>
        <v>0</v>
      </c>
      <c r="K794" s="123">
        <v>0</v>
      </c>
      <c r="L794" s="123">
        <f>VLOOKUP(LEFT(A794,10),'Streetlight Tariff Schedule'!B$11:H$260,7, FALSE)+I794</f>
        <v>49.873134667025106</v>
      </c>
      <c r="M794" s="161">
        <f t="shared" si="133"/>
        <v>49.873134667025106</v>
      </c>
      <c r="N794" s="405">
        <f t="shared" si="134"/>
        <v>51.951279488357038</v>
      </c>
      <c r="O794" s="405">
        <v>43.886382116749566</v>
      </c>
      <c r="P794" s="406">
        <v>43.886382116749566</v>
      </c>
      <c r="Q794" s="406">
        <v>46.034131727722574</v>
      </c>
      <c r="R794" s="406">
        <v>46.034131727722574</v>
      </c>
      <c r="S794" s="405">
        <f t="shared" si="135"/>
        <v>54.493716001210629</v>
      </c>
      <c r="T794" s="406">
        <v>47.924808071631702</v>
      </c>
      <c r="U794" s="406">
        <v>48.099891349564622</v>
      </c>
      <c r="V794" s="405">
        <f t="shared" si="136"/>
        <v>56.939095417189421</v>
      </c>
      <c r="W794" s="406">
        <v>49.669400818000248</v>
      </c>
      <c r="X794" s="406">
        <v>50.295974549529646</v>
      </c>
      <c r="Y794" s="405">
        <f t="shared" si="137"/>
        <v>59.538747669169553</v>
      </c>
      <c r="Z794" s="406">
        <v>51.104131721162197</v>
      </c>
      <c r="AA794" s="406">
        <v>51.938174874064536</v>
      </c>
      <c r="AB794" s="442">
        <f t="shared" si="138"/>
        <v>60.831139874812465</v>
      </c>
      <c r="AC794" s="438">
        <f t="shared" si="139"/>
        <v>62.649933851924992</v>
      </c>
      <c r="AD794" s="410"/>
      <c r="AE794" s="411"/>
      <c r="AF794" s="411"/>
      <c r="AG794" s="411"/>
    </row>
    <row r="795" spans="1:33" x14ac:dyDescent="0.2">
      <c r="A795" s="6" t="s">
        <v>720</v>
      </c>
      <c r="B795" s="18" t="str">
        <f>VLOOKUP(LEFT(A795,7),'Tariff Schedule Lookup Table'!$A$8:$G$186,2,FALSE)</f>
        <v>Mercury Vapour 175</v>
      </c>
      <c r="C795" s="160">
        <f t="shared" ref="C795:C833" si="140">1*MID(A795,12,4)</f>
        <v>20</v>
      </c>
      <c r="D795" s="18">
        <f t="shared" ref="D795:D833" si="141">1*(MID(A795,17,3))</f>
        <v>1</v>
      </c>
      <c r="E795" s="18" t="str">
        <f>VLOOKUP(C795,'Tariff Schedule Lookup Table'!I$7:L$286,2,FALSE)</f>
        <v xml:space="preserve">MERCURY VAPOUR 250W </v>
      </c>
      <c r="F795" s="18" t="str">
        <f>IF(E795 = "BULKHEADS ETC", "SHARED OR NO POLE", VLOOKUP(C795,'Tariff Schedule Lookup Table'!I$7:L$286,3,FALSE))</f>
        <v>SHARED OR NO POLE</v>
      </c>
      <c r="G795" s="18">
        <f>IF(E795 = "NO CAPITAL", 1, VLOOKUP(C795,'Tariff Schedule Lookup Table'!I$7:L$286,4,FALSE))</f>
        <v>1</v>
      </c>
      <c r="H795" s="18" t="str">
        <f t="shared" ref="H795:H833" si="142">VLOOKUP(D795,A$11:B$15, 2, FALSE)</f>
        <v>1-Unmetered, CE Funded, CE Maintained</v>
      </c>
      <c r="I795" s="123">
        <f>VLOOKUP(F795,'Maintenance Model'!$A$57:$B$61,2,FALSE)</f>
        <v>0</v>
      </c>
      <c r="J795" s="123">
        <f>IF(D795=1,VLOOKUP(C795,'Capital Code Schedules'!A$15:F$300,2,FALSE),IF(D795=2,VLOOKUP(C795,'Capital Code Schedules'!A$15:F$300,3,FALSE),0))</f>
        <v>32.500655058222634</v>
      </c>
      <c r="K795" s="123">
        <v>41.226131174006881</v>
      </c>
      <c r="L795" s="123">
        <f>VLOOKUP(LEFT(A795,10),'Streetlight Tariff Schedule'!B$11:H$260,7, FALSE)+I795</f>
        <v>39.911516435913995</v>
      </c>
      <c r="M795" s="161">
        <f t="shared" si="133"/>
        <v>81.137647609920876</v>
      </c>
      <c r="N795" s="405">
        <f t="shared" si="134"/>
        <v>74.879620618598281</v>
      </c>
      <c r="O795" s="405">
        <v>78.409025677411051</v>
      </c>
      <c r="P795" s="406">
        <v>76.538744801213952</v>
      </c>
      <c r="Q795" s="406">
        <v>79.262569656353165</v>
      </c>
      <c r="R795" s="406">
        <v>81.179139984236144</v>
      </c>
      <c r="S795" s="405">
        <f t="shared" si="135"/>
        <v>77.738532882717024</v>
      </c>
      <c r="T795" s="406">
        <v>81.811399302807629</v>
      </c>
      <c r="U795" s="406">
        <v>84.081745049239913</v>
      </c>
      <c r="V795" s="405">
        <f t="shared" si="136"/>
        <v>80.668160623893229</v>
      </c>
      <c r="W795" s="406">
        <v>84.272600167606896</v>
      </c>
      <c r="X795" s="406">
        <v>87.373988356813101</v>
      </c>
      <c r="Y795" s="405">
        <f t="shared" si="137"/>
        <v>83.938519410854795</v>
      </c>
      <c r="Z795" s="406">
        <v>86.51885433778881</v>
      </c>
      <c r="AA795" s="406">
        <v>90.027273408619052</v>
      </c>
      <c r="AB795" s="442">
        <f t="shared" si="138"/>
        <v>85.611509326860315</v>
      </c>
      <c r="AC795" s="438">
        <f t="shared" si="139"/>
        <v>88.141703172335724</v>
      </c>
      <c r="AD795" s="410"/>
      <c r="AE795" s="411"/>
      <c r="AF795" s="411"/>
      <c r="AG795" s="411"/>
    </row>
    <row r="796" spans="1:33" x14ac:dyDescent="0.2">
      <c r="A796" s="6" t="s">
        <v>721</v>
      </c>
      <c r="B796" s="18" t="str">
        <f>VLOOKUP(LEFT(A796,7),'Tariff Schedule Lookup Table'!$A$8:$G$186,2,FALSE)</f>
        <v>Mercury Vapour 250</v>
      </c>
      <c r="C796" s="160">
        <f t="shared" si="140"/>
        <v>20</v>
      </c>
      <c r="D796" s="18">
        <f t="shared" si="141"/>
        <v>1</v>
      </c>
      <c r="E796" s="18" t="str">
        <f>VLOOKUP(C796,'Tariff Schedule Lookup Table'!I$7:L$286,2,FALSE)</f>
        <v xml:space="preserve">MERCURY VAPOUR 250W </v>
      </c>
      <c r="F796" s="18" t="str">
        <f>IF(E796 = "BULKHEADS ETC", "SHARED OR NO POLE", VLOOKUP(C796,'Tariff Schedule Lookup Table'!I$7:L$286,3,FALSE))</f>
        <v>SHARED OR NO POLE</v>
      </c>
      <c r="G796" s="18">
        <f>IF(E796 = "NO CAPITAL", 1, VLOOKUP(C796,'Tariff Schedule Lookup Table'!I$7:L$286,4,FALSE))</f>
        <v>1</v>
      </c>
      <c r="H796" s="18" t="str">
        <f t="shared" si="142"/>
        <v>1-Unmetered, CE Funded, CE Maintained</v>
      </c>
      <c r="I796" s="123">
        <f>VLOOKUP(F796,'Maintenance Model'!$A$57:$B$61,2,FALSE)</f>
        <v>0</v>
      </c>
      <c r="J796" s="123">
        <f>IF(D796=1,VLOOKUP(C796,'Capital Code Schedules'!A$15:F$300,2,FALSE),IF(D796=2,VLOOKUP(C796,'Capital Code Schedules'!A$15:F$300,3,FALSE),0))</f>
        <v>32.500655058222634</v>
      </c>
      <c r="K796" s="123">
        <v>41.226131174006881</v>
      </c>
      <c r="L796" s="123">
        <f>VLOOKUP(LEFT(A796,10),'Streetlight Tariff Schedule'!B$11:H$260,7, FALSE)+I796</f>
        <v>44.717787102123992</v>
      </c>
      <c r="M796" s="161">
        <f t="shared" si="133"/>
        <v>85.943918276130873</v>
      </c>
      <c r="N796" s="405">
        <f t="shared" si="134"/>
        <v>79.886161962831423</v>
      </c>
      <c r="O796" s="405">
        <v>83.444379163023001</v>
      </c>
      <c r="P796" s="406">
        <v>81.574098286825901</v>
      </c>
      <c r="Q796" s="406">
        <v>84.544347612796741</v>
      </c>
      <c r="R796" s="406">
        <v>86.460917940679721</v>
      </c>
      <c r="S796" s="405">
        <f t="shared" si="135"/>
        <v>82.99008866436246</v>
      </c>
      <c r="T796" s="406">
        <v>87.31010613921994</v>
      </c>
      <c r="U796" s="406">
        <v>89.600540262758983</v>
      </c>
      <c r="V796" s="405">
        <f t="shared" si="136"/>
        <v>86.155377456989342</v>
      </c>
      <c r="W796" s="406">
        <v>89.971474817876157</v>
      </c>
      <c r="X796" s="406">
        <v>93.144753649939545</v>
      </c>
      <c r="Y796" s="405">
        <f t="shared" si="137"/>
        <v>89.67626455833215</v>
      </c>
      <c r="Z796" s="406">
        <v>92.382344454307571</v>
      </c>
      <c r="AA796" s="406">
        <v>95.986458405748948</v>
      </c>
      <c r="AB796" s="442">
        <f t="shared" si="138"/>
        <v>91.473802225119556</v>
      </c>
      <c r="AC796" s="438">
        <f t="shared" si="139"/>
        <v>94.179273125033959</v>
      </c>
      <c r="AD796" s="410"/>
      <c r="AE796" s="411"/>
      <c r="AF796" s="411"/>
      <c r="AG796" s="411"/>
    </row>
    <row r="797" spans="1:33" x14ac:dyDescent="0.2">
      <c r="A797" s="6" t="s">
        <v>722</v>
      </c>
      <c r="B797" s="18" t="str">
        <f>VLOOKUP(LEFT(A797,7),'Tariff Schedule Lookup Table'!$A$8:$G$186,2,FALSE)</f>
        <v>Mercury Vapour 250</v>
      </c>
      <c r="C797" s="160">
        <f t="shared" si="140"/>
        <v>20</v>
      </c>
      <c r="D797" s="18">
        <f t="shared" si="141"/>
        <v>2</v>
      </c>
      <c r="E797" s="18" t="str">
        <f>VLOOKUP(C797,'Tariff Schedule Lookup Table'!I$7:L$286,2,FALSE)</f>
        <v xml:space="preserve">MERCURY VAPOUR 250W </v>
      </c>
      <c r="F797" s="18" t="str">
        <f>IF(E797 = "BULKHEADS ETC", "SHARED OR NO POLE", VLOOKUP(C797,'Tariff Schedule Lookup Table'!I$7:L$286,3,FALSE))</f>
        <v>SHARED OR NO POLE</v>
      </c>
      <c r="G797" s="18">
        <f>IF(E797 = "NO CAPITAL", 1, VLOOKUP(C797,'Tariff Schedule Lookup Table'!I$7:L$286,4,FALSE))</f>
        <v>1</v>
      </c>
      <c r="H797" s="18" t="str">
        <f t="shared" si="142"/>
        <v>2-Unmetered, Funded by Others, CE Maintained</v>
      </c>
      <c r="I797" s="123">
        <f>VLOOKUP(F797,'Maintenance Model'!$A$57:$B$61,2,FALSE)</f>
        <v>0</v>
      </c>
      <c r="J797" s="123">
        <f>IF(D797=1,VLOOKUP(C797,'Capital Code Schedules'!A$15:F$300,2,FALSE),IF(D797=2,VLOOKUP(C797,'Capital Code Schedules'!A$15:F$300,3,FALSE),0))</f>
        <v>0</v>
      </c>
      <c r="K797" s="123">
        <v>0</v>
      </c>
      <c r="L797" s="123">
        <f>VLOOKUP(LEFT(A797,10),'Streetlight Tariff Schedule'!B$11:H$260,7, FALSE)+I797</f>
        <v>44.717787102123992</v>
      </c>
      <c r="M797" s="161">
        <f t="shared" si="133"/>
        <v>44.717787102123992</v>
      </c>
      <c r="N797" s="405">
        <f t="shared" si="134"/>
        <v>46.581115691917773</v>
      </c>
      <c r="O797" s="405">
        <v>39.327620366262359</v>
      </c>
      <c r="P797" s="406">
        <v>39.327620366262359</v>
      </c>
      <c r="Q797" s="406">
        <v>41.252269363699241</v>
      </c>
      <c r="R797" s="406">
        <v>41.252269363699241</v>
      </c>
      <c r="S797" s="405">
        <f t="shared" si="135"/>
        <v>48.860742498243695</v>
      </c>
      <c r="T797" s="406">
        <v>42.946548953457288</v>
      </c>
      <c r="U797" s="406">
        <v>43.103445201334566</v>
      </c>
      <c r="V797" s="405">
        <f t="shared" si="136"/>
        <v>51.053344925136194</v>
      </c>
      <c r="W797" s="406">
        <v>44.509919591765872</v>
      </c>
      <c r="X797" s="406">
        <v>45.071407065932853</v>
      </c>
      <c r="Y797" s="405">
        <f t="shared" si="137"/>
        <v>53.384273123649194</v>
      </c>
      <c r="Z797" s="406">
        <v>45.795615736351067</v>
      </c>
      <c r="AA797" s="406">
        <v>46.543021444098059</v>
      </c>
      <c r="AB797" s="442">
        <f t="shared" si="138"/>
        <v>54.543071741186168</v>
      </c>
      <c r="AC797" s="438">
        <f t="shared" si="139"/>
        <v>56.173858384018118</v>
      </c>
      <c r="AD797" s="410"/>
      <c r="AE797" s="411"/>
      <c r="AF797" s="411"/>
      <c r="AG797" s="411"/>
    </row>
    <row r="798" spans="1:33" x14ac:dyDescent="0.2">
      <c r="A798" s="6" t="s">
        <v>723</v>
      </c>
      <c r="B798" s="18" t="str">
        <f>VLOOKUP(LEFT(A798,7),'Tariff Schedule Lookup Table'!$A$8:$G$186,2,FALSE)</f>
        <v>Mercury Vapour 250</v>
      </c>
      <c r="C798" s="160">
        <f t="shared" si="140"/>
        <v>200</v>
      </c>
      <c r="D798" s="18">
        <f t="shared" si="141"/>
        <v>1</v>
      </c>
      <c r="E798" s="18" t="str">
        <f>VLOOKUP(C798,'Tariff Schedule Lookup Table'!I$7:L$286,2,FALSE)</f>
        <v xml:space="preserve">MERCURY VAPOUR 250W </v>
      </c>
      <c r="F798" s="18" t="str">
        <f>IF(E798 = "BULKHEADS ETC", "SHARED OR NO POLE", VLOOKUP(C798,'Tariff Schedule Lookup Table'!I$7:L$286,3,FALSE))</f>
        <v>WOOD POLE</v>
      </c>
      <c r="G798" s="18">
        <f>IF(E798 = "NO CAPITAL", 1, VLOOKUP(C798,'Tariff Schedule Lookup Table'!I$7:L$286,4,FALSE))</f>
        <v>1</v>
      </c>
      <c r="H798" s="18" t="str">
        <f t="shared" si="142"/>
        <v>1-Unmetered, CE Funded, CE Maintained</v>
      </c>
      <c r="I798" s="123">
        <f>VLOOKUP(F798,'Maintenance Model'!$A$57:$B$61,2,FALSE)</f>
        <v>10.731618231111112</v>
      </c>
      <c r="J798" s="123">
        <f>IF(D798=1,VLOOKUP(C798,'Capital Code Schedules'!A$15:F$300,2,FALSE),IF(D798=2,VLOOKUP(C798,'Capital Code Schedules'!A$15:F$300,3,FALSE),0))</f>
        <v>66.401773420098948</v>
      </c>
      <c r="K798" s="123">
        <v>84.228709122928919</v>
      </c>
      <c r="L798" s="123">
        <f>VLOOKUP(LEFT(A798,10),'Streetlight Tariff Schedule'!B$11:H$260,7, FALSE)+I798</f>
        <v>55.449405333235106</v>
      </c>
      <c r="M798" s="161">
        <f t="shared" si="133"/>
        <v>139.67811445616402</v>
      </c>
      <c r="N798" s="405">
        <f t="shared" si="134"/>
        <v>125.80512298416157</v>
      </c>
      <c r="O798" s="405">
        <v>139.85834285065917</v>
      </c>
      <c r="P798" s="406">
        <v>136.03719011540792</v>
      </c>
      <c r="Q798" s="406">
        <v>140.60687321613665</v>
      </c>
      <c r="R798" s="406">
        <v>144.52259948158536</v>
      </c>
      <c r="S798" s="405">
        <f t="shared" si="135"/>
        <v>130.31594618240501</v>
      </c>
      <c r="T798" s="406">
        <v>144.93816141996652</v>
      </c>
      <c r="U798" s="406">
        <v>149.49554352600359</v>
      </c>
      <c r="V798" s="405">
        <f t="shared" si="136"/>
        <v>135.02202737649588</v>
      </c>
      <c r="W798" s="406">
        <v>149.15811600242864</v>
      </c>
      <c r="X798" s="406">
        <v>155.20415750082995</v>
      </c>
      <c r="Y798" s="405">
        <f t="shared" si="137"/>
        <v>140.34353792984678</v>
      </c>
      <c r="Z798" s="406">
        <v>153.0825151383716</v>
      </c>
      <c r="AA798" s="406">
        <v>159.86400940506684</v>
      </c>
      <c r="AB798" s="442">
        <f t="shared" si="138"/>
        <v>143.08543291648709</v>
      </c>
      <c r="AC798" s="438">
        <f t="shared" si="139"/>
        <v>147.30326161659428</v>
      </c>
      <c r="AD798" s="410"/>
      <c r="AE798" s="411"/>
      <c r="AF798" s="411"/>
      <c r="AG798" s="411"/>
    </row>
    <row r="799" spans="1:33" x14ac:dyDescent="0.2">
      <c r="A799" s="6" t="s">
        <v>724</v>
      </c>
      <c r="B799" s="18" t="str">
        <f>VLOOKUP(LEFT(A799,7),'Tariff Schedule Lookup Table'!$A$8:$G$186,2,FALSE)</f>
        <v>Mercury Vapour 250</v>
      </c>
      <c r="C799" s="160">
        <f t="shared" si="140"/>
        <v>200</v>
      </c>
      <c r="D799" s="18">
        <f t="shared" si="141"/>
        <v>2</v>
      </c>
      <c r="E799" s="18" t="str">
        <f>VLOOKUP(C799,'Tariff Schedule Lookup Table'!I$7:L$286,2,FALSE)</f>
        <v xml:space="preserve">MERCURY VAPOUR 250W </v>
      </c>
      <c r="F799" s="18" t="str">
        <f>IF(E799 = "BULKHEADS ETC", "SHARED OR NO POLE", VLOOKUP(C799,'Tariff Schedule Lookup Table'!I$7:L$286,3,FALSE))</f>
        <v>WOOD POLE</v>
      </c>
      <c r="G799" s="18">
        <f>IF(E799 = "NO CAPITAL", 1, VLOOKUP(C799,'Tariff Schedule Lookup Table'!I$7:L$286,4,FALSE))</f>
        <v>1</v>
      </c>
      <c r="H799" s="18" t="str">
        <f t="shared" si="142"/>
        <v>2-Unmetered, Funded by Others, CE Maintained</v>
      </c>
      <c r="I799" s="123">
        <f>VLOOKUP(F799,'Maintenance Model'!$A$57:$B$61,2,FALSE)</f>
        <v>10.731618231111112</v>
      </c>
      <c r="J799" s="123">
        <f>IF(D799=1,VLOOKUP(C799,'Capital Code Schedules'!A$15:F$300,2,FALSE),IF(D799=2,VLOOKUP(C799,'Capital Code Schedules'!A$15:F$300,3,FALSE),0))</f>
        <v>0</v>
      </c>
      <c r="K799" s="123">
        <v>0</v>
      </c>
      <c r="L799" s="123">
        <f>VLOOKUP(LEFT(A799,10),'Streetlight Tariff Schedule'!B$11:H$260,7, FALSE)+I799</f>
        <v>55.449405333235106</v>
      </c>
      <c r="M799" s="161">
        <f t="shared" si="133"/>
        <v>55.449405333235106</v>
      </c>
      <c r="N799" s="405">
        <f t="shared" si="134"/>
        <v>57.75990567191517</v>
      </c>
      <c r="O799" s="405">
        <v>49.72382044168652</v>
      </c>
      <c r="P799" s="406">
        <v>49.72382044168652</v>
      </c>
      <c r="Q799" s="406">
        <v>52.157247642990619</v>
      </c>
      <c r="R799" s="406">
        <v>52.157247642990619</v>
      </c>
      <c r="S799" s="405">
        <f t="shared" si="135"/>
        <v>60.586609741680526</v>
      </c>
      <c r="T799" s="406">
        <v>54.299407613885137</v>
      </c>
      <c r="U799" s="406">
        <v>54.497779160008911</v>
      </c>
      <c r="V799" s="405">
        <f t="shared" si="136"/>
        <v>63.305404847210752</v>
      </c>
      <c r="W799" s="406">
        <v>56.276053039646733</v>
      </c>
      <c r="X799" s="406">
        <v>56.985968922828057</v>
      </c>
      <c r="Y799" s="405">
        <f t="shared" si="137"/>
        <v>66.195721896818853</v>
      </c>
      <c r="Z799" s="406">
        <v>57.901621117260845</v>
      </c>
      <c r="AA799" s="406">
        <v>58.846602452591895</v>
      </c>
      <c r="AB799" s="442">
        <f t="shared" si="138"/>
        <v>67.632615321277882</v>
      </c>
      <c r="AC799" s="438">
        <f t="shared" si="139"/>
        <v>69.654767029364493</v>
      </c>
      <c r="AD799" s="410"/>
      <c r="AE799" s="411"/>
      <c r="AF799" s="411"/>
      <c r="AG799" s="411"/>
    </row>
    <row r="800" spans="1:33" x14ac:dyDescent="0.2">
      <c r="A800" s="6" t="s">
        <v>725</v>
      </c>
      <c r="B800" s="18" t="str">
        <f>VLOOKUP(LEFT(A800,7),'Tariff Schedule Lookup Table'!$A$8:$G$186,2,FALSE)</f>
        <v>Mercury Vapour 250</v>
      </c>
      <c r="C800" s="160">
        <f t="shared" si="140"/>
        <v>290</v>
      </c>
      <c r="D800" s="18">
        <f t="shared" si="141"/>
        <v>1</v>
      </c>
      <c r="E800" s="18" t="str">
        <f>VLOOKUP(C800,'Tariff Schedule Lookup Table'!I$7:L$286,2,FALSE)</f>
        <v xml:space="preserve">MERCURY VAPOUR 250W </v>
      </c>
      <c r="F800" s="18" t="str">
        <f>IF(E800 = "BULKHEADS ETC", "SHARED OR NO POLE", VLOOKUP(C800,'Tariff Schedule Lookup Table'!I$7:L$286,3,FALSE))</f>
        <v>STEEL POLE</v>
      </c>
      <c r="G800" s="18">
        <f>IF(E800 = "NO CAPITAL", 1, VLOOKUP(C800,'Tariff Schedule Lookup Table'!I$7:L$286,4,FALSE))</f>
        <v>1</v>
      </c>
      <c r="H800" s="18" t="str">
        <f t="shared" si="142"/>
        <v>1-Unmetered, CE Funded, CE Maintained</v>
      </c>
      <c r="I800" s="123">
        <f>VLOOKUP(F800,'Maintenance Model'!$A$57:$B$61,2,FALSE)</f>
        <v>9.9616182311111103</v>
      </c>
      <c r="J800" s="123">
        <f>IF(D800=1,VLOOKUP(C800,'Capital Code Schedules'!A$15:F$300,2,FALSE),IF(D800=2,VLOOKUP(C800,'Capital Code Schedules'!A$15:F$300,3,FALSE),0))</f>
        <v>92.68503859372899</v>
      </c>
      <c r="K800" s="123">
        <v>117.5682629192497</v>
      </c>
      <c r="L800" s="123">
        <f>VLOOKUP(LEFT(A800,10),'Streetlight Tariff Schedule'!B$11:H$260,7, FALSE)+I800</f>
        <v>54.679405333235103</v>
      </c>
      <c r="M800" s="161">
        <f t="shared" si="133"/>
        <v>172.2476682524848</v>
      </c>
      <c r="N800" s="405">
        <f t="shared" si="134"/>
        <v>151.93681413151396</v>
      </c>
      <c r="O800" s="405">
        <v>174.73346107013762</v>
      </c>
      <c r="P800" s="406">
        <v>169.39981302886267</v>
      </c>
      <c r="Q800" s="406">
        <v>174.77581952697318</v>
      </c>
      <c r="R800" s="406">
        <v>180.24147535726971</v>
      </c>
      <c r="S800" s="405">
        <f t="shared" si="135"/>
        <v>157.07499516592821</v>
      </c>
      <c r="T800" s="406">
        <v>179.93905751946056</v>
      </c>
      <c r="U800" s="406">
        <v>186.21863085787069</v>
      </c>
      <c r="V800" s="405">
        <f t="shared" si="136"/>
        <v>162.52993274977527</v>
      </c>
      <c r="W800" s="406">
        <v>185.01507775931861</v>
      </c>
      <c r="X800" s="406">
        <v>193.16182224903639</v>
      </c>
      <c r="Y800" s="405">
        <f t="shared" si="137"/>
        <v>168.77362605106933</v>
      </c>
      <c r="Z800" s="406">
        <v>189.82318248543345</v>
      </c>
      <c r="AA800" s="406">
        <v>198.89965212615658</v>
      </c>
      <c r="AB800" s="442">
        <f t="shared" si="138"/>
        <v>172.01211555241997</v>
      </c>
      <c r="AC800" s="438">
        <f t="shared" si="139"/>
        <v>177.07096025285054</v>
      </c>
      <c r="AD800" s="410"/>
      <c r="AE800" s="411"/>
      <c r="AF800" s="411"/>
      <c r="AG800" s="411"/>
    </row>
    <row r="801" spans="1:33" x14ac:dyDescent="0.2">
      <c r="A801" s="6" t="s">
        <v>726</v>
      </c>
      <c r="B801" s="18" t="str">
        <f>VLOOKUP(LEFT(A801,7),'Tariff Schedule Lookup Table'!$A$8:$G$186,2,FALSE)</f>
        <v>Mercury Vapour 250</v>
      </c>
      <c r="C801" s="160">
        <f t="shared" si="140"/>
        <v>290</v>
      </c>
      <c r="D801" s="18">
        <f t="shared" si="141"/>
        <v>2</v>
      </c>
      <c r="E801" s="18" t="str">
        <f>VLOOKUP(C801,'Tariff Schedule Lookup Table'!I$7:L$286,2,FALSE)</f>
        <v xml:space="preserve">MERCURY VAPOUR 250W </v>
      </c>
      <c r="F801" s="18" t="str">
        <f>IF(E801 = "BULKHEADS ETC", "SHARED OR NO POLE", VLOOKUP(C801,'Tariff Schedule Lookup Table'!I$7:L$286,3,FALSE))</f>
        <v>STEEL POLE</v>
      </c>
      <c r="G801" s="18">
        <f>IF(E801 = "NO CAPITAL", 1, VLOOKUP(C801,'Tariff Schedule Lookup Table'!I$7:L$286,4,FALSE))</f>
        <v>1</v>
      </c>
      <c r="H801" s="18" t="str">
        <f t="shared" si="142"/>
        <v>2-Unmetered, Funded by Others, CE Maintained</v>
      </c>
      <c r="I801" s="123">
        <f>VLOOKUP(F801,'Maintenance Model'!$A$57:$B$61,2,FALSE)</f>
        <v>9.9616182311111103</v>
      </c>
      <c r="J801" s="123">
        <f>IF(D801=1,VLOOKUP(C801,'Capital Code Schedules'!A$15:F$300,2,FALSE),IF(D801=2,VLOOKUP(C801,'Capital Code Schedules'!A$15:F$300,3,FALSE),0))</f>
        <v>0</v>
      </c>
      <c r="K801" s="123">
        <v>0</v>
      </c>
      <c r="L801" s="123">
        <f>VLOOKUP(LEFT(A801,10),'Streetlight Tariff Schedule'!B$11:H$260,7, FALSE)+I801</f>
        <v>54.679405333235103</v>
      </c>
      <c r="M801" s="161">
        <f t="shared" si="133"/>
        <v>54.679405333235103</v>
      </c>
      <c r="N801" s="405">
        <f t="shared" si="134"/>
        <v>56.957820832590166</v>
      </c>
      <c r="O801" s="405">
        <v>48.921735602361515</v>
      </c>
      <c r="P801" s="406">
        <v>48.921735602361515</v>
      </c>
      <c r="Q801" s="406">
        <v>51.315909684166158</v>
      </c>
      <c r="R801" s="406">
        <v>51.315909684166158</v>
      </c>
      <c r="S801" s="405">
        <f t="shared" si="135"/>
        <v>59.745271782856065</v>
      </c>
      <c r="T801" s="406">
        <v>53.423514908044034</v>
      </c>
      <c r="U801" s="406">
        <v>53.618686563083699</v>
      </c>
      <c r="V801" s="405">
        <f t="shared" si="136"/>
        <v>62.426312250285534</v>
      </c>
      <c r="W801" s="406">
        <v>55.368275468269523</v>
      </c>
      <c r="X801" s="406">
        <v>56.066739842656119</v>
      </c>
      <c r="Y801" s="405">
        <f t="shared" si="137"/>
        <v>65.276492816646922</v>
      </c>
      <c r="Z801" s="406">
        <v>56.967621837680944</v>
      </c>
      <c r="AA801" s="406">
        <v>57.897359871194453</v>
      </c>
      <c r="AB801" s="442">
        <f t="shared" si="138"/>
        <v>66.693432773071706</v>
      </c>
      <c r="AC801" s="438">
        <f t="shared" si="139"/>
        <v>68.687503804623233</v>
      </c>
      <c r="AD801" s="410"/>
      <c r="AE801" s="411"/>
      <c r="AF801" s="411"/>
      <c r="AG801" s="411"/>
    </row>
    <row r="802" spans="1:33" x14ac:dyDescent="0.2">
      <c r="A802" s="6" t="s">
        <v>727</v>
      </c>
      <c r="B802" s="18" t="str">
        <f>VLOOKUP(LEFT(A802,7),'Tariff Schedule Lookup Table'!$A$8:$G$186,2,FALSE)</f>
        <v>Mercury Vapour 250</v>
      </c>
      <c r="C802" s="160">
        <f t="shared" si="140"/>
        <v>370</v>
      </c>
      <c r="D802" s="18">
        <f t="shared" si="141"/>
        <v>1</v>
      </c>
      <c r="E802" s="18" t="str">
        <f>VLOOKUP(C802,'Tariff Schedule Lookup Table'!I$7:L$286,2,FALSE)</f>
        <v xml:space="preserve">MERCURY VAPOUR 250W </v>
      </c>
      <c r="F802" s="18" t="str">
        <f>IF(E802 = "BULKHEADS ETC", "SHARED OR NO POLE", VLOOKUP(C802,'Tariff Schedule Lookup Table'!I$7:L$286,3,FALSE))</f>
        <v>STEEL POLE</v>
      </c>
      <c r="G802" s="18">
        <f>IF(E802 = "NO CAPITAL", 1, VLOOKUP(C802,'Tariff Schedule Lookup Table'!I$7:L$286,4,FALSE))</f>
        <v>2</v>
      </c>
      <c r="H802" s="18" t="str">
        <f t="shared" si="142"/>
        <v>1-Unmetered, CE Funded, CE Maintained</v>
      </c>
      <c r="I802" s="123">
        <f>VLOOKUP(F802,'Maintenance Model'!$A$57:$B$61,2,FALSE)</f>
        <v>9.9616182311111103</v>
      </c>
      <c r="J802" s="123">
        <f>IF(D802=1,VLOOKUP(C802,'Capital Code Schedules'!A$15:F$300,2,FALSE),IF(D802=2,VLOOKUP(C802,'Capital Code Schedules'!A$15:F$300,3,FALSE),0))</f>
        <v>105.78116986969529</v>
      </c>
      <c r="K802" s="123">
        <v>134.18032273428432</v>
      </c>
      <c r="L802" s="123">
        <f>VLOOKUP(LEFT(A802,10),'Streetlight Tariff Schedule'!B$11:H$260,7, FALSE)+I802</f>
        <v>54.679405333235103</v>
      </c>
      <c r="M802" s="161">
        <f t="shared" si="133"/>
        <v>188.85972806751943</v>
      </c>
      <c r="N802" s="405">
        <f t="shared" si="134"/>
        <v>165.3570746565604</v>
      </c>
      <c r="O802" s="405">
        <v>192.51029860271979</v>
      </c>
      <c r="P802" s="406">
        <v>186.42302132431939</v>
      </c>
      <c r="Q802" s="406">
        <v>192.22035222774247</v>
      </c>
      <c r="R802" s="406">
        <v>198.45828961878328</v>
      </c>
      <c r="S802" s="405">
        <f t="shared" si="135"/>
        <v>170.82740713896956</v>
      </c>
      <c r="T802" s="406">
        <v>197.81534240457387</v>
      </c>
      <c r="U802" s="406">
        <v>204.95462432583739</v>
      </c>
      <c r="V802" s="405">
        <f t="shared" si="136"/>
        <v>176.67428846404829</v>
      </c>
      <c r="W802" s="406">
        <v>203.33380069533848</v>
      </c>
      <c r="X802" s="406">
        <v>212.53296589556717</v>
      </c>
      <c r="Y802" s="405">
        <f t="shared" si="137"/>
        <v>183.39747542405621</v>
      </c>
      <c r="Z802" s="406">
        <v>208.59529381411983</v>
      </c>
      <c r="AA802" s="406">
        <v>218.82287336661349</v>
      </c>
      <c r="AB802" s="442">
        <f t="shared" si="138"/>
        <v>186.89334467437141</v>
      </c>
      <c r="AC802" s="438">
        <f t="shared" si="139"/>
        <v>192.38523314225077</v>
      </c>
      <c r="AD802" s="410"/>
      <c r="AE802" s="411"/>
      <c r="AF802" s="411"/>
      <c r="AG802" s="411"/>
    </row>
    <row r="803" spans="1:33" x14ac:dyDescent="0.2">
      <c r="A803" s="6" t="s">
        <v>728</v>
      </c>
      <c r="B803" s="18" t="str">
        <f>VLOOKUP(LEFT(A803,7),'Tariff Schedule Lookup Table'!$A$8:$G$186,2,FALSE)</f>
        <v>Mercury Vapour 250</v>
      </c>
      <c r="C803" s="160">
        <f t="shared" si="140"/>
        <v>370</v>
      </c>
      <c r="D803" s="18">
        <f t="shared" si="141"/>
        <v>2</v>
      </c>
      <c r="E803" s="18" t="str">
        <f>VLOOKUP(C803,'Tariff Schedule Lookup Table'!I$7:L$286,2,FALSE)</f>
        <v xml:space="preserve">MERCURY VAPOUR 250W </v>
      </c>
      <c r="F803" s="18" t="str">
        <f>IF(E803 = "BULKHEADS ETC", "SHARED OR NO POLE", VLOOKUP(C803,'Tariff Schedule Lookup Table'!I$7:L$286,3,FALSE))</f>
        <v>STEEL POLE</v>
      </c>
      <c r="G803" s="18">
        <f>IF(E803 = "NO CAPITAL", 1, VLOOKUP(C803,'Tariff Schedule Lookup Table'!I$7:L$286,4,FALSE))</f>
        <v>2</v>
      </c>
      <c r="H803" s="18" t="str">
        <f t="shared" si="142"/>
        <v>2-Unmetered, Funded by Others, CE Maintained</v>
      </c>
      <c r="I803" s="123">
        <f>VLOOKUP(F803,'Maintenance Model'!$A$57:$B$61,2,FALSE)</f>
        <v>9.9616182311111103</v>
      </c>
      <c r="J803" s="123">
        <f>IF(D803=1,VLOOKUP(C803,'Capital Code Schedules'!A$15:F$300,2,FALSE),IF(D803=2,VLOOKUP(C803,'Capital Code Schedules'!A$15:F$300,3,FALSE),0))</f>
        <v>0</v>
      </c>
      <c r="K803" s="123">
        <v>0</v>
      </c>
      <c r="L803" s="123">
        <f>VLOOKUP(LEFT(A803,10),'Streetlight Tariff Schedule'!B$11:H$260,7, FALSE)+I803</f>
        <v>54.679405333235103</v>
      </c>
      <c r="M803" s="161">
        <f t="shared" si="133"/>
        <v>54.679405333235103</v>
      </c>
      <c r="N803" s="405">
        <f t="shared" si="134"/>
        <v>56.957820832590166</v>
      </c>
      <c r="O803" s="405">
        <v>48.921735602361515</v>
      </c>
      <c r="P803" s="406">
        <v>48.921735602361515</v>
      </c>
      <c r="Q803" s="406">
        <v>51.315909684166158</v>
      </c>
      <c r="R803" s="406">
        <v>51.315909684166158</v>
      </c>
      <c r="S803" s="405">
        <f t="shared" si="135"/>
        <v>59.745271782856065</v>
      </c>
      <c r="T803" s="406">
        <v>53.423514908044034</v>
      </c>
      <c r="U803" s="406">
        <v>53.618686563083699</v>
      </c>
      <c r="V803" s="405">
        <f t="shared" si="136"/>
        <v>62.426312250285534</v>
      </c>
      <c r="W803" s="406">
        <v>55.368275468269523</v>
      </c>
      <c r="X803" s="406">
        <v>56.066739842656119</v>
      </c>
      <c r="Y803" s="405">
        <f t="shared" si="137"/>
        <v>65.276492816646922</v>
      </c>
      <c r="Z803" s="406">
        <v>56.967621837680944</v>
      </c>
      <c r="AA803" s="406">
        <v>57.897359871194453</v>
      </c>
      <c r="AB803" s="442">
        <f t="shared" si="138"/>
        <v>66.693432773071706</v>
      </c>
      <c r="AC803" s="438">
        <f t="shared" si="139"/>
        <v>68.687503804623233</v>
      </c>
      <c r="AD803" s="410"/>
      <c r="AE803" s="411"/>
      <c r="AF803" s="411"/>
      <c r="AG803" s="411"/>
    </row>
    <row r="804" spans="1:33" x14ac:dyDescent="0.2">
      <c r="A804" s="6" t="s">
        <v>729</v>
      </c>
      <c r="B804" s="18" t="str">
        <f>VLOOKUP(LEFT(A804,7),'Tariff Schedule Lookup Table'!$A$8:$G$186,2,FALSE)</f>
        <v>Mercury Vapour 250</v>
      </c>
      <c r="C804" s="160">
        <f t="shared" si="140"/>
        <v>940</v>
      </c>
      <c r="D804" s="18">
        <f t="shared" si="141"/>
        <v>1</v>
      </c>
      <c r="E804" s="18" t="str">
        <f>VLOOKUP(C804,'Tariff Schedule Lookup Table'!I$7:L$286,2,FALSE)</f>
        <v xml:space="preserve">MERCURY VAPOUR 250W </v>
      </c>
      <c r="F804" s="18" t="str">
        <f>IF(E804 = "BULKHEADS ETC", "SHARED OR NO POLE", VLOOKUP(C804,'Tariff Schedule Lookup Table'!I$7:L$286,3,FALSE))</f>
        <v>SHARED OR NO POLE</v>
      </c>
      <c r="G804" s="18">
        <f>IF(E804 = "NO CAPITAL", 1, VLOOKUP(C804,'Tariff Schedule Lookup Table'!I$7:L$286,4,FALSE))</f>
        <v>2</v>
      </c>
      <c r="H804" s="18" t="str">
        <f t="shared" si="142"/>
        <v>1-Unmetered, CE Funded, CE Maintained</v>
      </c>
      <c r="I804" s="123">
        <f>VLOOKUP(F804,'Maintenance Model'!$A$57:$B$61,2,FALSE)</f>
        <v>0</v>
      </c>
      <c r="J804" s="123">
        <f>IF(D804=1,VLOOKUP(C804,'Capital Code Schedules'!A$15:F$300,2,FALSE),IF(D804=2,VLOOKUP(C804,'Capital Code Schedules'!A$15:F$300,3,FALSE),0))</f>
        <v>45.596786334188934</v>
      </c>
      <c r="K804" s="123">
        <v>57.838190989041465</v>
      </c>
      <c r="L804" s="123">
        <f>VLOOKUP(LEFT(A804,10),'Streetlight Tariff Schedule'!B$11:H$260,7, FALSE)+I804</f>
        <v>44.717787102123992</v>
      </c>
      <c r="M804" s="161">
        <f t="shared" si="133"/>
        <v>102.55597809116546</v>
      </c>
      <c r="N804" s="405">
        <f t="shared" si="134"/>
        <v>93.306422487877882</v>
      </c>
      <c r="O804" s="405">
        <v>101.22121669560518</v>
      </c>
      <c r="P804" s="406">
        <v>98.597306582282599</v>
      </c>
      <c r="Q804" s="406">
        <v>101.988880313566</v>
      </c>
      <c r="R804" s="406">
        <v>104.6777322021933</v>
      </c>
      <c r="S804" s="405">
        <f t="shared" si="135"/>
        <v>96.742500637403822</v>
      </c>
      <c r="T804" s="406">
        <v>105.18639102433325</v>
      </c>
      <c r="U804" s="406">
        <v>108.33653373072571</v>
      </c>
      <c r="V804" s="405">
        <f t="shared" si="136"/>
        <v>100.29973317126239</v>
      </c>
      <c r="W804" s="406">
        <v>108.29019775389601</v>
      </c>
      <c r="X804" s="406">
        <v>112.51589729647034</v>
      </c>
      <c r="Y804" s="405">
        <f t="shared" si="137"/>
        <v>104.30011393131906</v>
      </c>
      <c r="Z804" s="406">
        <v>111.15445578299391</v>
      </c>
      <c r="AA804" s="406">
        <v>115.90967964620587</v>
      </c>
      <c r="AB804" s="442">
        <f t="shared" si="138"/>
        <v>106.35503134707103</v>
      </c>
      <c r="AC804" s="438">
        <f t="shared" si="139"/>
        <v>109.49354601443422</v>
      </c>
      <c r="AD804" s="410"/>
      <c r="AE804" s="411"/>
      <c r="AF804" s="411"/>
      <c r="AG804" s="411"/>
    </row>
    <row r="805" spans="1:33" x14ac:dyDescent="0.2">
      <c r="A805" s="6" t="s">
        <v>730</v>
      </c>
      <c r="B805" s="18" t="str">
        <f>VLOOKUP(LEFT(A805,7),'Tariff Schedule Lookup Table'!$A$8:$G$186,2,FALSE)</f>
        <v>Mercury Vapour 400</v>
      </c>
      <c r="C805" s="160">
        <f t="shared" si="140"/>
        <v>30</v>
      </c>
      <c r="D805" s="18">
        <f t="shared" si="141"/>
        <v>1</v>
      </c>
      <c r="E805" s="18" t="str">
        <f>VLOOKUP(C805,'Tariff Schedule Lookup Table'!I$7:L$286,2,FALSE)</f>
        <v>MERCURY VAPOUR 400W</v>
      </c>
      <c r="F805" s="18" t="str">
        <f>IF(E805 = "BULKHEADS ETC", "SHARED OR NO POLE", VLOOKUP(C805,'Tariff Schedule Lookup Table'!I$7:L$286,3,FALSE))</f>
        <v>SHARED OR NO POLE</v>
      </c>
      <c r="G805" s="18">
        <f>IF(E805 = "NO CAPITAL", 1, VLOOKUP(C805,'Tariff Schedule Lookup Table'!I$7:L$286,4,FALSE))</f>
        <v>1</v>
      </c>
      <c r="H805" s="18" t="str">
        <f t="shared" si="142"/>
        <v>1-Unmetered, CE Funded, CE Maintained</v>
      </c>
      <c r="I805" s="123">
        <f>VLOOKUP(F805,'Maintenance Model'!$A$57:$B$61,2,FALSE)</f>
        <v>0</v>
      </c>
      <c r="J805" s="123">
        <f>IF(D805=1,VLOOKUP(C805,'Capital Code Schedules'!A$15:F$300,2,FALSE),IF(D805=2,VLOOKUP(C805,'Capital Code Schedules'!A$15:F$300,3,FALSE),0))</f>
        <v>32.642120539558654</v>
      </c>
      <c r="K805" s="123">
        <v>41.405576003032792</v>
      </c>
      <c r="L805" s="123">
        <f>VLOOKUP(LEFT(A805,10),'Streetlight Tariff Schedule'!B$11:H$260,7, FALSE)+I805</f>
        <v>58.973327651893996</v>
      </c>
      <c r="M805" s="161">
        <f t="shared" si="133"/>
        <v>100.37890365492679</v>
      </c>
      <c r="N805" s="405">
        <f t="shared" si="134"/>
        <v>94.880678002302318</v>
      </c>
      <c r="O805" s="405">
        <v>98.628855197255049</v>
      </c>
      <c r="P805" s="406">
        <v>96.750433556389936</v>
      </c>
      <c r="Q805" s="406">
        <v>100.45894746896498</v>
      </c>
      <c r="R805" s="406">
        <v>102.38386004544149</v>
      </c>
      <c r="S805" s="405">
        <f t="shared" si="135"/>
        <v>98.714912678645959</v>
      </c>
      <c r="T805" s="406">
        <v>103.87526195191313</v>
      </c>
      <c r="U805" s="406">
        <v>106.23479460076254</v>
      </c>
      <c r="V805" s="405">
        <f t="shared" si="136"/>
        <v>102.58341290870177</v>
      </c>
      <c r="W805" s="406">
        <v>107.13739699362191</v>
      </c>
      <c r="X805" s="406">
        <v>110.53609404034513</v>
      </c>
      <c r="Y805" s="405">
        <f t="shared" si="137"/>
        <v>106.85255390918377</v>
      </c>
      <c r="Z805" s="406">
        <v>110.04329639447079</v>
      </c>
      <c r="AA805" s="406">
        <v>113.94477023428391</v>
      </c>
      <c r="AB805" s="442">
        <f t="shared" si="138"/>
        <v>109.02228411524311</v>
      </c>
      <c r="AC805" s="438">
        <f t="shared" si="139"/>
        <v>112.25230970235903</v>
      </c>
      <c r="AD805" s="410"/>
      <c r="AE805" s="411"/>
      <c r="AF805" s="411"/>
      <c r="AG805" s="411"/>
    </row>
    <row r="806" spans="1:33" x14ac:dyDescent="0.2">
      <c r="A806" s="6" t="s">
        <v>731</v>
      </c>
      <c r="B806" s="18" t="str">
        <f>VLOOKUP(LEFT(A806,7),'Tariff Schedule Lookup Table'!$A$8:$G$186,2,FALSE)</f>
        <v>Mercury Vapour 400</v>
      </c>
      <c r="C806" s="160">
        <f t="shared" si="140"/>
        <v>30</v>
      </c>
      <c r="D806" s="18">
        <f t="shared" si="141"/>
        <v>2</v>
      </c>
      <c r="E806" s="18" t="str">
        <f>VLOOKUP(C806,'Tariff Schedule Lookup Table'!I$7:L$286,2,FALSE)</f>
        <v>MERCURY VAPOUR 400W</v>
      </c>
      <c r="F806" s="18" t="str">
        <f>IF(E806 = "BULKHEADS ETC", "SHARED OR NO POLE", VLOOKUP(C806,'Tariff Schedule Lookup Table'!I$7:L$286,3,FALSE))</f>
        <v>SHARED OR NO POLE</v>
      </c>
      <c r="G806" s="18">
        <f>IF(E806 = "NO CAPITAL", 1, VLOOKUP(C806,'Tariff Schedule Lookup Table'!I$7:L$286,4,FALSE))</f>
        <v>1</v>
      </c>
      <c r="H806" s="18" t="str">
        <f t="shared" si="142"/>
        <v>2-Unmetered, Funded by Others, CE Maintained</v>
      </c>
      <c r="I806" s="123">
        <f>VLOOKUP(F806,'Maintenance Model'!$A$57:$B$61,2,FALSE)</f>
        <v>0</v>
      </c>
      <c r="J806" s="123">
        <f>IF(D806=1,VLOOKUP(C806,'Capital Code Schedules'!A$15:F$300,2,FALSE),IF(D806=2,VLOOKUP(C806,'Capital Code Schedules'!A$15:F$300,3,FALSE),0))</f>
        <v>0</v>
      </c>
      <c r="K806" s="123">
        <v>0</v>
      </c>
      <c r="L806" s="123">
        <f>VLOOKUP(LEFT(A806,10),'Streetlight Tariff Schedule'!B$11:H$260,7, FALSE)+I806</f>
        <v>58.973327651893996</v>
      </c>
      <c r="M806" s="161">
        <f t="shared" si="133"/>
        <v>58.973327651893996</v>
      </c>
      <c r="N806" s="405">
        <f t="shared" si="134"/>
        <v>61.430664979389576</v>
      </c>
      <c r="O806" s="405">
        <v>54.320069547282081</v>
      </c>
      <c r="P806" s="406">
        <v>54.320069547282081</v>
      </c>
      <c r="Q806" s="406">
        <v>56.978431950631702</v>
      </c>
      <c r="R806" s="406">
        <v>56.978431950631702</v>
      </c>
      <c r="S806" s="405">
        <f t="shared" si="135"/>
        <v>64.437011833416136</v>
      </c>
      <c r="T806" s="406">
        <v>59.318603674501105</v>
      </c>
      <c r="U806" s="406">
        <v>59.535311805250672</v>
      </c>
      <c r="V806" s="405">
        <f t="shared" si="136"/>
        <v>67.328591889382892</v>
      </c>
      <c r="W806" s="406">
        <v>61.477961423843922</v>
      </c>
      <c r="X806" s="406">
        <v>62.253498778065413</v>
      </c>
      <c r="Y806" s="405">
        <f t="shared" si="137"/>
        <v>70.402594457309988</v>
      </c>
      <c r="Z806" s="406">
        <v>63.253789794340818</v>
      </c>
      <c r="AA806" s="406">
        <v>64.286121007029209</v>
      </c>
      <c r="AB806" s="442">
        <f t="shared" si="138"/>
        <v>71.930805377016341</v>
      </c>
      <c r="AC806" s="438">
        <f t="shared" si="139"/>
        <v>74.081468932849859</v>
      </c>
      <c r="AD806" s="410"/>
      <c r="AE806" s="411"/>
      <c r="AF806" s="411"/>
      <c r="AG806" s="411"/>
    </row>
    <row r="807" spans="1:33" x14ac:dyDescent="0.2">
      <c r="A807" s="6" t="s">
        <v>732</v>
      </c>
      <c r="B807" s="18" t="str">
        <f>VLOOKUP(LEFT(A807,7),'Tariff Schedule Lookup Table'!$A$8:$G$186,2,FALSE)</f>
        <v>Mercury Vapour 400</v>
      </c>
      <c r="C807" s="160">
        <f t="shared" si="140"/>
        <v>210</v>
      </c>
      <c r="D807" s="18">
        <f t="shared" si="141"/>
        <v>1</v>
      </c>
      <c r="E807" s="18" t="str">
        <f>VLOOKUP(C807,'Tariff Schedule Lookup Table'!I$7:L$286,2,FALSE)</f>
        <v>MERCURY VAPOUR 400W</v>
      </c>
      <c r="F807" s="18" t="str">
        <f>IF(E807 = "BULKHEADS ETC", "SHARED OR NO POLE", VLOOKUP(C807,'Tariff Schedule Lookup Table'!I$7:L$286,3,FALSE))</f>
        <v>WOOD POLE</v>
      </c>
      <c r="G807" s="18">
        <f>IF(E807 = "NO CAPITAL", 1, VLOOKUP(C807,'Tariff Schedule Lookup Table'!I$7:L$286,4,FALSE))</f>
        <v>1</v>
      </c>
      <c r="H807" s="18" t="str">
        <f t="shared" si="142"/>
        <v>1-Unmetered, CE Funded, CE Maintained</v>
      </c>
      <c r="I807" s="123">
        <f>VLOOKUP(F807,'Maintenance Model'!$A$57:$B$61,2,FALSE)</f>
        <v>10.731618231111112</v>
      </c>
      <c r="J807" s="123">
        <f>IF(D807=1,VLOOKUP(C807,'Capital Code Schedules'!A$15:F$300,2,FALSE),IF(D807=2,VLOOKUP(C807,'Capital Code Schedules'!A$15:F$300,3,FALSE),0))</f>
        <v>66.543238901434947</v>
      </c>
      <c r="K807" s="123">
        <v>84.40815395195483</v>
      </c>
      <c r="L807" s="123">
        <f>VLOOKUP(LEFT(A807,10),'Streetlight Tariff Schedule'!B$11:H$260,7, FALSE)+I807</f>
        <v>69.704945883005109</v>
      </c>
      <c r="M807" s="161">
        <f t="shared" si="133"/>
        <v>154.11309983495994</v>
      </c>
      <c r="N807" s="405">
        <f t="shared" si="134"/>
        <v>140.79963902363244</v>
      </c>
      <c r="O807" s="405">
        <v>155.04281888489118</v>
      </c>
      <c r="P807" s="406">
        <v>151.21352538497197</v>
      </c>
      <c r="Q807" s="406">
        <v>156.52147307230487</v>
      </c>
      <c r="R807" s="406">
        <v>160.4455415863471</v>
      </c>
      <c r="S807" s="405">
        <f t="shared" si="135"/>
        <v>146.04077019668853</v>
      </c>
      <c r="T807" s="406">
        <v>161.50331723265973</v>
      </c>
      <c r="U807" s="406">
        <v>166.12979786400712</v>
      </c>
      <c r="V807" s="405">
        <f t="shared" si="136"/>
        <v>151.45006282820833</v>
      </c>
      <c r="W807" s="406">
        <v>166.32403817817436</v>
      </c>
      <c r="X807" s="406">
        <v>172.59549789123548</v>
      </c>
      <c r="Y807" s="405">
        <f t="shared" si="137"/>
        <v>157.51982728069837</v>
      </c>
      <c r="Z807" s="406">
        <v>170.74346707853479</v>
      </c>
      <c r="AA807" s="406">
        <v>177.82232123360174</v>
      </c>
      <c r="AB807" s="442">
        <f t="shared" si="138"/>
        <v>160.63391480661062</v>
      </c>
      <c r="AC807" s="438">
        <f t="shared" si="139"/>
        <v>165.37629819391935</v>
      </c>
      <c r="AD807" s="410"/>
      <c r="AE807" s="411"/>
      <c r="AF807" s="411"/>
      <c r="AG807" s="411"/>
    </row>
    <row r="808" spans="1:33" x14ac:dyDescent="0.2">
      <c r="A808" s="6" t="s">
        <v>733</v>
      </c>
      <c r="B808" s="18" t="str">
        <f>VLOOKUP(LEFT(A808,7),'Tariff Schedule Lookup Table'!$A$8:$G$186,2,FALSE)</f>
        <v>Mercury Vapour 400</v>
      </c>
      <c r="C808" s="160">
        <f t="shared" si="140"/>
        <v>210</v>
      </c>
      <c r="D808" s="18">
        <f t="shared" si="141"/>
        <v>2</v>
      </c>
      <c r="E808" s="18" t="str">
        <f>VLOOKUP(C808,'Tariff Schedule Lookup Table'!I$7:L$286,2,FALSE)</f>
        <v>MERCURY VAPOUR 400W</v>
      </c>
      <c r="F808" s="18" t="str">
        <f>IF(E808 = "BULKHEADS ETC", "SHARED OR NO POLE", VLOOKUP(C808,'Tariff Schedule Lookup Table'!I$7:L$286,3,FALSE))</f>
        <v>WOOD POLE</v>
      </c>
      <c r="G808" s="18">
        <f>IF(E808 = "NO CAPITAL", 1, VLOOKUP(C808,'Tariff Schedule Lookup Table'!I$7:L$286,4,FALSE))</f>
        <v>1</v>
      </c>
      <c r="H808" s="18" t="str">
        <f t="shared" si="142"/>
        <v>2-Unmetered, Funded by Others, CE Maintained</v>
      </c>
      <c r="I808" s="123">
        <f>VLOOKUP(F808,'Maintenance Model'!$A$57:$B$61,2,FALSE)</f>
        <v>10.731618231111112</v>
      </c>
      <c r="J808" s="123">
        <f>IF(D808=1,VLOOKUP(C808,'Capital Code Schedules'!A$15:F$300,2,FALSE),IF(D808=2,VLOOKUP(C808,'Capital Code Schedules'!A$15:F$300,3,FALSE),0))</f>
        <v>0</v>
      </c>
      <c r="K808" s="123">
        <v>0</v>
      </c>
      <c r="L808" s="123">
        <f>VLOOKUP(LEFT(A808,10),'Streetlight Tariff Schedule'!B$11:H$260,7, FALSE)+I808</f>
        <v>69.704945883005109</v>
      </c>
      <c r="M808" s="161">
        <f t="shared" si="133"/>
        <v>69.704945883005109</v>
      </c>
      <c r="N808" s="405">
        <f t="shared" si="134"/>
        <v>72.60945495938698</v>
      </c>
      <c r="O808" s="405">
        <v>64.71626962270625</v>
      </c>
      <c r="P808" s="406">
        <v>64.71626962270625</v>
      </c>
      <c r="Q808" s="406">
        <v>67.883410229923072</v>
      </c>
      <c r="R808" s="406">
        <v>67.883410229923072</v>
      </c>
      <c r="S808" s="405">
        <f t="shared" si="135"/>
        <v>76.16287907685296</v>
      </c>
      <c r="T808" s="406">
        <v>70.671462334928961</v>
      </c>
      <c r="U808" s="406">
        <v>70.929645763925009</v>
      </c>
      <c r="V808" s="405">
        <f t="shared" si="136"/>
        <v>79.580651811457457</v>
      </c>
      <c r="W808" s="406">
        <v>73.244094871724798</v>
      </c>
      <c r="X808" s="406">
        <v>74.168060634960611</v>
      </c>
      <c r="Y808" s="405">
        <f t="shared" si="137"/>
        <v>83.214043230479646</v>
      </c>
      <c r="Z808" s="406">
        <v>75.359795175250596</v>
      </c>
      <c r="AA808" s="406">
        <v>76.589702015523031</v>
      </c>
      <c r="AB808" s="442">
        <f t="shared" si="138"/>
        <v>85.020348957108055</v>
      </c>
      <c r="AC808" s="438">
        <f t="shared" si="139"/>
        <v>87.562377578196248</v>
      </c>
      <c r="AD808" s="410"/>
      <c r="AE808" s="411"/>
      <c r="AF808" s="411"/>
      <c r="AG808" s="411"/>
    </row>
    <row r="809" spans="1:33" x14ac:dyDescent="0.2">
      <c r="A809" s="6" t="s">
        <v>734</v>
      </c>
      <c r="B809" s="18" t="str">
        <f>VLOOKUP(LEFT(A809,7),'Tariff Schedule Lookup Table'!$A$8:$G$186,2,FALSE)</f>
        <v>Mercury Vapour 400</v>
      </c>
      <c r="C809" s="160">
        <f t="shared" si="140"/>
        <v>300</v>
      </c>
      <c r="D809" s="18">
        <f t="shared" si="141"/>
        <v>1</v>
      </c>
      <c r="E809" s="18" t="str">
        <f>VLOOKUP(C809,'Tariff Schedule Lookup Table'!I$7:L$286,2,FALSE)</f>
        <v>MERCURY VAPOUR 400W</v>
      </c>
      <c r="F809" s="18" t="str">
        <f>IF(E809 = "BULKHEADS ETC", "SHARED OR NO POLE", VLOOKUP(C809,'Tariff Schedule Lookup Table'!I$7:L$286,3,FALSE))</f>
        <v>STEEL POLE</v>
      </c>
      <c r="G809" s="18">
        <f>IF(E809 = "NO CAPITAL", 1, VLOOKUP(C809,'Tariff Schedule Lookup Table'!I$7:L$286,4,FALSE))</f>
        <v>1</v>
      </c>
      <c r="H809" s="18" t="str">
        <f t="shared" si="142"/>
        <v>1-Unmetered, CE Funded, CE Maintained</v>
      </c>
      <c r="I809" s="123">
        <f>VLOOKUP(F809,'Maintenance Model'!$A$57:$B$61,2,FALSE)</f>
        <v>9.9616182311111103</v>
      </c>
      <c r="J809" s="123">
        <f>IF(D809=1,VLOOKUP(C809,'Capital Code Schedules'!A$15:F$300,2,FALSE),IF(D809=2,VLOOKUP(C809,'Capital Code Schedules'!A$15:F$300,3,FALSE),0))</f>
        <v>92.826504075065003</v>
      </c>
      <c r="K809" s="123">
        <v>117.74770774827562</v>
      </c>
      <c r="L809" s="123">
        <f>VLOOKUP(LEFT(A809,10),'Streetlight Tariff Schedule'!B$11:H$260,7, FALSE)+I809</f>
        <v>68.934945883005099</v>
      </c>
      <c r="M809" s="161">
        <f t="shared" si="133"/>
        <v>186.68265363128071</v>
      </c>
      <c r="N809" s="405">
        <f t="shared" si="134"/>
        <v>166.93133017098484</v>
      </c>
      <c r="O809" s="405">
        <v>189.91793710436963</v>
      </c>
      <c r="P809" s="406">
        <v>184.57614829842669</v>
      </c>
      <c r="Q809" s="406">
        <v>190.69041938314143</v>
      </c>
      <c r="R809" s="406">
        <v>196.16441746203145</v>
      </c>
      <c r="S809" s="405">
        <f t="shared" si="135"/>
        <v>172.7998191802117</v>
      </c>
      <c r="T809" s="406">
        <v>196.50421333215374</v>
      </c>
      <c r="U809" s="406">
        <v>202.85288519587422</v>
      </c>
      <c r="V809" s="405">
        <f t="shared" si="136"/>
        <v>178.95796820148763</v>
      </c>
      <c r="W809" s="406">
        <v>202.18099993506436</v>
      </c>
      <c r="X809" s="406">
        <v>210.55316263944192</v>
      </c>
      <c r="Y809" s="405">
        <f t="shared" si="137"/>
        <v>185.94991540192092</v>
      </c>
      <c r="Z809" s="406">
        <v>207.48413442559669</v>
      </c>
      <c r="AA809" s="406">
        <v>216.85796395469148</v>
      </c>
      <c r="AB809" s="442">
        <f t="shared" si="138"/>
        <v>189.5605974425435</v>
      </c>
      <c r="AC809" s="438">
        <f t="shared" si="139"/>
        <v>195.14399683017555</v>
      </c>
      <c r="AD809" s="410"/>
      <c r="AE809" s="411"/>
      <c r="AF809" s="411"/>
      <c r="AG809" s="411"/>
    </row>
    <row r="810" spans="1:33" x14ac:dyDescent="0.2">
      <c r="A810" s="6" t="s">
        <v>735</v>
      </c>
      <c r="B810" s="18" t="str">
        <f>VLOOKUP(LEFT(A810,7),'Tariff Schedule Lookup Table'!$A$8:$G$186,2,FALSE)</f>
        <v>Mercury Vapour 400</v>
      </c>
      <c r="C810" s="160">
        <f t="shared" si="140"/>
        <v>300</v>
      </c>
      <c r="D810" s="18">
        <f t="shared" si="141"/>
        <v>2</v>
      </c>
      <c r="E810" s="18" t="str">
        <f>VLOOKUP(C810,'Tariff Schedule Lookup Table'!I$7:L$286,2,FALSE)</f>
        <v>MERCURY VAPOUR 400W</v>
      </c>
      <c r="F810" s="18" t="str">
        <f>IF(E810 = "BULKHEADS ETC", "SHARED OR NO POLE", VLOOKUP(C810,'Tariff Schedule Lookup Table'!I$7:L$286,3,FALSE))</f>
        <v>STEEL POLE</v>
      </c>
      <c r="G810" s="18">
        <f>IF(E810 = "NO CAPITAL", 1, VLOOKUP(C810,'Tariff Schedule Lookup Table'!I$7:L$286,4,FALSE))</f>
        <v>1</v>
      </c>
      <c r="H810" s="18" t="str">
        <f t="shared" si="142"/>
        <v>2-Unmetered, Funded by Others, CE Maintained</v>
      </c>
      <c r="I810" s="123">
        <f>VLOOKUP(F810,'Maintenance Model'!$A$57:$B$61,2,FALSE)</f>
        <v>9.9616182311111103</v>
      </c>
      <c r="J810" s="123">
        <f>IF(D810=1,VLOOKUP(C810,'Capital Code Schedules'!A$15:F$300,2,FALSE),IF(D810=2,VLOOKUP(C810,'Capital Code Schedules'!A$15:F$300,3,FALSE),0))</f>
        <v>0</v>
      </c>
      <c r="K810" s="123">
        <v>0</v>
      </c>
      <c r="L810" s="123">
        <f>VLOOKUP(LEFT(A810,10),'Streetlight Tariff Schedule'!B$11:H$260,7, FALSE)+I810</f>
        <v>68.934945883005099</v>
      </c>
      <c r="M810" s="161">
        <f t="shared" si="133"/>
        <v>68.934945883005099</v>
      </c>
      <c r="N810" s="405">
        <f t="shared" si="134"/>
        <v>71.807370120061961</v>
      </c>
      <c r="O810" s="405">
        <v>63.914184783381252</v>
      </c>
      <c r="P810" s="406">
        <v>63.914184783381252</v>
      </c>
      <c r="Q810" s="406">
        <v>67.042072271098618</v>
      </c>
      <c r="R810" s="406">
        <v>67.042072271098618</v>
      </c>
      <c r="S810" s="405">
        <f t="shared" si="135"/>
        <v>75.321541118028492</v>
      </c>
      <c r="T810" s="406">
        <v>69.795569629087851</v>
      </c>
      <c r="U810" s="406">
        <v>70.050553166999805</v>
      </c>
      <c r="V810" s="405">
        <f t="shared" si="136"/>
        <v>78.701559214532224</v>
      </c>
      <c r="W810" s="406">
        <v>72.336317300347588</v>
      </c>
      <c r="X810" s="406">
        <v>73.248831554788666</v>
      </c>
      <c r="Y810" s="405">
        <f t="shared" si="137"/>
        <v>82.294814150307701</v>
      </c>
      <c r="Z810" s="406">
        <v>74.425795895670703</v>
      </c>
      <c r="AA810" s="406">
        <v>75.640459434125603</v>
      </c>
      <c r="AB810" s="442">
        <f t="shared" si="138"/>
        <v>84.081166408901879</v>
      </c>
      <c r="AC810" s="438">
        <f t="shared" si="139"/>
        <v>86.595114353454974</v>
      </c>
      <c r="AD810" s="410"/>
      <c r="AE810" s="411"/>
      <c r="AF810" s="411"/>
      <c r="AG810" s="411"/>
    </row>
    <row r="811" spans="1:33" x14ac:dyDescent="0.2">
      <c r="A811" s="6" t="s">
        <v>736</v>
      </c>
      <c r="B811" s="18" t="str">
        <f>VLOOKUP(LEFT(A811,7),'Tariff Schedule Lookup Table'!$A$8:$G$186,2,FALSE)</f>
        <v>Mercury Vapour 400</v>
      </c>
      <c r="C811" s="160">
        <f t="shared" si="140"/>
        <v>380</v>
      </c>
      <c r="D811" s="18">
        <f t="shared" si="141"/>
        <v>2</v>
      </c>
      <c r="E811" s="18" t="str">
        <f>VLOOKUP(C811,'Tariff Schedule Lookup Table'!I$7:L$286,2,FALSE)</f>
        <v>MERCURY VAPOUR 400W</v>
      </c>
      <c r="F811" s="18" t="str">
        <f>IF(E811 = "BULKHEADS ETC", "SHARED OR NO POLE", VLOOKUP(C811,'Tariff Schedule Lookup Table'!I$7:L$286,3,FALSE))</f>
        <v>STEEL POLE</v>
      </c>
      <c r="G811" s="18">
        <f>IF(E811 = "NO CAPITAL", 1, VLOOKUP(C811,'Tariff Schedule Lookup Table'!I$7:L$286,4,FALSE))</f>
        <v>2</v>
      </c>
      <c r="H811" s="18" t="str">
        <f t="shared" si="142"/>
        <v>2-Unmetered, Funded by Others, CE Maintained</v>
      </c>
      <c r="I811" s="123">
        <f>VLOOKUP(F811,'Maintenance Model'!$A$57:$B$61,2,FALSE)</f>
        <v>9.9616182311111103</v>
      </c>
      <c r="J811" s="123">
        <f>IF(D811=1,VLOOKUP(C811,'Capital Code Schedules'!A$15:F$300,2,FALSE),IF(D811=2,VLOOKUP(C811,'Capital Code Schedules'!A$15:F$300,3,FALSE),0))</f>
        <v>0</v>
      </c>
      <c r="K811" s="123">
        <v>0</v>
      </c>
      <c r="L811" s="123">
        <f>VLOOKUP(LEFT(A811,10),'Streetlight Tariff Schedule'!B$11:H$260,7, FALSE)+I811</f>
        <v>68.934945883005099</v>
      </c>
      <c r="M811" s="161">
        <f t="shared" si="133"/>
        <v>68.934945883005099</v>
      </c>
      <c r="N811" s="405">
        <f t="shared" si="134"/>
        <v>71.807370120061961</v>
      </c>
      <c r="O811" s="405">
        <v>63.914184783381252</v>
      </c>
      <c r="P811" s="406">
        <v>63.914184783381252</v>
      </c>
      <c r="Q811" s="406">
        <v>67.042072271098618</v>
      </c>
      <c r="R811" s="406">
        <v>67.042072271098618</v>
      </c>
      <c r="S811" s="405">
        <f t="shared" si="135"/>
        <v>75.321541118028492</v>
      </c>
      <c r="T811" s="406">
        <v>69.795569629087851</v>
      </c>
      <c r="U811" s="406">
        <v>70.050553166999805</v>
      </c>
      <c r="V811" s="405">
        <f t="shared" si="136"/>
        <v>78.701559214532224</v>
      </c>
      <c r="W811" s="406">
        <v>72.336317300347588</v>
      </c>
      <c r="X811" s="406">
        <v>73.248831554788666</v>
      </c>
      <c r="Y811" s="405">
        <f t="shared" si="137"/>
        <v>82.294814150307701</v>
      </c>
      <c r="Z811" s="406">
        <v>74.425795895670703</v>
      </c>
      <c r="AA811" s="406">
        <v>75.640459434125603</v>
      </c>
      <c r="AB811" s="442">
        <f t="shared" si="138"/>
        <v>84.081166408901879</v>
      </c>
      <c r="AC811" s="438">
        <f t="shared" si="139"/>
        <v>86.595114353454974</v>
      </c>
      <c r="AD811" s="410"/>
      <c r="AE811" s="411"/>
      <c r="AF811" s="411"/>
      <c r="AG811" s="411"/>
    </row>
    <row r="812" spans="1:33" x14ac:dyDescent="0.2">
      <c r="A812" s="6" t="s">
        <v>759</v>
      </c>
      <c r="B812" s="18" t="str">
        <f>VLOOKUP(LEFT(A812,7),'Tariff Schedule Lookup Table'!$A$8:$G$186,2,FALSE)</f>
        <v>Mercury Vapour 400</v>
      </c>
      <c r="C812" s="160">
        <f t="shared" si="140"/>
        <v>420</v>
      </c>
      <c r="D812" s="18">
        <f t="shared" si="141"/>
        <v>2</v>
      </c>
      <c r="E812" s="18" t="str">
        <f>VLOOKUP(C812,'Tariff Schedule Lookup Table'!I$7:L$286,2,FALSE)</f>
        <v>MERCURY VAPOUR 400W</v>
      </c>
      <c r="F812" s="18" t="str">
        <f>IF(E812 = "BULKHEADS ETC", "SHARED OR NO POLE", VLOOKUP(C812,'Tariff Schedule Lookup Table'!I$7:L$286,3,FALSE))</f>
        <v>STEEL POLE</v>
      </c>
      <c r="G812" s="18">
        <f>IF(E812 = "NO CAPITAL", 1, VLOOKUP(C812,'Tariff Schedule Lookup Table'!I$7:L$286,4,FALSE))</f>
        <v>3</v>
      </c>
      <c r="H812" s="18" t="str">
        <f t="shared" si="142"/>
        <v>2-Unmetered, Funded by Others, CE Maintained</v>
      </c>
      <c r="I812" s="123">
        <f>VLOOKUP(F812,'Maintenance Model'!$A$57:$B$61,2,FALSE)</f>
        <v>9.9616182311111103</v>
      </c>
      <c r="J812" s="123">
        <f>IF(D812=1,VLOOKUP(C812,'Capital Code Schedules'!A$15:F$300,2,FALSE),IF(D812=2,VLOOKUP(C812,'Capital Code Schedules'!A$15:F$300,3,FALSE),0))</f>
        <v>0</v>
      </c>
      <c r="K812" s="123">
        <v>0</v>
      </c>
      <c r="L812" s="123">
        <f>VLOOKUP(LEFT(A812,10),'Streetlight Tariff Schedule'!B$11:H$260,7, FALSE)+I812</f>
        <v>68.934945883005099</v>
      </c>
      <c r="M812" s="161">
        <f t="shared" si="133"/>
        <v>68.934945883005099</v>
      </c>
      <c r="N812" s="405">
        <f t="shared" si="134"/>
        <v>71.807370120061961</v>
      </c>
      <c r="O812" s="405">
        <v>63.914184783381252</v>
      </c>
      <c r="P812" s="406">
        <v>63.914184783381252</v>
      </c>
      <c r="Q812" s="406">
        <v>67.042072271098618</v>
      </c>
      <c r="R812" s="406">
        <v>67.042072271098618</v>
      </c>
      <c r="S812" s="405">
        <f t="shared" si="135"/>
        <v>75.321541118028492</v>
      </c>
      <c r="T812" s="406">
        <v>69.795569629087851</v>
      </c>
      <c r="U812" s="406">
        <v>70.050553166999805</v>
      </c>
      <c r="V812" s="405">
        <f t="shared" si="136"/>
        <v>78.701559214532224</v>
      </c>
      <c r="W812" s="406">
        <v>72.336317300347588</v>
      </c>
      <c r="X812" s="406">
        <v>73.248831554788666</v>
      </c>
      <c r="Y812" s="405">
        <f t="shared" si="137"/>
        <v>82.294814150307701</v>
      </c>
      <c r="Z812" s="406">
        <v>74.425795895670703</v>
      </c>
      <c r="AA812" s="406">
        <v>75.640459434125603</v>
      </c>
      <c r="AB812" s="442">
        <f t="shared" si="138"/>
        <v>84.081166408901879</v>
      </c>
      <c r="AC812" s="438">
        <f t="shared" si="139"/>
        <v>86.595114353454974</v>
      </c>
      <c r="AD812" s="410"/>
      <c r="AE812" s="411"/>
      <c r="AF812" s="411"/>
      <c r="AG812" s="411"/>
    </row>
    <row r="813" spans="1:33" x14ac:dyDescent="0.2">
      <c r="A813" s="6" t="s">
        <v>760</v>
      </c>
      <c r="B813" s="18" t="str">
        <f>VLOOKUP(LEFT(A813,7),'Tariff Schedule Lookup Table'!$A$8:$G$186,2,FALSE)</f>
        <v>Mercury Vapour 400</v>
      </c>
      <c r="C813" s="160">
        <f t="shared" si="140"/>
        <v>460</v>
      </c>
      <c r="D813" s="18">
        <f t="shared" si="141"/>
        <v>2</v>
      </c>
      <c r="E813" s="18" t="str">
        <f>VLOOKUP(C813,'Tariff Schedule Lookup Table'!I$7:L$286,2,FALSE)</f>
        <v xml:space="preserve">MERCURY VAPOUR 400W </v>
      </c>
      <c r="F813" s="18" t="str">
        <f>IF(E813 = "BULKHEADS ETC", "SHARED OR NO POLE", VLOOKUP(C813,'Tariff Schedule Lookup Table'!I$7:L$286,3,FALSE))</f>
        <v>STEEL POLE</v>
      </c>
      <c r="G813" s="18">
        <f>IF(E813 = "NO CAPITAL", 1, VLOOKUP(C813,'Tariff Schedule Lookup Table'!I$7:L$286,4,FALSE))</f>
        <v>4</v>
      </c>
      <c r="H813" s="18" t="str">
        <f t="shared" si="142"/>
        <v>2-Unmetered, Funded by Others, CE Maintained</v>
      </c>
      <c r="I813" s="123">
        <f>VLOOKUP(F813,'Maintenance Model'!$A$57:$B$61,2,FALSE)</f>
        <v>9.9616182311111103</v>
      </c>
      <c r="J813" s="123">
        <f>IF(D813=1,VLOOKUP(C813,'Capital Code Schedules'!A$15:F$300,2,FALSE),IF(D813=2,VLOOKUP(C813,'Capital Code Schedules'!A$15:F$300,3,FALSE),0))</f>
        <v>0</v>
      </c>
      <c r="K813" s="123">
        <v>0</v>
      </c>
      <c r="L813" s="123">
        <f>VLOOKUP(LEFT(A813,10),'Streetlight Tariff Schedule'!B$11:H$260,7, FALSE)+I813</f>
        <v>68.934945883005099</v>
      </c>
      <c r="M813" s="161">
        <f t="shared" si="133"/>
        <v>68.934945883005099</v>
      </c>
      <c r="N813" s="405">
        <f t="shared" si="134"/>
        <v>71.807370120061961</v>
      </c>
      <c r="O813" s="405">
        <v>63.914184783381252</v>
      </c>
      <c r="P813" s="406">
        <v>63.914184783381252</v>
      </c>
      <c r="Q813" s="406">
        <v>67.042072271098618</v>
      </c>
      <c r="R813" s="406">
        <v>67.042072271098618</v>
      </c>
      <c r="S813" s="405">
        <f t="shared" si="135"/>
        <v>75.321541118028492</v>
      </c>
      <c r="T813" s="406">
        <v>69.795569629087851</v>
      </c>
      <c r="U813" s="406">
        <v>70.050553166999805</v>
      </c>
      <c r="V813" s="405">
        <f t="shared" si="136"/>
        <v>78.701559214532224</v>
      </c>
      <c r="W813" s="406">
        <v>72.336317300347588</v>
      </c>
      <c r="X813" s="406">
        <v>73.248831554788666</v>
      </c>
      <c r="Y813" s="405">
        <f t="shared" si="137"/>
        <v>82.294814150307701</v>
      </c>
      <c r="Z813" s="406">
        <v>74.425795895670703</v>
      </c>
      <c r="AA813" s="406">
        <v>75.640459434125603</v>
      </c>
      <c r="AB813" s="442">
        <f t="shared" si="138"/>
        <v>84.081166408901879</v>
      </c>
      <c r="AC813" s="438">
        <f t="shared" si="139"/>
        <v>86.595114353454974</v>
      </c>
      <c r="AD813" s="410"/>
      <c r="AE813" s="411"/>
      <c r="AF813" s="411"/>
      <c r="AG813" s="411"/>
    </row>
    <row r="814" spans="1:33" x14ac:dyDescent="0.2">
      <c r="A814" s="6" t="s">
        <v>761</v>
      </c>
      <c r="B814" s="18" t="str">
        <f>VLOOKUP(LEFT(A814,7),'Tariff Schedule Lookup Table'!$A$8:$G$186,2,FALSE)</f>
        <v>Mercury Vapour 400</v>
      </c>
      <c r="C814" s="160">
        <f t="shared" si="140"/>
        <v>540</v>
      </c>
      <c r="D814" s="18">
        <f t="shared" si="141"/>
        <v>2</v>
      </c>
      <c r="E814" s="18" t="str">
        <f>VLOOKUP(C814,'Tariff Schedule Lookup Table'!I$7:L$286,2,FALSE)</f>
        <v>MERCURY VAPOUR 400W</v>
      </c>
      <c r="F814" s="18" t="str">
        <f>IF(E814 = "BULKHEADS ETC", "SHARED OR NO POLE", VLOOKUP(C814,'Tariff Schedule Lookup Table'!I$7:L$286,3,FALSE))</f>
        <v>R/BOUT COLUMN</v>
      </c>
      <c r="G814" s="18">
        <f>IF(E814 = "NO CAPITAL", 1, VLOOKUP(C814,'Tariff Schedule Lookup Table'!I$7:L$286,4,FALSE))</f>
        <v>3</v>
      </c>
      <c r="H814" s="18" t="str">
        <f t="shared" si="142"/>
        <v>2-Unmetered, Funded by Others, CE Maintained</v>
      </c>
      <c r="I814" s="123">
        <f>VLOOKUP(F814,'Maintenance Model'!$A$57:$B$61,2,FALSE)</f>
        <v>9.9616182311111103</v>
      </c>
      <c r="J814" s="123">
        <f>IF(D814=1,VLOOKUP(C814,'Capital Code Schedules'!A$15:F$300,2,FALSE),IF(D814=2,VLOOKUP(C814,'Capital Code Schedules'!A$15:F$300,3,FALSE),0))</f>
        <v>0</v>
      </c>
      <c r="K814" s="123">
        <v>0</v>
      </c>
      <c r="L814" s="123">
        <f>VLOOKUP(LEFT(A814,10),'Streetlight Tariff Schedule'!B$11:H$260,7, FALSE)+I814</f>
        <v>68.934945883005099</v>
      </c>
      <c r="M814" s="161">
        <f t="shared" si="133"/>
        <v>68.934945883005099</v>
      </c>
      <c r="N814" s="405">
        <f t="shared" si="134"/>
        <v>71.807370120061961</v>
      </c>
      <c r="O814" s="405">
        <v>63.914184783381252</v>
      </c>
      <c r="P814" s="406">
        <v>63.914184783381252</v>
      </c>
      <c r="Q814" s="406">
        <v>67.042072271098618</v>
      </c>
      <c r="R814" s="406">
        <v>67.042072271098618</v>
      </c>
      <c r="S814" s="405">
        <f t="shared" si="135"/>
        <v>75.321541118028492</v>
      </c>
      <c r="T814" s="406">
        <v>69.795569629087851</v>
      </c>
      <c r="U814" s="406">
        <v>70.050553166999805</v>
      </c>
      <c r="V814" s="405">
        <f t="shared" si="136"/>
        <v>78.701559214532224</v>
      </c>
      <c r="W814" s="406">
        <v>72.336317300347588</v>
      </c>
      <c r="X814" s="406">
        <v>73.248831554788666</v>
      </c>
      <c r="Y814" s="405">
        <f t="shared" si="137"/>
        <v>82.294814150307701</v>
      </c>
      <c r="Z814" s="406">
        <v>74.425795895670703</v>
      </c>
      <c r="AA814" s="406">
        <v>75.640459434125603</v>
      </c>
      <c r="AB814" s="442">
        <f t="shared" si="138"/>
        <v>84.081166408901879</v>
      </c>
      <c r="AC814" s="438">
        <f t="shared" si="139"/>
        <v>86.595114353454974</v>
      </c>
      <c r="AD814" s="410"/>
      <c r="AE814" s="411"/>
      <c r="AF814" s="411"/>
      <c r="AG814" s="411"/>
    </row>
    <row r="815" spans="1:33" x14ac:dyDescent="0.2">
      <c r="A815" s="6" t="s">
        <v>762</v>
      </c>
      <c r="B815" s="18" t="str">
        <f>VLOOKUP(LEFT(A815,7),'Tariff Schedule Lookup Table'!$A$8:$G$186,2,FALSE)</f>
        <v>Mercury Vapour 400</v>
      </c>
      <c r="C815" s="160">
        <f t="shared" si="140"/>
        <v>580</v>
      </c>
      <c r="D815" s="18">
        <f t="shared" si="141"/>
        <v>2</v>
      </c>
      <c r="E815" s="18" t="str">
        <f>VLOOKUP(C815,'Tariff Schedule Lookup Table'!I$7:L$286,2,FALSE)</f>
        <v>MERCURY VAPOUR 400W</v>
      </c>
      <c r="F815" s="18" t="str">
        <f>IF(E815 = "BULKHEADS ETC", "SHARED OR NO POLE", VLOOKUP(C815,'Tariff Schedule Lookup Table'!I$7:L$286,3,FALSE))</f>
        <v>R/BOUT COLUMN</v>
      </c>
      <c r="G815" s="18">
        <f>IF(E815 = "NO CAPITAL", 1, VLOOKUP(C815,'Tariff Schedule Lookup Table'!I$7:L$286,4,FALSE))</f>
        <v>4</v>
      </c>
      <c r="H815" s="18" t="str">
        <f t="shared" si="142"/>
        <v>2-Unmetered, Funded by Others, CE Maintained</v>
      </c>
      <c r="I815" s="123">
        <f>VLOOKUP(F815,'Maintenance Model'!$A$57:$B$61,2,FALSE)</f>
        <v>9.9616182311111103</v>
      </c>
      <c r="J815" s="123">
        <f>IF(D815=1,VLOOKUP(C815,'Capital Code Schedules'!A$15:F$300,2,FALSE),IF(D815=2,VLOOKUP(C815,'Capital Code Schedules'!A$15:F$300,3,FALSE),0))</f>
        <v>0</v>
      </c>
      <c r="K815" s="123">
        <v>0</v>
      </c>
      <c r="L815" s="123">
        <f>VLOOKUP(LEFT(A815,10),'Streetlight Tariff Schedule'!B$11:H$260,7, FALSE)+I815</f>
        <v>68.934945883005099</v>
      </c>
      <c r="M815" s="161">
        <f t="shared" si="133"/>
        <v>68.934945883005099</v>
      </c>
      <c r="N815" s="405">
        <f t="shared" si="134"/>
        <v>71.807370120061961</v>
      </c>
      <c r="O815" s="405">
        <v>63.914184783381252</v>
      </c>
      <c r="P815" s="406">
        <v>63.914184783381252</v>
      </c>
      <c r="Q815" s="406">
        <v>67.042072271098618</v>
      </c>
      <c r="R815" s="406">
        <v>67.042072271098618</v>
      </c>
      <c r="S815" s="405">
        <f t="shared" si="135"/>
        <v>75.321541118028492</v>
      </c>
      <c r="T815" s="406">
        <v>69.795569629087851</v>
      </c>
      <c r="U815" s="406">
        <v>70.050553166999805</v>
      </c>
      <c r="V815" s="405">
        <f t="shared" si="136"/>
        <v>78.701559214532224</v>
      </c>
      <c r="W815" s="406">
        <v>72.336317300347588</v>
      </c>
      <c r="X815" s="406">
        <v>73.248831554788666</v>
      </c>
      <c r="Y815" s="405">
        <f t="shared" si="137"/>
        <v>82.294814150307701</v>
      </c>
      <c r="Z815" s="406">
        <v>74.425795895670703</v>
      </c>
      <c r="AA815" s="406">
        <v>75.640459434125603</v>
      </c>
      <c r="AB815" s="442">
        <f t="shared" si="138"/>
        <v>84.081166408901879</v>
      </c>
      <c r="AC815" s="438">
        <f t="shared" si="139"/>
        <v>86.595114353454974</v>
      </c>
      <c r="AD815" s="410"/>
      <c r="AE815" s="411"/>
      <c r="AF815" s="411"/>
      <c r="AG815" s="411"/>
    </row>
    <row r="816" spans="1:33" x14ac:dyDescent="0.2">
      <c r="A816" s="6" t="s">
        <v>763</v>
      </c>
      <c r="B816" s="18" t="str">
        <f>VLOOKUP(LEFT(A816,7),'Tariff Schedule Lookup Table'!$A$8:$G$186,2,FALSE)</f>
        <v>Mercury Vapour 400</v>
      </c>
      <c r="C816" s="160">
        <f t="shared" si="140"/>
        <v>790</v>
      </c>
      <c r="D816" s="18">
        <f t="shared" si="141"/>
        <v>1</v>
      </c>
      <c r="E816" s="18" t="str">
        <f>VLOOKUP(C816,'Tariff Schedule Lookup Table'!I$7:L$286,2,FALSE)</f>
        <v>MERCURY VAPOUR 400W</v>
      </c>
      <c r="F816" s="18" t="str">
        <f>IF(E816 = "BULKHEADS ETC", "SHARED OR NO POLE", VLOOKUP(C816,'Tariff Schedule Lookup Table'!I$7:L$286,3,FALSE))</f>
        <v>WOOD POLE</v>
      </c>
      <c r="G816" s="18">
        <f>IF(E816 = "NO CAPITAL", 1, VLOOKUP(C816,'Tariff Schedule Lookup Table'!I$7:L$286,4,FALSE))</f>
        <v>2</v>
      </c>
      <c r="H816" s="18" t="str">
        <f t="shared" si="142"/>
        <v>1-Unmetered, CE Funded, CE Maintained</v>
      </c>
      <c r="I816" s="123">
        <f>VLOOKUP(F816,'Maintenance Model'!$A$57:$B$61,2,FALSE)</f>
        <v>10.731618231111112</v>
      </c>
      <c r="J816" s="123">
        <f>IF(D816=1,VLOOKUP(C816,'Capital Code Schedules'!A$15:F$300,2,FALSE),IF(D816=2,VLOOKUP(C816,'Capital Code Schedules'!A$15:F$300,3,FALSE),0))</f>
        <v>79.780835658737288</v>
      </c>
      <c r="K816" s="123">
        <v>101.19965859601533</v>
      </c>
      <c r="L816" s="123">
        <f>VLOOKUP(LEFT(A816,10),'Streetlight Tariff Schedule'!B$11:H$260,7, FALSE)+I816</f>
        <v>69.704945883005109</v>
      </c>
      <c r="M816" s="161">
        <f t="shared" si="133"/>
        <v>170.90460447902043</v>
      </c>
      <c r="N816" s="405">
        <f t="shared" si="134"/>
        <v>154.36486630067802</v>
      </c>
      <c r="O816" s="405">
        <v>173.01168327068567</v>
      </c>
      <c r="P816" s="406">
        <v>168.42061976897298</v>
      </c>
      <c r="Q816" s="406">
        <v>174.15444304230991</v>
      </c>
      <c r="R816" s="406">
        <v>178.85913536569001</v>
      </c>
      <c r="S816" s="405">
        <f t="shared" si="135"/>
        <v>159.94173684884095</v>
      </c>
      <c r="T816" s="406">
        <v>179.57270320942231</v>
      </c>
      <c r="U816" s="406">
        <v>185.06817906606128</v>
      </c>
      <c r="V816" s="405">
        <f t="shared" si="136"/>
        <v>165.74720702994711</v>
      </c>
      <c r="W816" s="406">
        <v>184.84064145786189</v>
      </c>
      <c r="X816" s="406">
        <v>192.17589021603928</v>
      </c>
      <c r="Y816" s="405">
        <f t="shared" si="137"/>
        <v>172.3016446708761</v>
      </c>
      <c r="Z816" s="406">
        <v>189.71835628939459</v>
      </c>
      <c r="AA816" s="406">
        <v>197.96075473966246</v>
      </c>
      <c r="AB816" s="442">
        <f t="shared" si="138"/>
        <v>175.67589218285548</v>
      </c>
      <c r="AC816" s="438">
        <f t="shared" si="139"/>
        <v>180.85599711181294</v>
      </c>
      <c r="AD816" s="410"/>
      <c r="AE816" s="411"/>
      <c r="AF816" s="411"/>
      <c r="AG816" s="411"/>
    </row>
    <row r="817" spans="1:33" x14ac:dyDescent="0.2">
      <c r="A817" s="6" t="s">
        <v>764</v>
      </c>
      <c r="B817" s="18" t="str">
        <f>VLOOKUP(LEFT(A817,7),'Tariff Schedule Lookup Table'!$A$8:$G$186,2,FALSE)</f>
        <v>Mercury Vapour 400</v>
      </c>
      <c r="C817" s="160">
        <f t="shared" si="140"/>
        <v>950</v>
      </c>
      <c r="D817" s="18">
        <f t="shared" si="141"/>
        <v>1</v>
      </c>
      <c r="E817" s="18" t="str">
        <f>VLOOKUP(C817,'Tariff Schedule Lookup Table'!I$7:L$286,2,FALSE)</f>
        <v>MERCURY VAPOUR 400W</v>
      </c>
      <c r="F817" s="18" t="str">
        <f>IF(E817 = "BULKHEADS ETC", "SHARED OR NO POLE", VLOOKUP(C817,'Tariff Schedule Lookup Table'!I$7:L$286,3,FALSE))</f>
        <v>SHARED OR NO POLE</v>
      </c>
      <c r="G817" s="18">
        <f>IF(E817 = "NO CAPITAL", 1, VLOOKUP(C817,'Tariff Schedule Lookup Table'!I$7:L$286,4,FALSE))</f>
        <v>2</v>
      </c>
      <c r="H817" s="18" t="str">
        <f t="shared" si="142"/>
        <v>1-Unmetered, CE Funded, CE Maintained</v>
      </c>
      <c r="I817" s="123">
        <f>VLOOKUP(F817,'Maintenance Model'!$A$57:$B$61,2,FALSE)</f>
        <v>0</v>
      </c>
      <c r="J817" s="123">
        <f>IF(D817=1,VLOOKUP(C817,'Capital Code Schedules'!A$15:F$300,2,FALSE),IF(D817=2,VLOOKUP(C817,'Capital Code Schedules'!A$15:F$300,3,FALSE),0))</f>
        <v>45.879717296860981</v>
      </c>
      <c r="K817" s="123">
        <v>58.197080647093287</v>
      </c>
      <c r="L817" s="123">
        <f>VLOOKUP(LEFT(A817,10),'Streetlight Tariff Schedule'!B$11:H$260,7, FALSE)+I817</f>
        <v>58.973327651893996</v>
      </c>
      <c r="M817" s="161">
        <f t="shared" si="133"/>
        <v>117.17040829898728</v>
      </c>
      <c r="N817" s="405">
        <f t="shared" si="134"/>
        <v>108.44590527934788</v>
      </c>
      <c r="O817" s="405">
        <v>116.5977195830495</v>
      </c>
      <c r="P817" s="406">
        <v>113.95752794039093</v>
      </c>
      <c r="Q817" s="406">
        <v>118.09191743897</v>
      </c>
      <c r="R817" s="406">
        <v>120.79745382478436</v>
      </c>
      <c r="S817" s="405">
        <f t="shared" si="135"/>
        <v>112.61587933079841</v>
      </c>
      <c r="T817" s="406">
        <v>121.94464792867576</v>
      </c>
      <c r="U817" s="406">
        <v>125.17317580281669</v>
      </c>
      <c r="V817" s="405">
        <f t="shared" si="136"/>
        <v>116.88055711044056</v>
      </c>
      <c r="W817" s="406">
        <v>125.65400027330942</v>
      </c>
      <c r="X817" s="406">
        <v>130.11648636514892</v>
      </c>
      <c r="Y817" s="405">
        <f t="shared" si="137"/>
        <v>121.63437129936149</v>
      </c>
      <c r="Z817" s="406">
        <v>129.01818560533059</v>
      </c>
      <c r="AA817" s="406">
        <v>134.0832037403446</v>
      </c>
      <c r="AB817" s="442">
        <f t="shared" si="138"/>
        <v>124.06426149148797</v>
      </c>
      <c r="AC817" s="438">
        <f t="shared" si="139"/>
        <v>127.7320086202526</v>
      </c>
      <c r="AD817" s="410"/>
      <c r="AE817" s="411"/>
      <c r="AF817" s="411"/>
      <c r="AG817" s="411"/>
    </row>
    <row r="818" spans="1:33" x14ac:dyDescent="0.2">
      <c r="A818" s="6" t="s">
        <v>765</v>
      </c>
      <c r="B818" s="18" t="str">
        <f>VLOOKUP(LEFT(A818,7),'Tariff Schedule Lookup Table'!$A$8:$G$186,2,FALSE)</f>
        <v>Mercury Vapour 400</v>
      </c>
      <c r="C818" s="160">
        <f t="shared" si="140"/>
        <v>950</v>
      </c>
      <c r="D818" s="18">
        <f t="shared" si="141"/>
        <v>2</v>
      </c>
      <c r="E818" s="18" t="str">
        <f>VLOOKUP(C818,'Tariff Schedule Lookup Table'!I$7:L$286,2,FALSE)</f>
        <v>MERCURY VAPOUR 400W</v>
      </c>
      <c r="F818" s="18" t="str">
        <f>IF(E818 = "BULKHEADS ETC", "SHARED OR NO POLE", VLOOKUP(C818,'Tariff Schedule Lookup Table'!I$7:L$286,3,FALSE))</f>
        <v>SHARED OR NO POLE</v>
      </c>
      <c r="G818" s="18">
        <f>IF(E818 = "NO CAPITAL", 1, VLOOKUP(C818,'Tariff Schedule Lookup Table'!I$7:L$286,4,FALSE))</f>
        <v>2</v>
      </c>
      <c r="H818" s="18" t="str">
        <f t="shared" si="142"/>
        <v>2-Unmetered, Funded by Others, CE Maintained</v>
      </c>
      <c r="I818" s="123">
        <f>VLOOKUP(F818,'Maintenance Model'!$A$57:$B$61,2,FALSE)</f>
        <v>0</v>
      </c>
      <c r="J818" s="123">
        <f>IF(D818=1,VLOOKUP(C818,'Capital Code Schedules'!A$15:F$300,2,FALSE),IF(D818=2,VLOOKUP(C818,'Capital Code Schedules'!A$15:F$300,3,FALSE),0))</f>
        <v>0</v>
      </c>
      <c r="K818" s="123">
        <v>0</v>
      </c>
      <c r="L818" s="123">
        <f>VLOOKUP(LEFT(A818,10),'Streetlight Tariff Schedule'!B$11:H$260,7, FALSE)+I818</f>
        <v>58.973327651893996</v>
      </c>
      <c r="M818" s="161">
        <f t="shared" si="133"/>
        <v>58.973327651893996</v>
      </c>
      <c r="N818" s="405">
        <f t="shared" si="134"/>
        <v>61.430664979389576</v>
      </c>
      <c r="O818" s="405">
        <v>54.320069547282081</v>
      </c>
      <c r="P818" s="406">
        <v>54.320069547282081</v>
      </c>
      <c r="Q818" s="406">
        <v>56.978431950631702</v>
      </c>
      <c r="R818" s="406">
        <v>56.978431950631702</v>
      </c>
      <c r="S818" s="405">
        <f t="shared" si="135"/>
        <v>64.437011833416136</v>
      </c>
      <c r="T818" s="406">
        <v>59.318603674501105</v>
      </c>
      <c r="U818" s="406">
        <v>59.535311805250672</v>
      </c>
      <c r="V818" s="405">
        <f t="shared" si="136"/>
        <v>67.328591889382892</v>
      </c>
      <c r="W818" s="406">
        <v>61.477961423843922</v>
      </c>
      <c r="X818" s="406">
        <v>62.253498778065413</v>
      </c>
      <c r="Y818" s="405">
        <f t="shared" si="137"/>
        <v>70.402594457309988</v>
      </c>
      <c r="Z818" s="406">
        <v>63.253789794340818</v>
      </c>
      <c r="AA818" s="406">
        <v>64.286121007029209</v>
      </c>
      <c r="AB818" s="442">
        <f t="shared" si="138"/>
        <v>71.930805377016341</v>
      </c>
      <c r="AC818" s="438">
        <f t="shared" si="139"/>
        <v>74.081468932849859</v>
      </c>
      <c r="AD818" s="410"/>
      <c r="AE818" s="411"/>
      <c r="AF818" s="411"/>
      <c r="AG818" s="411"/>
    </row>
    <row r="819" spans="1:33" x14ac:dyDescent="0.2">
      <c r="A819" s="6" t="s">
        <v>766</v>
      </c>
      <c r="B819" s="18" t="str">
        <f>VLOOKUP(LEFT(A819,7),'Tariff Schedule Lookup Table'!$A$8:$G$186,2,FALSE)</f>
        <v>Mercury Vapour 500</v>
      </c>
      <c r="C819" s="160">
        <f t="shared" si="140"/>
        <v>300</v>
      </c>
      <c r="D819" s="18">
        <f t="shared" si="141"/>
        <v>1</v>
      </c>
      <c r="E819" s="18" t="str">
        <f>VLOOKUP(C819,'Tariff Schedule Lookup Table'!I$7:L$286,2,FALSE)</f>
        <v>MERCURY VAPOUR 400W</v>
      </c>
      <c r="F819" s="18" t="str">
        <f>IF(E819 = "BULKHEADS ETC", "SHARED OR NO POLE", VLOOKUP(C819,'Tariff Schedule Lookup Table'!I$7:L$286,3,FALSE))</f>
        <v>STEEL POLE</v>
      </c>
      <c r="G819" s="18">
        <f>IF(E819 = "NO CAPITAL", 1, VLOOKUP(C819,'Tariff Schedule Lookup Table'!I$7:L$286,4,FALSE))</f>
        <v>1</v>
      </c>
      <c r="H819" s="18" t="str">
        <f t="shared" si="142"/>
        <v>1-Unmetered, CE Funded, CE Maintained</v>
      </c>
      <c r="I819" s="123">
        <f>VLOOKUP(F819,'Maintenance Model'!$A$57:$B$61,2,FALSE)</f>
        <v>9.9616182311111103</v>
      </c>
      <c r="J819" s="123">
        <f>IF(D819=1,VLOOKUP(C819,'Capital Code Schedules'!A$15:F$300,2,FALSE),IF(D819=2,VLOOKUP(C819,'Capital Code Schedules'!A$15:F$300,3,FALSE),0))</f>
        <v>92.826504075065003</v>
      </c>
      <c r="K819" s="123">
        <v>117.74770774827562</v>
      </c>
      <c r="L819" s="123">
        <f>VLOOKUP(LEFT(A819,10),'Streetlight Tariff Schedule'!B$11:H$260,7, FALSE)+I819</f>
        <v>55.804489593145099</v>
      </c>
      <c r="M819" s="161">
        <f t="shared" si="133"/>
        <v>173.55219734142071</v>
      </c>
      <c r="N819" s="405">
        <f t="shared" si="134"/>
        <v>153.25374585472989</v>
      </c>
      <c r="O819" s="405">
        <v>176.1144497078237</v>
      </c>
      <c r="P819" s="406">
        <v>170.77266090188076</v>
      </c>
      <c r="Q819" s="406">
        <v>176.21140501772541</v>
      </c>
      <c r="R819" s="406">
        <v>181.68540309661543</v>
      </c>
      <c r="S819" s="405">
        <f t="shared" si="135"/>
        <v>158.45286944859538</v>
      </c>
      <c r="T819" s="406">
        <v>181.43052868804691</v>
      </c>
      <c r="U819" s="406">
        <v>187.72413199282667</v>
      </c>
      <c r="V819" s="405">
        <f t="shared" si="136"/>
        <v>163.96720596945391</v>
      </c>
      <c r="W819" s="406">
        <v>186.55859236541448</v>
      </c>
      <c r="X819" s="406">
        <v>194.73368020991492</v>
      </c>
      <c r="Y819" s="405">
        <f t="shared" si="137"/>
        <v>170.27472415832895</v>
      </c>
      <c r="Z819" s="406">
        <v>191.41046409551814</v>
      </c>
      <c r="AA819" s="406">
        <v>200.521963863216</v>
      </c>
      <c r="AB819" s="442">
        <f t="shared" si="138"/>
        <v>173.54514887446516</v>
      </c>
      <c r="AC819" s="438">
        <f t="shared" si="139"/>
        <v>178.6497013843908</v>
      </c>
      <c r="AD819" s="410"/>
      <c r="AE819" s="411"/>
      <c r="AF819" s="411"/>
      <c r="AG819" s="411"/>
    </row>
    <row r="820" spans="1:33" x14ac:dyDescent="0.2">
      <c r="A820" s="6" t="s">
        <v>767</v>
      </c>
      <c r="B820" s="18" t="str">
        <f>VLOOKUP(LEFT(A820,7),'Tariff Schedule Lookup Table'!$A$8:$G$186,2,FALSE)</f>
        <v>Mercury Vapour 700</v>
      </c>
      <c r="C820" s="160">
        <f t="shared" si="140"/>
        <v>190</v>
      </c>
      <c r="D820" s="18">
        <f t="shared" si="141"/>
        <v>1</v>
      </c>
      <c r="E820" s="18" t="str">
        <f>VLOOKUP(C820,'Tariff Schedule Lookup Table'!I$7:L$286,2,FALSE)</f>
        <v>HIGH PRESSURE SODIUM 600W HIGH MAST</v>
      </c>
      <c r="F820" s="18" t="str">
        <f>IF(E820 = "BULKHEADS ETC", "SHARED OR NO POLE", VLOOKUP(C820,'Tariff Schedule Lookup Table'!I$7:L$286,3,FALSE))</f>
        <v>SHARED OR NO POLE</v>
      </c>
      <c r="G820" s="18">
        <f>IF(E820 = "NO CAPITAL", 1, VLOOKUP(C820,'Tariff Schedule Lookup Table'!I$7:L$286,4,FALSE))</f>
        <v>1</v>
      </c>
      <c r="H820" s="18" t="str">
        <f t="shared" si="142"/>
        <v>1-Unmetered, CE Funded, CE Maintained</v>
      </c>
      <c r="I820" s="123">
        <f>VLOOKUP(F820,'Maintenance Model'!$A$57:$B$61,2,FALSE)</f>
        <v>0</v>
      </c>
      <c r="J820" s="123">
        <f>IF(D820=1,VLOOKUP(C820,'Capital Code Schedules'!A$15:F$300,2,FALSE),IF(D820=2,VLOOKUP(C820,'Capital Code Schedules'!A$15:F$300,3,FALSE),0))</f>
        <v>137.96112170810926</v>
      </c>
      <c r="K820" s="123">
        <v>174.99965124588107</v>
      </c>
      <c r="L820" s="123">
        <f>VLOOKUP(LEFT(A820,10),'Streetlight Tariff Schedule'!B$11:H$260,7, FALSE)+I820</f>
        <v>53.399316483583995</v>
      </c>
      <c r="M820" s="161">
        <f t="shared" si="133"/>
        <v>228.39896772946506</v>
      </c>
      <c r="N820" s="405">
        <f t="shared" si="134"/>
        <v>197.00005191428144</v>
      </c>
      <c r="O820" s="405">
        <v>235.69132248777427</v>
      </c>
      <c r="P820" s="406">
        <v>227.75221950270694</v>
      </c>
      <c r="Q820" s="406">
        <v>234.56034374357483</v>
      </c>
      <c r="R820" s="406">
        <v>242.69593952752257</v>
      </c>
      <c r="S820" s="405">
        <f t="shared" si="135"/>
        <v>203.22129396814682</v>
      </c>
      <c r="T820" s="406">
        <v>241.19468175062073</v>
      </c>
      <c r="U820" s="406">
        <v>250.44445230112029</v>
      </c>
      <c r="V820" s="405">
        <f t="shared" si="136"/>
        <v>209.96849827296248</v>
      </c>
      <c r="W820" s="406">
        <v>247.78041099462769</v>
      </c>
      <c r="X820" s="406">
        <v>259.55845103519863</v>
      </c>
      <c r="Y820" s="405">
        <f t="shared" si="137"/>
        <v>217.80317708721617</v>
      </c>
      <c r="Z820" s="406">
        <v>254.1396155208798</v>
      </c>
      <c r="AA820" s="406">
        <v>267.18620441663478</v>
      </c>
      <c r="AB820" s="442">
        <f t="shared" si="138"/>
        <v>221.89831086631423</v>
      </c>
      <c r="AC820" s="438">
        <f t="shared" si="139"/>
        <v>228.4075962385767</v>
      </c>
      <c r="AD820" s="410"/>
      <c r="AE820" s="411"/>
      <c r="AF820" s="411"/>
      <c r="AG820" s="411"/>
    </row>
    <row r="821" spans="1:33" x14ac:dyDescent="0.2">
      <c r="A821" s="6" t="s">
        <v>768</v>
      </c>
      <c r="B821" s="18" t="str">
        <f>VLOOKUP(LEFT(A821,7),'Tariff Schedule Lookup Table'!$A$8:$G$186,2,FALSE)</f>
        <v>Mercury Vapour 700</v>
      </c>
      <c r="C821" s="160">
        <f t="shared" si="140"/>
        <v>190</v>
      </c>
      <c r="D821" s="18">
        <f t="shared" si="141"/>
        <v>2</v>
      </c>
      <c r="E821" s="18" t="str">
        <f>VLOOKUP(C821,'Tariff Schedule Lookup Table'!I$7:L$286,2,FALSE)</f>
        <v>HIGH PRESSURE SODIUM 600W HIGH MAST</v>
      </c>
      <c r="F821" s="18" t="str">
        <f>IF(E821 = "BULKHEADS ETC", "SHARED OR NO POLE", VLOOKUP(C821,'Tariff Schedule Lookup Table'!I$7:L$286,3,FALSE))</f>
        <v>SHARED OR NO POLE</v>
      </c>
      <c r="G821" s="18">
        <f>IF(E821 = "NO CAPITAL", 1, VLOOKUP(C821,'Tariff Schedule Lookup Table'!I$7:L$286,4,FALSE))</f>
        <v>1</v>
      </c>
      <c r="H821" s="18" t="str">
        <f t="shared" si="142"/>
        <v>2-Unmetered, Funded by Others, CE Maintained</v>
      </c>
      <c r="I821" s="123">
        <f>VLOOKUP(F821,'Maintenance Model'!$A$57:$B$61,2,FALSE)</f>
        <v>0</v>
      </c>
      <c r="J821" s="123">
        <f>IF(D821=1,VLOOKUP(C821,'Capital Code Schedules'!A$15:F$300,2,FALSE),IF(D821=2,VLOOKUP(C821,'Capital Code Schedules'!A$15:F$300,3,FALSE),0))</f>
        <v>0</v>
      </c>
      <c r="K821" s="123">
        <v>0</v>
      </c>
      <c r="L821" s="123">
        <f>VLOOKUP(LEFT(A821,10),'Streetlight Tariff Schedule'!B$11:H$260,7, FALSE)+I821</f>
        <v>53.399316483583995</v>
      </c>
      <c r="M821" s="161">
        <f t="shared" si="133"/>
        <v>53.399316483583995</v>
      </c>
      <c r="N821" s="405">
        <f t="shared" si="134"/>
        <v>55.624392443896483</v>
      </c>
      <c r="O821" s="405">
        <v>48.421326888490327</v>
      </c>
      <c r="P821" s="406">
        <v>48.421326888490327</v>
      </c>
      <c r="Q821" s="406">
        <v>50.791011537156344</v>
      </c>
      <c r="R821" s="406">
        <v>50.791011537156344</v>
      </c>
      <c r="S821" s="405">
        <f t="shared" si="135"/>
        <v>58.346586925869815</v>
      </c>
      <c r="T821" s="406">
        <v>52.877058572093389</v>
      </c>
      <c r="U821" s="406">
        <v>53.070233863028633</v>
      </c>
      <c r="V821" s="405">
        <f t="shared" si="136"/>
        <v>60.964862079980598</v>
      </c>
      <c r="W821" s="406">
        <v>54.801926642431773</v>
      </c>
      <c r="X821" s="406">
        <v>55.493246592055662</v>
      </c>
      <c r="Y821" s="405">
        <f t="shared" si="137"/>
        <v>63.748317627292195</v>
      </c>
      <c r="Z821" s="406">
        <v>56.384913680967095</v>
      </c>
      <c r="AA821" s="406">
        <v>57.305141646862204</v>
      </c>
      <c r="AB821" s="442">
        <f t="shared" si="138"/>
        <v>65.132085879895584</v>
      </c>
      <c r="AC821" s="438">
        <f t="shared" si="139"/>
        <v>67.079474105053265</v>
      </c>
      <c r="AD821" s="410"/>
      <c r="AE821" s="411"/>
      <c r="AF821" s="411"/>
      <c r="AG821" s="411"/>
    </row>
    <row r="822" spans="1:33" x14ac:dyDescent="0.2">
      <c r="A822" s="6" t="s">
        <v>769</v>
      </c>
      <c r="B822" s="18" t="str">
        <f>VLOOKUP(LEFT(A822,7),'Tariff Schedule Lookup Table'!$A$8:$G$186,2,FALSE)</f>
        <v>Mercury Vapour 700</v>
      </c>
      <c r="C822" s="160">
        <f t="shared" si="140"/>
        <v>250</v>
      </c>
      <c r="D822" s="18">
        <f t="shared" si="141"/>
        <v>2</v>
      </c>
      <c r="E822" s="18" t="str">
        <f>VLOOKUP(C822,'Tariff Schedule Lookup Table'!I$7:L$286,2,FALSE)</f>
        <v>HIGH PRESSURE SODIUM 600W HIGH MAST</v>
      </c>
      <c r="F822" s="18" t="str">
        <f>IF(E822 = "BULKHEADS ETC", "SHARED OR NO POLE", VLOOKUP(C822,'Tariff Schedule Lookup Table'!I$7:L$286,3,FALSE))</f>
        <v>WOOD POLE</v>
      </c>
      <c r="G822" s="18">
        <f>IF(E822 = "NO CAPITAL", 1, VLOOKUP(C822,'Tariff Schedule Lookup Table'!I$7:L$286,4,FALSE))</f>
        <v>1</v>
      </c>
      <c r="H822" s="18" t="str">
        <f t="shared" si="142"/>
        <v>2-Unmetered, Funded by Others, CE Maintained</v>
      </c>
      <c r="I822" s="123">
        <f>VLOOKUP(F822,'Maintenance Model'!$A$57:$B$61,2,FALSE)</f>
        <v>10.731618231111112</v>
      </c>
      <c r="J822" s="123">
        <f>IF(D822=1,VLOOKUP(C822,'Capital Code Schedules'!A$15:F$300,2,FALSE),IF(D822=2,VLOOKUP(C822,'Capital Code Schedules'!A$15:F$300,3,FALSE),0))</f>
        <v>0</v>
      </c>
      <c r="K822" s="123">
        <v>0</v>
      </c>
      <c r="L822" s="123">
        <f>VLOOKUP(LEFT(A822,10),'Streetlight Tariff Schedule'!B$11:H$260,7, FALSE)+I822</f>
        <v>64.130934714695101</v>
      </c>
      <c r="M822" s="161">
        <f t="shared" si="133"/>
        <v>64.130934714695101</v>
      </c>
      <c r="N822" s="405">
        <f t="shared" si="134"/>
        <v>66.803182423893873</v>
      </c>
      <c r="O822" s="405">
        <v>58.817526963914496</v>
      </c>
      <c r="P822" s="406">
        <v>58.817526963914496</v>
      </c>
      <c r="Q822" s="406">
        <v>61.695989816447714</v>
      </c>
      <c r="R822" s="406">
        <v>61.695989816447714</v>
      </c>
      <c r="S822" s="405">
        <f t="shared" si="135"/>
        <v>70.072454169306639</v>
      </c>
      <c r="T822" s="406">
        <v>64.229917232521245</v>
      </c>
      <c r="U822" s="406">
        <v>64.464567821702971</v>
      </c>
      <c r="V822" s="405">
        <f t="shared" si="136"/>
        <v>73.216922002055142</v>
      </c>
      <c r="W822" s="406">
        <v>66.568060090312628</v>
      </c>
      <c r="X822" s="406">
        <v>67.40780844895086</v>
      </c>
      <c r="Y822" s="405">
        <f t="shared" si="137"/>
        <v>76.559766400461854</v>
      </c>
      <c r="Z822" s="406">
        <v>68.49091906187688</v>
      </c>
      <c r="AA822" s="406">
        <v>69.608722655356047</v>
      </c>
      <c r="AB822" s="442">
        <f t="shared" si="138"/>
        <v>78.221629459987284</v>
      </c>
      <c r="AC822" s="438">
        <f t="shared" si="139"/>
        <v>80.560382750399654</v>
      </c>
      <c r="AD822" s="410"/>
      <c r="AE822" s="411"/>
      <c r="AF822" s="411"/>
      <c r="AG822" s="411"/>
    </row>
    <row r="823" spans="1:33" x14ac:dyDescent="0.2">
      <c r="A823" s="6" t="s">
        <v>770</v>
      </c>
      <c r="B823" s="18" t="str">
        <f>VLOOKUP(LEFT(A823,7),'Tariff Schedule Lookup Table'!$A$8:$G$186,2,FALSE)</f>
        <v>Mercury Vapour 700</v>
      </c>
      <c r="C823" s="160">
        <f t="shared" si="140"/>
        <v>340</v>
      </c>
      <c r="D823" s="18">
        <f t="shared" si="141"/>
        <v>2</v>
      </c>
      <c r="E823" s="18" t="str">
        <f>VLOOKUP(C823,'Tariff Schedule Lookup Table'!I$7:L$286,2,FALSE)</f>
        <v>HIGH PRESSURE SODIUM 600W HIGH MAST</v>
      </c>
      <c r="F823" s="18" t="str">
        <f>IF(E823 = "BULKHEADS ETC", "SHARED OR NO POLE", VLOOKUP(C823,'Tariff Schedule Lookup Table'!I$7:L$286,3,FALSE))</f>
        <v>STEEL POLE</v>
      </c>
      <c r="G823" s="18">
        <f>IF(E823 = "NO CAPITAL", 1, VLOOKUP(C823,'Tariff Schedule Lookup Table'!I$7:L$286,4,FALSE))</f>
        <v>1</v>
      </c>
      <c r="H823" s="18" t="str">
        <f t="shared" si="142"/>
        <v>2-Unmetered, Funded by Others, CE Maintained</v>
      </c>
      <c r="I823" s="123">
        <f>VLOOKUP(F823,'Maintenance Model'!$A$57:$B$61,2,FALSE)</f>
        <v>9.9616182311111103</v>
      </c>
      <c r="J823" s="123">
        <f>IF(D823=1,VLOOKUP(C823,'Capital Code Schedules'!A$15:F$300,2,FALSE),IF(D823=2,VLOOKUP(C823,'Capital Code Schedules'!A$15:F$300,3,FALSE),0))</f>
        <v>0</v>
      </c>
      <c r="K823" s="123">
        <v>0</v>
      </c>
      <c r="L823" s="123">
        <f>VLOOKUP(LEFT(A823,10),'Streetlight Tariff Schedule'!B$11:H$260,7, FALSE)+I823</f>
        <v>63.360934714695105</v>
      </c>
      <c r="M823" s="161">
        <f t="shared" si="133"/>
        <v>63.360934714695105</v>
      </c>
      <c r="N823" s="405">
        <f t="shared" si="134"/>
        <v>66.001097584568882</v>
      </c>
      <c r="O823" s="405">
        <v>58.015442124589491</v>
      </c>
      <c r="P823" s="406">
        <v>58.015442124589491</v>
      </c>
      <c r="Q823" s="406">
        <v>60.85465185762326</v>
      </c>
      <c r="R823" s="406">
        <v>60.85465185762326</v>
      </c>
      <c r="S823" s="405">
        <f t="shared" si="135"/>
        <v>69.231116210482185</v>
      </c>
      <c r="T823" s="406">
        <v>63.354024526680135</v>
      </c>
      <c r="U823" s="406">
        <v>63.585475224777767</v>
      </c>
      <c r="V823" s="405">
        <f t="shared" si="136"/>
        <v>72.337829405129952</v>
      </c>
      <c r="W823" s="406">
        <v>65.660282518935418</v>
      </c>
      <c r="X823" s="406">
        <v>66.488579368778929</v>
      </c>
      <c r="Y823" s="405">
        <f t="shared" si="137"/>
        <v>75.640537320289923</v>
      </c>
      <c r="Z823" s="406">
        <v>67.556919782296987</v>
      </c>
      <c r="AA823" s="406">
        <v>68.659480073958605</v>
      </c>
      <c r="AB823" s="442">
        <f t="shared" si="138"/>
        <v>77.282446911781136</v>
      </c>
      <c r="AC823" s="438">
        <f t="shared" si="139"/>
        <v>79.593119525658381</v>
      </c>
      <c r="AD823" s="410"/>
      <c r="AE823" s="411"/>
      <c r="AF823" s="411"/>
      <c r="AG823" s="411"/>
    </row>
    <row r="824" spans="1:33" x14ac:dyDescent="0.2">
      <c r="A824" s="6" t="s">
        <v>771</v>
      </c>
      <c r="B824" s="18" t="str">
        <f>VLOOKUP(LEFT(A824,7),'Tariff Schedule Lookup Table'!$A$8:$G$186,2,FALSE)</f>
        <v>Mercury Vapour 700</v>
      </c>
      <c r="C824" s="160">
        <f t="shared" si="140"/>
        <v>700</v>
      </c>
      <c r="D824" s="18">
        <f t="shared" si="141"/>
        <v>1</v>
      </c>
      <c r="E824" s="18" t="str">
        <f>VLOOKUP(C824,'Tariff Schedule Lookup Table'!I$7:L$286,2,FALSE)</f>
        <v>HIGH PRESSURE SODIUM 600W HIGH MAST</v>
      </c>
      <c r="F824" s="18" t="str">
        <f>IF(E824 = "BULKHEADS ETC", "SHARED OR NO POLE", VLOOKUP(C824,'Tariff Schedule Lookup Table'!I$7:L$286,3,FALSE))</f>
        <v>WOOD POLE</v>
      </c>
      <c r="G824" s="18">
        <f>IF(E824 = "NO CAPITAL", 1, VLOOKUP(C824,'Tariff Schedule Lookup Table'!I$7:L$286,4,FALSE))</f>
        <v>2</v>
      </c>
      <c r="H824" s="18" t="str">
        <f t="shared" si="142"/>
        <v>1-Unmetered, CE Funded, CE Maintained</v>
      </c>
      <c r="I824" s="123">
        <f>VLOOKUP(F824,'Maintenance Model'!$A$57:$B$61,2,FALSE)</f>
        <v>10.731618231111112</v>
      </c>
      <c r="J824" s="123" t="e">
        <f>IF(D824=1,VLOOKUP(C824,'Capital Code Schedules'!A$15:F$300,2,FALSE),IF(D824=2,VLOOKUP(C824,'Capital Code Schedules'!A$15:F$300,3,FALSE),0))</f>
        <v>#N/A</v>
      </c>
      <c r="K824" s="123" t="e">
        <v>#N/A</v>
      </c>
      <c r="L824" s="123">
        <f>VLOOKUP(LEFT(A824,10),'Streetlight Tariff Schedule'!B$11:H$260,7, FALSE)+I824</f>
        <v>64.130934714695101</v>
      </c>
      <c r="M824" s="161" t="e">
        <f t="shared" si="133"/>
        <v>#N/A</v>
      </c>
      <c r="N824" s="405" t="e">
        <f t="shared" si="134"/>
        <v>#N/A</v>
      </c>
      <c r="O824" s="405" t="e">
        <v>#N/A</v>
      </c>
      <c r="P824" s="406" t="e">
        <v>#N/A</v>
      </c>
      <c r="Q824" s="406" t="e">
        <v>#N/A</v>
      </c>
      <c r="R824" s="406" t="e">
        <v>#N/A</v>
      </c>
      <c r="S824" s="405" t="e">
        <f t="shared" si="135"/>
        <v>#N/A</v>
      </c>
      <c r="T824" s="406" t="e">
        <v>#N/A</v>
      </c>
      <c r="U824" s="406" t="e">
        <v>#N/A</v>
      </c>
      <c r="V824" s="405" t="e">
        <f t="shared" si="136"/>
        <v>#N/A</v>
      </c>
      <c r="W824" s="406" t="e">
        <v>#N/A</v>
      </c>
      <c r="X824" s="406" t="e">
        <v>#N/A</v>
      </c>
      <c r="Y824" s="405" t="e">
        <f t="shared" si="137"/>
        <v>#N/A</v>
      </c>
      <c r="Z824" s="406" t="e">
        <v>#N/A</v>
      </c>
      <c r="AA824" s="406" t="e">
        <v>#N/A</v>
      </c>
      <c r="AB824" s="442" t="e">
        <f t="shared" si="138"/>
        <v>#N/A</v>
      </c>
      <c r="AC824" s="438" t="e">
        <f t="shared" si="139"/>
        <v>#N/A</v>
      </c>
      <c r="AD824" s="410"/>
      <c r="AE824" s="411"/>
      <c r="AF824" s="411"/>
      <c r="AG824" s="411"/>
    </row>
    <row r="825" spans="1:33" x14ac:dyDescent="0.2">
      <c r="A825" s="6" t="s">
        <v>772</v>
      </c>
      <c r="B825" s="18" t="str">
        <f>VLOOKUP(LEFT(A825,7),'Tariff Schedule Lookup Table'!$A$8:$G$186,2,FALSE)</f>
        <v>Mercury Vapour 1000</v>
      </c>
      <c r="C825" s="160">
        <f t="shared" si="140"/>
        <v>120</v>
      </c>
      <c r="D825" s="18">
        <f t="shared" si="141"/>
        <v>2</v>
      </c>
      <c r="E825" s="18" t="str">
        <f>VLOOKUP(C825,'Tariff Schedule Lookup Table'!I$7:L$286,2,FALSE)</f>
        <v xml:space="preserve">METAL HALIDE 1000W FLOODLIGHT </v>
      </c>
      <c r="F825" s="18" t="str">
        <f>IF(E825 = "BULKHEADS ETC", "SHARED OR NO POLE", VLOOKUP(C825,'Tariff Schedule Lookup Table'!I$7:L$286,3,FALSE))</f>
        <v>SHARED OR NO POLE</v>
      </c>
      <c r="G825" s="18">
        <f>IF(E825 = "NO CAPITAL", 1, VLOOKUP(C825,'Tariff Schedule Lookup Table'!I$7:L$286,4,FALSE))</f>
        <v>1</v>
      </c>
      <c r="H825" s="18" t="str">
        <f t="shared" si="142"/>
        <v>2-Unmetered, Funded by Others, CE Maintained</v>
      </c>
      <c r="I825" s="123">
        <f>VLOOKUP(F825,'Maintenance Model'!$A$57:$B$61,2,FALSE)</f>
        <v>0</v>
      </c>
      <c r="J825" s="123">
        <f>IF(D825=1,VLOOKUP(C825,'Capital Code Schedules'!A$15:F$300,2,FALSE),IF(D825=2,VLOOKUP(C825,'Capital Code Schedules'!A$15:F$300,3,FALSE),0))</f>
        <v>0</v>
      </c>
      <c r="K825" s="123">
        <v>0</v>
      </c>
      <c r="L825" s="123">
        <f>VLOOKUP(LEFT(A825,10),'Streetlight Tariff Schedule'!B$11:H$260,7, FALSE)+I825</f>
        <v>91.751446522750641</v>
      </c>
      <c r="M825" s="161">
        <f t="shared" si="133"/>
        <v>91.751446522750641</v>
      </c>
      <c r="N825" s="405">
        <f t="shared" si="134"/>
        <v>95.574602911736079</v>
      </c>
      <c r="O825" s="405">
        <v>88.449047530508594</v>
      </c>
      <c r="P825" s="406">
        <v>88.449047530508594</v>
      </c>
      <c r="Q825" s="406">
        <v>92.77764328759838</v>
      </c>
      <c r="R825" s="406">
        <v>92.77764328759838</v>
      </c>
      <c r="S825" s="405">
        <f t="shared" si="135"/>
        <v>100.2519152423927</v>
      </c>
      <c r="T825" s="406">
        <v>96.588131045790746</v>
      </c>
      <c r="U825" s="406">
        <v>96.940995611625524</v>
      </c>
      <c r="V825" s="405">
        <f t="shared" si="136"/>
        <v>104.75067194198631</v>
      </c>
      <c r="W825" s="406">
        <v>100.10420048014132</v>
      </c>
      <c r="X825" s="406">
        <v>101.36700336086136</v>
      </c>
      <c r="Y825" s="405">
        <f t="shared" si="137"/>
        <v>109.53324388513325</v>
      </c>
      <c r="Z825" s="406">
        <v>102.99577129838899</v>
      </c>
      <c r="AA825" s="406">
        <v>104.67671009797623</v>
      </c>
      <c r="AB825" s="442">
        <f t="shared" si="138"/>
        <v>111.91085369719238</v>
      </c>
      <c r="AC825" s="438">
        <f t="shared" si="139"/>
        <v>115.25688316658676</v>
      </c>
      <c r="AD825" s="410"/>
      <c r="AE825" s="411"/>
      <c r="AF825" s="411"/>
      <c r="AG825" s="411"/>
    </row>
    <row r="826" spans="1:33" s="376" customFormat="1" x14ac:dyDescent="0.2">
      <c r="A826" s="38" t="s">
        <v>773</v>
      </c>
      <c r="B826" s="23" t="str">
        <f>VLOOKUP(LEFT(A826,7),'Tariff Schedule Lookup Table'!$A$8:$G$186,2,FALSE)</f>
        <v>Compact Fluorescent 1x42</v>
      </c>
      <c r="C826" s="375">
        <f t="shared" si="140"/>
        <v>1620</v>
      </c>
      <c r="D826" s="23">
        <f t="shared" si="141"/>
        <v>1</v>
      </c>
      <c r="E826" s="23" t="str">
        <f>VLOOKUP(C826,'Tariff Schedule Lookup Table'!I$7:L$286,2,FALSE)</f>
        <v>COMPACT FLUORESCENT 42W</v>
      </c>
      <c r="F826" s="23" t="str">
        <f>IF(E826 = "BULKHEADS ETC", "SHARED OR NO POLE", VLOOKUP(C826,'Tariff Schedule Lookup Table'!I$7:L$286,3,FALSE))</f>
        <v>SHARED OR NO POLE</v>
      </c>
      <c r="G826" s="23">
        <f>IF(E826 = "NO CAPITAL", 1, VLOOKUP(C826,'Tariff Schedule Lookup Table'!I$7:L$286,4,FALSE))</f>
        <v>1</v>
      </c>
      <c r="H826" s="23" t="str">
        <f t="shared" si="142"/>
        <v>1-Unmetered, CE Funded, CE Maintained</v>
      </c>
      <c r="I826" s="374">
        <f>VLOOKUP(F826,'Maintenance Model'!$A$57:$B$61,2,FALSE)</f>
        <v>0</v>
      </c>
      <c r="J826" s="374">
        <f>IF(D826=1,VLOOKUP(C826,'Capital Code Schedules'!A$15:F$300,2,FALSE),IF(D826=2,VLOOKUP(C826,'Capital Code Schedules'!A$15:F$300,3,FALSE),0))</f>
        <v>19.218771251383032</v>
      </c>
      <c r="K826" s="374" t="e">
        <v>#N/A</v>
      </c>
      <c r="L826" s="374">
        <f>VLOOKUP(LEFT(A826,10),'Streetlight Tariff Schedule'!B$11:H$260,7, FALSE)+I826</f>
        <v>55.280352111282582</v>
      </c>
      <c r="M826" s="161" t="e">
        <f t="shared" si="133"/>
        <v>#N/A</v>
      </c>
      <c r="N826" s="405">
        <f t="shared" si="134"/>
        <v>77.278244074929461</v>
      </c>
      <c r="O826" s="405">
        <v>59.681733898772414</v>
      </c>
      <c r="P826" s="406" t="e">
        <v>#N/A</v>
      </c>
      <c r="Q826" s="406" t="e">
        <v>#N/A</v>
      </c>
      <c r="R826" s="406">
        <v>61.971456369781407</v>
      </c>
      <c r="S826" s="405">
        <f t="shared" si="135"/>
        <v>80.583767423519433</v>
      </c>
      <c r="T826" s="406" t="e">
        <v>#N/A</v>
      </c>
      <c r="U826" s="406">
        <v>64.314648340514296</v>
      </c>
      <c r="V826" s="405">
        <f t="shared" si="136"/>
        <v>83.869456896004266</v>
      </c>
      <c r="W826" s="406" t="e">
        <v>#N/A</v>
      </c>
      <c r="X826" s="406">
        <v>66.927788992319961</v>
      </c>
      <c r="Y826" s="405">
        <f t="shared" si="137"/>
        <v>87.45462621093202</v>
      </c>
      <c r="Z826" s="406" t="e">
        <v>#N/A</v>
      </c>
      <c r="AA826" s="406">
        <v>68.995035533027547</v>
      </c>
      <c r="AB826" s="442">
        <f t="shared" si="138"/>
        <v>89.264847543479789</v>
      </c>
      <c r="AC826" s="438">
        <f t="shared" si="139"/>
        <v>91.916332445048369</v>
      </c>
      <c r="AD826" s="410"/>
      <c r="AE826" s="411"/>
      <c r="AF826" s="411"/>
      <c r="AG826" s="411"/>
    </row>
    <row r="827" spans="1:33" x14ac:dyDescent="0.2">
      <c r="A827" s="6" t="s">
        <v>774</v>
      </c>
      <c r="B827" s="18" t="str">
        <f>VLOOKUP(LEFT(A827,7),'Tariff Schedule Lookup Table'!$A$8:$G$186,2,FALSE)</f>
        <v>Compact Fluorescent 1x42</v>
      </c>
      <c r="C827" s="160">
        <f t="shared" si="140"/>
        <v>1620</v>
      </c>
      <c r="D827" s="18">
        <f t="shared" si="141"/>
        <v>2</v>
      </c>
      <c r="E827" s="18" t="str">
        <f>VLOOKUP(C827,'Tariff Schedule Lookup Table'!I$7:L$286,2,FALSE)</f>
        <v>COMPACT FLUORESCENT 42W</v>
      </c>
      <c r="F827" s="18" t="str">
        <f>IF(E827 = "BULKHEADS ETC", "SHARED OR NO POLE", VLOOKUP(C827,'Tariff Schedule Lookup Table'!I$7:L$286,3,FALSE))</f>
        <v>SHARED OR NO POLE</v>
      </c>
      <c r="G827" s="18">
        <f>IF(E827 = "NO CAPITAL", 1, VLOOKUP(C827,'Tariff Schedule Lookup Table'!I$7:L$286,4,FALSE))</f>
        <v>1</v>
      </c>
      <c r="H827" s="18" t="str">
        <f t="shared" si="142"/>
        <v>2-Unmetered, Funded by Others, CE Maintained</v>
      </c>
      <c r="I827" s="123">
        <f>VLOOKUP(F827,'Maintenance Model'!$A$57:$B$61,2,FALSE)</f>
        <v>0</v>
      </c>
      <c r="J827" s="123">
        <f>IF(D827=1,VLOOKUP(C827,'Capital Code Schedules'!A$15:F$300,2,FALSE),IF(D827=2,VLOOKUP(C827,'Capital Code Schedules'!A$15:F$300,3,FALSE),0))</f>
        <v>0</v>
      </c>
      <c r="K827" s="123">
        <v>0</v>
      </c>
      <c r="L827" s="123">
        <f>VLOOKUP(LEFT(A827,10),'Streetlight Tariff Schedule'!B$11:H$260,7, FALSE)+I827</f>
        <v>55.280352111282582</v>
      </c>
      <c r="M827" s="161">
        <f t="shared" si="133"/>
        <v>55.280352111282582</v>
      </c>
      <c r="N827" s="405">
        <f t="shared" si="134"/>
        <v>57.583808235074692</v>
      </c>
      <c r="O827" s="405">
        <v>33.593955232512172</v>
      </c>
      <c r="P827" s="406">
        <v>33.593955232512172</v>
      </c>
      <c r="Q827" s="406">
        <v>35.238005181531229</v>
      </c>
      <c r="R827" s="406">
        <v>35.238005181531229</v>
      </c>
      <c r="S827" s="405">
        <f t="shared" si="135"/>
        <v>60.401894296628271</v>
      </c>
      <c r="T827" s="406">
        <v>36.685271813979654</v>
      </c>
      <c r="U827" s="406">
        <v>36.819293793398991</v>
      </c>
      <c r="V827" s="405">
        <f t="shared" si="136"/>
        <v>63.112400384996704</v>
      </c>
      <c r="W827" s="406">
        <v>38.020715015120231</v>
      </c>
      <c r="X827" s="406">
        <v>38.500341926057445</v>
      </c>
      <c r="Y827" s="405">
        <f t="shared" si="137"/>
        <v>65.993905484201306</v>
      </c>
      <c r="Z827" s="406">
        <v>39.118966532032779</v>
      </c>
      <c r="AA827" s="406">
        <v>39.757406225376542</v>
      </c>
      <c r="AB827" s="442">
        <f t="shared" si="138"/>
        <v>67.426418131958613</v>
      </c>
      <c r="AC827" s="438">
        <f t="shared" si="139"/>
        <v>69.442404737651898</v>
      </c>
      <c r="AD827" s="410"/>
      <c r="AE827" s="411"/>
      <c r="AF827" s="411"/>
      <c r="AG827" s="411"/>
    </row>
    <row r="828" spans="1:33" x14ac:dyDescent="0.2">
      <c r="A828" s="6" t="s">
        <v>775</v>
      </c>
      <c r="B828" s="18" t="str">
        <f>VLOOKUP(LEFT(A828,7),'Tariff Schedule Lookup Table'!$A$8:$G$186,2,FALSE)</f>
        <v>Compact Fluorescent 1x42</v>
      </c>
      <c r="C828" s="160">
        <f t="shared" si="140"/>
        <v>1630</v>
      </c>
      <c r="D828" s="18">
        <f t="shared" si="141"/>
        <v>1</v>
      </c>
      <c r="E828" s="18" t="str">
        <f>VLOOKUP(C828,'Tariff Schedule Lookup Table'!I$7:L$286,2,FALSE)</f>
        <v>COMPACT FLUORESCENT 42W</v>
      </c>
      <c r="F828" s="18" t="str">
        <f>IF(E828 = "BULKHEADS ETC", "SHARED OR NO POLE", VLOOKUP(C828,'Tariff Schedule Lookup Table'!I$7:L$286,3,FALSE))</f>
        <v>SHARED OR NO POLE</v>
      </c>
      <c r="G828" s="18">
        <f>IF(E828 = "NO CAPITAL", 1, VLOOKUP(C828,'Tariff Schedule Lookup Table'!I$7:L$286,4,FALSE))</f>
        <v>2</v>
      </c>
      <c r="H828" s="18" t="str">
        <f t="shared" si="142"/>
        <v>1-Unmetered, CE Funded, CE Maintained</v>
      </c>
      <c r="I828" s="123">
        <f>VLOOKUP(F828,'Maintenance Model'!$A$57:$B$61,2,FALSE)</f>
        <v>0</v>
      </c>
      <c r="J828" s="123" t="e">
        <f>IF(D828=1,VLOOKUP(C828,'Capital Code Schedules'!A$15:F$300,2,FALSE),IF(D828=2,VLOOKUP(C828,'Capital Code Schedules'!A$15:F$300,3,FALSE),0))</f>
        <v>#N/A</v>
      </c>
      <c r="K828" s="123" t="e">
        <v>#N/A</v>
      </c>
      <c r="L828" s="123">
        <f>VLOOKUP(LEFT(A828,10),'Streetlight Tariff Schedule'!B$11:H$260,7, FALSE)+I828</f>
        <v>55.280352111282582</v>
      </c>
      <c r="M828" s="161" t="e">
        <f t="shared" si="133"/>
        <v>#N/A</v>
      </c>
      <c r="N828" s="405" t="e">
        <f t="shared" si="134"/>
        <v>#N/A</v>
      </c>
      <c r="O828" s="405" t="e">
        <v>#N/A</v>
      </c>
      <c r="P828" s="406" t="e">
        <v>#N/A</v>
      </c>
      <c r="Q828" s="406" t="e">
        <v>#N/A</v>
      </c>
      <c r="R828" s="406" t="e">
        <v>#N/A</v>
      </c>
      <c r="S828" s="405" t="e">
        <f t="shared" si="135"/>
        <v>#N/A</v>
      </c>
      <c r="T828" s="406" t="e">
        <v>#N/A</v>
      </c>
      <c r="U828" s="406" t="e">
        <v>#N/A</v>
      </c>
      <c r="V828" s="405" t="e">
        <f t="shared" si="136"/>
        <v>#N/A</v>
      </c>
      <c r="W828" s="406" t="e">
        <v>#N/A</v>
      </c>
      <c r="X828" s="406" t="e">
        <v>#N/A</v>
      </c>
      <c r="Y828" s="405" t="e">
        <f t="shared" si="137"/>
        <v>#N/A</v>
      </c>
      <c r="Z828" s="406" t="e">
        <v>#N/A</v>
      </c>
      <c r="AA828" s="406" t="e">
        <v>#N/A</v>
      </c>
      <c r="AB828" s="442" t="e">
        <f t="shared" si="138"/>
        <v>#N/A</v>
      </c>
      <c r="AC828" s="438" t="e">
        <f t="shared" si="139"/>
        <v>#N/A</v>
      </c>
      <c r="AD828" s="410"/>
      <c r="AE828" s="411"/>
      <c r="AF828" s="411"/>
      <c r="AG828" s="411"/>
    </row>
    <row r="829" spans="1:33" x14ac:dyDescent="0.2">
      <c r="A829" s="6" t="s">
        <v>776</v>
      </c>
      <c r="B829" s="18" t="str">
        <f>VLOOKUP(LEFT(A829,7),'Tariff Schedule Lookup Table'!$A$8:$G$186,2,FALSE)</f>
        <v>Compact Fluorescent 1x42</v>
      </c>
      <c r="C829" s="160">
        <f t="shared" si="140"/>
        <v>1630</v>
      </c>
      <c r="D829" s="18">
        <f t="shared" si="141"/>
        <v>2</v>
      </c>
      <c r="E829" s="18" t="str">
        <f>VLOOKUP(C829,'Tariff Schedule Lookup Table'!I$7:L$286,2,FALSE)</f>
        <v>COMPACT FLUORESCENT 42W</v>
      </c>
      <c r="F829" s="18" t="str">
        <f>IF(E829 = "BULKHEADS ETC", "SHARED OR NO POLE", VLOOKUP(C829,'Tariff Schedule Lookup Table'!I$7:L$286,3,FALSE))</f>
        <v>SHARED OR NO POLE</v>
      </c>
      <c r="G829" s="18">
        <f>IF(E829 = "NO CAPITAL", 1, VLOOKUP(C829,'Tariff Schedule Lookup Table'!I$7:L$286,4,FALSE))</f>
        <v>2</v>
      </c>
      <c r="H829" s="18" t="str">
        <f t="shared" si="142"/>
        <v>2-Unmetered, Funded by Others, CE Maintained</v>
      </c>
      <c r="I829" s="123">
        <f>VLOOKUP(F829,'Maintenance Model'!$A$57:$B$61,2,FALSE)</f>
        <v>0</v>
      </c>
      <c r="J829" s="123">
        <f>IF(D829=1,VLOOKUP(C829,'Capital Code Schedules'!A$15:F$300,2,FALSE),IF(D829=2,VLOOKUP(C829,'Capital Code Schedules'!A$15:F$300,3,FALSE),0))</f>
        <v>0</v>
      </c>
      <c r="K829" s="123">
        <v>0</v>
      </c>
      <c r="L829" s="123">
        <f>VLOOKUP(LEFT(A829,10),'Streetlight Tariff Schedule'!B$11:H$260,7, FALSE)+I829</f>
        <v>55.280352111282582</v>
      </c>
      <c r="M829" s="161">
        <f t="shared" si="133"/>
        <v>55.280352111282582</v>
      </c>
      <c r="N829" s="405">
        <f t="shared" si="134"/>
        <v>57.583808235074692</v>
      </c>
      <c r="O829" s="405">
        <v>33.593955232512172</v>
      </c>
      <c r="P829" s="406">
        <v>33.593955232512172</v>
      </c>
      <c r="Q829" s="406">
        <v>35.238005181531229</v>
      </c>
      <c r="R829" s="406">
        <v>35.238005181531229</v>
      </c>
      <c r="S829" s="405">
        <f t="shared" si="135"/>
        <v>60.401894296628271</v>
      </c>
      <c r="T829" s="406">
        <v>36.685271813979654</v>
      </c>
      <c r="U829" s="406">
        <v>36.819293793398991</v>
      </c>
      <c r="V829" s="405">
        <f t="shared" si="136"/>
        <v>63.112400384996704</v>
      </c>
      <c r="W829" s="406">
        <v>38.020715015120231</v>
      </c>
      <c r="X829" s="406">
        <v>38.500341926057445</v>
      </c>
      <c r="Y829" s="405">
        <f t="shared" si="137"/>
        <v>65.993905484201306</v>
      </c>
      <c r="Z829" s="406">
        <v>39.118966532032779</v>
      </c>
      <c r="AA829" s="406">
        <v>39.757406225376542</v>
      </c>
      <c r="AB829" s="442">
        <f t="shared" si="138"/>
        <v>67.426418131958613</v>
      </c>
      <c r="AC829" s="438">
        <f t="shared" si="139"/>
        <v>69.442404737651898</v>
      </c>
      <c r="AD829" s="410"/>
      <c r="AE829" s="411"/>
      <c r="AF829" s="411"/>
      <c r="AG829" s="411"/>
    </row>
    <row r="830" spans="1:33" x14ac:dyDescent="0.2">
      <c r="A830" s="6" t="s">
        <v>777</v>
      </c>
      <c r="B830" s="18" t="str">
        <f>VLOOKUP(LEFT(A830,7),'Tariff Schedule Lookup Table'!$A$8:$G$186,2,FALSE)</f>
        <v>Compact Fluorescent 1x42</v>
      </c>
      <c r="C830" s="160">
        <f t="shared" si="140"/>
        <v>1640</v>
      </c>
      <c r="D830" s="18">
        <f t="shared" si="141"/>
        <v>1</v>
      </c>
      <c r="E830" s="18" t="str">
        <f>VLOOKUP(C830,'Tariff Schedule Lookup Table'!I$7:L$286,2,FALSE)</f>
        <v>COMPACT FLUORESCENT 42W</v>
      </c>
      <c r="F830" s="18" t="str">
        <f>IF(E830 = "BULKHEADS ETC", "SHARED OR NO POLE", VLOOKUP(C830,'Tariff Schedule Lookup Table'!I$7:L$286,3,FALSE))</f>
        <v>SHARED OR NO POLE</v>
      </c>
      <c r="G830" s="18">
        <f>IF(E830 = "NO CAPITAL", 1, VLOOKUP(C830,'Tariff Schedule Lookup Table'!I$7:L$286,4,FALSE))</f>
        <v>3</v>
      </c>
      <c r="H830" s="18" t="str">
        <f t="shared" si="142"/>
        <v>1-Unmetered, CE Funded, CE Maintained</v>
      </c>
      <c r="I830" s="123">
        <f>VLOOKUP(F830,'Maintenance Model'!$A$57:$B$61,2,FALSE)</f>
        <v>0</v>
      </c>
      <c r="J830" s="123" t="e">
        <f>IF(D830=1,VLOOKUP(C830,'Capital Code Schedules'!A$15:F$300,2,FALSE),IF(D830=2,VLOOKUP(C830,'Capital Code Schedules'!A$15:F$300,3,FALSE),0))</f>
        <v>#N/A</v>
      </c>
      <c r="K830" s="123" t="e">
        <v>#N/A</v>
      </c>
      <c r="L830" s="123">
        <f>VLOOKUP(LEFT(A830,10),'Streetlight Tariff Schedule'!B$11:H$260,7, FALSE)+I830</f>
        <v>55.280352111282582</v>
      </c>
      <c r="M830" s="161" t="e">
        <f t="shared" si="133"/>
        <v>#N/A</v>
      </c>
      <c r="N830" s="405" t="e">
        <f t="shared" si="134"/>
        <v>#N/A</v>
      </c>
      <c r="O830" s="405" t="e">
        <v>#N/A</v>
      </c>
      <c r="P830" s="406" t="e">
        <v>#N/A</v>
      </c>
      <c r="Q830" s="406" t="e">
        <v>#N/A</v>
      </c>
      <c r="R830" s="406" t="e">
        <v>#N/A</v>
      </c>
      <c r="S830" s="405" t="e">
        <f t="shared" si="135"/>
        <v>#N/A</v>
      </c>
      <c r="T830" s="406" t="e">
        <v>#N/A</v>
      </c>
      <c r="U830" s="406" t="e">
        <v>#N/A</v>
      </c>
      <c r="V830" s="405" t="e">
        <f t="shared" si="136"/>
        <v>#N/A</v>
      </c>
      <c r="W830" s="406" t="e">
        <v>#N/A</v>
      </c>
      <c r="X830" s="406" t="e">
        <v>#N/A</v>
      </c>
      <c r="Y830" s="405" t="e">
        <f t="shared" si="137"/>
        <v>#N/A</v>
      </c>
      <c r="Z830" s="406" t="e">
        <v>#N/A</v>
      </c>
      <c r="AA830" s="406" t="e">
        <v>#N/A</v>
      </c>
      <c r="AB830" s="442" t="e">
        <f t="shared" si="138"/>
        <v>#N/A</v>
      </c>
      <c r="AC830" s="438" t="e">
        <f t="shared" si="139"/>
        <v>#N/A</v>
      </c>
      <c r="AD830" s="410"/>
      <c r="AE830" s="411"/>
      <c r="AF830" s="411"/>
      <c r="AG830" s="411"/>
    </row>
    <row r="831" spans="1:33" x14ac:dyDescent="0.2">
      <c r="A831" s="6" t="s">
        <v>778</v>
      </c>
      <c r="B831" s="18" t="str">
        <f>VLOOKUP(LEFT(A831,7),'Tariff Schedule Lookup Table'!$A$8:$G$186,2,FALSE)</f>
        <v>Compact Fluorescent 1x42</v>
      </c>
      <c r="C831" s="160">
        <f t="shared" si="140"/>
        <v>1640</v>
      </c>
      <c r="D831" s="18">
        <f t="shared" si="141"/>
        <v>2</v>
      </c>
      <c r="E831" s="18" t="str">
        <f>VLOOKUP(C831,'Tariff Schedule Lookup Table'!I$7:L$286,2,FALSE)</f>
        <v>COMPACT FLUORESCENT 42W</v>
      </c>
      <c r="F831" s="18" t="str">
        <f>IF(E831 = "BULKHEADS ETC", "SHARED OR NO POLE", VLOOKUP(C831,'Tariff Schedule Lookup Table'!I$7:L$286,3,FALSE))</f>
        <v>SHARED OR NO POLE</v>
      </c>
      <c r="G831" s="18">
        <f>IF(E831 = "NO CAPITAL", 1, VLOOKUP(C831,'Tariff Schedule Lookup Table'!I$7:L$286,4,FALSE))</f>
        <v>3</v>
      </c>
      <c r="H831" s="18" t="str">
        <f t="shared" si="142"/>
        <v>2-Unmetered, Funded by Others, CE Maintained</v>
      </c>
      <c r="I831" s="123">
        <f>VLOOKUP(F831,'Maintenance Model'!$A$57:$B$61,2,FALSE)</f>
        <v>0</v>
      </c>
      <c r="J831" s="123">
        <f>IF(D831=1,VLOOKUP(C831,'Capital Code Schedules'!A$15:F$300,2,FALSE),IF(D831=2,VLOOKUP(C831,'Capital Code Schedules'!A$15:F$300,3,FALSE),0))</f>
        <v>0</v>
      </c>
      <c r="K831" s="123">
        <v>0</v>
      </c>
      <c r="L831" s="123">
        <f>VLOOKUP(LEFT(A831,10),'Streetlight Tariff Schedule'!B$11:H$260,7, FALSE)+I831</f>
        <v>55.280352111282582</v>
      </c>
      <c r="M831" s="161">
        <f t="shared" si="133"/>
        <v>55.280352111282582</v>
      </c>
      <c r="N831" s="405">
        <f t="shared" si="134"/>
        <v>57.583808235074692</v>
      </c>
      <c r="O831" s="405">
        <v>33.593955232512172</v>
      </c>
      <c r="P831" s="406">
        <v>33.593955232512172</v>
      </c>
      <c r="Q831" s="406">
        <v>35.238005181531229</v>
      </c>
      <c r="R831" s="406">
        <v>35.238005181531229</v>
      </c>
      <c r="S831" s="405">
        <f t="shared" si="135"/>
        <v>60.401894296628271</v>
      </c>
      <c r="T831" s="406">
        <v>36.685271813979654</v>
      </c>
      <c r="U831" s="406">
        <v>36.819293793398991</v>
      </c>
      <c r="V831" s="405">
        <f t="shared" si="136"/>
        <v>63.112400384996704</v>
      </c>
      <c r="W831" s="406">
        <v>38.020715015120231</v>
      </c>
      <c r="X831" s="406">
        <v>38.500341926057445</v>
      </c>
      <c r="Y831" s="405">
        <f t="shared" si="137"/>
        <v>65.993905484201306</v>
      </c>
      <c r="Z831" s="406">
        <v>39.118966532032779</v>
      </c>
      <c r="AA831" s="406">
        <v>39.757406225376542</v>
      </c>
      <c r="AB831" s="442">
        <f t="shared" si="138"/>
        <v>67.426418131958613</v>
      </c>
      <c r="AC831" s="438">
        <f t="shared" si="139"/>
        <v>69.442404737651898</v>
      </c>
      <c r="AD831" s="410"/>
      <c r="AE831" s="411"/>
      <c r="AF831" s="411"/>
      <c r="AG831" s="411"/>
    </row>
    <row r="832" spans="1:33" x14ac:dyDescent="0.2">
      <c r="A832" s="6" t="s">
        <v>779</v>
      </c>
      <c r="B832" s="18" t="str">
        <f>VLOOKUP(LEFT(A832,7),'Tariff Schedule Lookup Table'!$A$8:$G$186,2,FALSE)</f>
        <v>Compact Fluorescent 1x42</v>
      </c>
      <c r="C832" s="160">
        <f t="shared" si="140"/>
        <v>1650</v>
      </c>
      <c r="D832" s="18">
        <f t="shared" si="141"/>
        <v>1</v>
      </c>
      <c r="E832" s="18" t="str">
        <f>VLOOKUP(C832,'Tariff Schedule Lookup Table'!I$7:L$286,2,FALSE)</f>
        <v>COMPACT FLUORESCENT 42W</v>
      </c>
      <c r="F832" s="18" t="str">
        <f>IF(E832 = "BULKHEADS ETC", "SHARED OR NO POLE", VLOOKUP(C832,'Tariff Schedule Lookup Table'!I$7:L$286,3,FALSE))</f>
        <v>SHARED OR NO POLE</v>
      </c>
      <c r="G832" s="18">
        <f>IF(E832 = "NO CAPITAL", 1, VLOOKUP(C832,'Tariff Schedule Lookup Table'!I$7:L$286,4,FALSE))</f>
        <v>4</v>
      </c>
      <c r="H832" s="18" t="str">
        <f t="shared" si="142"/>
        <v>1-Unmetered, CE Funded, CE Maintained</v>
      </c>
      <c r="I832" s="123">
        <f>VLOOKUP(F832,'Maintenance Model'!$A$57:$B$61,2,FALSE)</f>
        <v>0</v>
      </c>
      <c r="J832" s="123" t="e">
        <f>IF(D832=1,VLOOKUP(C832,'Capital Code Schedules'!A$15:F$300,2,FALSE),IF(D832=2,VLOOKUP(C832,'Capital Code Schedules'!A$15:F$300,3,FALSE),0))</f>
        <v>#N/A</v>
      </c>
      <c r="K832" s="123" t="e">
        <v>#N/A</v>
      </c>
      <c r="L832" s="123">
        <f>VLOOKUP(LEFT(A832,10),'Streetlight Tariff Schedule'!B$11:H$260,7, FALSE)+I832</f>
        <v>55.280352111282582</v>
      </c>
      <c r="M832" s="161" t="e">
        <f t="shared" si="133"/>
        <v>#N/A</v>
      </c>
      <c r="N832" s="405" t="e">
        <f t="shared" si="134"/>
        <v>#N/A</v>
      </c>
      <c r="O832" s="405" t="e">
        <v>#N/A</v>
      </c>
      <c r="P832" s="406" t="e">
        <v>#N/A</v>
      </c>
      <c r="Q832" s="406" t="e">
        <v>#N/A</v>
      </c>
      <c r="R832" s="406" t="e">
        <v>#N/A</v>
      </c>
      <c r="S832" s="405" t="e">
        <f t="shared" si="135"/>
        <v>#N/A</v>
      </c>
      <c r="T832" s="406" t="e">
        <v>#N/A</v>
      </c>
      <c r="U832" s="406" t="e">
        <v>#N/A</v>
      </c>
      <c r="V832" s="405" t="e">
        <f t="shared" si="136"/>
        <v>#N/A</v>
      </c>
      <c r="W832" s="406" t="e">
        <v>#N/A</v>
      </c>
      <c r="X832" s="406" t="e">
        <v>#N/A</v>
      </c>
      <c r="Y832" s="405" t="e">
        <f t="shared" si="137"/>
        <v>#N/A</v>
      </c>
      <c r="Z832" s="406" t="e">
        <v>#N/A</v>
      </c>
      <c r="AA832" s="406" t="e">
        <v>#N/A</v>
      </c>
      <c r="AB832" s="442" t="e">
        <f t="shared" si="138"/>
        <v>#N/A</v>
      </c>
      <c r="AC832" s="438" t="e">
        <f t="shared" si="139"/>
        <v>#N/A</v>
      </c>
      <c r="AD832" s="410"/>
      <c r="AE832" s="411"/>
      <c r="AF832" s="411"/>
      <c r="AG832" s="411"/>
    </row>
    <row r="833" spans="1:33" x14ac:dyDescent="0.2">
      <c r="A833" s="6" t="s">
        <v>780</v>
      </c>
      <c r="B833" s="18" t="str">
        <f>VLOOKUP(LEFT(A833,7),'Tariff Schedule Lookup Table'!$A$8:$G$186,2,FALSE)</f>
        <v>Compact Fluorescent 1x42</v>
      </c>
      <c r="C833" s="160">
        <f t="shared" si="140"/>
        <v>1650</v>
      </c>
      <c r="D833" s="18">
        <f t="shared" si="141"/>
        <v>2</v>
      </c>
      <c r="E833" s="18" t="str">
        <f>VLOOKUP(C833,'Tariff Schedule Lookup Table'!I$7:L$286,2,FALSE)</f>
        <v>COMPACT FLUORESCENT 42W</v>
      </c>
      <c r="F833" s="18" t="str">
        <f>IF(E833 = "BULKHEADS ETC", "SHARED OR NO POLE", VLOOKUP(C833,'Tariff Schedule Lookup Table'!I$7:L$286,3,FALSE))</f>
        <v>SHARED OR NO POLE</v>
      </c>
      <c r="G833" s="18">
        <f>IF(E833 = "NO CAPITAL", 1, VLOOKUP(C833,'Tariff Schedule Lookup Table'!I$7:L$286,4,FALSE))</f>
        <v>4</v>
      </c>
      <c r="H833" s="18" t="str">
        <f t="shared" si="142"/>
        <v>2-Unmetered, Funded by Others, CE Maintained</v>
      </c>
      <c r="I833" s="123">
        <f>VLOOKUP(F833,'Maintenance Model'!$A$57:$B$61,2,FALSE)</f>
        <v>0</v>
      </c>
      <c r="J833" s="123">
        <f>IF(D833=1,VLOOKUP(C833,'Capital Code Schedules'!A$15:F$300,2,FALSE),IF(D833=2,VLOOKUP(C833,'Capital Code Schedules'!A$15:F$300,3,FALSE),0))</f>
        <v>0</v>
      </c>
      <c r="K833" s="123">
        <v>0</v>
      </c>
      <c r="L833" s="123">
        <f>VLOOKUP(LEFT(A833,10),'Streetlight Tariff Schedule'!B$11:H$260,7, FALSE)+I833</f>
        <v>55.280352111282582</v>
      </c>
      <c r="M833" s="161">
        <f t="shared" si="133"/>
        <v>55.280352111282582</v>
      </c>
      <c r="N833" s="405">
        <f t="shared" si="134"/>
        <v>57.583808235074692</v>
      </c>
      <c r="O833" s="405">
        <v>33.593955232512172</v>
      </c>
      <c r="P833" s="406">
        <v>33.593955232512172</v>
      </c>
      <c r="Q833" s="406">
        <v>35.238005181531229</v>
      </c>
      <c r="R833" s="406">
        <v>35.238005181531229</v>
      </c>
      <c r="S833" s="405">
        <f t="shared" si="135"/>
        <v>60.401894296628271</v>
      </c>
      <c r="T833" s="406">
        <v>36.685271813979654</v>
      </c>
      <c r="U833" s="406">
        <v>36.819293793398991</v>
      </c>
      <c r="V833" s="405">
        <f t="shared" si="136"/>
        <v>63.112400384996704</v>
      </c>
      <c r="W833" s="406">
        <v>38.020715015120231</v>
      </c>
      <c r="X833" s="406">
        <v>38.500341926057445</v>
      </c>
      <c r="Y833" s="405">
        <f t="shared" si="137"/>
        <v>65.993905484201306</v>
      </c>
      <c r="Z833" s="406">
        <v>39.118966532032779</v>
      </c>
      <c r="AA833" s="406">
        <v>39.757406225376542</v>
      </c>
      <c r="AB833" s="442">
        <f t="shared" si="138"/>
        <v>67.426418131958613</v>
      </c>
      <c r="AC833" s="438">
        <f t="shared" si="139"/>
        <v>69.442404737651898</v>
      </c>
      <c r="AD833" s="410"/>
      <c r="AE833" s="411"/>
      <c r="AF833" s="411"/>
      <c r="AG833" s="411"/>
    </row>
    <row r="834" spans="1:33" x14ac:dyDescent="0.2">
      <c r="A834" s="6" t="s">
        <v>781</v>
      </c>
      <c r="B834" s="18" t="str">
        <f>VLOOKUP(LEFT(A834,7),'Tariff Schedule Lookup Table'!$A$8:$G$186,2,FALSE)</f>
        <v>Compact Fluorescent 1x42</v>
      </c>
      <c r="C834" s="160">
        <f t="shared" ref="C834:C859" si="143">1*MID(A834,12,4)</f>
        <v>1660</v>
      </c>
      <c r="D834" s="18">
        <f t="shared" ref="D834:D859" si="144">1*(MID(A834,17,3))</f>
        <v>1</v>
      </c>
      <c r="E834" s="18" t="str">
        <f>VLOOKUP(C834,'Tariff Schedule Lookup Table'!I$7:L$286,2,FALSE)</f>
        <v>COMPACT FLUORESCENT 42W</v>
      </c>
      <c r="F834" s="18" t="str">
        <f>IF(E834 = "BULKHEADS ETC", "SHARED OR NO POLE", VLOOKUP(C834,'Tariff Schedule Lookup Table'!I$7:L$286,3,FALSE))</f>
        <v>WOOD POLE</v>
      </c>
      <c r="G834" s="18">
        <f>IF(E834 = "NO CAPITAL", 1, VLOOKUP(C834,'Tariff Schedule Lookup Table'!I$7:L$286,4,FALSE))</f>
        <v>1</v>
      </c>
      <c r="H834" s="18" t="str">
        <f t="shared" ref="H834:H859" si="145">VLOOKUP(D834,A$11:B$15, 2, FALSE)</f>
        <v>1-Unmetered, CE Funded, CE Maintained</v>
      </c>
      <c r="I834" s="123">
        <f>VLOOKUP(F834,'Maintenance Model'!$A$57:$B$61,2,FALSE)</f>
        <v>10.731618231111112</v>
      </c>
      <c r="J834" s="123" t="e">
        <f>IF(D834=1,VLOOKUP(C834,'Capital Code Schedules'!A$15:F$300,2,FALSE),IF(D834=2,VLOOKUP(C834,'Capital Code Schedules'!A$15:F$300,3,FALSE),0))</f>
        <v>#N/A</v>
      </c>
      <c r="K834" s="123" t="e">
        <v>#N/A</v>
      </c>
      <c r="L834" s="123">
        <f>VLOOKUP(LEFT(A834,10),'Streetlight Tariff Schedule'!B$11:H$260,7, FALSE)+I834</f>
        <v>66.011970342393695</v>
      </c>
      <c r="M834" s="161" t="e">
        <f t="shared" si="133"/>
        <v>#N/A</v>
      </c>
      <c r="N834" s="405" t="e">
        <f t="shared" si="134"/>
        <v>#N/A</v>
      </c>
      <c r="O834" s="405" t="e">
        <v>#N/A</v>
      </c>
      <c r="P834" s="406" t="e">
        <v>#N/A</v>
      </c>
      <c r="Q834" s="406" t="e">
        <v>#N/A</v>
      </c>
      <c r="R834" s="406" t="e">
        <v>#N/A</v>
      </c>
      <c r="S834" s="405" t="e">
        <f t="shared" si="135"/>
        <v>#N/A</v>
      </c>
      <c r="T834" s="406" t="e">
        <v>#N/A</v>
      </c>
      <c r="U834" s="406" t="e">
        <v>#N/A</v>
      </c>
      <c r="V834" s="405" t="e">
        <f t="shared" si="136"/>
        <v>#N/A</v>
      </c>
      <c r="W834" s="406" t="e">
        <v>#N/A</v>
      </c>
      <c r="X834" s="406" t="e">
        <v>#N/A</v>
      </c>
      <c r="Y834" s="405" t="e">
        <f t="shared" si="137"/>
        <v>#N/A</v>
      </c>
      <c r="Z834" s="406" t="e">
        <v>#N/A</v>
      </c>
      <c r="AA834" s="406" t="e">
        <v>#N/A</v>
      </c>
      <c r="AB834" s="442" t="e">
        <f t="shared" si="138"/>
        <v>#N/A</v>
      </c>
      <c r="AC834" s="438" t="e">
        <f t="shared" si="139"/>
        <v>#N/A</v>
      </c>
      <c r="AD834" s="410"/>
      <c r="AE834" s="411"/>
      <c r="AF834" s="411"/>
      <c r="AG834" s="411"/>
    </row>
    <row r="835" spans="1:33" x14ac:dyDescent="0.2">
      <c r="A835" s="6" t="s">
        <v>782</v>
      </c>
      <c r="B835" s="18" t="str">
        <f>VLOOKUP(LEFT(A835,7),'Tariff Schedule Lookup Table'!$A$8:$G$186,2,FALSE)</f>
        <v>Compact Fluorescent 1x42</v>
      </c>
      <c r="C835" s="160">
        <f t="shared" si="143"/>
        <v>1660</v>
      </c>
      <c r="D835" s="18">
        <f t="shared" si="144"/>
        <v>2</v>
      </c>
      <c r="E835" s="18" t="str">
        <f>VLOOKUP(C835,'Tariff Schedule Lookup Table'!I$7:L$286,2,FALSE)</f>
        <v>COMPACT FLUORESCENT 42W</v>
      </c>
      <c r="F835" s="18" t="str">
        <f>IF(E835 = "BULKHEADS ETC", "SHARED OR NO POLE", VLOOKUP(C835,'Tariff Schedule Lookup Table'!I$7:L$286,3,FALSE))</f>
        <v>WOOD POLE</v>
      </c>
      <c r="G835" s="18">
        <f>IF(E835 = "NO CAPITAL", 1, VLOOKUP(C835,'Tariff Schedule Lookup Table'!I$7:L$286,4,FALSE))</f>
        <v>1</v>
      </c>
      <c r="H835" s="18" t="str">
        <f t="shared" si="145"/>
        <v>2-Unmetered, Funded by Others, CE Maintained</v>
      </c>
      <c r="I835" s="123">
        <f>VLOOKUP(F835,'Maintenance Model'!$A$57:$B$61,2,FALSE)</f>
        <v>10.731618231111112</v>
      </c>
      <c r="J835" s="123">
        <f>IF(D835=1,VLOOKUP(C835,'Capital Code Schedules'!A$15:F$300,2,FALSE),IF(D835=2,VLOOKUP(C835,'Capital Code Schedules'!A$15:F$300,3,FALSE),0))</f>
        <v>0</v>
      </c>
      <c r="K835" s="123">
        <v>0</v>
      </c>
      <c r="L835" s="123">
        <f>VLOOKUP(LEFT(A835,10),'Streetlight Tariff Schedule'!B$11:H$260,7, FALSE)+I835</f>
        <v>66.011970342393695</v>
      </c>
      <c r="M835" s="161">
        <f t="shared" si="133"/>
        <v>66.011970342393695</v>
      </c>
      <c r="N835" s="405">
        <f t="shared" si="134"/>
        <v>68.762598215072103</v>
      </c>
      <c r="O835" s="405">
        <v>43.990155307936348</v>
      </c>
      <c r="P835" s="406">
        <v>43.990155307936348</v>
      </c>
      <c r="Q835" s="406">
        <v>46.142983460822599</v>
      </c>
      <c r="R835" s="406">
        <v>46.142983460822599</v>
      </c>
      <c r="S835" s="405">
        <f t="shared" si="135"/>
        <v>72.127761540065109</v>
      </c>
      <c r="T835" s="406">
        <v>48.038130474407509</v>
      </c>
      <c r="U835" s="406">
        <v>48.213627752073329</v>
      </c>
      <c r="V835" s="405">
        <f t="shared" si="136"/>
        <v>75.364460307071255</v>
      </c>
      <c r="W835" s="406">
        <v>49.786848463001093</v>
      </c>
      <c r="X835" s="406">
        <v>50.414903782952649</v>
      </c>
      <c r="Y835" s="405">
        <f t="shared" si="137"/>
        <v>78.805354257370965</v>
      </c>
      <c r="Z835" s="406">
        <v>51.224971912942564</v>
      </c>
      <c r="AA835" s="406">
        <v>52.060987233870378</v>
      </c>
      <c r="AB835" s="442">
        <f t="shared" si="138"/>
        <v>80.515961712050327</v>
      </c>
      <c r="AC835" s="438">
        <f t="shared" si="139"/>
        <v>82.923313382998288</v>
      </c>
      <c r="AD835" s="410"/>
      <c r="AE835" s="411"/>
      <c r="AF835" s="411"/>
      <c r="AG835" s="411"/>
    </row>
    <row r="836" spans="1:33" x14ac:dyDescent="0.2">
      <c r="A836" s="6" t="s">
        <v>783</v>
      </c>
      <c r="B836" s="18" t="str">
        <f>VLOOKUP(LEFT(A836,7),'Tariff Schedule Lookup Table'!$A$8:$G$186,2,FALSE)</f>
        <v>Compact Fluorescent 1x42</v>
      </c>
      <c r="C836" s="160">
        <f t="shared" si="143"/>
        <v>1670</v>
      </c>
      <c r="D836" s="18">
        <f t="shared" si="144"/>
        <v>1</v>
      </c>
      <c r="E836" s="18" t="str">
        <f>VLOOKUP(C836,'Tariff Schedule Lookup Table'!I$7:L$286,2,FALSE)</f>
        <v>COMPACT FLUORESCENT 42W</v>
      </c>
      <c r="F836" s="18" t="str">
        <f>IF(E836 = "BULKHEADS ETC", "SHARED OR NO POLE", VLOOKUP(C836,'Tariff Schedule Lookup Table'!I$7:L$286,3,FALSE))</f>
        <v>WOOD POLE</v>
      </c>
      <c r="G836" s="18">
        <f>IF(E836 = "NO CAPITAL", 1, VLOOKUP(C836,'Tariff Schedule Lookup Table'!I$7:L$286,4,FALSE))</f>
        <v>2</v>
      </c>
      <c r="H836" s="18" t="str">
        <f t="shared" si="145"/>
        <v>1-Unmetered, CE Funded, CE Maintained</v>
      </c>
      <c r="I836" s="123">
        <f>VLOOKUP(F836,'Maintenance Model'!$A$57:$B$61,2,FALSE)</f>
        <v>10.731618231111112</v>
      </c>
      <c r="J836" s="123" t="e">
        <f>IF(D836=1,VLOOKUP(C836,'Capital Code Schedules'!A$15:F$300,2,FALSE),IF(D836=2,VLOOKUP(C836,'Capital Code Schedules'!A$15:F$300,3,FALSE),0))</f>
        <v>#N/A</v>
      </c>
      <c r="K836" s="123" t="e">
        <v>#N/A</v>
      </c>
      <c r="L836" s="123">
        <f>VLOOKUP(LEFT(A836,10),'Streetlight Tariff Schedule'!B$11:H$260,7, FALSE)+I836</f>
        <v>66.011970342393695</v>
      </c>
      <c r="M836" s="161" t="e">
        <f t="shared" si="133"/>
        <v>#N/A</v>
      </c>
      <c r="N836" s="405" t="e">
        <f t="shared" si="134"/>
        <v>#N/A</v>
      </c>
      <c r="O836" s="405" t="e">
        <v>#N/A</v>
      </c>
      <c r="P836" s="406" t="e">
        <v>#N/A</v>
      </c>
      <c r="Q836" s="406" t="e">
        <v>#N/A</v>
      </c>
      <c r="R836" s="406" t="e">
        <v>#N/A</v>
      </c>
      <c r="S836" s="405" t="e">
        <f t="shared" si="135"/>
        <v>#N/A</v>
      </c>
      <c r="T836" s="406" t="e">
        <v>#N/A</v>
      </c>
      <c r="U836" s="406" t="e">
        <v>#N/A</v>
      </c>
      <c r="V836" s="405" t="e">
        <f t="shared" si="136"/>
        <v>#N/A</v>
      </c>
      <c r="W836" s="406" t="e">
        <v>#N/A</v>
      </c>
      <c r="X836" s="406" t="e">
        <v>#N/A</v>
      </c>
      <c r="Y836" s="405" t="e">
        <f t="shared" si="137"/>
        <v>#N/A</v>
      </c>
      <c r="Z836" s="406" t="e">
        <v>#N/A</v>
      </c>
      <c r="AA836" s="406" t="e">
        <v>#N/A</v>
      </c>
      <c r="AB836" s="442" t="e">
        <f t="shared" si="138"/>
        <v>#N/A</v>
      </c>
      <c r="AC836" s="438" t="e">
        <f t="shared" si="139"/>
        <v>#N/A</v>
      </c>
      <c r="AD836" s="410"/>
      <c r="AE836" s="411"/>
      <c r="AF836" s="411"/>
      <c r="AG836" s="411"/>
    </row>
    <row r="837" spans="1:33" x14ac:dyDescent="0.2">
      <c r="A837" s="6" t="s">
        <v>784</v>
      </c>
      <c r="B837" s="18" t="str">
        <f>VLOOKUP(LEFT(A837,7),'Tariff Schedule Lookup Table'!$A$8:$G$186,2,FALSE)</f>
        <v>Compact Fluorescent 1x42</v>
      </c>
      <c r="C837" s="160">
        <f t="shared" si="143"/>
        <v>1670</v>
      </c>
      <c r="D837" s="18">
        <f t="shared" si="144"/>
        <v>2</v>
      </c>
      <c r="E837" s="18" t="str">
        <f>VLOOKUP(C837,'Tariff Schedule Lookup Table'!I$7:L$286,2,FALSE)</f>
        <v>COMPACT FLUORESCENT 42W</v>
      </c>
      <c r="F837" s="18" t="str">
        <f>IF(E837 = "BULKHEADS ETC", "SHARED OR NO POLE", VLOOKUP(C837,'Tariff Schedule Lookup Table'!I$7:L$286,3,FALSE))</f>
        <v>WOOD POLE</v>
      </c>
      <c r="G837" s="18">
        <f>IF(E837 = "NO CAPITAL", 1, VLOOKUP(C837,'Tariff Schedule Lookup Table'!I$7:L$286,4,FALSE))</f>
        <v>2</v>
      </c>
      <c r="H837" s="18" t="str">
        <f t="shared" si="145"/>
        <v>2-Unmetered, Funded by Others, CE Maintained</v>
      </c>
      <c r="I837" s="123">
        <f>VLOOKUP(F837,'Maintenance Model'!$A$57:$B$61,2,FALSE)</f>
        <v>10.731618231111112</v>
      </c>
      <c r="J837" s="123">
        <f>IF(D837=1,VLOOKUP(C837,'Capital Code Schedules'!A$15:F$300,2,FALSE),IF(D837=2,VLOOKUP(C837,'Capital Code Schedules'!A$15:F$300,3,FALSE),0))</f>
        <v>0</v>
      </c>
      <c r="K837" s="123">
        <v>0</v>
      </c>
      <c r="L837" s="123">
        <f>VLOOKUP(LEFT(A837,10),'Streetlight Tariff Schedule'!B$11:H$260,7, FALSE)+I837</f>
        <v>66.011970342393695</v>
      </c>
      <c r="M837" s="161">
        <f t="shared" si="133"/>
        <v>66.011970342393695</v>
      </c>
      <c r="N837" s="405">
        <f t="shared" si="134"/>
        <v>68.762598215072103</v>
      </c>
      <c r="O837" s="405">
        <v>43.990155307936348</v>
      </c>
      <c r="P837" s="406">
        <v>43.990155307936348</v>
      </c>
      <c r="Q837" s="406">
        <v>46.142983460822599</v>
      </c>
      <c r="R837" s="406">
        <v>46.142983460822599</v>
      </c>
      <c r="S837" s="405">
        <f t="shared" si="135"/>
        <v>72.127761540065109</v>
      </c>
      <c r="T837" s="406">
        <v>48.038130474407509</v>
      </c>
      <c r="U837" s="406">
        <v>48.213627752073329</v>
      </c>
      <c r="V837" s="405">
        <f t="shared" si="136"/>
        <v>75.364460307071255</v>
      </c>
      <c r="W837" s="406">
        <v>49.786848463001093</v>
      </c>
      <c r="X837" s="406">
        <v>50.414903782952649</v>
      </c>
      <c r="Y837" s="405">
        <f t="shared" si="137"/>
        <v>78.805354257370965</v>
      </c>
      <c r="Z837" s="406">
        <v>51.224971912942564</v>
      </c>
      <c r="AA837" s="406">
        <v>52.060987233870378</v>
      </c>
      <c r="AB837" s="442">
        <f t="shared" si="138"/>
        <v>80.515961712050327</v>
      </c>
      <c r="AC837" s="438">
        <f t="shared" si="139"/>
        <v>82.923313382998288</v>
      </c>
      <c r="AD837" s="410"/>
      <c r="AE837" s="411"/>
      <c r="AF837" s="411"/>
      <c r="AG837" s="411"/>
    </row>
    <row r="838" spans="1:33" x14ac:dyDescent="0.2">
      <c r="A838" s="6" t="s">
        <v>785</v>
      </c>
      <c r="B838" s="18" t="str">
        <f>VLOOKUP(LEFT(A838,7),'Tariff Schedule Lookup Table'!$A$8:$G$186,2,FALSE)</f>
        <v>Compact Fluorescent 1x42</v>
      </c>
      <c r="C838" s="160">
        <f t="shared" si="143"/>
        <v>1680</v>
      </c>
      <c r="D838" s="18">
        <f t="shared" si="144"/>
        <v>1</v>
      </c>
      <c r="E838" s="18" t="str">
        <f>VLOOKUP(C838,'Tariff Schedule Lookup Table'!I$7:L$286,2,FALSE)</f>
        <v>COMPACT FLUORESCENT 42W</v>
      </c>
      <c r="F838" s="18" t="str">
        <f>IF(E838 = "BULKHEADS ETC", "SHARED OR NO POLE", VLOOKUP(C838,'Tariff Schedule Lookup Table'!I$7:L$286,3,FALSE))</f>
        <v>WOOD POLE</v>
      </c>
      <c r="G838" s="18">
        <f>IF(E838 = "NO CAPITAL", 1, VLOOKUP(C838,'Tariff Schedule Lookup Table'!I$7:L$286,4,FALSE))</f>
        <v>3</v>
      </c>
      <c r="H838" s="18" t="str">
        <f t="shared" si="145"/>
        <v>1-Unmetered, CE Funded, CE Maintained</v>
      </c>
      <c r="I838" s="123">
        <f>VLOOKUP(F838,'Maintenance Model'!$A$57:$B$61,2,FALSE)</f>
        <v>10.731618231111112</v>
      </c>
      <c r="J838" s="123" t="e">
        <f>IF(D838=1,VLOOKUP(C838,'Capital Code Schedules'!A$15:F$300,2,FALSE),IF(D838=2,VLOOKUP(C838,'Capital Code Schedules'!A$15:F$300,3,FALSE),0))</f>
        <v>#N/A</v>
      </c>
      <c r="K838" s="123" t="e">
        <v>#N/A</v>
      </c>
      <c r="L838" s="123">
        <f>VLOOKUP(LEFT(A838,10),'Streetlight Tariff Schedule'!B$11:H$260,7, FALSE)+I838</f>
        <v>66.011970342393695</v>
      </c>
      <c r="M838" s="161" t="e">
        <f t="shared" si="133"/>
        <v>#N/A</v>
      </c>
      <c r="N838" s="405" t="e">
        <f t="shared" si="134"/>
        <v>#N/A</v>
      </c>
      <c r="O838" s="405" t="e">
        <v>#N/A</v>
      </c>
      <c r="P838" s="406" t="e">
        <v>#N/A</v>
      </c>
      <c r="Q838" s="406" t="e">
        <v>#N/A</v>
      </c>
      <c r="R838" s="406" t="e">
        <v>#N/A</v>
      </c>
      <c r="S838" s="405" t="e">
        <f t="shared" si="135"/>
        <v>#N/A</v>
      </c>
      <c r="T838" s="406" t="e">
        <v>#N/A</v>
      </c>
      <c r="U838" s="406" t="e">
        <v>#N/A</v>
      </c>
      <c r="V838" s="405" t="e">
        <f t="shared" si="136"/>
        <v>#N/A</v>
      </c>
      <c r="W838" s="406" t="e">
        <v>#N/A</v>
      </c>
      <c r="X838" s="406" t="e">
        <v>#N/A</v>
      </c>
      <c r="Y838" s="405" t="e">
        <f t="shared" si="137"/>
        <v>#N/A</v>
      </c>
      <c r="Z838" s="406" t="e">
        <v>#N/A</v>
      </c>
      <c r="AA838" s="406" t="e">
        <v>#N/A</v>
      </c>
      <c r="AB838" s="442" t="e">
        <f t="shared" si="138"/>
        <v>#N/A</v>
      </c>
      <c r="AC838" s="438" t="e">
        <f t="shared" si="139"/>
        <v>#N/A</v>
      </c>
      <c r="AD838" s="410"/>
      <c r="AE838" s="411"/>
      <c r="AF838" s="411"/>
      <c r="AG838" s="411"/>
    </row>
    <row r="839" spans="1:33" x14ac:dyDescent="0.2">
      <c r="A839" s="6" t="s">
        <v>786</v>
      </c>
      <c r="B839" s="18" t="str">
        <f>VLOOKUP(LEFT(A839,7),'Tariff Schedule Lookup Table'!$A$8:$G$186,2,FALSE)</f>
        <v>Compact Fluorescent 1x42</v>
      </c>
      <c r="C839" s="160">
        <f t="shared" si="143"/>
        <v>1680</v>
      </c>
      <c r="D839" s="18">
        <f t="shared" si="144"/>
        <v>2</v>
      </c>
      <c r="E839" s="18" t="str">
        <f>VLOOKUP(C839,'Tariff Schedule Lookup Table'!I$7:L$286,2,FALSE)</f>
        <v>COMPACT FLUORESCENT 42W</v>
      </c>
      <c r="F839" s="18" t="str">
        <f>IF(E839 = "BULKHEADS ETC", "SHARED OR NO POLE", VLOOKUP(C839,'Tariff Schedule Lookup Table'!I$7:L$286,3,FALSE))</f>
        <v>WOOD POLE</v>
      </c>
      <c r="G839" s="18">
        <f>IF(E839 = "NO CAPITAL", 1, VLOOKUP(C839,'Tariff Schedule Lookup Table'!I$7:L$286,4,FALSE))</f>
        <v>3</v>
      </c>
      <c r="H839" s="18" t="str">
        <f t="shared" si="145"/>
        <v>2-Unmetered, Funded by Others, CE Maintained</v>
      </c>
      <c r="I839" s="123">
        <f>VLOOKUP(F839,'Maintenance Model'!$A$57:$B$61,2,FALSE)</f>
        <v>10.731618231111112</v>
      </c>
      <c r="J839" s="123">
        <f>IF(D839=1,VLOOKUP(C839,'Capital Code Schedules'!A$15:F$300,2,FALSE),IF(D839=2,VLOOKUP(C839,'Capital Code Schedules'!A$15:F$300,3,FALSE),0))</f>
        <v>0</v>
      </c>
      <c r="K839" s="123">
        <v>0</v>
      </c>
      <c r="L839" s="123">
        <f>VLOOKUP(LEFT(A839,10),'Streetlight Tariff Schedule'!B$11:H$260,7, FALSE)+I839</f>
        <v>66.011970342393695</v>
      </c>
      <c r="M839" s="161">
        <f t="shared" si="133"/>
        <v>66.011970342393695</v>
      </c>
      <c r="N839" s="405">
        <f t="shared" si="134"/>
        <v>68.762598215072103</v>
      </c>
      <c r="O839" s="405">
        <v>43.990155307936348</v>
      </c>
      <c r="P839" s="406">
        <v>43.990155307936348</v>
      </c>
      <c r="Q839" s="406">
        <v>46.142983460822599</v>
      </c>
      <c r="R839" s="406">
        <v>46.142983460822599</v>
      </c>
      <c r="S839" s="405">
        <f t="shared" si="135"/>
        <v>72.127761540065109</v>
      </c>
      <c r="T839" s="406">
        <v>48.038130474407509</v>
      </c>
      <c r="U839" s="406">
        <v>48.213627752073329</v>
      </c>
      <c r="V839" s="405">
        <f t="shared" si="136"/>
        <v>75.364460307071255</v>
      </c>
      <c r="W839" s="406">
        <v>49.786848463001093</v>
      </c>
      <c r="X839" s="406">
        <v>50.414903782952649</v>
      </c>
      <c r="Y839" s="405">
        <f t="shared" si="137"/>
        <v>78.805354257370965</v>
      </c>
      <c r="Z839" s="406">
        <v>51.224971912942564</v>
      </c>
      <c r="AA839" s="406">
        <v>52.060987233870378</v>
      </c>
      <c r="AB839" s="442">
        <f t="shared" si="138"/>
        <v>80.515961712050327</v>
      </c>
      <c r="AC839" s="438">
        <f t="shared" si="139"/>
        <v>82.923313382998288</v>
      </c>
      <c r="AD839" s="410"/>
      <c r="AE839" s="411"/>
      <c r="AF839" s="411"/>
      <c r="AG839" s="411"/>
    </row>
    <row r="840" spans="1:33" x14ac:dyDescent="0.2">
      <c r="A840" s="6" t="s">
        <v>787</v>
      </c>
      <c r="B840" s="18" t="str">
        <f>VLOOKUP(LEFT(A840,7),'Tariff Schedule Lookup Table'!$A$8:$G$186,2,FALSE)</f>
        <v>Compact Fluorescent 1x42</v>
      </c>
      <c r="C840" s="160">
        <f t="shared" si="143"/>
        <v>1690</v>
      </c>
      <c r="D840" s="18">
        <f t="shared" si="144"/>
        <v>1</v>
      </c>
      <c r="E840" s="18" t="str">
        <f>VLOOKUP(C840,'Tariff Schedule Lookup Table'!I$7:L$286,2,FALSE)</f>
        <v>COMPACT FLUORESCENT 42W</v>
      </c>
      <c r="F840" s="18" t="str">
        <f>IF(E840 = "BULKHEADS ETC", "SHARED OR NO POLE", VLOOKUP(C840,'Tariff Schedule Lookup Table'!I$7:L$286,3,FALSE))</f>
        <v>WOOD POLE</v>
      </c>
      <c r="G840" s="18">
        <f>IF(E840 = "NO CAPITAL", 1, VLOOKUP(C840,'Tariff Schedule Lookup Table'!I$7:L$286,4,FALSE))</f>
        <v>4</v>
      </c>
      <c r="H840" s="18" t="str">
        <f t="shared" si="145"/>
        <v>1-Unmetered, CE Funded, CE Maintained</v>
      </c>
      <c r="I840" s="123">
        <f>VLOOKUP(F840,'Maintenance Model'!$A$57:$B$61,2,FALSE)</f>
        <v>10.731618231111112</v>
      </c>
      <c r="J840" s="123" t="e">
        <f>IF(D840=1,VLOOKUP(C840,'Capital Code Schedules'!A$15:F$300,2,FALSE),IF(D840=2,VLOOKUP(C840,'Capital Code Schedules'!A$15:F$300,3,FALSE),0))</f>
        <v>#N/A</v>
      </c>
      <c r="K840" s="123" t="e">
        <v>#N/A</v>
      </c>
      <c r="L840" s="123">
        <f>VLOOKUP(LEFT(A840,10),'Streetlight Tariff Schedule'!B$11:H$260,7, FALSE)+I840</f>
        <v>66.011970342393695</v>
      </c>
      <c r="M840" s="161" t="e">
        <f t="shared" si="133"/>
        <v>#N/A</v>
      </c>
      <c r="N840" s="405" t="e">
        <f t="shared" si="134"/>
        <v>#N/A</v>
      </c>
      <c r="O840" s="405" t="e">
        <v>#N/A</v>
      </c>
      <c r="P840" s="406" t="e">
        <v>#N/A</v>
      </c>
      <c r="Q840" s="406" t="e">
        <v>#N/A</v>
      </c>
      <c r="R840" s="406" t="e">
        <v>#N/A</v>
      </c>
      <c r="S840" s="405" t="e">
        <f t="shared" si="135"/>
        <v>#N/A</v>
      </c>
      <c r="T840" s="406" t="e">
        <v>#N/A</v>
      </c>
      <c r="U840" s="406" t="e">
        <v>#N/A</v>
      </c>
      <c r="V840" s="405" t="e">
        <f t="shared" si="136"/>
        <v>#N/A</v>
      </c>
      <c r="W840" s="406" t="e">
        <v>#N/A</v>
      </c>
      <c r="X840" s="406" t="e">
        <v>#N/A</v>
      </c>
      <c r="Y840" s="405" t="e">
        <f t="shared" si="137"/>
        <v>#N/A</v>
      </c>
      <c r="Z840" s="406" t="e">
        <v>#N/A</v>
      </c>
      <c r="AA840" s="406" t="e">
        <v>#N/A</v>
      </c>
      <c r="AB840" s="442" t="e">
        <f t="shared" si="138"/>
        <v>#N/A</v>
      </c>
      <c r="AC840" s="438" t="e">
        <f t="shared" si="139"/>
        <v>#N/A</v>
      </c>
      <c r="AD840" s="410"/>
      <c r="AE840" s="411"/>
      <c r="AF840" s="411"/>
      <c r="AG840" s="411"/>
    </row>
    <row r="841" spans="1:33" x14ac:dyDescent="0.2">
      <c r="A841" s="6" t="s">
        <v>788</v>
      </c>
      <c r="B841" s="18" t="str">
        <f>VLOOKUP(LEFT(A841,7),'Tariff Schedule Lookup Table'!$A$8:$G$186,2,FALSE)</f>
        <v>Compact Fluorescent 1x42</v>
      </c>
      <c r="C841" s="160">
        <f t="shared" si="143"/>
        <v>1690</v>
      </c>
      <c r="D841" s="18">
        <f t="shared" si="144"/>
        <v>2</v>
      </c>
      <c r="E841" s="18" t="str">
        <f>VLOOKUP(C841,'Tariff Schedule Lookup Table'!I$7:L$286,2,FALSE)</f>
        <v>COMPACT FLUORESCENT 42W</v>
      </c>
      <c r="F841" s="18" t="str">
        <f>IF(E841 = "BULKHEADS ETC", "SHARED OR NO POLE", VLOOKUP(C841,'Tariff Schedule Lookup Table'!I$7:L$286,3,FALSE))</f>
        <v>WOOD POLE</v>
      </c>
      <c r="G841" s="18">
        <f>IF(E841 = "NO CAPITAL", 1, VLOOKUP(C841,'Tariff Schedule Lookup Table'!I$7:L$286,4,FALSE))</f>
        <v>4</v>
      </c>
      <c r="H841" s="18" t="str">
        <f t="shared" si="145"/>
        <v>2-Unmetered, Funded by Others, CE Maintained</v>
      </c>
      <c r="I841" s="123">
        <f>VLOOKUP(F841,'Maintenance Model'!$A$57:$B$61,2,FALSE)</f>
        <v>10.731618231111112</v>
      </c>
      <c r="J841" s="123">
        <f>IF(D841=1,VLOOKUP(C841,'Capital Code Schedules'!A$15:F$300,2,FALSE),IF(D841=2,VLOOKUP(C841,'Capital Code Schedules'!A$15:F$300,3,FALSE),0))</f>
        <v>0</v>
      </c>
      <c r="K841" s="123">
        <v>0</v>
      </c>
      <c r="L841" s="123">
        <f>VLOOKUP(LEFT(A841,10),'Streetlight Tariff Schedule'!B$11:H$260,7, FALSE)+I841</f>
        <v>66.011970342393695</v>
      </c>
      <c r="M841" s="161">
        <f t="shared" si="133"/>
        <v>66.011970342393695</v>
      </c>
      <c r="N841" s="405">
        <f t="shared" si="134"/>
        <v>68.762598215072103</v>
      </c>
      <c r="O841" s="405">
        <v>43.990155307936348</v>
      </c>
      <c r="P841" s="406">
        <v>43.990155307936348</v>
      </c>
      <c r="Q841" s="406">
        <v>46.142983460822599</v>
      </c>
      <c r="R841" s="406">
        <v>46.142983460822599</v>
      </c>
      <c r="S841" s="405">
        <f t="shared" si="135"/>
        <v>72.127761540065109</v>
      </c>
      <c r="T841" s="406">
        <v>48.038130474407509</v>
      </c>
      <c r="U841" s="406">
        <v>48.213627752073329</v>
      </c>
      <c r="V841" s="405">
        <f t="shared" si="136"/>
        <v>75.364460307071255</v>
      </c>
      <c r="W841" s="406">
        <v>49.786848463001093</v>
      </c>
      <c r="X841" s="406">
        <v>50.414903782952649</v>
      </c>
      <c r="Y841" s="405">
        <f t="shared" si="137"/>
        <v>78.805354257370965</v>
      </c>
      <c r="Z841" s="406">
        <v>51.224971912942564</v>
      </c>
      <c r="AA841" s="406">
        <v>52.060987233870378</v>
      </c>
      <c r="AB841" s="442">
        <f t="shared" si="138"/>
        <v>80.515961712050327</v>
      </c>
      <c r="AC841" s="438">
        <f t="shared" si="139"/>
        <v>82.923313382998288</v>
      </c>
      <c r="AD841" s="410"/>
      <c r="AE841" s="411"/>
      <c r="AF841" s="411"/>
      <c r="AG841" s="411"/>
    </row>
    <row r="842" spans="1:33" s="386" customFormat="1" x14ac:dyDescent="0.2">
      <c r="A842" s="382" t="s">
        <v>789</v>
      </c>
      <c r="B842" s="383" t="str">
        <f>VLOOKUP(LEFT(A842,7),'Tariff Schedule Lookup Table'!$A$8:$G$186,2,FALSE)</f>
        <v>Compact Fluorescent 1x42</v>
      </c>
      <c r="C842" s="384">
        <f t="shared" si="143"/>
        <v>1700</v>
      </c>
      <c r="D842" s="383">
        <f t="shared" si="144"/>
        <v>1</v>
      </c>
      <c r="E842" s="383" t="str">
        <f>VLOOKUP(C842,'Tariff Schedule Lookup Table'!I$7:L$286,2,FALSE)</f>
        <v>COMPACT FLUORESCENT 42W</v>
      </c>
      <c r="F842" s="383" t="str">
        <f>IF(E842 = "BULKHEADS ETC", "SHARED OR NO POLE", VLOOKUP(C842,'Tariff Schedule Lookup Table'!I$7:L$286,3,FALSE))</f>
        <v>STEEL POLE</v>
      </c>
      <c r="G842" s="383">
        <f>IF(E842 = "NO CAPITAL", 1, VLOOKUP(C842,'Tariff Schedule Lookup Table'!I$7:L$286,4,FALSE))</f>
        <v>1</v>
      </c>
      <c r="H842" s="383" t="str">
        <f t="shared" si="145"/>
        <v>1-Unmetered, CE Funded, CE Maintained</v>
      </c>
      <c r="I842" s="385">
        <f>VLOOKUP(F842,'Maintenance Model'!$A$57:$B$61,2,FALSE)</f>
        <v>9.9616182311111103</v>
      </c>
      <c r="J842" s="385">
        <f>IF(D842=1,VLOOKUP(C842,'Capital Code Schedules'!A$15:F$300,2,FALSE),IF(D842=2,VLOOKUP(C842,'Capital Code Schedules'!A$15:F$300,3,FALSE),0))</f>
        <v>88.217405270904322</v>
      </c>
      <c r="K842" s="385" t="e">
        <v>#N/A</v>
      </c>
      <c r="L842" s="385">
        <f>VLOOKUP(LEFT(A842,10),'Streetlight Tariff Schedule'!B$11:H$260,7, FALSE)+I842</f>
        <v>65.241970342393699</v>
      </c>
      <c r="M842" s="161" t="e">
        <f t="shared" si="133"/>
        <v>#N/A</v>
      </c>
      <c r="N842" s="405">
        <f t="shared" si="134"/>
        <v>158.3612994271063</v>
      </c>
      <c r="O842" s="405">
        <v>162.93537965485891</v>
      </c>
      <c r="P842" s="406" t="e">
        <v>#N/A</v>
      </c>
      <c r="Q842" s="406" t="e">
        <v>#N/A</v>
      </c>
      <c r="R842" s="406">
        <v>168.01270059060536</v>
      </c>
      <c r="S842" s="405">
        <f t="shared" si="135"/>
        <v>163.92462908737102</v>
      </c>
      <c r="T842" s="406" t="e">
        <v>#N/A</v>
      </c>
      <c r="U842" s="406">
        <v>173.54285531378062</v>
      </c>
      <c r="V842" s="405">
        <f t="shared" si="136"/>
        <v>169.76376207320112</v>
      </c>
      <c r="W842" s="406" t="e">
        <v>#N/A</v>
      </c>
      <c r="X842" s="406">
        <v>179.98245691479084</v>
      </c>
      <c r="Y842" s="405">
        <f t="shared" si="137"/>
        <v>176.39445710916166</v>
      </c>
      <c r="Z842" s="406" t="e">
        <v>#N/A</v>
      </c>
      <c r="AA842" s="406">
        <v>185.31740015752538</v>
      </c>
      <c r="AB842" s="442">
        <f t="shared" si="138"/>
        <v>179.81885773780934</v>
      </c>
      <c r="AC842" s="438">
        <f t="shared" si="139"/>
        <v>185.11517321872461</v>
      </c>
      <c r="AD842" s="410"/>
      <c r="AE842" s="411"/>
      <c r="AF842" s="411"/>
      <c r="AG842" s="411"/>
    </row>
    <row r="843" spans="1:33" x14ac:dyDescent="0.2">
      <c r="A843" s="6" t="s">
        <v>790</v>
      </c>
      <c r="B843" s="18" t="str">
        <f>VLOOKUP(LEFT(A843,7),'Tariff Schedule Lookup Table'!$A$8:$G$186,2,FALSE)</f>
        <v>Compact Fluorescent 1x42</v>
      </c>
      <c r="C843" s="160">
        <f t="shared" si="143"/>
        <v>1700</v>
      </c>
      <c r="D843" s="18">
        <f t="shared" si="144"/>
        <v>2</v>
      </c>
      <c r="E843" s="18" t="str">
        <f>VLOOKUP(C843,'Tariff Schedule Lookup Table'!I$7:L$286,2,FALSE)</f>
        <v>COMPACT FLUORESCENT 42W</v>
      </c>
      <c r="F843" s="18" t="str">
        <f>IF(E843 = "BULKHEADS ETC", "SHARED OR NO POLE", VLOOKUP(C843,'Tariff Schedule Lookup Table'!I$7:L$286,3,FALSE))</f>
        <v>STEEL POLE</v>
      </c>
      <c r="G843" s="18">
        <f>IF(E843 = "NO CAPITAL", 1, VLOOKUP(C843,'Tariff Schedule Lookup Table'!I$7:L$286,4,FALSE))</f>
        <v>1</v>
      </c>
      <c r="H843" s="18" t="str">
        <f t="shared" si="145"/>
        <v>2-Unmetered, Funded by Others, CE Maintained</v>
      </c>
      <c r="I843" s="123">
        <f>VLOOKUP(F843,'Maintenance Model'!$A$57:$B$61,2,FALSE)</f>
        <v>9.9616182311111103</v>
      </c>
      <c r="J843" s="123">
        <f>IF(D843=1,VLOOKUP(C843,'Capital Code Schedules'!A$15:F$300,2,FALSE),IF(D843=2,VLOOKUP(C843,'Capital Code Schedules'!A$15:F$300,3,FALSE),0))</f>
        <v>0</v>
      </c>
      <c r="K843" s="123">
        <v>0</v>
      </c>
      <c r="L843" s="123">
        <f>VLOOKUP(LEFT(A843,10),'Streetlight Tariff Schedule'!B$11:H$260,7, FALSE)+I843</f>
        <v>65.241970342393699</v>
      </c>
      <c r="M843" s="161">
        <f t="shared" si="133"/>
        <v>65.241970342393699</v>
      </c>
      <c r="N843" s="405">
        <f t="shared" si="134"/>
        <v>67.960513375747098</v>
      </c>
      <c r="O843" s="405">
        <v>43.188070468611343</v>
      </c>
      <c r="P843" s="406">
        <v>43.188070468611343</v>
      </c>
      <c r="Q843" s="406">
        <v>45.301645501998145</v>
      </c>
      <c r="R843" s="406">
        <v>45.301645501998145</v>
      </c>
      <c r="S843" s="405">
        <f t="shared" si="135"/>
        <v>71.286423581240641</v>
      </c>
      <c r="T843" s="406">
        <v>47.162237768566406</v>
      </c>
      <c r="U843" s="406">
        <v>47.334535155148124</v>
      </c>
      <c r="V843" s="405">
        <f t="shared" si="136"/>
        <v>74.485367710146051</v>
      </c>
      <c r="W843" s="406">
        <v>48.87907089162389</v>
      </c>
      <c r="X843" s="406">
        <v>49.495674702780711</v>
      </c>
      <c r="Y843" s="405">
        <f t="shared" si="137"/>
        <v>77.886125177199048</v>
      </c>
      <c r="Z843" s="406">
        <v>50.290972633362664</v>
      </c>
      <c r="AA843" s="406">
        <v>51.111744652472936</v>
      </c>
      <c r="AB843" s="442">
        <f t="shared" si="138"/>
        <v>79.576779163844165</v>
      </c>
      <c r="AC843" s="438">
        <f t="shared" si="139"/>
        <v>81.956050158257028</v>
      </c>
      <c r="AD843" s="410"/>
      <c r="AE843" s="411"/>
      <c r="AF843" s="411"/>
      <c r="AG843" s="411"/>
    </row>
    <row r="844" spans="1:33" x14ac:dyDescent="0.2">
      <c r="A844" s="6" t="s">
        <v>791</v>
      </c>
      <c r="B844" s="18" t="str">
        <f>VLOOKUP(LEFT(A844,7),'Tariff Schedule Lookup Table'!$A$8:$G$186,2,FALSE)</f>
        <v>Compact Fluorescent 1x42</v>
      </c>
      <c r="C844" s="160">
        <f t="shared" si="143"/>
        <v>1710</v>
      </c>
      <c r="D844" s="18">
        <f t="shared" si="144"/>
        <v>1</v>
      </c>
      <c r="E844" s="18" t="str">
        <f>VLOOKUP(C844,'Tariff Schedule Lookup Table'!I$7:L$286,2,FALSE)</f>
        <v>COMPACT FLUORESCENT 42W</v>
      </c>
      <c r="F844" s="18" t="str">
        <f>IF(E844 = "BULKHEADS ETC", "SHARED OR NO POLE", VLOOKUP(C844,'Tariff Schedule Lookup Table'!I$7:L$286,3,FALSE))</f>
        <v>STEEL POLE</v>
      </c>
      <c r="G844" s="18">
        <f>IF(E844 = "NO CAPITAL", 1, VLOOKUP(C844,'Tariff Schedule Lookup Table'!I$7:L$286,4,FALSE))</f>
        <v>2</v>
      </c>
      <c r="H844" s="18" t="str">
        <f t="shared" si="145"/>
        <v>1-Unmetered, CE Funded, CE Maintained</v>
      </c>
      <c r="I844" s="123">
        <f>VLOOKUP(F844,'Maintenance Model'!$A$57:$B$61,2,FALSE)</f>
        <v>9.9616182311111103</v>
      </c>
      <c r="J844" s="123" t="e">
        <f>IF(D844=1,VLOOKUP(C844,'Capital Code Schedules'!A$15:F$300,2,FALSE),IF(D844=2,VLOOKUP(C844,'Capital Code Schedules'!A$15:F$300,3,FALSE),0))</f>
        <v>#N/A</v>
      </c>
      <c r="K844" s="123" t="e">
        <v>#N/A</v>
      </c>
      <c r="L844" s="123">
        <f>VLOOKUP(LEFT(A844,10),'Streetlight Tariff Schedule'!B$11:H$260,7, FALSE)+I844</f>
        <v>65.241970342393699</v>
      </c>
      <c r="M844" s="161" t="e">
        <f t="shared" si="133"/>
        <v>#N/A</v>
      </c>
      <c r="N844" s="405" t="e">
        <f t="shared" si="134"/>
        <v>#N/A</v>
      </c>
      <c r="O844" s="405" t="e">
        <v>#N/A</v>
      </c>
      <c r="P844" s="406" t="e">
        <v>#N/A</v>
      </c>
      <c r="Q844" s="406" t="e">
        <v>#N/A</v>
      </c>
      <c r="R844" s="406" t="e">
        <v>#N/A</v>
      </c>
      <c r="S844" s="405" t="e">
        <f t="shared" si="135"/>
        <v>#N/A</v>
      </c>
      <c r="T844" s="406" t="e">
        <v>#N/A</v>
      </c>
      <c r="U844" s="406" t="e">
        <v>#N/A</v>
      </c>
      <c r="V844" s="405" t="e">
        <f t="shared" si="136"/>
        <v>#N/A</v>
      </c>
      <c r="W844" s="406" t="e">
        <v>#N/A</v>
      </c>
      <c r="X844" s="406" t="e">
        <v>#N/A</v>
      </c>
      <c r="Y844" s="405" t="e">
        <f t="shared" si="137"/>
        <v>#N/A</v>
      </c>
      <c r="Z844" s="406" t="e">
        <v>#N/A</v>
      </c>
      <c r="AA844" s="406" t="e">
        <v>#N/A</v>
      </c>
      <c r="AB844" s="442" t="e">
        <f t="shared" si="138"/>
        <v>#N/A</v>
      </c>
      <c r="AC844" s="438" t="e">
        <f t="shared" si="139"/>
        <v>#N/A</v>
      </c>
      <c r="AD844" s="410"/>
      <c r="AE844" s="411"/>
      <c r="AF844" s="411"/>
      <c r="AG844" s="411"/>
    </row>
    <row r="845" spans="1:33" x14ac:dyDescent="0.2">
      <c r="A845" s="6" t="s">
        <v>792</v>
      </c>
      <c r="B845" s="18" t="str">
        <f>VLOOKUP(LEFT(A845,7),'Tariff Schedule Lookup Table'!$A$8:$G$186,2,FALSE)</f>
        <v>Compact Fluorescent 1x42</v>
      </c>
      <c r="C845" s="160">
        <f t="shared" si="143"/>
        <v>1710</v>
      </c>
      <c r="D845" s="18">
        <f t="shared" si="144"/>
        <v>2</v>
      </c>
      <c r="E845" s="18" t="str">
        <f>VLOOKUP(C845,'Tariff Schedule Lookup Table'!I$7:L$286,2,FALSE)</f>
        <v>COMPACT FLUORESCENT 42W</v>
      </c>
      <c r="F845" s="18" t="str">
        <f>IF(E845 = "BULKHEADS ETC", "SHARED OR NO POLE", VLOOKUP(C845,'Tariff Schedule Lookup Table'!I$7:L$286,3,FALSE))</f>
        <v>STEEL POLE</v>
      </c>
      <c r="G845" s="18">
        <f>IF(E845 = "NO CAPITAL", 1, VLOOKUP(C845,'Tariff Schedule Lookup Table'!I$7:L$286,4,FALSE))</f>
        <v>2</v>
      </c>
      <c r="H845" s="18" t="str">
        <f t="shared" si="145"/>
        <v>2-Unmetered, Funded by Others, CE Maintained</v>
      </c>
      <c r="I845" s="123">
        <f>VLOOKUP(F845,'Maintenance Model'!$A$57:$B$61,2,FALSE)</f>
        <v>9.9616182311111103</v>
      </c>
      <c r="J845" s="123">
        <f>IF(D845=1,VLOOKUP(C845,'Capital Code Schedules'!A$15:F$300,2,FALSE),IF(D845=2,VLOOKUP(C845,'Capital Code Schedules'!A$15:F$300,3,FALSE),0))</f>
        <v>0</v>
      </c>
      <c r="K845" s="123">
        <v>0</v>
      </c>
      <c r="L845" s="123">
        <f>VLOOKUP(LEFT(A845,10),'Streetlight Tariff Schedule'!B$11:H$260,7, FALSE)+I845</f>
        <v>65.241970342393699</v>
      </c>
      <c r="M845" s="161">
        <f t="shared" si="133"/>
        <v>65.241970342393699</v>
      </c>
      <c r="N845" s="405">
        <f t="shared" si="134"/>
        <v>67.960513375747098</v>
      </c>
      <c r="O845" s="405">
        <v>43.188070468611343</v>
      </c>
      <c r="P845" s="406">
        <v>43.188070468611343</v>
      </c>
      <c r="Q845" s="406">
        <v>45.301645501998145</v>
      </c>
      <c r="R845" s="406">
        <v>45.301645501998145</v>
      </c>
      <c r="S845" s="405">
        <f t="shared" si="135"/>
        <v>71.286423581240641</v>
      </c>
      <c r="T845" s="406">
        <v>47.162237768566406</v>
      </c>
      <c r="U845" s="406">
        <v>47.334535155148124</v>
      </c>
      <c r="V845" s="405">
        <f t="shared" si="136"/>
        <v>74.485367710146051</v>
      </c>
      <c r="W845" s="406">
        <v>48.87907089162389</v>
      </c>
      <c r="X845" s="406">
        <v>49.495674702780711</v>
      </c>
      <c r="Y845" s="405">
        <f t="shared" si="137"/>
        <v>77.886125177199048</v>
      </c>
      <c r="Z845" s="406">
        <v>50.290972633362664</v>
      </c>
      <c r="AA845" s="406">
        <v>51.111744652472936</v>
      </c>
      <c r="AB845" s="442">
        <f t="shared" si="138"/>
        <v>79.576779163844165</v>
      </c>
      <c r="AC845" s="438">
        <f t="shared" si="139"/>
        <v>81.956050158257028</v>
      </c>
      <c r="AD845" s="410"/>
      <c r="AE845" s="411"/>
      <c r="AF845" s="411"/>
      <c r="AG845" s="411"/>
    </row>
    <row r="846" spans="1:33" x14ac:dyDescent="0.2">
      <c r="A846" s="6" t="s">
        <v>793</v>
      </c>
      <c r="B846" s="18" t="str">
        <f>VLOOKUP(LEFT(A846,7),'Tariff Schedule Lookup Table'!$A$8:$G$186,2,FALSE)</f>
        <v>Compact Fluorescent 1x42</v>
      </c>
      <c r="C846" s="160">
        <f t="shared" si="143"/>
        <v>1720</v>
      </c>
      <c r="D846" s="18">
        <f t="shared" si="144"/>
        <v>1</v>
      </c>
      <c r="E846" s="18" t="str">
        <f>VLOOKUP(C846,'Tariff Schedule Lookup Table'!I$7:L$286,2,FALSE)</f>
        <v>COMPACT FLUORESCENT 42W</v>
      </c>
      <c r="F846" s="18" t="str">
        <f>IF(E846 = "BULKHEADS ETC", "SHARED OR NO POLE", VLOOKUP(C846,'Tariff Schedule Lookup Table'!I$7:L$286,3,FALSE))</f>
        <v>STEEL POLE</v>
      </c>
      <c r="G846" s="18">
        <f>IF(E846 = "NO CAPITAL", 1, VLOOKUP(C846,'Tariff Schedule Lookup Table'!I$7:L$286,4,FALSE))</f>
        <v>3</v>
      </c>
      <c r="H846" s="18" t="str">
        <f t="shared" si="145"/>
        <v>1-Unmetered, CE Funded, CE Maintained</v>
      </c>
      <c r="I846" s="123">
        <f>VLOOKUP(F846,'Maintenance Model'!$A$57:$B$61,2,FALSE)</f>
        <v>9.9616182311111103</v>
      </c>
      <c r="J846" s="123" t="e">
        <f>IF(D846=1,VLOOKUP(C846,'Capital Code Schedules'!A$15:F$300,2,FALSE),IF(D846=2,VLOOKUP(C846,'Capital Code Schedules'!A$15:F$300,3,FALSE),0))</f>
        <v>#N/A</v>
      </c>
      <c r="K846" s="123" t="e">
        <v>#N/A</v>
      </c>
      <c r="L846" s="123">
        <f>VLOOKUP(LEFT(A846,10),'Streetlight Tariff Schedule'!B$11:H$260,7, FALSE)+I846</f>
        <v>65.241970342393699</v>
      </c>
      <c r="M846" s="161" t="e">
        <f t="shared" si="133"/>
        <v>#N/A</v>
      </c>
      <c r="N846" s="405" t="e">
        <f t="shared" si="134"/>
        <v>#N/A</v>
      </c>
      <c r="O846" s="405" t="e">
        <v>#N/A</v>
      </c>
      <c r="P846" s="406" t="e">
        <v>#N/A</v>
      </c>
      <c r="Q846" s="406" t="e">
        <v>#N/A</v>
      </c>
      <c r="R846" s="406" t="e">
        <v>#N/A</v>
      </c>
      <c r="S846" s="405" t="e">
        <f t="shared" si="135"/>
        <v>#N/A</v>
      </c>
      <c r="T846" s="406" t="e">
        <v>#N/A</v>
      </c>
      <c r="U846" s="406" t="e">
        <v>#N/A</v>
      </c>
      <c r="V846" s="405" t="e">
        <f t="shared" si="136"/>
        <v>#N/A</v>
      </c>
      <c r="W846" s="406" t="e">
        <v>#N/A</v>
      </c>
      <c r="X846" s="406" t="e">
        <v>#N/A</v>
      </c>
      <c r="Y846" s="405" t="e">
        <f t="shared" si="137"/>
        <v>#N/A</v>
      </c>
      <c r="Z846" s="406" t="e">
        <v>#N/A</v>
      </c>
      <c r="AA846" s="406" t="e">
        <v>#N/A</v>
      </c>
      <c r="AB846" s="442" t="e">
        <f t="shared" si="138"/>
        <v>#N/A</v>
      </c>
      <c r="AC846" s="438" t="e">
        <f t="shared" si="139"/>
        <v>#N/A</v>
      </c>
      <c r="AD846" s="410"/>
      <c r="AE846" s="411"/>
      <c r="AF846" s="411"/>
      <c r="AG846" s="411"/>
    </row>
    <row r="847" spans="1:33" x14ac:dyDescent="0.2">
      <c r="A847" s="6" t="s">
        <v>794</v>
      </c>
      <c r="B847" s="18" t="str">
        <f>VLOOKUP(LEFT(A847,7),'Tariff Schedule Lookup Table'!$A$8:$G$186,2,FALSE)</f>
        <v>Compact Fluorescent 1x42</v>
      </c>
      <c r="C847" s="160">
        <f t="shared" si="143"/>
        <v>1720</v>
      </c>
      <c r="D847" s="18">
        <f t="shared" si="144"/>
        <v>2</v>
      </c>
      <c r="E847" s="18" t="str">
        <f>VLOOKUP(C847,'Tariff Schedule Lookup Table'!I$7:L$286,2,FALSE)</f>
        <v>COMPACT FLUORESCENT 42W</v>
      </c>
      <c r="F847" s="18" t="str">
        <f>IF(E847 = "BULKHEADS ETC", "SHARED OR NO POLE", VLOOKUP(C847,'Tariff Schedule Lookup Table'!I$7:L$286,3,FALSE))</f>
        <v>STEEL POLE</v>
      </c>
      <c r="G847" s="18">
        <f>IF(E847 = "NO CAPITAL", 1, VLOOKUP(C847,'Tariff Schedule Lookup Table'!I$7:L$286,4,FALSE))</f>
        <v>3</v>
      </c>
      <c r="H847" s="18" t="str">
        <f t="shared" si="145"/>
        <v>2-Unmetered, Funded by Others, CE Maintained</v>
      </c>
      <c r="I847" s="123">
        <f>VLOOKUP(F847,'Maintenance Model'!$A$57:$B$61,2,FALSE)</f>
        <v>9.9616182311111103</v>
      </c>
      <c r="J847" s="123">
        <f>IF(D847=1,VLOOKUP(C847,'Capital Code Schedules'!A$15:F$300,2,FALSE),IF(D847=2,VLOOKUP(C847,'Capital Code Schedules'!A$15:F$300,3,FALSE),0))</f>
        <v>0</v>
      </c>
      <c r="K847" s="123">
        <v>0</v>
      </c>
      <c r="L847" s="123">
        <f>VLOOKUP(LEFT(A847,10),'Streetlight Tariff Schedule'!B$11:H$260,7, FALSE)+I847</f>
        <v>65.241970342393699</v>
      </c>
      <c r="M847" s="161">
        <f t="shared" si="133"/>
        <v>65.241970342393699</v>
      </c>
      <c r="N847" s="405">
        <f t="shared" si="134"/>
        <v>67.960513375747098</v>
      </c>
      <c r="O847" s="405">
        <v>43.188070468611343</v>
      </c>
      <c r="P847" s="406">
        <v>43.188070468611343</v>
      </c>
      <c r="Q847" s="406">
        <v>45.301645501998145</v>
      </c>
      <c r="R847" s="406">
        <v>45.301645501998145</v>
      </c>
      <c r="S847" s="405">
        <f t="shared" si="135"/>
        <v>71.286423581240641</v>
      </c>
      <c r="T847" s="406">
        <v>47.162237768566406</v>
      </c>
      <c r="U847" s="406">
        <v>47.334535155148124</v>
      </c>
      <c r="V847" s="405">
        <f t="shared" si="136"/>
        <v>74.485367710146051</v>
      </c>
      <c r="W847" s="406">
        <v>48.87907089162389</v>
      </c>
      <c r="X847" s="406">
        <v>49.495674702780711</v>
      </c>
      <c r="Y847" s="405">
        <f t="shared" si="137"/>
        <v>77.886125177199048</v>
      </c>
      <c r="Z847" s="406">
        <v>50.290972633362664</v>
      </c>
      <c r="AA847" s="406">
        <v>51.111744652472936</v>
      </c>
      <c r="AB847" s="442">
        <f t="shared" si="138"/>
        <v>79.576779163844165</v>
      </c>
      <c r="AC847" s="438">
        <f t="shared" si="139"/>
        <v>81.956050158257028</v>
      </c>
      <c r="AD847" s="410"/>
      <c r="AE847" s="411"/>
      <c r="AF847" s="411"/>
      <c r="AG847" s="411"/>
    </row>
    <row r="848" spans="1:33" x14ac:dyDescent="0.2">
      <c r="A848" s="6" t="s">
        <v>795</v>
      </c>
      <c r="B848" s="18" t="str">
        <f>VLOOKUP(LEFT(A848,7),'Tariff Schedule Lookup Table'!$A$8:$G$186,2,FALSE)</f>
        <v>Compact Fluorescent 1x42</v>
      </c>
      <c r="C848" s="160">
        <f t="shared" si="143"/>
        <v>1730</v>
      </c>
      <c r="D848" s="18">
        <f t="shared" si="144"/>
        <v>1</v>
      </c>
      <c r="E848" s="18" t="str">
        <f>VLOOKUP(C848,'Tariff Schedule Lookup Table'!I$7:L$286,2,FALSE)</f>
        <v>COMPACT FLUORESCENT 42W</v>
      </c>
      <c r="F848" s="18" t="str">
        <f>IF(E848 = "BULKHEADS ETC", "SHARED OR NO POLE", VLOOKUP(C848,'Tariff Schedule Lookup Table'!I$7:L$286,3,FALSE))</f>
        <v>STEEL POLE</v>
      </c>
      <c r="G848" s="18">
        <f>IF(E848 = "NO CAPITAL", 1, VLOOKUP(C848,'Tariff Schedule Lookup Table'!I$7:L$286,4,FALSE))</f>
        <v>4</v>
      </c>
      <c r="H848" s="18" t="str">
        <f t="shared" si="145"/>
        <v>1-Unmetered, CE Funded, CE Maintained</v>
      </c>
      <c r="I848" s="123">
        <f>VLOOKUP(F848,'Maintenance Model'!$A$57:$B$61,2,FALSE)</f>
        <v>9.9616182311111103</v>
      </c>
      <c r="J848" s="123" t="e">
        <f>IF(D848=1,VLOOKUP(C848,'Capital Code Schedules'!A$15:F$300,2,FALSE),IF(D848=2,VLOOKUP(C848,'Capital Code Schedules'!A$15:F$300,3,FALSE),0))</f>
        <v>#N/A</v>
      </c>
      <c r="K848" s="123" t="e">
        <v>#N/A</v>
      </c>
      <c r="L848" s="123">
        <f>VLOOKUP(LEFT(A848,10),'Streetlight Tariff Schedule'!B$11:H$260,7, FALSE)+I848</f>
        <v>65.241970342393699</v>
      </c>
      <c r="M848" s="161" t="e">
        <f t="shared" si="133"/>
        <v>#N/A</v>
      </c>
      <c r="N848" s="405" t="e">
        <f t="shared" si="134"/>
        <v>#N/A</v>
      </c>
      <c r="O848" s="405" t="e">
        <v>#N/A</v>
      </c>
      <c r="P848" s="406" t="e">
        <v>#N/A</v>
      </c>
      <c r="Q848" s="406" t="e">
        <v>#N/A</v>
      </c>
      <c r="R848" s="406" t="e">
        <v>#N/A</v>
      </c>
      <c r="S848" s="405" t="e">
        <f t="shared" si="135"/>
        <v>#N/A</v>
      </c>
      <c r="T848" s="406" t="e">
        <v>#N/A</v>
      </c>
      <c r="U848" s="406" t="e">
        <v>#N/A</v>
      </c>
      <c r="V848" s="405" t="e">
        <f t="shared" si="136"/>
        <v>#N/A</v>
      </c>
      <c r="W848" s="406" t="e">
        <v>#N/A</v>
      </c>
      <c r="X848" s="406" t="e">
        <v>#N/A</v>
      </c>
      <c r="Y848" s="405" t="e">
        <f t="shared" si="137"/>
        <v>#N/A</v>
      </c>
      <c r="Z848" s="406" t="e">
        <v>#N/A</v>
      </c>
      <c r="AA848" s="406" t="e">
        <v>#N/A</v>
      </c>
      <c r="AB848" s="442" t="e">
        <f t="shared" si="138"/>
        <v>#N/A</v>
      </c>
      <c r="AC848" s="438" t="e">
        <f t="shared" si="139"/>
        <v>#N/A</v>
      </c>
      <c r="AD848" s="410"/>
      <c r="AE848" s="411"/>
      <c r="AF848" s="411"/>
      <c r="AG848" s="411"/>
    </row>
    <row r="849" spans="1:33" x14ac:dyDescent="0.2">
      <c r="A849" s="6" t="s">
        <v>796</v>
      </c>
      <c r="B849" s="18" t="str">
        <f>VLOOKUP(LEFT(A849,7),'Tariff Schedule Lookup Table'!$A$8:$G$186,2,FALSE)</f>
        <v>Compact Fluorescent 1x42</v>
      </c>
      <c r="C849" s="160">
        <f t="shared" si="143"/>
        <v>1730</v>
      </c>
      <c r="D849" s="18">
        <f t="shared" si="144"/>
        <v>2</v>
      </c>
      <c r="E849" s="18" t="str">
        <f>VLOOKUP(C849,'Tariff Schedule Lookup Table'!I$7:L$286,2,FALSE)</f>
        <v>COMPACT FLUORESCENT 42W</v>
      </c>
      <c r="F849" s="18" t="str">
        <f>IF(E849 = "BULKHEADS ETC", "SHARED OR NO POLE", VLOOKUP(C849,'Tariff Schedule Lookup Table'!I$7:L$286,3,FALSE))</f>
        <v>STEEL POLE</v>
      </c>
      <c r="G849" s="18">
        <f>IF(E849 = "NO CAPITAL", 1, VLOOKUP(C849,'Tariff Schedule Lookup Table'!I$7:L$286,4,FALSE))</f>
        <v>4</v>
      </c>
      <c r="H849" s="18" t="str">
        <f t="shared" si="145"/>
        <v>2-Unmetered, Funded by Others, CE Maintained</v>
      </c>
      <c r="I849" s="123">
        <f>VLOOKUP(F849,'Maintenance Model'!$A$57:$B$61,2,FALSE)</f>
        <v>9.9616182311111103</v>
      </c>
      <c r="J849" s="123">
        <f>IF(D849=1,VLOOKUP(C849,'Capital Code Schedules'!A$15:F$300,2,FALSE),IF(D849=2,VLOOKUP(C849,'Capital Code Schedules'!A$15:F$300,3,FALSE),0))</f>
        <v>0</v>
      </c>
      <c r="K849" s="123">
        <v>0</v>
      </c>
      <c r="L849" s="123">
        <f>VLOOKUP(LEFT(A849,10),'Streetlight Tariff Schedule'!B$11:H$260,7, FALSE)+I849</f>
        <v>65.241970342393699</v>
      </c>
      <c r="M849" s="161">
        <f t="shared" si="133"/>
        <v>65.241970342393699</v>
      </c>
      <c r="N849" s="405">
        <f t="shared" si="134"/>
        <v>67.960513375747098</v>
      </c>
      <c r="O849" s="405">
        <v>43.188070468611343</v>
      </c>
      <c r="P849" s="406">
        <v>43.188070468611343</v>
      </c>
      <c r="Q849" s="406">
        <v>45.301645501998145</v>
      </c>
      <c r="R849" s="406">
        <v>45.301645501998145</v>
      </c>
      <c r="S849" s="405">
        <f t="shared" si="135"/>
        <v>71.286423581240641</v>
      </c>
      <c r="T849" s="406">
        <v>47.162237768566406</v>
      </c>
      <c r="U849" s="406">
        <v>47.334535155148124</v>
      </c>
      <c r="V849" s="405">
        <f t="shared" si="136"/>
        <v>74.485367710146051</v>
      </c>
      <c r="W849" s="406">
        <v>48.87907089162389</v>
      </c>
      <c r="X849" s="406">
        <v>49.495674702780711</v>
      </c>
      <c r="Y849" s="405">
        <f t="shared" si="137"/>
        <v>77.886125177199048</v>
      </c>
      <c r="Z849" s="406">
        <v>50.290972633362664</v>
      </c>
      <c r="AA849" s="406">
        <v>51.111744652472936</v>
      </c>
      <c r="AB849" s="442">
        <f t="shared" si="138"/>
        <v>79.576779163844165</v>
      </c>
      <c r="AC849" s="438">
        <f t="shared" si="139"/>
        <v>81.956050158257028</v>
      </c>
      <c r="AD849" s="410"/>
      <c r="AE849" s="411"/>
      <c r="AF849" s="411"/>
      <c r="AG849" s="411"/>
    </row>
    <row r="850" spans="1:33" x14ac:dyDescent="0.2">
      <c r="A850" s="6" t="s">
        <v>797</v>
      </c>
      <c r="B850" s="18" t="str">
        <f>VLOOKUP(LEFT(A850,7),'Tariff Schedule Lookup Table'!$A$8:$G$186,2,FALSE)</f>
        <v>T5 2x14W</v>
      </c>
      <c r="C850" s="160">
        <f t="shared" si="143"/>
        <v>1740</v>
      </c>
      <c r="D850" s="18">
        <f t="shared" si="144"/>
        <v>1</v>
      </c>
      <c r="E850" s="18" t="str">
        <f>VLOOKUP(C850,'Tariff Schedule Lookup Table'!I$7:L$286,2,FALSE)</f>
        <v>T5 2x14W</v>
      </c>
      <c r="F850" s="18" t="str">
        <f>IF(E850 = "BULKHEADS ETC", "SHARED OR NO POLE", VLOOKUP(C850,'Tariff Schedule Lookup Table'!I$7:L$286,3,FALSE))</f>
        <v>SHARED OR NO POLE</v>
      </c>
      <c r="G850" s="18">
        <f>IF(E850 = "NO CAPITAL", 1, VLOOKUP(C850,'Tariff Schedule Lookup Table'!I$7:L$286,4,FALSE))</f>
        <v>1</v>
      </c>
      <c r="H850" s="18" t="str">
        <f t="shared" si="145"/>
        <v>1-Unmetered, CE Funded, CE Maintained</v>
      </c>
      <c r="I850" s="123">
        <f>VLOOKUP(F850,'Maintenance Model'!$A$57:$B$61,2,FALSE)</f>
        <v>0</v>
      </c>
      <c r="J850" s="123" t="e">
        <f>IF(D850=1,VLOOKUP(C850,'Capital Code Schedules'!A$15:F$300,2,FALSE),IF(D850=2,VLOOKUP(C850,'Capital Code Schedules'!A$15:F$300,3,FALSE),0))</f>
        <v>#N/A</v>
      </c>
      <c r="K850" s="123" t="e">
        <v>#N/A</v>
      </c>
      <c r="L850" s="123">
        <f>VLOOKUP(LEFT(A850,10),'Streetlight Tariff Schedule'!B$11:H$260,7, FALSE)+I850</f>
        <v>56.992457891515912</v>
      </c>
      <c r="M850" s="161" t="e">
        <f t="shared" si="133"/>
        <v>#N/A</v>
      </c>
      <c r="N850" s="405" t="e">
        <f t="shared" si="134"/>
        <v>#N/A</v>
      </c>
      <c r="O850" s="405" t="e">
        <v>#N/A</v>
      </c>
      <c r="P850" s="406" t="e">
        <v>#N/A</v>
      </c>
      <c r="Q850" s="406" t="e">
        <v>#N/A</v>
      </c>
      <c r="R850" s="406" t="e">
        <v>#N/A</v>
      </c>
      <c r="S850" s="405" t="e">
        <f t="shared" si="135"/>
        <v>#N/A</v>
      </c>
      <c r="T850" s="406" t="e">
        <v>#N/A</v>
      </c>
      <c r="U850" s="406" t="e">
        <v>#N/A</v>
      </c>
      <c r="V850" s="405" t="e">
        <f t="shared" si="136"/>
        <v>#N/A</v>
      </c>
      <c r="W850" s="406" t="e">
        <v>#N/A</v>
      </c>
      <c r="X850" s="406" t="e">
        <v>#N/A</v>
      </c>
      <c r="Y850" s="405" t="e">
        <f t="shared" si="137"/>
        <v>#N/A</v>
      </c>
      <c r="Z850" s="406" t="e">
        <v>#N/A</v>
      </c>
      <c r="AA850" s="406" t="e">
        <v>#N/A</v>
      </c>
      <c r="AB850" s="442" t="e">
        <f t="shared" si="138"/>
        <v>#N/A</v>
      </c>
      <c r="AC850" s="438" t="e">
        <f t="shared" si="139"/>
        <v>#N/A</v>
      </c>
      <c r="AD850" s="410"/>
      <c r="AE850" s="411"/>
      <c r="AF850" s="411"/>
      <c r="AG850" s="411"/>
    </row>
    <row r="851" spans="1:33" x14ac:dyDescent="0.2">
      <c r="A851" s="6" t="s">
        <v>798</v>
      </c>
      <c r="B851" s="18" t="str">
        <f>VLOOKUP(LEFT(A851,7),'Tariff Schedule Lookup Table'!$A$8:$G$186,2,FALSE)</f>
        <v>T5 2x14W</v>
      </c>
      <c r="C851" s="160">
        <f t="shared" si="143"/>
        <v>1740</v>
      </c>
      <c r="D851" s="18">
        <f t="shared" si="144"/>
        <v>2</v>
      </c>
      <c r="E851" s="18" t="str">
        <f>VLOOKUP(C851,'Tariff Schedule Lookup Table'!I$7:L$286,2,FALSE)</f>
        <v>T5 2x14W</v>
      </c>
      <c r="F851" s="18" t="str">
        <f>IF(E851 = "BULKHEADS ETC", "SHARED OR NO POLE", VLOOKUP(C851,'Tariff Schedule Lookup Table'!I$7:L$286,3,FALSE))</f>
        <v>SHARED OR NO POLE</v>
      </c>
      <c r="G851" s="18">
        <f>IF(E851 = "NO CAPITAL", 1, VLOOKUP(C851,'Tariff Schedule Lookup Table'!I$7:L$286,4,FALSE))</f>
        <v>1</v>
      </c>
      <c r="H851" s="18" t="str">
        <f t="shared" si="145"/>
        <v>2-Unmetered, Funded by Others, CE Maintained</v>
      </c>
      <c r="I851" s="123">
        <f>VLOOKUP(F851,'Maintenance Model'!$A$57:$B$61,2,FALSE)</f>
        <v>0</v>
      </c>
      <c r="J851" s="123">
        <f>IF(D851=1,VLOOKUP(C851,'Capital Code Schedules'!A$15:F$300,2,FALSE),IF(D851=2,VLOOKUP(C851,'Capital Code Schedules'!A$15:F$300,3,FALSE),0))</f>
        <v>0</v>
      </c>
      <c r="K851" s="123">
        <v>0</v>
      </c>
      <c r="L851" s="123">
        <f>VLOOKUP(LEFT(A851,10),'Streetlight Tariff Schedule'!B$11:H$260,7, FALSE)+I851</f>
        <v>56.992457891515912</v>
      </c>
      <c r="M851" s="161">
        <f t="shared" ref="M851:M914" si="146">IF(VLOOKUP(D851,A$11:D$15,3,FALSE)="Y",IF(VLOOKUP(D851,A$11:D$15,4,FALSE)="Y",K851+L851,K851),IF(VLOOKUP(D851,A$11:D$15,4,FALSE)="Y",L851,0))</f>
        <v>56.992457891515912</v>
      </c>
      <c r="N851" s="405">
        <f t="shared" ref="N851:N914" si="147">($J851+$L851+$L851*$M$10*$M$14)*(1+$M$12)</f>
        <v>59.367255104744636</v>
      </c>
      <c r="O851" s="405">
        <v>33.95570257839438</v>
      </c>
      <c r="P851" s="406">
        <v>33.95570257839438</v>
      </c>
      <c r="Q851" s="406">
        <v>35.617456030958607</v>
      </c>
      <c r="R851" s="406">
        <v>35.617456030958607</v>
      </c>
      <c r="S851" s="405">
        <f t="shared" ref="S851:S914" si="148">($J851+$L851+$L851*$N$10*$N$14)*(1+$N$12)</f>
        <v>62.272621027060829</v>
      </c>
      <c r="T851" s="406">
        <v>37.080307159470351</v>
      </c>
      <c r="U851" s="406">
        <v>37.215772318027398</v>
      </c>
      <c r="V851" s="405">
        <f t="shared" ref="V851:V914" si="149">($J851+$L851+$L851*$O$10*$O$14)*(1+$O$12)</f>
        <v>65.067075081822651</v>
      </c>
      <c r="W851" s="406">
        <v>38.430130716548341</v>
      </c>
      <c r="X851" s="406">
        <v>38.914922359082183</v>
      </c>
      <c r="Y851" s="405">
        <f t="shared" ref="Y851:Y914" si="150">($J851+$L851+$L851*$P$10*$P$14)*(1+$P$12)</f>
        <v>68.037824213449284</v>
      </c>
      <c r="Z851" s="406">
        <v>39.540208455428633</v>
      </c>
      <c r="AA851" s="406">
        <v>40.185523012508284</v>
      </c>
      <c r="AB851" s="442">
        <f t="shared" ref="AB851:AB914" si="151">($J851+$L851+$L851*$Q$10*$Q$14)*(1+$Q$12)</f>
        <v>69.51470367673528</v>
      </c>
      <c r="AC851" s="438">
        <f t="shared" ref="AC851:AC914" si="152">($J851+$L851+$L851*$R$10*$R$14)*(1+$R$12)</f>
        <v>71.593128059842371</v>
      </c>
      <c r="AD851" s="410"/>
      <c r="AE851" s="411"/>
      <c r="AF851" s="411"/>
      <c r="AG851" s="411"/>
    </row>
    <row r="852" spans="1:33" x14ac:dyDescent="0.2">
      <c r="A852" s="6" t="s">
        <v>799</v>
      </c>
      <c r="B852" s="18" t="str">
        <f>VLOOKUP(LEFT(A852,7),'Tariff Schedule Lookup Table'!$A$8:$G$186,2,FALSE)</f>
        <v>T5 2x14W</v>
      </c>
      <c r="C852" s="160">
        <f t="shared" si="143"/>
        <v>1750</v>
      </c>
      <c r="D852" s="18">
        <f t="shared" si="144"/>
        <v>1</v>
      </c>
      <c r="E852" s="18" t="str">
        <f>VLOOKUP(C852,'Tariff Schedule Lookup Table'!I$7:L$286,2,FALSE)</f>
        <v>T5 2x14W</v>
      </c>
      <c r="F852" s="18" t="str">
        <f>IF(E852 = "BULKHEADS ETC", "SHARED OR NO POLE", VLOOKUP(C852,'Tariff Schedule Lookup Table'!I$7:L$286,3,FALSE))</f>
        <v>SHARED OR NO POLE</v>
      </c>
      <c r="G852" s="18">
        <f>IF(E852 = "NO CAPITAL", 1, VLOOKUP(C852,'Tariff Schedule Lookup Table'!I$7:L$286,4,FALSE))</f>
        <v>2</v>
      </c>
      <c r="H852" s="18" t="str">
        <f t="shared" si="145"/>
        <v>1-Unmetered, CE Funded, CE Maintained</v>
      </c>
      <c r="I852" s="123">
        <f>VLOOKUP(F852,'Maintenance Model'!$A$57:$B$61,2,FALSE)</f>
        <v>0</v>
      </c>
      <c r="J852" s="123" t="e">
        <f>IF(D852=1,VLOOKUP(C852,'Capital Code Schedules'!A$15:F$300,2,FALSE),IF(D852=2,VLOOKUP(C852,'Capital Code Schedules'!A$15:F$300,3,FALSE),0))</f>
        <v>#N/A</v>
      </c>
      <c r="K852" s="123" t="e">
        <v>#N/A</v>
      </c>
      <c r="L852" s="123">
        <f>VLOOKUP(LEFT(A852,10),'Streetlight Tariff Schedule'!B$11:H$260,7, FALSE)+I852</f>
        <v>56.992457891515912</v>
      </c>
      <c r="M852" s="161" t="e">
        <f t="shared" si="146"/>
        <v>#N/A</v>
      </c>
      <c r="N852" s="405" t="e">
        <f t="shared" si="147"/>
        <v>#N/A</v>
      </c>
      <c r="O852" s="405" t="e">
        <v>#N/A</v>
      </c>
      <c r="P852" s="406" t="e">
        <v>#N/A</v>
      </c>
      <c r="Q852" s="406" t="e">
        <v>#N/A</v>
      </c>
      <c r="R852" s="406" t="e">
        <v>#N/A</v>
      </c>
      <c r="S852" s="405" t="e">
        <f t="shared" si="148"/>
        <v>#N/A</v>
      </c>
      <c r="T852" s="406" t="e">
        <v>#N/A</v>
      </c>
      <c r="U852" s="406" t="e">
        <v>#N/A</v>
      </c>
      <c r="V852" s="405" t="e">
        <f t="shared" si="149"/>
        <v>#N/A</v>
      </c>
      <c r="W852" s="406" t="e">
        <v>#N/A</v>
      </c>
      <c r="X852" s="406" t="e">
        <v>#N/A</v>
      </c>
      <c r="Y852" s="405" t="e">
        <f t="shared" si="150"/>
        <v>#N/A</v>
      </c>
      <c r="Z852" s="406" t="e">
        <v>#N/A</v>
      </c>
      <c r="AA852" s="406" t="e">
        <v>#N/A</v>
      </c>
      <c r="AB852" s="442" t="e">
        <f t="shared" si="151"/>
        <v>#N/A</v>
      </c>
      <c r="AC852" s="438" t="e">
        <f t="shared" si="152"/>
        <v>#N/A</v>
      </c>
      <c r="AD852" s="410"/>
      <c r="AE852" s="411"/>
      <c r="AF852" s="411"/>
      <c r="AG852" s="411"/>
    </row>
    <row r="853" spans="1:33" x14ac:dyDescent="0.2">
      <c r="A853" s="6" t="s">
        <v>800</v>
      </c>
      <c r="B853" s="18" t="str">
        <f>VLOOKUP(LEFT(A853,7),'Tariff Schedule Lookup Table'!$A$8:$G$186,2,FALSE)</f>
        <v>T5 2x14W</v>
      </c>
      <c r="C853" s="160">
        <f t="shared" si="143"/>
        <v>1750</v>
      </c>
      <c r="D853" s="18">
        <f t="shared" si="144"/>
        <v>2</v>
      </c>
      <c r="E853" s="18" t="str">
        <f>VLOOKUP(C853,'Tariff Schedule Lookup Table'!I$7:L$286,2,FALSE)</f>
        <v>T5 2x14W</v>
      </c>
      <c r="F853" s="18" t="str">
        <f>IF(E853 = "BULKHEADS ETC", "SHARED OR NO POLE", VLOOKUP(C853,'Tariff Schedule Lookup Table'!I$7:L$286,3,FALSE))</f>
        <v>SHARED OR NO POLE</v>
      </c>
      <c r="G853" s="18">
        <f>IF(E853 = "NO CAPITAL", 1, VLOOKUP(C853,'Tariff Schedule Lookup Table'!I$7:L$286,4,FALSE))</f>
        <v>2</v>
      </c>
      <c r="H853" s="18" t="str">
        <f t="shared" si="145"/>
        <v>2-Unmetered, Funded by Others, CE Maintained</v>
      </c>
      <c r="I853" s="123">
        <f>VLOOKUP(F853,'Maintenance Model'!$A$57:$B$61,2,FALSE)</f>
        <v>0</v>
      </c>
      <c r="J853" s="123">
        <f>IF(D853=1,VLOOKUP(C853,'Capital Code Schedules'!A$15:F$300,2,FALSE),IF(D853=2,VLOOKUP(C853,'Capital Code Schedules'!A$15:F$300,3,FALSE),0))</f>
        <v>0</v>
      </c>
      <c r="K853" s="123">
        <v>0</v>
      </c>
      <c r="L853" s="123">
        <f>VLOOKUP(LEFT(A853,10),'Streetlight Tariff Schedule'!B$11:H$260,7, FALSE)+I853</f>
        <v>56.992457891515912</v>
      </c>
      <c r="M853" s="161">
        <f t="shared" si="146"/>
        <v>56.992457891515912</v>
      </c>
      <c r="N853" s="405">
        <f t="shared" si="147"/>
        <v>59.367255104744636</v>
      </c>
      <c r="O853" s="405">
        <v>33.95570257839438</v>
      </c>
      <c r="P853" s="406">
        <v>33.95570257839438</v>
      </c>
      <c r="Q853" s="406">
        <v>35.617456030958607</v>
      </c>
      <c r="R853" s="406">
        <v>35.617456030958607</v>
      </c>
      <c r="S853" s="405">
        <f t="shared" si="148"/>
        <v>62.272621027060829</v>
      </c>
      <c r="T853" s="406">
        <v>37.080307159470351</v>
      </c>
      <c r="U853" s="406">
        <v>37.215772318027398</v>
      </c>
      <c r="V853" s="405">
        <f t="shared" si="149"/>
        <v>65.067075081822651</v>
      </c>
      <c r="W853" s="406">
        <v>38.430130716548341</v>
      </c>
      <c r="X853" s="406">
        <v>38.914922359082183</v>
      </c>
      <c r="Y853" s="405">
        <f t="shared" si="150"/>
        <v>68.037824213449284</v>
      </c>
      <c r="Z853" s="406">
        <v>39.540208455428633</v>
      </c>
      <c r="AA853" s="406">
        <v>40.185523012508284</v>
      </c>
      <c r="AB853" s="442">
        <f t="shared" si="151"/>
        <v>69.51470367673528</v>
      </c>
      <c r="AC853" s="438">
        <f t="shared" si="152"/>
        <v>71.593128059842371</v>
      </c>
      <c r="AD853" s="410"/>
      <c r="AE853" s="411"/>
      <c r="AF853" s="411"/>
      <c r="AG853" s="411"/>
    </row>
    <row r="854" spans="1:33" x14ac:dyDescent="0.2">
      <c r="A854" s="6" t="s">
        <v>801</v>
      </c>
      <c r="B854" s="18" t="str">
        <f>VLOOKUP(LEFT(A854,7),'Tariff Schedule Lookup Table'!$A$8:$G$186,2,FALSE)</f>
        <v>T5 2x14W</v>
      </c>
      <c r="C854" s="160">
        <f t="shared" si="143"/>
        <v>1760</v>
      </c>
      <c r="D854" s="18">
        <f t="shared" si="144"/>
        <v>1</v>
      </c>
      <c r="E854" s="18" t="str">
        <f>VLOOKUP(C854,'Tariff Schedule Lookup Table'!I$7:L$286,2,FALSE)</f>
        <v>T5 2x14W</v>
      </c>
      <c r="F854" s="18" t="str">
        <f>IF(E854 = "BULKHEADS ETC", "SHARED OR NO POLE", VLOOKUP(C854,'Tariff Schedule Lookup Table'!I$7:L$286,3,FALSE))</f>
        <v>SHARED OR NO POLE</v>
      </c>
      <c r="G854" s="18">
        <f>IF(E854 = "NO CAPITAL", 1, VLOOKUP(C854,'Tariff Schedule Lookup Table'!I$7:L$286,4,FALSE))</f>
        <v>3</v>
      </c>
      <c r="H854" s="18" t="str">
        <f t="shared" si="145"/>
        <v>1-Unmetered, CE Funded, CE Maintained</v>
      </c>
      <c r="I854" s="123">
        <f>VLOOKUP(F854,'Maintenance Model'!$A$57:$B$61,2,FALSE)</f>
        <v>0</v>
      </c>
      <c r="J854" s="123" t="e">
        <f>IF(D854=1,VLOOKUP(C854,'Capital Code Schedules'!A$15:F$300,2,FALSE),IF(D854=2,VLOOKUP(C854,'Capital Code Schedules'!A$15:F$300,3,FALSE),0))</f>
        <v>#N/A</v>
      </c>
      <c r="K854" s="123" t="e">
        <v>#N/A</v>
      </c>
      <c r="L854" s="123">
        <f>VLOOKUP(LEFT(A854,10),'Streetlight Tariff Schedule'!B$11:H$260,7, FALSE)+I854</f>
        <v>56.992457891515912</v>
      </c>
      <c r="M854" s="161" t="e">
        <f t="shared" si="146"/>
        <v>#N/A</v>
      </c>
      <c r="N854" s="405" t="e">
        <f t="shared" si="147"/>
        <v>#N/A</v>
      </c>
      <c r="O854" s="405" t="e">
        <v>#N/A</v>
      </c>
      <c r="P854" s="406" t="e">
        <v>#N/A</v>
      </c>
      <c r="Q854" s="406" t="e">
        <v>#N/A</v>
      </c>
      <c r="R854" s="406" t="e">
        <v>#N/A</v>
      </c>
      <c r="S854" s="405" t="e">
        <f t="shared" si="148"/>
        <v>#N/A</v>
      </c>
      <c r="T854" s="406" t="e">
        <v>#N/A</v>
      </c>
      <c r="U854" s="406" t="e">
        <v>#N/A</v>
      </c>
      <c r="V854" s="405" t="e">
        <f t="shared" si="149"/>
        <v>#N/A</v>
      </c>
      <c r="W854" s="406" t="e">
        <v>#N/A</v>
      </c>
      <c r="X854" s="406" t="e">
        <v>#N/A</v>
      </c>
      <c r="Y854" s="405" t="e">
        <f t="shared" si="150"/>
        <v>#N/A</v>
      </c>
      <c r="Z854" s="406" t="e">
        <v>#N/A</v>
      </c>
      <c r="AA854" s="406" t="e">
        <v>#N/A</v>
      </c>
      <c r="AB854" s="442" t="e">
        <f t="shared" si="151"/>
        <v>#N/A</v>
      </c>
      <c r="AC854" s="438" t="e">
        <f t="shared" si="152"/>
        <v>#N/A</v>
      </c>
      <c r="AD854" s="410"/>
      <c r="AE854" s="411"/>
      <c r="AF854" s="411"/>
      <c r="AG854" s="411"/>
    </row>
    <row r="855" spans="1:33" x14ac:dyDescent="0.2">
      <c r="A855" s="6" t="s">
        <v>802</v>
      </c>
      <c r="B855" s="18" t="str">
        <f>VLOOKUP(LEFT(A855,7),'Tariff Schedule Lookup Table'!$A$8:$G$186,2,FALSE)</f>
        <v>T5 2x14W</v>
      </c>
      <c r="C855" s="160">
        <f t="shared" si="143"/>
        <v>1760</v>
      </c>
      <c r="D855" s="18">
        <f t="shared" si="144"/>
        <v>2</v>
      </c>
      <c r="E855" s="18" t="str">
        <f>VLOOKUP(C855,'Tariff Schedule Lookup Table'!I$7:L$286,2,FALSE)</f>
        <v>T5 2x14W</v>
      </c>
      <c r="F855" s="18" t="str">
        <f>IF(E855 = "BULKHEADS ETC", "SHARED OR NO POLE", VLOOKUP(C855,'Tariff Schedule Lookup Table'!I$7:L$286,3,FALSE))</f>
        <v>SHARED OR NO POLE</v>
      </c>
      <c r="G855" s="18">
        <f>IF(E855 = "NO CAPITAL", 1, VLOOKUP(C855,'Tariff Schedule Lookup Table'!I$7:L$286,4,FALSE))</f>
        <v>3</v>
      </c>
      <c r="H855" s="18" t="str">
        <f t="shared" si="145"/>
        <v>2-Unmetered, Funded by Others, CE Maintained</v>
      </c>
      <c r="I855" s="123">
        <f>VLOOKUP(F855,'Maintenance Model'!$A$57:$B$61,2,FALSE)</f>
        <v>0</v>
      </c>
      <c r="J855" s="123">
        <f>IF(D855=1,VLOOKUP(C855,'Capital Code Schedules'!A$15:F$300,2,FALSE),IF(D855=2,VLOOKUP(C855,'Capital Code Schedules'!A$15:F$300,3,FALSE),0))</f>
        <v>0</v>
      </c>
      <c r="K855" s="123">
        <v>0</v>
      </c>
      <c r="L855" s="123">
        <f>VLOOKUP(LEFT(A855,10),'Streetlight Tariff Schedule'!B$11:H$260,7, FALSE)+I855</f>
        <v>56.992457891515912</v>
      </c>
      <c r="M855" s="161">
        <f t="shared" si="146"/>
        <v>56.992457891515912</v>
      </c>
      <c r="N855" s="405">
        <f t="shared" si="147"/>
        <v>59.367255104744636</v>
      </c>
      <c r="O855" s="405">
        <v>33.95570257839438</v>
      </c>
      <c r="P855" s="406">
        <v>33.95570257839438</v>
      </c>
      <c r="Q855" s="406">
        <v>35.617456030958607</v>
      </c>
      <c r="R855" s="406">
        <v>35.617456030958607</v>
      </c>
      <c r="S855" s="405">
        <f t="shared" si="148"/>
        <v>62.272621027060829</v>
      </c>
      <c r="T855" s="406">
        <v>37.080307159470351</v>
      </c>
      <c r="U855" s="406">
        <v>37.215772318027398</v>
      </c>
      <c r="V855" s="405">
        <f t="shared" si="149"/>
        <v>65.067075081822651</v>
      </c>
      <c r="W855" s="406">
        <v>38.430130716548341</v>
      </c>
      <c r="X855" s="406">
        <v>38.914922359082183</v>
      </c>
      <c r="Y855" s="405">
        <f t="shared" si="150"/>
        <v>68.037824213449284</v>
      </c>
      <c r="Z855" s="406">
        <v>39.540208455428633</v>
      </c>
      <c r="AA855" s="406">
        <v>40.185523012508284</v>
      </c>
      <c r="AB855" s="442">
        <f t="shared" si="151"/>
        <v>69.51470367673528</v>
      </c>
      <c r="AC855" s="438">
        <f t="shared" si="152"/>
        <v>71.593128059842371</v>
      </c>
      <c r="AD855" s="410"/>
      <c r="AE855" s="411"/>
      <c r="AF855" s="411"/>
      <c r="AG855" s="411"/>
    </row>
    <row r="856" spans="1:33" x14ac:dyDescent="0.2">
      <c r="A856" s="6" t="s">
        <v>803</v>
      </c>
      <c r="B856" s="18" t="str">
        <f>VLOOKUP(LEFT(A856,7),'Tariff Schedule Lookup Table'!$A$8:$G$186,2,FALSE)</f>
        <v>T5 2x14W</v>
      </c>
      <c r="C856" s="160">
        <f t="shared" si="143"/>
        <v>1770</v>
      </c>
      <c r="D856" s="18">
        <f t="shared" si="144"/>
        <v>1</v>
      </c>
      <c r="E856" s="18" t="str">
        <f>VLOOKUP(C856,'Tariff Schedule Lookup Table'!I$7:L$286,2,FALSE)</f>
        <v>T5 2x14W</v>
      </c>
      <c r="F856" s="18" t="str">
        <f>IF(E856 = "BULKHEADS ETC", "SHARED OR NO POLE", VLOOKUP(C856,'Tariff Schedule Lookup Table'!I$7:L$286,3,FALSE))</f>
        <v>SHARED OR NO POLE</v>
      </c>
      <c r="G856" s="18">
        <f>IF(E856 = "NO CAPITAL", 1, VLOOKUP(C856,'Tariff Schedule Lookup Table'!I$7:L$286,4,FALSE))</f>
        <v>4</v>
      </c>
      <c r="H856" s="18" t="str">
        <f t="shared" si="145"/>
        <v>1-Unmetered, CE Funded, CE Maintained</v>
      </c>
      <c r="I856" s="123">
        <f>VLOOKUP(F856,'Maintenance Model'!$A$57:$B$61,2,FALSE)</f>
        <v>0</v>
      </c>
      <c r="J856" s="123" t="e">
        <f>IF(D856=1,VLOOKUP(C856,'Capital Code Schedules'!A$15:F$300,2,FALSE),IF(D856=2,VLOOKUP(C856,'Capital Code Schedules'!A$15:F$300,3,FALSE),0))</f>
        <v>#N/A</v>
      </c>
      <c r="K856" s="123" t="e">
        <v>#N/A</v>
      </c>
      <c r="L856" s="123">
        <f>VLOOKUP(LEFT(A856,10),'Streetlight Tariff Schedule'!B$11:H$260,7, FALSE)+I856</f>
        <v>56.992457891515912</v>
      </c>
      <c r="M856" s="161" t="e">
        <f t="shared" si="146"/>
        <v>#N/A</v>
      </c>
      <c r="N856" s="405" t="e">
        <f t="shared" si="147"/>
        <v>#N/A</v>
      </c>
      <c r="O856" s="405" t="e">
        <v>#N/A</v>
      </c>
      <c r="P856" s="406" t="e">
        <v>#N/A</v>
      </c>
      <c r="Q856" s="406" t="e">
        <v>#N/A</v>
      </c>
      <c r="R856" s="406" t="e">
        <v>#N/A</v>
      </c>
      <c r="S856" s="405" t="e">
        <f t="shared" si="148"/>
        <v>#N/A</v>
      </c>
      <c r="T856" s="406" t="e">
        <v>#N/A</v>
      </c>
      <c r="U856" s="406" t="e">
        <v>#N/A</v>
      </c>
      <c r="V856" s="405" t="e">
        <f t="shared" si="149"/>
        <v>#N/A</v>
      </c>
      <c r="W856" s="406" t="e">
        <v>#N/A</v>
      </c>
      <c r="X856" s="406" t="e">
        <v>#N/A</v>
      </c>
      <c r="Y856" s="405" t="e">
        <f t="shared" si="150"/>
        <v>#N/A</v>
      </c>
      <c r="Z856" s="406" t="e">
        <v>#N/A</v>
      </c>
      <c r="AA856" s="406" t="e">
        <v>#N/A</v>
      </c>
      <c r="AB856" s="442" t="e">
        <f t="shared" si="151"/>
        <v>#N/A</v>
      </c>
      <c r="AC856" s="438" t="e">
        <f t="shared" si="152"/>
        <v>#N/A</v>
      </c>
      <c r="AD856" s="410"/>
      <c r="AE856" s="411"/>
      <c r="AF856" s="411"/>
      <c r="AG856" s="411"/>
    </row>
    <row r="857" spans="1:33" x14ac:dyDescent="0.2">
      <c r="A857" s="6" t="s">
        <v>804</v>
      </c>
      <c r="B857" s="18" t="str">
        <f>VLOOKUP(LEFT(A857,7),'Tariff Schedule Lookup Table'!$A$8:$G$186,2,FALSE)</f>
        <v>T5 2x14W</v>
      </c>
      <c r="C857" s="160">
        <f t="shared" si="143"/>
        <v>1770</v>
      </c>
      <c r="D857" s="18">
        <f t="shared" si="144"/>
        <v>2</v>
      </c>
      <c r="E857" s="18" t="str">
        <f>VLOOKUP(C857,'Tariff Schedule Lookup Table'!I$7:L$286,2,FALSE)</f>
        <v>T5 2x14W</v>
      </c>
      <c r="F857" s="18" t="str">
        <f>IF(E857 = "BULKHEADS ETC", "SHARED OR NO POLE", VLOOKUP(C857,'Tariff Schedule Lookup Table'!I$7:L$286,3,FALSE))</f>
        <v>SHARED OR NO POLE</v>
      </c>
      <c r="G857" s="18">
        <f>IF(E857 = "NO CAPITAL", 1, VLOOKUP(C857,'Tariff Schedule Lookup Table'!I$7:L$286,4,FALSE))</f>
        <v>4</v>
      </c>
      <c r="H857" s="18" t="str">
        <f t="shared" si="145"/>
        <v>2-Unmetered, Funded by Others, CE Maintained</v>
      </c>
      <c r="I857" s="123">
        <f>VLOOKUP(F857,'Maintenance Model'!$A$57:$B$61,2,FALSE)</f>
        <v>0</v>
      </c>
      <c r="J857" s="123">
        <f>IF(D857=1,VLOOKUP(C857,'Capital Code Schedules'!A$15:F$300,2,FALSE),IF(D857=2,VLOOKUP(C857,'Capital Code Schedules'!A$15:F$300,3,FALSE),0))</f>
        <v>0</v>
      </c>
      <c r="K857" s="123">
        <v>0</v>
      </c>
      <c r="L857" s="123">
        <f>VLOOKUP(LEFT(A857,10),'Streetlight Tariff Schedule'!B$11:H$260,7, FALSE)+I857</f>
        <v>56.992457891515912</v>
      </c>
      <c r="M857" s="161">
        <f t="shared" si="146"/>
        <v>56.992457891515912</v>
      </c>
      <c r="N857" s="405">
        <f t="shared" si="147"/>
        <v>59.367255104744636</v>
      </c>
      <c r="O857" s="405">
        <v>33.95570257839438</v>
      </c>
      <c r="P857" s="406">
        <v>33.95570257839438</v>
      </c>
      <c r="Q857" s="406">
        <v>35.617456030958607</v>
      </c>
      <c r="R857" s="406">
        <v>35.617456030958607</v>
      </c>
      <c r="S857" s="405">
        <f t="shared" si="148"/>
        <v>62.272621027060829</v>
      </c>
      <c r="T857" s="406">
        <v>37.080307159470351</v>
      </c>
      <c r="U857" s="406">
        <v>37.215772318027398</v>
      </c>
      <c r="V857" s="405">
        <f t="shared" si="149"/>
        <v>65.067075081822651</v>
      </c>
      <c r="W857" s="406">
        <v>38.430130716548341</v>
      </c>
      <c r="X857" s="406">
        <v>38.914922359082183</v>
      </c>
      <c r="Y857" s="405">
        <f t="shared" si="150"/>
        <v>68.037824213449284</v>
      </c>
      <c r="Z857" s="406">
        <v>39.540208455428633</v>
      </c>
      <c r="AA857" s="406">
        <v>40.185523012508284</v>
      </c>
      <c r="AB857" s="442">
        <f t="shared" si="151"/>
        <v>69.51470367673528</v>
      </c>
      <c r="AC857" s="438">
        <f t="shared" si="152"/>
        <v>71.593128059842371</v>
      </c>
      <c r="AD857" s="410"/>
      <c r="AE857" s="411"/>
      <c r="AF857" s="411"/>
      <c r="AG857" s="411"/>
    </row>
    <row r="858" spans="1:33" x14ac:dyDescent="0.2">
      <c r="A858" s="6" t="s">
        <v>805</v>
      </c>
      <c r="B858" s="18" t="str">
        <f>VLOOKUP(LEFT(A858,7),'Tariff Schedule Lookup Table'!$A$8:$G$186,2,FALSE)</f>
        <v>T5 2x14W</v>
      </c>
      <c r="C858" s="160">
        <f t="shared" si="143"/>
        <v>1780</v>
      </c>
      <c r="D858" s="18">
        <f t="shared" si="144"/>
        <v>1</v>
      </c>
      <c r="E858" s="18" t="str">
        <f>VLOOKUP(C858,'Tariff Schedule Lookup Table'!I$7:L$286,2,FALSE)</f>
        <v>T5 2x14W</v>
      </c>
      <c r="F858" s="18" t="str">
        <f>IF(E858 = "BULKHEADS ETC", "SHARED OR NO POLE", VLOOKUP(C858,'Tariff Schedule Lookup Table'!I$7:L$286,3,FALSE))</f>
        <v>WOOD POLE</v>
      </c>
      <c r="G858" s="18">
        <f>IF(E858 = "NO CAPITAL", 1, VLOOKUP(C858,'Tariff Schedule Lookup Table'!I$7:L$286,4,FALSE))</f>
        <v>1</v>
      </c>
      <c r="H858" s="18" t="str">
        <f t="shared" si="145"/>
        <v>1-Unmetered, CE Funded, CE Maintained</v>
      </c>
      <c r="I858" s="123">
        <f>VLOOKUP(F858,'Maintenance Model'!$A$57:$B$61,2,FALSE)</f>
        <v>10.731618231111112</v>
      </c>
      <c r="J858" s="123" t="e">
        <f>IF(D858=1,VLOOKUP(C858,'Capital Code Schedules'!A$15:F$300,2,FALSE),IF(D858=2,VLOOKUP(C858,'Capital Code Schedules'!A$15:F$300,3,FALSE),0))</f>
        <v>#N/A</v>
      </c>
      <c r="K858" s="123" t="e">
        <v>#N/A</v>
      </c>
      <c r="L858" s="123">
        <f>VLOOKUP(LEFT(A858,10),'Streetlight Tariff Schedule'!B$11:H$260,7, FALSE)+I858</f>
        <v>67.724076122627025</v>
      </c>
      <c r="M858" s="161" t="e">
        <f t="shared" si="146"/>
        <v>#N/A</v>
      </c>
      <c r="N858" s="405" t="e">
        <f t="shared" si="147"/>
        <v>#N/A</v>
      </c>
      <c r="O858" s="405" t="e">
        <v>#N/A</v>
      </c>
      <c r="P858" s="406" t="e">
        <v>#N/A</v>
      </c>
      <c r="Q858" s="406" t="e">
        <v>#N/A</v>
      </c>
      <c r="R858" s="406" t="e">
        <v>#N/A</v>
      </c>
      <c r="S858" s="405" t="e">
        <f t="shared" si="148"/>
        <v>#N/A</v>
      </c>
      <c r="T858" s="406" t="e">
        <v>#N/A</v>
      </c>
      <c r="U858" s="406" t="e">
        <v>#N/A</v>
      </c>
      <c r="V858" s="405" t="e">
        <f t="shared" si="149"/>
        <v>#N/A</v>
      </c>
      <c r="W858" s="406" t="e">
        <v>#N/A</v>
      </c>
      <c r="X858" s="406" t="e">
        <v>#N/A</v>
      </c>
      <c r="Y858" s="405" t="e">
        <f t="shared" si="150"/>
        <v>#N/A</v>
      </c>
      <c r="Z858" s="406" t="e">
        <v>#N/A</v>
      </c>
      <c r="AA858" s="406" t="e">
        <v>#N/A</v>
      </c>
      <c r="AB858" s="442" t="e">
        <f t="shared" si="151"/>
        <v>#N/A</v>
      </c>
      <c r="AC858" s="438" t="e">
        <f t="shared" si="152"/>
        <v>#N/A</v>
      </c>
      <c r="AD858" s="410"/>
      <c r="AE858" s="411"/>
      <c r="AF858" s="411"/>
      <c r="AG858" s="411"/>
    </row>
    <row r="859" spans="1:33" x14ac:dyDescent="0.2">
      <c r="A859" s="6" t="s">
        <v>806</v>
      </c>
      <c r="B859" s="18" t="str">
        <f>VLOOKUP(LEFT(A859,7),'Tariff Schedule Lookup Table'!$A$8:$G$186,2,FALSE)</f>
        <v>T5 2x14W</v>
      </c>
      <c r="C859" s="160">
        <f t="shared" si="143"/>
        <v>1780</v>
      </c>
      <c r="D859" s="18">
        <f t="shared" si="144"/>
        <v>2</v>
      </c>
      <c r="E859" s="18" t="str">
        <f>VLOOKUP(C859,'Tariff Schedule Lookup Table'!I$7:L$286,2,FALSE)</f>
        <v>T5 2x14W</v>
      </c>
      <c r="F859" s="18" t="str">
        <f>IF(E859 = "BULKHEADS ETC", "SHARED OR NO POLE", VLOOKUP(C859,'Tariff Schedule Lookup Table'!I$7:L$286,3,FALSE))</f>
        <v>WOOD POLE</v>
      </c>
      <c r="G859" s="18">
        <f>IF(E859 = "NO CAPITAL", 1, VLOOKUP(C859,'Tariff Schedule Lookup Table'!I$7:L$286,4,FALSE))</f>
        <v>1</v>
      </c>
      <c r="H859" s="18" t="str">
        <f t="shared" si="145"/>
        <v>2-Unmetered, Funded by Others, CE Maintained</v>
      </c>
      <c r="I859" s="123">
        <f>VLOOKUP(F859,'Maintenance Model'!$A$57:$B$61,2,FALSE)</f>
        <v>10.731618231111112</v>
      </c>
      <c r="J859" s="123">
        <f>IF(D859=1,VLOOKUP(C859,'Capital Code Schedules'!A$15:F$300,2,FALSE),IF(D859=2,VLOOKUP(C859,'Capital Code Schedules'!A$15:F$300,3,FALSE),0))</f>
        <v>0</v>
      </c>
      <c r="K859" s="123">
        <v>0</v>
      </c>
      <c r="L859" s="123">
        <f>VLOOKUP(LEFT(A859,10),'Streetlight Tariff Schedule'!B$11:H$260,7, FALSE)+I859</f>
        <v>67.724076122627025</v>
      </c>
      <c r="M859" s="161">
        <f t="shared" si="146"/>
        <v>67.724076122627025</v>
      </c>
      <c r="N859" s="405">
        <f t="shared" si="147"/>
        <v>70.546045084742033</v>
      </c>
      <c r="O859" s="405">
        <v>44.351902653818549</v>
      </c>
      <c r="P859" s="406">
        <v>44.351902653818549</v>
      </c>
      <c r="Q859" s="406">
        <v>46.522434310249992</v>
      </c>
      <c r="R859" s="406">
        <v>46.522434310249992</v>
      </c>
      <c r="S859" s="405">
        <f t="shared" si="148"/>
        <v>73.998488270497646</v>
      </c>
      <c r="T859" s="406">
        <v>48.433165819898207</v>
      </c>
      <c r="U859" s="406">
        <v>48.610106276701735</v>
      </c>
      <c r="V859" s="405">
        <f t="shared" si="149"/>
        <v>77.319135003897216</v>
      </c>
      <c r="W859" s="406">
        <v>50.196264164429202</v>
      </c>
      <c r="X859" s="406">
        <v>50.829484215977388</v>
      </c>
      <c r="Y859" s="405">
        <f t="shared" si="150"/>
        <v>80.849272986618928</v>
      </c>
      <c r="Z859" s="406">
        <v>51.646213836338418</v>
      </c>
      <c r="AA859" s="406">
        <v>52.48910402100212</v>
      </c>
      <c r="AB859" s="442">
        <f t="shared" si="151"/>
        <v>82.60424725682698</v>
      </c>
      <c r="AC859" s="438">
        <f t="shared" si="152"/>
        <v>85.07403670518876</v>
      </c>
      <c r="AD859" s="410"/>
      <c r="AE859" s="411"/>
      <c r="AF859" s="411"/>
      <c r="AG859" s="411"/>
    </row>
    <row r="860" spans="1:33" x14ac:dyDescent="0.2">
      <c r="A860" s="6" t="s">
        <v>807</v>
      </c>
      <c r="B860" s="18" t="str">
        <f>VLOOKUP(LEFT(A860,7),'Tariff Schedule Lookup Table'!$A$8:$G$186,2,FALSE)</f>
        <v>T5 2x14W</v>
      </c>
      <c r="C860" s="160">
        <f t="shared" ref="C860:C883" si="153">1*MID(A860,12,4)</f>
        <v>1790</v>
      </c>
      <c r="D860" s="18">
        <f t="shared" ref="D860:D883" si="154">1*(MID(A860,17,3))</f>
        <v>1</v>
      </c>
      <c r="E860" s="18" t="str">
        <f>VLOOKUP(C860,'Tariff Schedule Lookup Table'!I$7:L$286,2,FALSE)</f>
        <v>T5 2x14W</v>
      </c>
      <c r="F860" s="18" t="str">
        <f>IF(E860 = "BULKHEADS ETC", "SHARED OR NO POLE", VLOOKUP(C860,'Tariff Schedule Lookup Table'!I$7:L$286,3,FALSE))</f>
        <v>WOOD POLE</v>
      </c>
      <c r="G860" s="18">
        <f>IF(E860 = "NO CAPITAL", 1, VLOOKUP(C860,'Tariff Schedule Lookup Table'!I$7:L$286,4,FALSE))</f>
        <v>2</v>
      </c>
      <c r="H860" s="18" t="str">
        <f t="shared" ref="H860:H883" si="155">VLOOKUP(D860,A$11:B$15, 2, FALSE)</f>
        <v>1-Unmetered, CE Funded, CE Maintained</v>
      </c>
      <c r="I860" s="123">
        <f>VLOOKUP(F860,'Maintenance Model'!$A$57:$B$61,2,FALSE)</f>
        <v>10.731618231111112</v>
      </c>
      <c r="J860" s="123" t="e">
        <f>IF(D860=1,VLOOKUP(C860,'Capital Code Schedules'!A$15:F$300,2,FALSE),IF(D860=2,VLOOKUP(C860,'Capital Code Schedules'!A$15:F$300,3,FALSE),0))</f>
        <v>#N/A</v>
      </c>
      <c r="K860" s="123" t="e">
        <v>#N/A</v>
      </c>
      <c r="L860" s="123">
        <f>VLOOKUP(LEFT(A860,10),'Streetlight Tariff Schedule'!B$11:H$260,7, FALSE)+I860</f>
        <v>67.724076122627025</v>
      </c>
      <c r="M860" s="161" t="e">
        <f t="shared" si="146"/>
        <v>#N/A</v>
      </c>
      <c r="N860" s="405" t="e">
        <f t="shared" si="147"/>
        <v>#N/A</v>
      </c>
      <c r="O860" s="405" t="e">
        <v>#N/A</v>
      </c>
      <c r="P860" s="406" t="e">
        <v>#N/A</v>
      </c>
      <c r="Q860" s="406" t="e">
        <v>#N/A</v>
      </c>
      <c r="R860" s="406" t="e">
        <v>#N/A</v>
      </c>
      <c r="S860" s="405" t="e">
        <f t="shared" si="148"/>
        <v>#N/A</v>
      </c>
      <c r="T860" s="406" t="e">
        <v>#N/A</v>
      </c>
      <c r="U860" s="406" t="e">
        <v>#N/A</v>
      </c>
      <c r="V860" s="405" t="e">
        <f t="shared" si="149"/>
        <v>#N/A</v>
      </c>
      <c r="W860" s="406" t="e">
        <v>#N/A</v>
      </c>
      <c r="X860" s="406" t="e">
        <v>#N/A</v>
      </c>
      <c r="Y860" s="405" t="e">
        <f t="shared" si="150"/>
        <v>#N/A</v>
      </c>
      <c r="Z860" s="406" t="e">
        <v>#N/A</v>
      </c>
      <c r="AA860" s="406" t="e">
        <v>#N/A</v>
      </c>
      <c r="AB860" s="442" t="e">
        <f t="shared" si="151"/>
        <v>#N/A</v>
      </c>
      <c r="AC860" s="438" t="e">
        <f t="shared" si="152"/>
        <v>#N/A</v>
      </c>
      <c r="AD860" s="410"/>
      <c r="AE860" s="411"/>
      <c r="AF860" s="411"/>
      <c r="AG860" s="411"/>
    </row>
    <row r="861" spans="1:33" x14ac:dyDescent="0.2">
      <c r="A861" s="6" t="s">
        <v>808</v>
      </c>
      <c r="B861" s="18" t="str">
        <f>VLOOKUP(LEFT(A861,7),'Tariff Schedule Lookup Table'!$A$8:$G$186,2,FALSE)</f>
        <v>T5 2x14W</v>
      </c>
      <c r="C861" s="160">
        <f t="shared" si="153"/>
        <v>1790</v>
      </c>
      <c r="D861" s="18">
        <f t="shared" si="154"/>
        <v>2</v>
      </c>
      <c r="E861" s="18" t="str">
        <f>VLOOKUP(C861,'Tariff Schedule Lookup Table'!I$7:L$286,2,FALSE)</f>
        <v>T5 2x14W</v>
      </c>
      <c r="F861" s="18" t="str">
        <f>IF(E861 = "BULKHEADS ETC", "SHARED OR NO POLE", VLOOKUP(C861,'Tariff Schedule Lookup Table'!I$7:L$286,3,FALSE))</f>
        <v>WOOD POLE</v>
      </c>
      <c r="G861" s="18">
        <f>IF(E861 = "NO CAPITAL", 1, VLOOKUP(C861,'Tariff Schedule Lookup Table'!I$7:L$286,4,FALSE))</f>
        <v>2</v>
      </c>
      <c r="H861" s="18" t="str">
        <f t="shared" si="155"/>
        <v>2-Unmetered, Funded by Others, CE Maintained</v>
      </c>
      <c r="I861" s="123">
        <f>VLOOKUP(F861,'Maintenance Model'!$A$57:$B$61,2,FALSE)</f>
        <v>10.731618231111112</v>
      </c>
      <c r="J861" s="123">
        <f>IF(D861=1,VLOOKUP(C861,'Capital Code Schedules'!A$15:F$300,2,FALSE),IF(D861=2,VLOOKUP(C861,'Capital Code Schedules'!A$15:F$300,3,FALSE),0))</f>
        <v>0</v>
      </c>
      <c r="K861" s="123">
        <v>0</v>
      </c>
      <c r="L861" s="123">
        <f>VLOOKUP(LEFT(A861,10),'Streetlight Tariff Schedule'!B$11:H$260,7, FALSE)+I861</f>
        <v>67.724076122627025</v>
      </c>
      <c r="M861" s="161">
        <f t="shared" si="146"/>
        <v>67.724076122627025</v>
      </c>
      <c r="N861" s="405">
        <f t="shared" si="147"/>
        <v>70.546045084742033</v>
      </c>
      <c r="O861" s="405">
        <v>44.351902653818549</v>
      </c>
      <c r="P861" s="406">
        <v>44.351902653818549</v>
      </c>
      <c r="Q861" s="406">
        <v>46.522434310249992</v>
      </c>
      <c r="R861" s="406">
        <v>46.522434310249992</v>
      </c>
      <c r="S861" s="405">
        <f t="shared" si="148"/>
        <v>73.998488270497646</v>
      </c>
      <c r="T861" s="406">
        <v>48.433165819898207</v>
      </c>
      <c r="U861" s="406">
        <v>48.610106276701735</v>
      </c>
      <c r="V861" s="405">
        <f t="shared" si="149"/>
        <v>77.319135003897216</v>
      </c>
      <c r="W861" s="406">
        <v>50.196264164429202</v>
      </c>
      <c r="X861" s="406">
        <v>50.829484215977388</v>
      </c>
      <c r="Y861" s="405">
        <f t="shared" si="150"/>
        <v>80.849272986618928</v>
      </c>
      <c r="Z861" s="406">
        <v>51.646213836338418</v>
      </c>
      <c r="AA861" s="406">
        <v>52.48910402100212</v>
      </c>
      <c r="AB861" s="442">
        <f t="shared" si="151"/>
        <v>82.60424725682698</v>
      </c>
      <c r="AC861" s="438">
        <f t="shared" si="152"/>
        <v>85.07403670518876</v>
      </c>
      <c r="AD861" s="410"/>
      <c r="AE861" s="411"/>
      <c r="AF861" s="411"/>
      <c r="AG861" s="411"/>
    </row>
    <row r="862" spans="1:33" x14ac:dyDescent="0.2">
      <c r="A862" s="6" t="s">
        <v>809</v>
      </c>
      <c r="B862" s="18" t="str">
        <f>VLOOKUP(LEFT(A862,7),'Tariff Schedule Lookup Table'!$A$8:$G$186,2,FALSE)</f>
        <v>T5 2x14W</v>
      </c>
      <c r="C862" s="160">
        <f t="shared" si="153"/>
        <v>1800</v>
      </c>
      <c r="D862" s="18">
        <f t="shared" si="154"/>
        <v>1</v>
      </c>
      <c r="E862" s="18" t="str">
        <f>VLOOKUP(C862,'Tariff Schedule Lookup Table'!I$7:L$286,2,FALSE)</f>
        <v>T5 2x14W</v>
      </c>
      <c r="F862" s="18" t="str">
        <f>IF(E862 = "BULKHEADS ETC", "SHARED OR NO POLE", VLOOKUP(C862,'Tariff Schedule Lookup Table'!I$7:L$286,3,FALSE))</f>
        <v>WOOD POLE</v>
      </c>
      <c r="G862" s="18">
        <f>IF(E862 = "NO CAPITAL", 1, VLOOKUP(C862,'Tariff Schedule Lookup Table'!I$7:L$286,4,FALSE))</f>
        <v>3</v>
      </c>
      <c r="H862" s="18" t="str">
        <f t="shared" si="155"/>
        <v>1-Unmetered, CE Funded, CE Maintained</v>
      </c>
      <c r="I862" s="123">
        <f>VLOOKUP(F862,'Maintenance Model'!$A$57:$B$61,2,FALSE)</f>
        <v>10.731618231111112</v>
      </c>
      <c r="J862" s="123" t="e">
        <f>IF(D862=1,VLOOKUP(C862,'Capital Code Schedules'!A$15:F$300,2,FALSE),IF(D862=2,VLOOKUP(C862,'Capital Code Schedules'!A$15:F$300,3,FALSE),0))</f>
        <v>#N/A</v>
      </c>
      <c r="K862" s="123" t="e">
        <v>#N/A</v>
      </c>
      <c r="L862" s="123">
        <f>VLOOKUP(LEFT(A862,10),'Streetlight Tariff Schedule'!B$11:H$260,7, FALSE)+I862</f>
        <v>67.724076122627025</v>
      </c>
      <c r="M862" s="161" t="e">
        <f t="shared" si="146"/>
        <v>#N/A</v>
      </c>
      <c r="N862" s="405" t="e">
        <f t="shared" si="147"/>
        <v>#N/A</v>
      </c>
      <c r="O862" s="405" t="e">
        <v>#N/A</v>
      </c>
      <c r="P862" s="406" t="e">
        <v>#N/A</v>
      </c>
      <c r="Q862" s="406" t="e">
        <v>#N/A</v>
      </c>
      <c r="R862" s="406" t="e">
        <v>#N/A</v>
      </c>
      <c r="S862" s="405" t="e">
        <f t="shared" si="148"/>
        <v>#N/A</v>
      </c>
      <c r="T862" s="406" t="e">
        <v>#N/A</v>
      </c>
      <c r="U862" s="406" t="e">
        <v>#N/A</v>
      </c>
      <c r="V862" s="405" t="e">
        <f t="shared" si="149"/>
        <v>#N/A</v>
      </c>
      <c r="W862" s="406" t="e">
        <v>#N/A</v>
      </c>
      <c r="X862" s="406" t="e">
        <v>#N/A</v>
      </c>
      <c r="Y862" s="405" t="e">
        <f t="shared" si="150"/>
        <v>#N/A</v>
      </c>
      <c r="Z862" s="406" t="e">
        <v>#N/A</v>
      </c>
      <c r="AA862" s="406" t="e">
        <v>#N/A</v>
      </c>
      <c r="AB862" s="442" t="e">
        <f t="shared" si="151"/>
        <v>#N/A</v>
      </c>
      <c r="AC862" s="438" t="e">
        <f t="shared" si="152"/>
        <v>#N/A</v>
      </c>
      <c r="AD862" s="410"/>
      <c r="AE862" s="411"/>
      <c r="AF862" s="411"/>
      <c r="AG862" s="411"/>
    </row>
    <row r="863" spans="1:33" x14ac:dyDescent="0.2">
      <c r="A863" s="6" t="s">
        <v>810</v>
      </c>
      <c r="B863" s="18" t="str">
        <f>VLOOKUP(LEFT(A863,7),'Tariff Schedule Lookup Table'!$A$8:$G$186,2,FALSE)</f>
        <v>T5 2x14W</v>
      </c>
      <c r="C863" s="160">
        <f t="shared" si="153"/>
        <v>1800</v>
      </c>
      <c r="D863" s="18">
        <f t="shared" si="154"/>
        <v>2</v>
      </c>
      <c r="E863" s="18" t="str">
        <f>VLOOKUP(C863,'Tariff Schedule Lookup Table'!I$7:L$286,2,FALSE)</f>
        <v>T5 2x14W</v>
      </c>
      <c r="F863" s="18" t="str">
        <f>IF(E863 = "BULKHEADS ETC", "SHARED OR NO POLE", VLOOKUP(C863,'Tariff Schedule Lookup Table'!I$7:L$286,3,FALSE))</f>
        <v>WOOD POLE</v>
      </c>
      <c r="G863" s="18">
        <f>IF(E863 = "NO CAPITAL", 1, VLOOKUP(C863,'Tariff Schedule Lookup Table'!I$7:L$286,4,FALSE))</f>
        <v>3</v>
      </c>
      <c r="H863" s="18" t="str">
        <f t="shared" si="155"/>
        <v>2-Unmetered, Funded by Others, CE Maintained</v>
      </c>
      <c r="I863" s="123">
        <f>VLOOKUP(F863,'Maintenance Model'!$A$57:$B$61,2,FALSE)</f>
        <v>10.731618231111112</v>
      </c>
      <c r="J863" s="123">
        <f>IF(D863=1,VLOOKUP(C863,'Capital Code Schedules'!A$15:F$300,2,FALSE),IF(D863=2,VLOOKUP(C863,'Capital Code Schedules'!A$15:F$300,3,FALSE),0))</f>
        <v>0</v>
      </c>
      <c r="K863" s="123">
        <v>0</v>
      </c>
      <c r="L863" s="123">
        <f>VLOOKUP(LEFT(A863,10),'Streetlight Tariff Schedule'!B$11:H$260,7, FALSE)+I863</f>
        <v>67.724076122627025</v>
      </c>
      <c r="M863" s="161">
        <f t="shared" si="146"/>
        <v>67.724076122627025</v>
      </c>
      <c r="N863" s="405">
        <f t="shared" si="147"/>
        <v>70.546045084742033</v>
      </c>
      <c r="O863" s="405">
        <v>44.351902653818549</v>
      </c>
      <c r="P863" s="406">
        <v>44.351902653818549</v>
      </c>
      <c r="Q863" s="406">
        <v>46.522434310249992</v>
      </c>
      <c r="R863" s="406">
        <v>46.522434310249992</v>
      </c>
      <c r="S863" s="405">
        <f t="shared" si="148"/>
        <v>73.998488270497646</v>
      </c>
      <c r="T863" s="406">
        <v>48.433165819898207</v>
      </c>
      <c r="U863" s="406">
        <v>48.610106276701735</v>
      </c>
      <c r="V863" s="405">
        <f t="shared" si="149"/>
        <v>77.319135003897216</v>
      </c>
      <c r="W863" s="406">
        <v>50.196264164429202</v>
      </c>
      <c r="X863" s="406">
        <v>50.829484215977388</v>
      </c>
      <c r="Y863" s="405">
        <f t="shared" si="150"/>
        <v>80.849272986618928</v>
      </c>
      <c r="Z863" s="406">
        <v>51.646213836338418</v>
      </c>
      <c r="AA863" s="406">
        <v>52.48910402100212</v>
      </c>
      <c r="AB863" s="442">
        <f t="shared" si="151"/>
        <v>82.60424725682698</v>
      </c>
      <c r="AC863" s="438">
        <f t="shared" si="152"/>
        <v>85.07403670518876</v>
      </c>
      <c r="AD863" s="410"/>
      <c r="AE863" s="411"/>
      <c r="AF863" s="411"/>
      <c r="AG863" s="411"/>
    </row>
    <row r="864" spans="1:33" x14ac:dyDescent="0.2">
      <c r="A864" s="6" t="s">
        <v>811</v>
      </c>
      <c r="B864" s="18" t="str">
        <f>VLOOKUP(LEFT(A864,7),'Tariff Schedule Lookup Table'!$A$8:$G$186,2,FALSE)</f>
        <v>T5 2x14W</v>
      </c>
      <c r="C864" s="160">
        <f t="shared" si="153"/>
        <v>1810</v>
      </c>
      <c r="D864" s="18">
        <f t="shared" si="154"/>
        <v>1</v>
      </c>
      <c r="E864" s="18" t="str">
        <f>VLOOKUP(C864,'Tariff Schedule Lookup Table'!I$7:L$286,2,FALSE)</f>
        <v>T5 2x14W</v>
      </c>
      <c r="F864" s="18" t="str">
        <f>IF(E864 = "BULKHEADS ETC", "SHARED OR NO POLE", VLOOKUP(C864,'Tariff Schedule Lookup Table'!I$7:L$286,3,FALSE))</f>
        <v>WOOD POLE</v>
      </c>
      <c r="G864" s="18">
        <f>IF(E864 = "NO CAPITAL", 1, VLOOKUP(C864,'Tariff Schedule Lookup Table'!I$7:L$286,4,FALSE))</f>
        <v>4</v>
      </c>
      <c r="H864" s="18" t="str">
        <f t="shared" si="155"/>
        <v>1-Unmetered, CE Funded, CE Maintained</v>
      </c>
      <c r="I864" s="123">
        <f>VLOOKUP(F864,'Maintenance Model'!$A$57:$B$61,2,FALSE)</f>
        <v>10.731618231111112</v>
      </c>
      <c r="J864" s="123" t="e">
        <f>IF(D864=1,VLOOKUP(C864,'Capital Code Schedules'!A$15:F$300,2,FALSE),IF(D864=2,VLOOKUP(C864,'Capital Code Schedules'!A$15:F$300,3,FALSE),0))</f>
        <v>#N/A</v>
      </c>
      <c r="K864" s="123" t="e">
        <v>#N/A</v>
      </c>
      <c r="L864" s="123">
        <f>VLOOKUP(LEFT(A864,10),'Streetlight Tariff Schedule'!B$11:H$260,7, FALSE)+I864</f>
        <v>67.724076122627025</v>
      </c>
      <c r="M864" s="161" t="e">
        <f t="shared" si="146"/>
        <v>#N/A</v>
      </c>
      <c r="N864" s="405" t="e">
        <f t="shared" si="147"/>
        <v>#N/A</v>
      </c>
      <c r="O864" s="405" t="e">
        <v>#N/A</v>
      </c>
      <c r="P864" s="406" t="e">
        <v>#N/A</v>
      </c>
      <c r="Q864" s="406" t="e">
        <v>#N/A</v>
      </c>
      <c r="R864" s="406" t="e">
        <v>#N/A</v>
      </c>
      <c r="S864" s="405" t="e">
        <f t="shared" si="148"/>
        <v>#N/A</v>
      </c>
      <c r="T864" s="406" t="e">
        <v>#N/A</v>
      </c>
      <c r="U864" s="406" t="e">
        <v>#N/A</v>
      </c>
      <c r="V864" s="405" t="e">
        <f t="shared" si="149"/>
        <v>#N/A</v>
      </c>
      <c r="W864" s="406" t="e">
        <v>#N/A</v>
      </c>
      <c r="X864" s="406" t="e">
        <v>#N/A</v>
      </c>
      <c r="Y864" s="405" t="e">
        <f t="shared" si="150"/>
        <v>#N/A</v>
      </c>
      <c r="Z864" s="406" t="e">
        <v>#N/A</v>
      </c>
      <c r="AA864" s="406" t="e">
        <v>#N/A</v>
      </c>
      <c r="AB864" s="442" t="e">
        <f t="shared" si="151"/>
        <v>#N/A</v>
      </c>
      <c r="AC864" s="438" t="e">
        <f t="shared" si="152"/>
        <v>#N/A</v>
      </c>
      <c r="AD864" s="410"/>
      <c r="AE864" s="411"/>
      <c r="AF864" s="411"/>
      <c r="AG864" s="411"/>
    </row>
    <row r="865" spans="1:33" x14ac:dyDescent="0.2">
      <c r="A865" s="6" t="s">
        <v>812</v>
      </c>
      <c r="B865" s="18" t="str">
        <f>VLOOKUP(LEFT(A865,7),'Tariff Schedule Lookup Table'!$A$8:$G$186,2,FALSE)</f>
        <v>T5 2x14W</v>
      </c>
      <c r="C865" s="160">
        <f t="shared" si="153"/>
        <v>1810</v>
      </c>
      <c r="D865" s="18">
        <f t="shared" si="154"/>
        <v>2</v>
      </c>
      <c r="E865" s="18" t="str">
        <f>VLOOKUP(C865,'Tariff Schedule Lookup Table'!I$7:L$286,2,FALSE)</f>
        <v>T5 2x14W</v>
      </c>
      <c r="F865" s="18" t="str">
        <f>IF(E865 = "BULKHEADS ETC", "SHARED OR NO POLE", VLOOKUP(C865,'Tariff Schedule Lookup Table'!I$7:L$286,3,FALSE))</f>
        <v>WOOD POLE</v>
      </c>
      <c r="G865" s="18">
        <f>IF(E865 = "NO CAPITAL", 1, VLOOKUP(C865,'Tariff Schedule Lookup Table'!I$7:L$286,4,FALSE))</f>
        <v>4</v>
      </c>
      <c r="H865" s="18" t="str">
        <f t="shared" si="155"/>
        <v>2-Unmetered, Funded by Others, CE Maintained</v>
      </c>
      <c r="I865" s="123">
        <f>VLOOKUP(F865,'Maintenance Model'!$A$57:$B$61,2,FALSE)</f>
        <v>10.731618231111112</v>
      </c>
      <c r="J865" s="123">
        <f>IF(D865=1,VLOOKUP(C865,'Capital Code Schedules'!A$15:F$300,2,FALSE),IF(D865=2,VLOOKUP(C865,'Capital Code Schedules'!A$15:F$300,3,FALSE),0))</f>
        <v>0</v>
      </c>
      <c r="K865" s="123">
        <v>0</v>
      </c>
      <c r="L865" s="123">
        <f>VLOOKUP(LEFT(A865,10),'Streetlight Tariff Schedule'!B$11:H$260,7, FALSE)+I865</f>
        <v>67.724076122627025</v>
      </c>
      <c r="M865" s="161">
        <f t="shared" si="146"/>
        <v>67.724076122627025</v>
      </c>
      <c r="N865" s="405">
        <f t="shared" si="147"/>
        <v>70.546045084742033</v>
      </c>
      <c r="O865" s="405">
        <v>44.351902653818549</v>
      </c>
      <c r="P865" s="406">
        <v>44.351902653818549</v>
      </c>
      <c r="Q865" s="406">
        <v>46.522434310249992</v>
      </c>
      <c r="R865" s="406">
        <v>46.522434310249992</v>
      </c>
      <c r="S865" s="405">
        <f t="shared" si="148"/>
        <v>73.998488270497646</v>
      </c>
      <c r="T865" s="406">
        <v>48.433165819898207</v>
      </c>
      <c r="U865" s="406">
        <v>48.610106276701735</v>
      </c>
      <c r="V865" s="405">
        <f t="shared" si="149"/>
        <v>77.319135003897216</v>
      </c>
      <c r="W865" s="406">
        <v>50.196264164429202</v>
      </c>
      <c r="X865" s="406">
        <v>50.829484215977388</v>
      </c>
      <c r="Y865" s="405">
        <f t="shared" si="150"/>
        <v>80.849272986618928</v>
      </c>
      <c r="Z865" s="406">
        <v>51.646213836338418</v>
      </c>
      <c r="AA865" s="406">
        <v>52.48910402100212</v>
      </c>
      <c r="AB865" s="442">
        <f t="shared" si="151"/>
        <v>82.60424725682698</v>
      </c>
      <c r="AC865" s="438">
        <f t="shared" si="152"/>
        <v>85.07403670518876</v>
      </c>
      <c r="AD865" s="410"/>
      <c r="AE865" s="411"/>
      <c r="AF865" s="411"/>
      <c r="AG865" s="411"/>
    </row>
    <row r="866" spans="1:33" x14ac:dyDescent="0.2">
      <c r="A866" s="6" t="s">
        <v>813</v>
      </c>
      <c r="B866" s="18" t="str">
        <f>VLOOKUP(LEFT(A866,7),'Tariff Schedule Lookup Table'!$A$8:$G$186,2,FALSE)</f>
        <v>T5 2x14W</v>
      </c>
      <c r="C866" s="160">
        <f t="shared" si="153"/>
        <v>1820</v>
      </c>
      <c r="D866" s="18">
        <f t="shared" si="154"/>
        <v>1</v>
      </c>
      <c r="E866" s="18" t="str">
        <f>VLOOKUP(C866,'Tariff Schedule Lookup Table'!I$7:L$286,2,FALSE)</f>
        <v>T5 2x14W</v>
      </c>
      <c r="F866" s="18" t="str">
        <f>IF(E866 = "BULKHEADS ETC", "SHARED OR NO POLE", VLOOKUP(C866,'Tariff Schedule Lookup Table'!I$7:L$286,3,FALSE))</f>
        <v>STEEL POLE</v>
      </c>
      <c r="G866" s="18">
        <f>IF(E866 = "NO CAPITAL", 1, VLOOKUP(C866,'Tariff Schedule Lookup Table'!I$7:L$286,4,FALSE))</f>
        <v>1</v>
      </c>
      <c r="H866" s="18" t="str">
        <f t="shared" si="155"/>
        <v>1-Unmetered, CE Funded, CE Maintained</v>
      </c>
      <c r="I866" s="123">
        <f>VLOOKUP(F866,'Maintenance Model'!$A$57:$B$61,2,FALSE)</f>
        <v>9.9616182311111103</v>
      </c>
      <c r="J866" s="123" t="e">
        <f>IF(D866=1,VLOOKUP(C866,'Capital Code Schedules'!A$15:F$300,2,FALSE),IF(D866=2,VLOOKUP(C866,'Capital Code Schedules'!A$15:F$300,3,FALSE),0))</f>
        <v>#N/A</v>
      </c>
      <c r="K866" s="123" t="e">
        <v>#N/A</v>
      </c>
      <c r="L866" s="123">
        <f>VLOOKUP(LEFT(A866,10),'Streetlight Tariff Schedule'!B$11:H$260,7, FALSE)+I866</f>
        <v>66.954076122627015</v>
      </c>
      <c r="M866" s="161" t="e">
        <f t="shared" si="146"/>
        <v>#N/A</v>
      </c>
      <c r="N866" s="405" t="e">
        <f t="shared" si="147"/>
        <v>#N/A</v>
      </c>
      <c r="O866" s="405" t="e">
        <v>#N/A</v>
      </c>
      <c r="P866" s="406" t="e">
        <v>#N/A</v>
      </c>
      <c r="Q866" s="406" t="e">
        <v>#N/A</v>
      </c>
      <c r="R866" s="406" t="e">
        <v>#N/A</v>
      </c>
      <c r="S866" s="405" t="e">
        <f t="shared" si="148"/>
        <v>#N/A</v>
      </c>
      <c r="T866" s="406" t="e">
        <v>#N/A</v>
      </c>
      <c r="U866" s="406" t="e">
        <v>#N/A</v>
      </c>
      <c r="V866" s="405" t="e">
        <f t="shared" si="149"/>
        <v>#N/A</v>
      </c>
      <c r="W866" s="406" t="e">
        <v>#N/A</v>
      </c>
      <c r="X866" s="406" t="e">
        <v>#N/A</v>
      </c>
      <c r="Y866" s="405" t="e">
        <f t="shared" si="150"/>
        <v>#N/A</v>
      </c>
      <c r="Z866" s="406" t="e">
        <v>#N/A</v>
      </c>
      <c r="AA866" s="406" t="e">
        <v>#N/A</v>
      </c>
      <c r="AB866" s="442" t="e">
        <f t="shared" si="151"/>
        <v>#N/A</v>
      </c>
      <c r="AC866" s="438" t="e">
        <f t="shared" si="152"/>
        <v>#N/A</v>
      </c>
      <c r="AD866" s="410"/>
      <c r="AE866" s="411"/>
      <c r="AF866" s="411"/>
      <c r="AG866" s="411"/>
    </row>
    <row r="867" spans="1:33" x14ac:dyDescent="0.2">
      <c r="A867" s="6" t="s">
        <v>814</v>
      </c>
      <c r="B867" s="18" t="str">
        <f>VLOOKUP(LEFT(A867,7),'Tariff Schedule Lookup Table'!$A$8:$G$186,2,FALSE)</f>
        <v>T5 2x14W</v>
      </c>
      <c r="C867" s="160">
        <f t="shared" si="153"/>
        <v>1820</v>
      </c>
      <c r="D867" s="18">
        <f t="shared" si="154"/>
        <v>2</v>
      </c>
      <c r="E867" s="18" t="str">
        <f>VLOOKUP(C867,'Tariff Schedule Lookup Table'!I$7:L$286,2,FALSE)</f>
        <v>T5 2x14W</v>
      </c>
      <c r="F867" s="18" t="str">
        <f>IF(E867 = "BULKHEADS ETC", "SHARED OR NO POLE", VLOOKUP(C867,'Tariff Schedule Lookup Table'!I$7:L$286,3,FALSE))</f>
        <v>STEEL POLE</v>
      </c>
      <c r="G867" s="18">
        <f>IF(E867 = "NO CAPITAL", 1, VLOOKUP(C867,'Tariff Schedule Lookup Table'!I$7:L$286,4,FALSE))</f>
        <v>1</v>
      </c>
      <c r="H867" s="18" t="str">
        <f t="shared" si="155"/>
        <v>2-Unmetered, Funded by Others, CE Maintained</v>
      </c>
      <c r="I867" s="123">
        <f>VLOOKUP(F867,'Maintenance Model'!$A$57:$B$61,2,FALSE)</f>
        <v>9.9616182311111103</v>
      </c>
      <c r="J867" s="123">
        <f>IF(D867=1,VLOOKUP(C867,'Capital Code Schedules'!A$15:F$300,2,FALSE),IF(D867=2,VLOOKUP(C867,'Capital Code Schedules'!A$15:F$300,3,FALSE),0))</f>
        <v>0</v>
      </c>
      <c r="K867" s="123">
        <v>0</v>
      </c>
      <c r="L867" s="123">
        <f>VLOOKUP(LEFT(A867,10),'Streetlight Tariff Schedule'!B$11:H$260,7, FALSE)+I867</f>
        <v>66.954076122627015</v>
      </c>
      <c r="M867" s="161">
        <f t="shared" si="146"/>
        <v>66.954076122627015</v>
      </c>
      <c r="N867" s="405">
        <f t="shared" si="147"/>
        <v>69.743960245417014</v>
      </c>
      <c r="O867" s="405">
        <v>43.549817814493544</v>
      </c>
      <c r="P867" s="406">
        <v>43.549817814493544</v>
      </c>
      <c r="Q867" s="406">
        <v>45.681096351425523</v>
      </c>
      <c r="R867" s="406">
        <v>45.681096351425523</v>
      </c>
      <c r="S867" s="405">
        <f t="shared" si="148"/>
        <v>73.157150311673192</v>
      </c>
      <c r="T867" s="406">
        <v>47.557273114057104</v>
      </c>
      <c r="U867" s="406">
        <v>47.731013679776531</v>
      </c>
      <c r="V867" s="405">
        <f t="shared" si="149"/>
        <v>76.440042406971983</v>
      </c>
      <c r="W867" s="406">
        <v>49.288486593051992</v>
      </c>
      <c r="X867" s="406">
        <v>49.91025513580545</v>
      </c>
      <c r="Y867" s="405">
        <f t="shared" si="150"/>
        <v>79.930043906446983</v>
      </c>
      <c r="Z867" s="406">
        <v>50.712214556758518</v>
      </c>
      <c r="AA867" s="406">
        <v>51.539861439604678</v>
      </c>
      <c r="AB867" s="442">
        <f t="shared" si="151"/>
        <v>81.665064708620818</v>
      </c>
      <c r="AC867" s="438">
        <f t="shared" si="152"/>
        <v>84.106773480447487</v>
      </c>
      <c r="AD867" s="410"/>
      <c r="AE867" s="411"/>
      <c r="AF867" s="411"/>
      <c r="AG867" s="411"/>
    </row>
    <row r="868" spans="1:33" x14ac:dyDescent="0.2">
      <c r="A868" s="6" t="s">
        <v>815</v>
      </c>
      <c r="B868" s="18" t="str">
        <f>VLOOKUP(LEFT(A868,7),'Tariff Schedule Lookup Table'!$A$8:$G$186,2,FALSE)</f>
        <v>T5 2x14W</v>
      </c>
      <c r="C868" s="160">
        <f t="shared" si="153"/>
        <v>1830</v>
      </c>
      <c r="D868" s="18">
        <f t="shared" si="154"/>
        <v>1</v>
      </c>
      <c r="E868" s="18" t="str">
        <f>VLOOKUP(C868,'Tariff Schedule Lookup Table'!I$7:L$286,2,FALSE)</f>
        <v>T5 2x14W</v>
      </c>
      <c r="F868" s="18" t="str">
        <f>IF(E868 = "BULKHEADS ETC", "SHARED OR NO POLE", VLOOKUP(C868,'Tariff Schedule Lookup Table'!I$7:L$286,3,FALSE))</f>
        <v>STEEL POLE</v>
      </c>
      <c r="G868" s="18">
        <f>IF(E868 = "NO CAPITAL", 1, VLOOKUP(C868,'Tariff Schedule Lookup Table'!I$7:L$286,4,FALSE))</f>
        <v>2</v>
      </c>
      <c r="H868" s="18" t="str">
        <f t="shared" si="155"/>
        <v>1-Unmetered, CE Funded, CE Maintained</v>
      </c>
      <c r="I868" s="123">
        <f>VLOOKUP(F868,'Maintenance Model'!$A$57:$B$61,2,FALSE)</f>
        <v>9.9616182311111103</v>
      </c>
      <c r="J868" s="123" t="e">
        <f>IF(D868=1,VLOOKUP(C868,'Capital Code Schedules'!A$15:F$300,2,FALSE),IF(D868=2,VLOOKUP(C868,'Capital Code Schedules'!A$15:F$300,3,FALSE),0))</f>
        <v>#N/A</v>
      </c>
      <c r="K868" s="123" t="e">
        <v>#N/A</v>
      </c>
      <c r="L868" s="123">
        <f>VLOOKUP(LEFT(A868,10),'Streetlight Tariff Schedule'!B$11:H$260,7, FALSE)+I868</f>
        <v>66.954076122627015</v>
      </c>
      <c r="M868" s="161" t="e">
        <f t="shared" si="146"/>
        <v>#N/A</v>
      </c>
      <c r="N868" s="405" t="e">
        <f t="shared" si="147"/>
        <v>#N/A</v>
      </c>
      <c r="O868" s="405" t="e">
        <v>#N/A</v>
      </c>
      <c r="P868" s="406" t="e">
        <v>#N/A</v>
      </c>
      <c r="Q868" s="406" t="e">
        <v>#N/A</v>
      </c>
      <c r="R868" s="406" t="e">
        <v>#N/A</v>
      </c>
      <c r="S868" s="405" t="e">
        <f t="shared" si="148"/>
        <v>#N/A</v>
      </c>
      <c r="T868" s="406" t="e">
        <v>#N/A</v>
      </c>
      <c r="U868" s="406" t="e">
        <v>#N/A</v>
      </c>
      <c r="V868" s="405" t="e">
        <f t="shared" si="149"/>
        <v>#N/A</v>
      </c>
      <c r="W868" s="406" t="e">
        <v>#N/A</v>
      </c>
      <c r="X868" s="406" t="e">
        <v>#N/A</v>
      </c>
      <c r="Y868" s="405" t="e">
        <f t="shared" si="150"/>
        <v>#N/A</v>
      </c>
      <c r="Z868" s="406" t="e">
        <v>#N/A</v>
      </c>
      <c r="AA868" s="406" t="e">
        <v>#N/A</v>
      </c>
      <c r="AB868" s="442" t="e">
        <f t="shared" si="151"/>
        <v>#N/A</v>
      </c>
      <c r="AC868" s="438" t="e">
        <f t="shared" si="152"/>
        <v>#N/A</v>
      </c>
      <c r="AD868" s="410"/>
      <c r="AE868" s="411"/>
      <c r="AF868" s="411"/>
      <c r="AG868" s="411"/>
    </row>
    <row r="869" spans="1:33" x14ac:dyDescent="0.2">
      <c r="A869" s="6" t="s">
        <v>816</v>
      </c>
      <c r="B869" s="18" t="str">
        <f>VLOOKUP(LEFT(A869,7),'Tariff Schedule Lookup Table'!$A$8:$G$186,2,FALSE)</f>
        <v>T5 2x14W</v>
      </c>
      <c r="C869" s="160">
        <f t="shared" si="153"/>
        <v>1830</v>
      </c>
      <c r="D869" s="18">
        <f t="shared" si="154"/>
        <v>2</v>
      </c>
      <c r="E869" s="18" t="str">
        <f>VLOOKUP(C869,'Tariff Schedule Lookup Table'!I$7:L$286,2,FALSE)</f>
        <v>T5 2x14W</v>
      </c>
      <c r="F869" s="18" t="str">
        <f>IF(E869 = "BULKHEADS ETC", "SHARED OR NO POLE", VLOOKUP(C869,'Tariff Schedule Lookup Table'!I$7:L$286,3,FALSE))</f>
        <v>STEEL POLE</v>
      </c>
      <c r="G869" s="18">
        <f>IF(E869 = "NO CAPITAL", 1, VLOOKUP(C869,'Tariff Schedule Lookup Table'!I$7:L$286,4,FALSE))</f>
        <v>2</v>
      </c>
      <c r="H869" s="18" t="str">
        <f t="shared" si="155"/>
        <v>2-Unmetered, Funded by Others, CE Maintained</v>
      </c>
      <c r="I869" s="123">
        <f>VLOOKUP(F869,'Maintenance Model'!$A$57:$B$61,2,FALSE)</f>
        <v>9.9616182311111103</v>
      </c>
      <c r="J869" s="123">
        <f>IF(D869=1,VLOOKUP(C869,'Capital Code Schedules'!A$15:F$300,2,FALSE),IF(D869=2,VLOOKUP(C869,'Capital Code Schedules'!A$15:F$300,3,FALSE),0))</f>
        <v>0</v>
      </c>
      <c r="K869" s="123">
        <v>0</v>
      </c>
      <c r="L869" s="123">
        <f>VLOOKUP(LEFT(A869,10),'Streetlight Tariff Schedule'!B$11:H$260,7, FALSE)+I869</f>
        <v>66.954076122627015</v>
      </c>
      <c r="M869" s="161">
        <f t="shared" si="146"/>
        <v>66.954076122627015</v>
      </c>
      <c r="N869" s="405">
        <f t="shared" si="147"/>
        <v>69.743960245417014</v>
      </c>
      <c r="O869" s="405">
        <v>43.549817814493544</v>
      </c>
      <c r="P869" s="406">
        <v>43.549817814493544</v>
      </c>
      <c r="Q869" s="406">
        <v>45.681096351425523</v>
      </c>
      <c r="R869" s="406">
        <v>45.681096351425523</v>
      </c>
      <c r="S869" s="405">
        <f t="shared" si="148"/>
        <v>73.157150311673192</v>
      </c>
      <c r="T869" s="406">
        <v>47.557273114057104</v>
      </c>
      <c r="U869" s="406">
        <v>47.731013679776531</v>
      </c>
      <c r="V869" s="405">
        <f t="shared" si="149"/>
        <v>76.440042406971983</v>
      </c>
      <c r="W869" s="406">
        <v>49.288486593051992</v>
      </c>
      <c r="X869" s="406">
        <v>49.91025513580545</v>
      </c>
      <c r="Y869" s="405">
        <f t="shared" si="150"/>
        <v>79.930043906446983</v>
      </c>
      <c r="Z869" s="406">
        <v>50.712214556758518</v>
      </c>
      <c r="AA869" s="406">
        <v>51.539861439604678</v>
      </c>
      <c r="AB869" s="442">
        <f t="shared" si="151"/>
        <v>81.665064708620818</v>
      </c>
      <c r="AC869" s="438">
        <f t="shared" si="152"/>
        <v>84.106773480447487</v>
      </c>
      <c r="AD869" s="410"/>
      <c r="AE869" s="411"/>
      <c r="AF869" s="411"/>
      <c r="AG869" s="411"/>
    </row>
    <row r="870" spans="1:33" x14ac:dyDescent="0.2">
      <c r="A870" s="6" t="s">
        <v>817</v>
      </c>
      <c r="B870" s="18" t="str">
        <f>VLOOKUP(LEFT(A870,7),'Tariff Schedule Lookup Table'!$A$8:$G$186,2,FALSE)</f>
        <v>T5 2x14W</v>
      </c>
      <c r="C870" s="160">
        <f t="shared" si="153"/>
        <v>1840</v>
      </c>
      <c r="D870" s="18">
        <f t="shared" si="154"/>
        <v>1</v>
      </c>
      <c r="E870" s="18" t="str">
        <f>VLOOKUP(C870,'Tariff Schedule Lookup Table'!I$7:L$286,2,FALSE)</f>
        <v>T5 2x14W</v>
      </c>
      <c r="F870" s="18" t="str">
        <f>IF(E870 = "BULKHEADS ETC", "SHARED OR NO POLE", VLOOKUP(C870,'Tariff Schedule Lookup Table'!I$7:L$286,3,FALSE))</f>
        <v>STEEL POLE</v>
      </c>
      <c r="G870" s="18">
        <f>IF(E870 = "NO CAPITAL", 1, VLOOKUP(C870,'Tariff Schedule Lookup Table'!I$7:L$286,4,FALSE))</f>
        <v>3</v>
      </c>
      <c r="H870" s="18" t="str">
        <f t="shared" si="155"/>
        <v>1-Unmetered, CE Funded, CE Maintained</v>
      </c>
      <c r="I870" s="123">
        <f>VLOOKUP(F870,'Maintenance Model'!$A$57:$B$61,2,FALSE)</f>
        <v>9.9616182311111103</v>
      </c>
      <c r="J870" s="123" t="e">
        <f>IF(D870=1,VLOOKUP(C870,'Capital Code Schedules'!A$15:F$300,2,FALSE),IF(D870=2,VLOOKUP(C870,'Capital Code Schedules'!A$15:F$300,3,FALSE),0))</f>
        <v>#N/A</v>
      </c>
      <c r="K870" s="123" t="e">
        <v>#N/A</v>
      </c>
      <c r="L870" s="123">
        <f>VLOOKUP(LEFT(A870,10),'Streetlight Tariff Schedule'!B$11:H$260,7, FALSE)+I870</f>
        <v>66.954076122627015</v>
      </c>
      <c r="M870" s="161" t="e">
        <f t="shared" si="146"/>
        <v>#N/A</v>
      </c>
      <c r="N870" s="405" t="e">
        <f t="shared" si="147"/>
        <v>#N/A</v>
      </c>
      <c r="O870" s="405" t="e">
        <v>#N/A</v>
      </c>
      <c r="P870" s="406" t="e">
        <v>#N/A</v>
      </c>
      <c r="Q870" s="406" t="e">
        <v>#N/A</v>
      </c>
      <c r="R870" s="406" t="e">
        <v>#N/A</v>
      </c>
      <c r="S870" s="405" t="e">
        <f t="shared" si="148"/>
        <v>#N/A</v>
      </c>
      <c r="T870" s="406" t="e">
        <v>#N/A</v>
      </c>
      <c r="U870" s="406" t="e">
        <v>#N/A</v>
      </c>
      <c r="V870" s="405" t="e">
        <f t="shared" si="149"/>
        <v>#N/A</v>
      </c>
      <c r="W870" s="406" t="e">
        <v>#N/A</v>
      </c>
      <c r="X870" s="406" t="e">
        <v>#N/A</v>
      </c>
      <c r="Y870" s="405" t="e">
        <f t="shared" si="150"/>
        <v>#N/A</v>
      </c>
      <c r="Z870" s="406" t="e">
        <v>#N/A</v>
      </c>
      <c r="AA870" s="406" t="e">
        <v>#N/A</v>
      </c>
      <c r="AB870" s="442" t="e">
        <f t="shared" si="151"/>
        <v>#N/A</v>
      </c>
      <c r="AC870" s="438" t="e">
        <f t="shared" si="152"/>
        <v>#N/A</v>
      </c>
      <c r="AD870" s="410"/>
      <c r="AE870" s="411"/>
      <c r="AF870" s="411"/>
      <c r="AG870" s="411"/>
    </row>
    <row r="871" spans="1:33" x14ac:dyDescent="0.2">
      <c r="A871" s="6" t="s">
        <v>818</v>
      </c>
      <c r="B871" s="18" t="str">
        <f>VLOOKUP(LEFT(A871,7),'Tariff Schedule Lookup Table'!$A$8:$G$186,2,FALSE)</f>
        <v>T5 2x14W</v>
      </c>
      <c r="C871" s="160">
        <f t="shared" si="153"/>
        <v>1840</v>
      </c>
      <c r="D871" s="18">
        <f t="shared" si="154"/>
        <v>2</v>
      </c>
      <c r="E871" s="18" t="str">
        <f>VLOOKUP(C871,'Tariff Schedule Lookup Table'!I$7:L$286,2,FALSE)</f>
        <v>T5 2x14W</v>
      </c>
      <c r="F871" s="18" t="str">
        <f>IF(E871 = "BULKHEADS ETC", "SHARED OR NO POLE", VLOOKUP(C871,'Tariff Schedule Lookup Table'!I$7:L$286,3,FALSE))</f>
        <v>STEEL POLE</v>
      </c>
      <c r="G871" s="18">
        <f>IF(E871 = "NO CAPITAL", 1, VLOOKUP(C871,'Tariff Schedule Lookup Table'!I$7:L$286,4,FALSE))</f>
        <v>3</v>
      </c>
      <c r="H871" s="18" t="str">
        <f t="shared" si="155"/>
        <v>2-Unmetered, Funded by Others, CE Maintained</v>
      </c>
      <c r="I871" s="123">
        <f>VLOOKUP(F871,'Maintenance Model'!$A$57:$B$61,2,FALSE)</f>
        <v>9.9616182311111103</v>
      </c>
      <c r="J871" s="123">
        <f>IF(D871=1,VLOOKUP(C871,'Capital Code Schedules'!A$15:F$300,2,FALSE),IF(D871=2,VLOOKUP(C871,'Capital Code Schedules'!A$15:F$300,3,FALSE),0))</f>
        <v>0</v>
      </c>
      <c r="K871" s="123">
        <v>0</v>
      </c>
      <c r="L871" s="123">
        <f>VLOOKUP(LEFT(A871,10),'Streetlight Tariff Schedule'!B$11:H$260,7, FALSE)+I871</f>
        <v>66.954076122627015</v>
      </c>
      <c r="M871" s="161">
        <f t="shared" si="146"/>
        <v>66.954076122627015</v>
      </c>
      <c r="N871" s="405">
        <f t="shared" si="147"/>
        <v>69.743960245417014</v>
      </c>
      <c r="O871" s="405">
        <v>43.549817814493544</v>
      </c>
      <c r="P871" s="406">
        <v>43.549817814493544</v>
      </c>
      <c r="Q871" s="406">
        <v>45.681096351425523</v>
      </c>
      <c r="R871" s="406">
        <v>45.681096351425523</v>
      </c>
      <c r="S871" s="405">
        <f t="shared" si="148"/>
        <v>73.157150311673192</v>
      </c>
      <c r="T871" s="406">
        <v>47.557273114057104</v>
      </c>
      <c r="U871" s="406">
        <v>47.731013679776531</v>
      </c>
      <c r="V871" s="405">
        <f t="shared" si="149"/>
        <v>76.440042406971983</v>
      </c>
      <c r="W871" s="406">
        <v>49.288486593051992</v>
      </c>
      <c r="X871" s="406">
        <v>49.91025513580545</v>
      </c>
      <c r="Y871" s="405">
        <f t="shared" si="150"/>
        <v>79.930043906446983</v>
      </c>
      <c r="Z871" s="406">
        <v>50.712214556758518</v>
      </c>
      <c r="AA871" s="406">
        <v>51.539861439604678</v>
      </c>
      <c r="AB871" s="442">
        <f t="shared" si="151"/>
        <v>81.665064708620818</v>
      </c>
      <c r="AC871" s="438">
        <f t="shared" si="152"/>
        <v>84.106773480447487</v>
      </c>
      <c r="AD871" s="410"/>
      <c r="AE871" s="411"/>
      <c r="AF871" s="411"/>
      <c r="AG871" s="411"/>
    </row>
    <row r="872" spans="1:33" x14ac:dyDescent="0.2">
      <c r="A872" s="6" t="s">
        <v>819</v>
      </c>
      <c r="B872" s="18" t="str">
        <f>VLOOKUP(LEFT(A872,7),'Tariff Schedule Lookup Table'!$A$8:$G$186,2,FALSE)</f>
        <v>T5 2x14W</v>
      </c>
      <c r="C872" s="160">
        <f t="shared" si="153"/>
        <v>1850</v>
      </c>
      <c r="D872" s="18">
        <f t="shared" si="154"/>
        <v>1</v>
      </c>
      <c r="E872" s="18" t="str">
        <f>VLOOKUP(C872,'Tariff Schedule Lookup Table'!I$7:L$286,2,FALSE)</f>
        <v>T5 2x14W</v>
      </c>
      <c r="F872" s="18" t="str">
        <f>IF(E872 = "BULKHEADS ETC", "SHARED OR NO POLE", VLOOKUP(C872,'Tariff Schedule Lookup Table'!I$7:L$286,3,FALSE))</f>
        <v>STEEL POLE</v>
      </c>
      <c r="G872" s="18">
        <f>IF(E872 = "NO CAPITAL", 1, VLOOKUP(C872,'Tariff Schedule Lookup Table'!I$7:L$286,4,FALSE))</f>
        <v>4</v>
      </c>
      <c r="H872" s="18" t="str">
        <f t="shared" si="155"/>
        <v>1-Unmetered, CE Funded, CE Maintained</v>
      </c>
      <c r="I872" s="123">
        <f>VLOOKUP(F872,'Maintenance Model'!$A$57:$B$61,2,FALSE)</f>
        <v>9.9616182311111103</v>
      </c>
      <c r="J872" s="123" t="e">
        <f>IF(D872=1,VLOOKUP(C872,'Capital Code Schedules'!A$15:F$300,2,FALSE),IF(D872=2,VLOOKUP(C872,'Capital Code Schedules'!A$15:F$300,3,FALSE),0))</f>
        <v>#N/A</v>
      </c>
      <c r="K872" s="123" t="e">
        <v>#N/A</v>
      </c>
      <c r="L872" s="123">
        <f>VLOOKUP(LEFT(A872,10),'Streetlight Tariff Schedule'!B$11:H$260,7, FALSE)+I872</f>
        <v>66.954076122627015</v>
      </c>
      <c r="M872" s="161" t="e">
        <f t="shared" si="146"/>
        <v>#N/A</v>
      </c>
      <c r="N872" s="405" t="e">
        <f t="shared" si="147"/>
        <v>#N/A</v>
      </c>
      <c r="O872" s="405" t="e">
        <v>#N/A</v>
      </c>
      <c r="P872" s="406" t="e">
        <v>#N/A</v>
      </c>
      <c r="Q872" s="406" t="e">
        <v>#N/A</v>
      </c>
      <c r="R872" s="406" t="e">
        <v>#N/A</v>
      </c>
      <c r="S872" s="405" t="e">
        <f t="shared" si="148"/>
        <v>#N/A</v>
      </c>
      <c r="T872" s="406" t="e">
        <v>#N/A</v>
      </c>
      <c r="U872" s="406" t="e">
        <v>#N/A</v>
      </c>
      <c r="V872" s="405" t="e">
        <f t="shared" si="149"/>
        <v>#N/A</v>
      </c>
      <c r="W872" s="406" t="e">
        <v>#N/A</v>
      </c>
      <c r="X872" s="406" t="e">
        <v>#N/A</v>
      </c>
      <c r="Y872" s="405" t="e">
        <f t="shared" si="150"/>
        <v>#N/A</v>
      </c>
      <c r="Z872" s="406" t="e">
        <v>#N/A</v>
      </c>
      <c r="AA872" s="406" t="e">
        <v>#N/A</v>
      </c>
      <c r="AB872" s="442" t="e">
        <f t="shared" si="151"/>
        <v>#N/A</v>
      </c>
      <c r="AC872" s="438" t="e">
        <f t="shared" si="152"/>
        <v>#N/A</v>
      </c>
      <c r="AD872" s="410"/>
      <c r="AE872" s="411"/>
      <c r="AF872" s="411"/>
      <c r="AG872" s="411"/>
    </row>
    <row r="873" spans="1:33" x14ac:dyDescent="0.2">
      <c r="A873" s="6" t="s">
        <v>820</v>
      </c>
      <c r="B873" s="18" t="str">
        <f>VLOOKUP(LEFT(A873,7),'Tariff Schedule Lookup Table'!$A$8:$G$186,2,FALSE)</f>
        <v>T5 2x14W</v>
      </c>
      <c r="C873" s="160">
        <f t="shared" si="153"/>
        <v>1850</v>
      </c>
      <c r="D873" s="18">
        <f t="shared" si="154"/>
        <v>2</v>
      </c>
      <c r="E873" s="18" t="str">
        <f>VLOOKUP(C873,'Tariff Schedule Lookup Table'!I$7:L$286,2,FALSE)</f>
        <v>T5 2x14W</v>
      </c>
      <c r="F873" s="18" t="str">
        <f>IF(E873 = "BULKHEADS ETC", "SHARED OR NO POLE", VLOOKUP(C873,'Tariff Schedule Lookup Table'!I$7:L$286,3,FALSE))</f>
        <v>STEEL POLE</v>
      </c>
      <c r="G873" s="18">
        <f>IF(E873 = "NO CAPITAL", 1, VLOOKUP(C873,'Tariff Schedule Lookup Table'!I$7:L$286,4,FALSE))</f>
        <v>4</v>
      </c>
      <c r="H873" s="18" t="str">
        <f t="shared" si="155"/>
        <v>2-Unmetered, Funded by Others, CE Maintained</v>
      </c>
      <c r="I873" s="123">
        <f>VLOOKUP(F873,'Maintenance Model'!$A$57:$B$61,2,FALSE)</f>
        <v>9.9616182311111103</v>
      </c>
      <c r="J873" s="123">
        <f>IF(D873=1,VLOOKUP(C873,'Capital Code Schedules'!A$15:F$300,2,FALSE),IF(D873=2,VLOOKUP(C873,'Capital Code Schedules'!A$15:F$300,3,FALSE),0))</f>
        <v>0</v>
      </c>
      <c r="K873" s="123">
        <v>0</v>
      </c>
      <c r="L873" s="123">
        <f>VLOOKUP(LEFT(A873,10),'Streetlight Tariff Schedule'!B$11:H$260,7, FALSE)+I873</f>
        <v>66.954076122627015</v>
      </c>
      <c r="M873" s="161">
        <f t="shared" si="146"/>
        <v>66.954076122627015</v>
      </c>
      <c r="N873" s="405">
        <f t="shared" si="147"/>
        <v>69.743960245417014</v>
      </c>
      <c r="O873" s="405">
        <v>43.549817814493544</v>
      </c>
      <c r="P873" s="406">
        <v>43.549817814493544</v>
      </c>
      <c r="Q873" s="406">
        <v>45.681096351425523</v>
      </c>
      <c r="R873" s="406">
        <v>45.681096351425523</v>
      </c>
      <c r="S873" s="405">
        <f t="shared" si="148"/>
        <v>73.157150311673192</v>
      </c>
      <c r="T873" s="406">
        <v>47.557273114057104</v>
      </c>
      <c r="U873" s="406">
        <v>47.731013679776531</v>
      </c>
      <c r="V873" s="405">
        <f t="shared" si="149"/>
        <v>76.440042406971983</v>
      </c>
      <c r="W873" s="406">
        <v>49.288486593051992</v>
      </c>
      <c r="X873" s="406">
        <v>49.91025513580545</v>
      </c>
      <c r="Y873" s="405">
        <f t="shared" si="150"/>
        <v>79.930043906446983</v>
      </c>
      <c r="Z873" s="406">
        <v>50.712214556758518</v>
      </c>
      <c r="AA873" s="406">
        <v>51.539861439604678</v>
      </c>
      <c r="AB873" s="442">
        <f t="shared" si="151"/>
        <v>81.665064708620818</v>
      </c>
      <c r="AC873" s="438">
        <f t="shared" si="152"/>
        <v>84.106773480447487</v>
      </c>
      <c r="AD873" s="410"/>
      <c r="AE873" s="411"/>
      <c r="AF873" s="411"/>
      <c r="AG873" s="411"/>
    </row>
    <row r="874" spans="1:33" x14ac:dyDescent="0.2">
      <c r="A874" s="6" t="s">
        <v>821</v>
      </c>
      <c r="B874" s="18" t="str">
        <f>VLOOKUP(LEFT(A874,7),'Tariff Schedule Lookup Table'!$A$8:$G$186,2,FALSE)</f>
        <v>T5 2x24W</v>
      </c>
      <c r="C874" s="160">
        <f t="shared" si="153"/>
        <v>1860</v>
      </c>
      <c r="D874" s="18">
        <f t="shared" si="154"/>
        <v>1</v>
      </c>
      <c r="E874" s="18" t="str">
        <f>VLOOKUP(C874,'Tariff Schedule Lookup Table'!I$7:L$286,2,FALSE)</f>
        <v>T5 2x24W</v>
      </c>
      <c r="F874" s="18" t="str">
        <f>IF(E874 = "BULKHEADS ETC", "SHARED OR NO POLE", VLOOKUP(C874,'Tariff Schedule Lookup Table'!I$7:L$286,3,FALSE))</f>
        <v>SHARED OR NO POLE</v>
      </c>
      <c r="G874" s="18">
        <f>IF(E874 = "NO CAPITAL", 1, VLOOKUP(C874,'Tariff Schedule Lookup Table'!I$7:L$286,4,FALSE))</f>
        <v>1</v>
      </c>
      <c r="H874" s="18" t="str">
        <f t="shared" si="155"/>
        <v>1-Unmetered, CE Funded, CE Maintained</v>
      </c>
      <c r="I874" s="123">
        <f>VLOOKUP(F874,'Maintenance Model'!$A$57:$B$61,2,FALSE)</f>
        <v>0</v>
      </c>
      <c r="J874" s="123" t="e">
        <f>IF(D874=1,VLOOKUP(C874,'Capital Code Schedules'!A$15:F$300,2,FALSE),IF(D874=2,VLOOKUP(C874,'Capital Code Schedules'!A$15:F$300,3,FALSE),0))</f>
        <v>#N/A</v>
      </c>
      <c r="K874" s="123" t="e">
        <v>#N/A</v>
      </c>
      <c r="L874" s="123">
        <f>VLOOKUP(LEFT(A874,10),'Streetlight Tariff Schedule'!B$11:H$260,7, FALSE)+I874</f>
        <v>65.595931135682591</v>
      </c>
      <c r="M874" s="161" t="e">
        <f t="shared" si="146"/>
        <v>#N/A</v>
      </c>
      <c r="N874" s="405" t="e">
        <f t="shared" si="147"/>
        <v>#N/A</v>
      </c>
      <c r="O874" s="405" t="e">
        <v>#N/A</v>
      </c>
      <c r="P874" s="406" t="e">
        <v>#N/A</v>
      </c>
      <c r="Q874" s="406" t="e">
        <v>#N/A</v>
      </c>
      <c r="R874" s="406" t="e">
        <v>#N/A</v>
      </c>
      <c r="S874" s="405" t="e">
        <f t="shared" si="148"/>
        <v>#N/A</v>
      </c>
      <c r="T874" s="406" t="e">
        <v>#N/A</v>
      </c>
      <c r="U874" s="406" t="e">
        <v>#N/A</v>
      </c>
      <c r="V874" s="405" t="e">
        <f t="shared" si="149"/>
        <v>#N/A</v>
      </c>
      <c r="W874" s="406" t="e">
        <v>#N/A</v>
      </c>
      <c r="X874" s="406" t="e">
        <v>#N/A</v>
      </c>
      <c r="Y874" s="405" t="e">
        <f t="shared" si="150"/>
        <v>#N/A</v>
      </c>
      <c r="Z874" s="406" t="e">
        <v>#N/A</v>
      </c>
      <c r="AA874" s="406" t="e">
        <v>#N/A</v>
      </c>
      <c r="AB874" s="442" t="e">
        <f t="shared" si="151"/>
        <v>#N/A</v>
      </c>
      <c r="AC874" s="438" t="e">
        <f t="shared" si="152"/>
        <v>#N/A</v>
      </c>
      <c r="AD874" s="410"/>
      <c r="AE874" s="411"/>
      <c r="AF874" s="411"/>
      <c r="AG874" s="411"/>
    </row>
    <row r="875" spans="1:33" x14ac:dyDescent="0.2">
      <c r="A875" s="6" t="s">
        <v>822</v>
      </c>
      <c r="B875" s="18" t="str">
        <f>VLOOKUP(LEFT(A875,7),'Tariff Schedule Lookup Table'!$A$8:$G$186,2,FALSE)</f>
        <v>T5 2x24W</v>
      </c>
      <c r="C875" s="160">
        <f t="shared" si="153"/>
        <v>1860</v>
      </c>
      <c r="D875" s="18">
        <f t="shared" si="154"/>
        <v>2</v>
      </c>
      <c r="E875" s="18" t="str">
        <f>VLOOKUP(C875,'Tariff Schedule Lookup Table'!I$7:L$286,2,FALSE)</f>
        <v>T5 2x24W</v>
      </c>
      <c r="F875" s="18" t="str">
        <f>IF(E875 = "BULKHEADS ETC", "SHARED OR NO POLE", VLOOKUP(C875,'Tariff Schedule Lookup Table'!I$7:L$286,3,FALSE))</f>
        <v>SHARED OR NO POLE</v>
      </c>
      <c r="G875" s="18">
        <f>IF(E875 = "NO CAPITAL", 1, VLOOKUP(C875,'Tariff Schedule Lookup Table'!I$7:L$286,4,FALSE))</f>
        <v>1</v>
      </c>
      <c r="H875" s="18" t="str">
        <f t="shared" si="155"/>
        <v>2-Unmetered, Funded by Others, CE Maintained</v>
      </c>
      <c r="I875" s="123">
        <f>VLOOKUP(F875,'Maintenance Model'!$A$57:$B$61,2,FALSE)</f>
        <v>0</v>
      </c>
      <c r="J875" s="123">
        <f>IF(D875=1,VLOOKUP(C875,'Capital Code Schedules'!A$15:F$300,2,FALSE),IF(D875=2,VLOOKUP(C875,'Capital Code Schedules'!A$15:F$300,3,FALSE),0))</f>
        <v>0</v>
      </c>
      <c r="K875" s="123">
        <v>0</v>
      </c>
      <c r="L875" s="123">
        <f>VLOOKUP(LEFT(A875,10),'Streetlight Tariff Schedule'!B$11:H$260,7, FALSE)+I875</f>
        <v>65.595931135682591</v>
      </c>
      <c r="M875" s="161">
        <f t="shared" si="146"/>
        <v>65.595931135682591</v>
      </c>
      <c r="N875" s="405">
        <f t="shared" si="147"/>
        <v>68.329223227711338</v>
      </c>
      <c r="O875" s="405">
        <v>48.862376035352646</v>
      </c>
      <c r="P875" s="406">
        <v>48.862376035352646</v>
      </c>
      <c r="Q875" s="406">
        <v>51.253645127481633</v>
      </c>
      <c r="R875" s="406">
        <v>51.253645127481633</v>
      </c>
      <c r="S875" s="405">
        <f t="shared" si="148"/>
        <v>71.673177673876438</v>
      </c>
      <c r="T875" s="406">
        <v>53.358693072228377</v>
      </c>
      <c r="U875" s="406">
        <v>53.553627914227917</v>
      </c>
      <c r="V875" s="405">
        <f t="shared" si="149"/>
        <v>74.889477207525317</v>
      </c>
      <c r="W875" s="406">
        <v>55.301093942157316</v>
      </c>
      <c r="X875" s="406">
        <v>55.998710829382553</v>
      </c>
      <c r="Y875" s="405">
        <f t="shared" si="150"/>
        <v>78.308684988149523</v>
      </c>
      <c r="Z875" s="406">
        <v>56.898499732257385</v>
      </c>
      <c r="AA875" s="406">
        <v>57.827109660922986</v>
      </c>
      <c r="AB875" s="442">
        <f t="shared" si="151"/>
        <v>80.0085113713846</v>
      </c>
      <c r="AC875" s="438">
        <f t="shared" si="152"/>
        <v>82.400690753514937</v>
      </c>
      <c r="AD875" s="410"/>
      <c r="AE875" s="411"/>
      <c r="AF875" s="411"/>
      <c r="AG875" s="411"/>
    </row>
    <row r="876" spans="1:33" x14ac:dyDescent="0.2">
      <c r="A876" s="6" t="s">
        <v>823</v>
      </c>
      <c r="B876" s="18" t="str">
        <f>VLOOKUP(LEFT(A876,7),'Tariff Schedule Lookup Table'!$A$8:$G$186,2,FALSE)</f>
        <v>T5 2x24W</v>
      </c>
      <c r="C876" s="160">
        <f t="shared" si="153"/>
        <v>1870</v>
      </c>
      <c r="D876" s="18">
        <f t="shared" si="154"/>
        <v>1</v>
      </c>
      <c r="E876" s="18" t="str">
        <f>VLOOKUP(C876,'Tariff Schedule Lookup Table'!I$7:L$286,2,FALSE)</f>
        <v>T5 2x24W</v>
      </c>
      <c r="F876" s="18" t="str">
        <f>IF(E876 = "BULKHEADS ETC", "SHARED OR NO POLE", VLOOKUP(C876,'Tariff Schedule Lookup Table'!I$7:L$286,3,FALSE))</f>
        <v>SHARED OR NO POLE</v>
      </c>
      <c r="G876" s="18">
        <f>IF(E876 = "NO CAPITAL", 1, VLOOKUP(C876,'Tariff Schedule Lookup Table'!I$7:L$286,4,FALSE))</f>
        <v>2</v>
      </c>
      <c r="H876" s="18" t="str">
        <f t="shared" si="155"/>
        <v>1-Unmetered, CE Funded, CE Maintained</v>
      </c>
      <c r="I876" s="123">
        <f>VLOOKUP(F876,'Maintenance Model'!$A$57:$B$61,2,FALSE)</f>
        <v>0</v>
      </c>
      <c r="J876" s="123" t="e">
        <f>IF(D876=1,VLOOKUP(C876,'Capital Code Schedules'!A$15:F$300,2,FALSE),IF(D876=2,VLOOKUP(C876,'Capital Code Schedules'!A$15:F$300,3,FALSE),0))</f>
        <v>#N/A</v>
      </c>
      <c r="K876" s="123" t="e">
        <v>#N/A</v>
      </c>
      <c r="L876" s="123">
        <f>VLOOKUP(LEFT(A876,10),'Streetlight Tariff Schedule'!B$11:H$260,7, FALSE)+I876</f>
        <v>65.595931135682591</v>
      </c>
      <c r="M876" s="161" t="e">
        <f t="shared" si="146"/>
        <v>#N/A</v>
      </c>
      <c r="N876" s="405" t="e">
        <f t="shared" si="147"/>
        <v>#N/A</v>
      </c>
      <c r="O876" s="405" t="e">
        <v>#N/A</v>
      </c>
      <c r="P876" s="406" t="e">
        <v>#N/A</v>
      </c>
      <c r="Q876" s="406" t="e">
        <v>#N/A</v>
      </c>
      <c r="R876" s="406" t="e">
        <v>#N/A</v>
      </c>
      <c r="S876" s="405" t="e">
        <f t="shared" si="148"/>
        <v>#N/A</v>
      </c>
      <c r="T876" s="406" t="e">
        <v>#N/A</v>
      </c>
      <c r="U876" s="406" t="e">
        <v>#N/A</v>
      </c>
      <c r="V876" s="405" t="e">
        <f t="shared" si="149"/>
        <v>#N/A</v>
      </c>
      <c r="W876" s="406" t="e">
        <v>#N/A</v>
      </c>
      <c r="X876" s="406" t="e">
        <v>#N/A</v>
      </c>
      <c r="Y876" s="405" t="e">
        <f t="shared" si="150"/>
        <v>#N/A</v>
      </c>
      <c r="Z876" s="406" t="e">
        <v>#N/A</v>
      </c>
      <c r="AA876" s="406" t="e">
        <v>#N/A</v>
      </c>
      <c r="AB876" s="442" t="e">
        <f t="shared" si="151"/>
        <v>#N/A</v>
      </c>
      <c r="AC876" s="438" t="e">
        <f t="shared" si="152"/>
        <v>#N/A</v>
      </c>
      <c r="AD876" s="410"/>
      <c r="AE876" s="411"/>
      <c r="AF876" s="411"/>
      <c r="AG876" s="411"/>
    </row>
    <row r="877" spans="1:33" x14ac:dyDescent="0.2">
      <c r="A877" s="6" t="s">
        <v>824</v>
      </c>
      <c r="B877" s="18" t="str">
        <f>VLOOKUP(LEFT(A877,7),'Tariff Schedule Lookup Table'!$A$8:$G$186,2,FALSE)</f>
        <v>T5 2x24W</v>
      </c>
      <c r="C877" s="160">
        <f t="shared" si="153"/>
        <v>1870</v>
      </c>
      <c r="D877" s="18">
        <f t="shared" si="154"/>
        <v>2</v>
      </c>
      <c r="E877" s="18" t="str">
        <f>VLOOKUP(C877,'Tariff Schedule Lookup Table'!I$7:L$286,2,FALSE)</f>
        <v>T5 2x24W</v>
      </c>
      <c r="F877" s="18" t="str">
        <f>IF(E877 = "BULKHEADS ETC", "SHARED OR NO POLE", VLOOKUP(C877,'Tariff Schedule Lookup Table'!I$7:L$286,3,FALSE))</f>
        <v>SHARED OR NO POLE</v>
      </c>
      <c r="G877" s="18">
        <f>IF(E877 = "NO CAPITAL", 1, VLOOKUP(C877,'Tariff Schedule Lookup Table'!I$7:L$286,4,FALSE))</f>
        <v>2</v>
      </c>
      <c r="H877" s="18" t="str">
        <f t="shared" si="155"/>
        <v>2-Unmetered, Funded by Others, CE Maintained</v>
      </c>
      <c r="I877" s="123">
        <f>VLOOKUP(F877,'Maintenance Model'!$A$57:$B$61,2,FALSE)</f>
        <v>0</v>
      </c>
      <c r="J877" s="123">
        <f>IF(D877=1,VLOOKUP(C877,'Capital Code Schedules'!A$15:F$300,2,FALSE),IF(D877=2,VLOOKUP(C877,'Capital Code Schedules'!A$15:F$300,3,FALSE),0))</f>
        <v>0</v>
      </c>
      <c r="K877" s="123">
        <v>0</v>
      </c>
      <c r="L877" s="123">
        <f>VLOOKUP(LEFT(A877,10),'Streetlight Tariff Schedule'!B$11:H$260,7, FALSE)+I877</f>
        <v>65.595931135682591</v>
      </c>
      <c r="M877" s="161">
        <f t="shared" si="146"/>
        <v>65.595931135682591</v>
      </c>
      <c r="N877" s="405">
        <f t="shared" si="147"/>
        <v>68.329223227711338</v>
      </c>
      <c r="O877" s="405">
        <v>48.862376035352646</v>
      </c>
      <c r="P877" s="406">
        <v>48.862376035352646</v>
      </c>
      <c r="Q877" s="406">
        <v>51.253645127481633</v>
      </c>
      <c r="R877" s="406">
        <v>51.253645127481633</v>
      </c>
      <c r="S877" s="405">
        <f t="shared" si="148"/>
        <v>71.673177673876438</v>
      </c>
      <c r="T877" s="406">
        <v>53.358693072228377</v>
      </c>
      <c r="U877" s="406">
        <v>53.553627914227917</v>
      </c>
      <c r="V877" s="405">
        <f t="shared" si="149"/>
        <v>74.889477207525317</v>
      </c>
      <c r="W877" s="406">
        <v>55.301093942157316</v>
      </c>
      <c r="X877" s="406">
        <v>55.998710829382553</v>
      </c>
      <c r="Y877" s="405">
        <f t="shared" si="150"/>
        <v>78.308684988149523</v>
      </c>
      <c r="Z877" s="406">
        <v>56.898499732257385</v>
      </c>
      <c r="AA877" s="406">
        <v>57.827109660922986</v>
      </c>
      <c r="AB877" s="442">
        <f t="shared" si="151"/>
        <v>80.0085113713846</v>
      </c>
      <c r="AC877" s="438">
        <f t="shared" si="152"/>
        <v>82.400690753514937</v>
      </c>
      <c r="AD877" s="410"/>
      <c r="AE877" s="411"/>
      <c r="AF877" s="411"/>
      <c r="AG877" s="411"/>
    </row>
    <row r="878" spans="1:33" x14ac:dyDescent="0.2">
      <c r="A878" s="6" t="s">
        <v>825</v>
      </c>
      <c r="B878" s="18" t="str">
        <f>VLOOKUP(LEFT(A878,7),'Tariff Schedule Lookup Table'!$A$8:$G$186,2,FALSE)</f>
        <v>T5 2x24W</v>
      </c>
      <c r="C878" s="160">
        <f t="shared" si="153"/>
        <v>1880</v>
      </c>
      <c r="D878" s="18">
        <f t="shared" si="154"/>
        <v>1</v>
      </c>
      <c r="E878" s="18" t="str">
        <f>VLOOKUP(C878,'Tariff Schedule Lookup Table'!I$7:L$286,2,FALSE)</f>
        <v>T5 2x24W</v>
      </c>
      <c r="F878" s="18" t="str">
        <f>IF(E878 = "BULKHEADS ETC", "SHARED OR NO POLE", VLOOKUP(C878,'Tariff Schedule Lookup Table'!I$7:L$286,3,FALSE))</f>
        <v>SHARED OR NO POLE</v>
      </c>
      <c r="G878" s="18">
        <f>IF(E878 = "NO CAPITAL", 1, VLOOKUP(C878,'Tariff Schedule Lookup Table'!I$7:L$286,4,FALSE))</f>
        <v>3</v>
      </c>
      <c r="H878" s="18" t="str">
        <f t="shared" si="155"/>
        <v>1-Unmetered, CE Funded, CE Maintained</v>
      </c>
      <c r="I878" s="123">
        <f>VLOOKUP(F878,'Maintenance Model'!$A$57:$B$61,2,FALSE)</f>
        <v>0</v>
      </c>
      <c r="J878" s="123" t="e">
        <f>IF(D878=1,VLOOKUP(C878,'Capital Code Schedules'!A$15:F$300,2,FALSE),IF(D878=2,VLOOKUP(C878,'Capital Code Schedules'!A$15:F$300,3,FALSE),0))</f>
        <v>#N/A</v>
      </c>
      <c r="K878" s="123" t="e">
        <v>#N/A</v>
      </c>
      <c r="L878" s="123">
        <f>VLOOKUP(LEFT(A878,10),'Streetlight Tariff Schedule'!B$11:H$260,7, FALSE)+I878</f>
        <v>65.595931135682591</v>
      </c>
      <c r="M878" s="161" t="e">
        <f t="shared" si="146"/>
        <v>#N/A</v>
      </c>
      <c r="N878" s="405" t="e">
        <f t="shared" si="147"/>
        <v>#N/A</v>
      </c>
      <c r="O878" s="405" t="e">
        <v>#N/A</v>
      </c>
      <c r="P878" s="406" t="e">
        <v>#N/A</v>
      </c>
      <c r="Q878" s="406" t="e">
        <v>#N/A</v>
      </c>
      <c r="R878" s="406" t="e">
        <v>#N/A</v>
      </c>
      <c r="S878" s="405" t="e">
        <f t="shared" si="148"/>
        <v>#N/A</v>
      </c>
      <c r="T878" s="406" t="e">
        <v>#N/A</v>
      </c>
      <c r="U878" s="406" t="e">
        <v>#N/A</v>
      </c>
      <c r="V878" s="405" t="e">
        <f t="shared" si="149"/>
        <v>#N/A</v>
      </c>
      <c r="W878" s="406" t="e">
        <v>#N/A</v>
      </c>
      <c r="X878" s="406" t="e">
        <v>#N/A</v>
      </c>
      <c r="Y878" s="405" t="e">
        <f t="shared" si="150"/>
        <v>#N/A</v>
      </c>
      <c r="Z878" s="406" t="e">
        <v>#N/A</v>
      </c>
      <c r="AA878" s="406" t="e">
        <v>#N/A</v>
      </c>
      <c r="AB878" s="442" t="e">
        <f t="shared" si="151"/>
        <v>#N/A</v>
      </c>
      <c r="AC878" s="438" t="e">
        <f t="shared" si="152"/>
        <v>#N/A</v>
      </c>
      <c r="AD878" s="410"/>
      <c r="AE878" s="411"/>
      <c r="AF878" s="411"/>
      <c r="AG878" s="411"/>
    </row>
    <row r="879" spans="1:33" x14ac:dyDescent="0.2">
      <c r="A879" s="6" t="s">
        <v>826</v>
      </c>
      <c r="B879" s="18" t="str">
        <f>VLOOKUP(LEFT(A879,7),'Tariff Schedule Lookup Table'!$A$8:$G$186,2,FALSE)</f>
        <v>T5 2x24W</v>
      </c>
      <c r="C879" s="160">
        <f t="shared" si="153"/>
        <v>1880</v>
      </c>
      <c r="D879" s="18">
        <f t="shared" si="154"/>
        <v>2</v>
      </c>
      <c r="E879" s="18" t="str">
        <f>VLOOKUP(C879,'Tariff Schedule Lookup Table'!I$7:L$286,2,FALSE)</f>
        <v>T5 2x24W</v>
      </c>
      <c r="F879" s="18" t="str">
        <f>IF(E879 = "BULKHEADS ETC", "SHARED OR NO POLE", VLOOKUP(C879,'Tariff Schedule Lookup Table'!I$7:L$286,3,FALSE))</f>
        <v>SHARED OR NO POLE</v>
      </c>
      <c r="G879" s="18">
        <f>IF(E879 = "NO CAPITAL", 1, VLOOKUP(C879,'Tariff Schedule Lookup Table'!I$7:L$286,4,FALSE))</f>
        <v>3</v>
      </c>
      <c r="H879" s="18" t="str">
        <f t="shared" si="155"/>
        <v>2-Unmetered, Funded by Others, CE Maintained</v>
      </c>
      <c r="I879" s="123">
        <f>VLOOKUP(F879,'Maintenance Model'!$A$57:$B$61,2,FALSE)</f>
        <v>0</v>
      </c>
      <c r="J879" s="123">
        <f>IF(D879=1,VLOOKUP(C879,'Capital Code Schedules'!A$15:F$300,2,FALSE),IF(D879=2,VLOOKUP(C879,'Capital Code Schedules'!A$15:F$300,3,FALSE),0))</f>
        <v>0</v>
      </c>
      <c r="K879" s="123">
        <v>0</v>
      </c>
      <c r="L879" s="123">
        <f>VLOOKUP(LEFT(A879,10),'Streetlight Tariff Schedule'!B$11:H$260,7, FALSE)+I879</f>
        <v>65.595931135682591</v>
      </c>
      <c r="M879" s="161">
        <f t="shared" si="146"/>
        <v>65.595931135682591</v>
      </c>
      <c r="N879" s="405">
        <f t="shared" si="147"/>
        <v>68.329223227711338</v>
      </c>
      <c r="O879" s="405">
        <v>48.862376035352646</v>
      </c>
      <c r="P879" s="406">
        <v>48.862376035352646</v>
      </c>
      <c r="Q879" s="406">
        <v>51.253645127481633</v>
      </c>
      <c r="R879" s="406">
        <v>51.253645127481633</v>
      </c>
      <c r="S879" s="405">
        <f t="shared" si="148"/>
        <v>71.673177673876438</v>
      </c>
      <c r="T879" s="406">
        <v>53.358693072228377</v>
      </c>
      <c r="U879" s="406">
        <v>53.553627914227917</v>
      </c>
      <c r="V879" s="405">
        <f t="shared" si="149"/>
        <v>74.889477207525317</v>
      </c>
      <c r="W879" s="406">
        <v>55.301093942157316</v>
      </c>
      <c r="X879" s="406">
        <v>55.998710829382553</v>
      </c>
      <c r="Y879" s="405">
        <f t="shared" si="150"/>
        <v>78.308684988149523</v>
      </c>
      <c r="Z879" s="406">
        <v>56.898499732257385</v>
      </c>
      <c r="AA879" s="406">
        <v>57.827109660922986</v>
      </c>
      <c r="AB879" s="442">
        <f t="shared" si="151"/>
        <v>80.0085113713846</v>
      </c>
      <c r="AC879" s="438">
        <f t="shared" si="152"/>
        <v>82.400690753514937</v>
      </c>
      <c r="AD879" s="410"/>
      <c r="AE879" s="411"/>
      <c r="AF879" s="411"/>
      <c r="AG879" s="411"/>
    </row>
    <row r="880" spans="1:33" x14ac:dyDescent="0.2">
      <c r="A880" s="6" t="s">
        <v>827</v>
      </c>
      <c r="B880" s="18" t="str">
        <f>VLOOKUP(LEFT(A880,7),'Tariff Schedule Lookup Table'!$A$8:$G$186,2,FALSE)</f>
        <v>T5 2x24W</v>
      </c>
      <c r="C880" s="160">
        <f t="shared" si="153"/>
        <v>1890</v>
      </c>
      <c r="D880" s="18">
        <f t="shared" si="154"/>
        <v>1</v>
      </c>
      <c r="E880" s="18" t="str">
        <f>VLOOKUP(C880,'Tariff Schedule Lookup Table'!I$7:L$286,2,FALSE)</f>
        <v>T5 2x24W</v>
      </c>
      <c r="F880" s="18" t="str">
        <f>IF(E880 = "BULKHEADS ETC", "SHARED OR NO POLE", VLOOKUP(C880,'Tariff Schedule Lookup Table'!I$7:L$286,3,FALSE))</f>
        <v>SHARED OR NO POLE</v>
      </c>
      <c r="G880" s="18">
        <f>IF(E880 = "NO CAPITAL", 1, VLOOKUP(C880,'Tariff Schedule Lookup Table'!I$7:L$286,4,FALSE))</f>
        <v>4</v>
      </c>
      <c r="H880" s="18" t="str">
        <f t="shared" si="155"/>
        <v>1-Unmetered, CE Funded, CE Maintained</v>
      </c>
      <c r="I880" s="123">
        <f>VLOOKUP(F880,'Maintenance Model'!$A$57:$B$61,2,FALSE)</f>
        <v>0</v>
      </c>
      <c r="J880" s="123" t="e">
        <f>IF(D880=1,VLOOKUP(C880,'Capital Code Schedules'!A$15:F$300,2,FALSE),IF(D880=2,VLOOKUP(C880,'Capital Code Schedules'!A$15:F$300,3,FALSE),0))</f>
        <v>#N/A</v>
      </c>
      <c r="K880" s="123" t="e">
        <v>#N/A</v>
      </c>
      <c r="L880" s="123">
        <f>VLOOKUP(LEFT(A880,10),'Streetlight Tariff Schedule'!B$11:H$260,7, FALSE)+I880</f>
        <v>65.595931135682591</v>
      </c>
      <c r="M880" s="161" t="e">
        <f t="shared" si="146"/>
        <v>#N/A</v>
      </c>
      <c r="N880" s="405" t="e">
        <f t="shared" si="147"/>
        <v>#N/A</v>
      </c>
      <c r="O880" s="405" t="e">
        <v>#N/A</v>
      </c>
      <c r="P880" s="406" t="e">
        <v>#N/A</v>
      </c>
      <c r="Q880" s="406" t="e">
        <v>#N/A</v>
      </c>
      <c r="R880" s="406" t="e">
        <v>#N/A</v>
      </c>
      <c r="S880" s="405" t="e">
        <f t="shared" si="148"/>
        <v>#N/A</v>
      </c>
      <c r="T880" s="406" t="e">
        <v>#N/A</v>
      </c>
      <c r="U880" s="406" t="e">
        <v>#N/A</v>
      </c>
      <c r="V880" s="405" t="e">
        <f t="shared" si="149"/>
        <v>#N/A</v>
      </c>
      <c r="W880" s="406" t="e">
        <v>#N/A</v>
      </c>
      <c r="X880" s="406" t="e">
        <v>#N/A</v>
      </c>
      <c r="Y880" s="405" t="e">
        <f t="shared" si="150"/>
        <v>#N/A</v>
      </c>
      <c r="Z880" s="406" t="e">
        <v>#N/A</v>
      </c>
      <c r="AA880" s="406" t="e">
        <v>#N/A</v>
      </c>
      <c r="AB880" s="442" t="e">
        <f t="shared" si="151"/>
        <v>#N/A</v>
      </c>
      <c r="AC880" s="438" t="e">
        <f t="shared" si="152"/>
        <v>#N/A</v>
      </c>
      <c r="AD880" s="410"/>
      <c r="AE880" s="411"/>
      <c r="AF880" s="411"/>
      <c r="AG880" s="411"/>
    </row>
    <row r="881" spans="1:33" x14ac:dyDescent="0.2">
      <c r="A881" s="6" t="s">
        <v>828</v>
      </c>
      <c r="B881" s="18" t="str">
        <f>VLOOKUP(LEFT(A881,7),'Tariff Schedule Lookup Table'!$A$8:$G$186,2,FALSE)</f>
        <v>T5 2x24W</v>
      </c>
      <c r="C881" s="160">
        <f t="shared" si="153"/>
        <v>1900</v>
      </c>
      <c r="D881" s="18">
        <f t="shared" si="154"/>
        <v>2</v>
      </c>
      <c r="E881" s="18" t="str">
        <f>VLOOKUP(C881,'Tariff Schedule Lookup Table'!I$7:L$286,2,FALSE)</f>
        <v>T5 2x24W</v>
      </c>
      <c r="F881" s="18" t="str">
        <f>IF(E881 = "BULKHEADS ETC", "SHARED OR NO POLE", VLOOKUP(C881,'Tariff Schedule Lookup Table'!I$7:L$286,3,FALSE))</f>
        <v>WOOD POLE</v>
      </c>
      <c r="G881" s="18">
        <f>IF(E881 = "NO CAPITAL", 1, VLOOKUP(C881,'Tariff Schedule Lookup Table'!I$7:L$286,4,FALSE))</f>
        <v>1</v>
      </c>
      <c r="H881" s="18" t="str">
        <f t="shared" si="155"/>
        <v>2-Unmetered, Funded by Others, CE Maintained</v>
      </c>
      <c r="I881" s="123">
        <f>VLOOKUP(F881,'Maintenance Model'!$A$57:$B$61,2,FALSE)</f>
        <v>10.731618231111112</v>
      </c>
      <c r="J881" s="123">
        <f>IF(D881=1,VLOOKUP(C881,'Capital Code Schedules'!A$15:F$300,2,FALSE),IF(D881=2,VLOOKUP(C881,'Capital Code Schedules'!A$15:F$300,3,FALSE),0))</f>
        <v>0</v>
      </c>
      <c r="K881" s="123">
        <v>0</v>
      </c>
      <c r="L881" s="123">
        <f>VLOOKUP(LEFT(A881,10),'Streetlight Tariff Schedule'!B$11:H$260,7, FALSE)+I881</f>
        <v>76.327549366793704</v>
      </c>
      <c r="M881" s="161">
        <f t="shared" si="146"/>
        <v>76.327549366793704</v>
      </c>
      <c r="N881" s="405">
        <f t="shared" si="147"/>
        <v>79.508013207708757</v>
      </c>
      <c r="O881" s="405">
        <v>59.258576110776815</v>
      </c>
      <c r="P881" s="406">
        <v>59.258576110776815</v>
      </c>
      <c r="Q881" s="406">
        <v>62.15862340677301</v>
      </c>
      <c r="R881" s="406">
        <v>62.15862340677301</v>
      </c>
      <c r="S881" s="405">
        <f t="shared" si="148"/>
        <v>83.399044917313276</v>
      </c>
      <c r="T881" s="406">
        <v>64.711551732656233</v>
      </c>
      <c r="U881" s="406">
        <v>64.947961872902269</v>
      </c>
      <c r="V881" s="405">
        <f t="shared" si="149"/>
        <v>87.141537129599868</v>
      </c>
      <c r="W881" s="406">
        <v>67.067227390038184</v>
      </c>
      <c r="X881" s="406">
        <v>67.91327268627775</v>
      </c>
      <c r="Y881" s="405">
        <f t="shared" si="150"/>
        <v>91.120133761319195</v>
      </c>
      <c r="Z881" s="406">
        <v>69.00450511316717</v>
      </c>
      <c r="AA881" s="406">
        <v>70.130690669416822</v>
      </c>
      <c r="AB881" s="442">
        <f t="shared" si="151"/>
        <v>93.098054951476314</v>
      </c>
      <c r="AC881" s="438">
        <f t="shared" si="152"/>
        <v>95.881599398861326</v>
      </c>
      <c r="AD881" s="410"/>
      <c r="AE881" s="411"/>
      <c r="AF881" s="411"/>
      <c r="AG881" s="411"/>
    </row>
    <row r="882" spans="1:33" x14ac:dyDescent="0.2">
      <c r="A882" s="6" t="s">
        <v>829</v>
      </c>
      <c r="B882" s="18" t="str">
        <f>VLOOKUP(LEFT(A882,7),'Tariff Schedule Lookup Table'!$A$8:$G$186,2,FALSE)</f>
        <v>T5 2x24W</v>
      </c>
      <c r="C882" s="160">
        <f t="shared" si="153"/>
        <v>1910</v>
      </c>
      <c r="D882" s="18">
        <f t="shared" si="154"/>
        <v>1</v>
      </c>
      <c r="E882" s="18" t="str">
        <f>VLOOKUP(C882,'Tariff Schedule Lookup Table'!I$7:L$286,2,FALSE)</f>
        <v>T5 2x24W</v>
      </c>
      <c r="F882" s="18" t="str">
        <f>IF(E882 = "BULKHEADS ETC", "SHARED OR NO POLE", VLOOKUP(C882,'Tariff Schedule Lookup Table'!I$7:L$286,3,FALSE))</f>
        <v>WOOD POLE</v>
      </c>
      <c r="G882" s="18">
        <f>IF(E882 = "NO CAPITAL", 1, VLOOKUP(C882,'Tariff Schedule Lookup Table'!I$7:L$286,4,FALSE))</f>
        <v>2</v>
      </c>
      <c r="H882" s="18" t="str">
        <f t="shared" si="155"/>
        <v>1-Unmetered, CE Funded, CE Maintained</v>
      </c>
      <c r="I882" s="123">
        <f>VLOOKUP(F882,'Maintenance Model'!$A$57:$B$61,2,FALSE)</f>
        <v>10.731618231111112</v>
      </c>
      <c r="J882" s="123" t="e">
        <f>IF(D882=1,VLOOKUP(C882,'Capital Code Schedules'!A$15:F$300,2,FALSE),IF(D882=2,VLOOKUP(C882,'Capital Code Schedules'!A$15:F$300,3,FALSE),0))</f>
        <v>#N/A</v>
      </c>
      <c r="K882" s="123" t="e">
        <v>#N/A</v>
      </c>
      <c r="L882" s="123">
        <f>VLOOKUP(LEFT(A882,10),'Streetlight Tariff Schedule'!B$11:H$260,7, FALSE)+I882</f>
        <v>76.327549366793704</v>
      </c>
      <c r="M882" s="161" t="e">
        <f t="shared" si="146"/>
        <v>#N/A</v>
      </c>
      <c r="N882" s="405" t="e">
        <f t="shared" si="147"/>
        <v>#N/A</v>
      </c>
      <c r="O882" s="405" t="e">
        <v>#N/A</v>
      </c>
      <c r="P882" s="406" t="e">
        <v>#N/A</v>
      </c>
      <c r="Q882" s="406" t="e">
        <v>#N/A</v>
      </c>
      <c r="R882" s="406" t="e">
        <v>#N/A</v>
      </c>
      <c r="S882" s="405" t="e">
        <f t="shared" si="148"/>
        <v>#N/A</v>
      </c>
      <c r="T882" s="406" t="e">
        <v>#N/A</v>
      </c>
      <c r="U882" s="406" t="e">
        <v>#N/A</v>
      </c>
      <c r="V882" s="405" t="e">
        <f t="shared" si="149"/>
        <v>#N/A</v>
      </c>
      <c r="W882" s="406" t="e">
        <v>#N/A</v>
      </c>
      <c r="X882" s="406" t="e">
        <v>#N/A</v>
      </c>
      <c r="Y882" s="405" t="e">
        <f t="shared" si="150"/>
        <v>#N/A</v>
      </c>
      <c r="Z882" s="406" t="e">
        <v>#N/A</v>
      </c>
      <c r="AA882" s="406" t="e">
        <v>#N/A</v>
      </c>
      <c r="AB882" s="442" t="e">
        <f t="shared" si="151"/>
        <v>#N/A</v>
      </c>
      <c r="AC882" s="438" t="e">
        <f t="shared" si="152"/>
        <v>#N/A</v>
      </c>
      <c r="AD882" s="410"/>
      <c r="AE882" s="411"/>
      <c r="AF882" s="411"/>
      <c r="AG882" s="411"/>
    </row>
    <row r="883" spans="1:33" x14ac:dyDescent="0.2">
      <c r="A883" s="6" t="s">
        <v>833</v>
      </c>
      <c r="B883" s="18" t="str">
        <f>VLOOKUP(LEFT(A883,7),'Tariff Schedule Lookup Table'!$A$8:$G$186,2,FALSE)</f>
        <v>T5 2x24W</v>
      </c>
      <c r="C883" s="160">
        <f t="shared" si="153"/>
        <v>1910</v>
      </c>
      <c r="D883" s="18">
        <f t="shared" si="154"/>
        <v>2</v>
      </c>
      <c r="E883" s="18" t="str">
        <f>VLOOKUP(C883,'Tariff Schedule Lookup Table'!I$7:L$286,2,FALSE)</f>
        <v>T5 2x24W</v>
      </c>
      <c r="F883" s="18" t="str">
        <f>IF(E883 = "BULKHEADS ETC", "SHARED OR NO POLE", VLOOKUP(C883,'Tariff Schedule Lookup Table'!I$7:L$286,3,FALSE))</f>
        <v>WOOD POLE</v>
      </c>
      <c r="G883" s="18">
        <f>IF(E883 = "NO CAPITAL", 1, VLOOKUP(C883,'Tariff Schedule Lookup Table'!I$7:L$286,4,FALSE))</f>
        <v>2</v>
      </c>
      <c r="H883" s="18" t="str">
        <f t="shared" si="155"/>
        <v>2-Unmetered, Funded by Others, CE Maintained</v>
      </c>
      <c r="I883" s="123">
        <f>VLOOKUP(F883,'Maintenance Model'!$A$57:$B$61,2,FALSE)</f>
        <v>10.731618231111112</v>
      </c>
      <c r="J883" s="123">
        <f>IF(D883=1,VLOOKUP(C883,'Capital Code Schedules'!A$15:F$300,2,FALSE),IF(D883=2,VLOOKUP(C883,'Capital Code Schedules'!A$15:F$300,3,FALSE),0))</f>
        <v>0</v>
      </c>
      <c r="K883" s="123">
        <v>0</v>
      </c>
      <c r="L883" s="123">
        <f>VLOOKUP(LEFT(A883,10),'Streetlight Tariff Schedule'!B$11:H$260,7, FALSE)+I883</f>
        <v>76.327549366793704</v>
      </c>
      <c r="M883" s="161">
        <f t="shared" si="146"/>
        <v>76.327549366793704</v>
      </c>
      <c r="N883" s="405">
        <f t="shared" si="147"/>
        <v>79.508013207708757</v>
      </c>
      <c r="O883" s="405">
        <v>59.258576110776815</v>
      </c>
      <c r="P883" s="406">
        <v>59.258576110776815</v>
      </c>
      <c r="Q883" s="406">
        <v>62.15862340677301</v>
      </c>
      <c r="R883" s="406">
        <v>62.15862340677301</v>
      </c>
      <c r="S883" s="405">
        <f t="shared" si="148"/>
        <v>83.399044917313276</v>
      </c>
      <c r="T883" s="406">
        <v>64.711551732656233</v>
      </c>
      <c r="U883" s="406">
        <v>64.947961872902269</v>
      </c>
      <c r="V883" s="405">
        <f t="shared" si="149"/>
        <v>87.141537129599868</v>
      </c>
      <c r="W883" s="406">
        <v>67.067227390038184</v>
      </c>
      <c r="X883" s="406">
        <v>67.91327268627775</v>
      </c>
      <c r="Y883" s="405">
        <f t="shared" si="150"/>
        <v>91.120133761319195</v>
      </c>
      <c r="Z883" s="406">
        <v>69.00450511316717</v>
      </c>
      <c r="AA883" s="406">
        <v>70.130690669416822</v>
      </c>
      <c r="AB883" s="442">
        <f t="shared" si="151"/>
        <v>93.098054951476314</v>
      </c>
      <c r="AC883" s="438">
        <f t="shared" si="152"/>
        <v>95.881599398861326</v>
      </c>
      <c r="AD883" s="410"/>
      <c r="AE883" s="411"/>
      <c r="AF883" s="411"/>
      <c r="AG883" s="411"/>
    </row>
    <row r="884" spans="1:33" x14ac:dyDescent="0.2">
      <c r="A884" s="6" t="s">
        <v>834</v>
      </c>
      <c r="B884" s="18" t="str">
        <f>VLOOKUP(LEFT(A884,7),'Tariff Schedule Lookup Table'!$A$8:$G$186,2,FALSE)</f>
        <v>T5 2x24W</v>
      </c>
      <c r="C884" s="160">
        <f t="shared" ref="C884:C895" si="156">1*MID(A884,12,4)</f>
        <v>1920</v>
      </c>
      <c r="D884" s="18">
        <f t="shared" ref="D884:D895" si="157">1*(MID(A884,17,3))</f>
        <v>1</v>
      </c>
      <c r="E884" s="18" t="str">
        <f>VLOOKUP(C884,'Tariff Schedule Lookup Table'!I$7:L$286,2,FALSE)</f>
        <v>T5 2x24W</v>
      </c>
      <c r="F884" s="18" t="str">
        <f>IF(E884 = "BULKHEADS ETC", "SHARED OR NO POLE", VLOOKUP(C884,'Tariff Schedule Lookup Table'!I$7:L$286,3,FALSE))</f>
        <v>WOOD POLE</v>
      </c>
      <c r="G884" s="18">
        <f>IF(E884 = "NO CAPITAL", 1, VLOOKUP(C884,'Tariff Schedule Lookup Table'!I$7:L$286,4,FALSE))</f>
        <v>3</v>
      </c>
      <c r="H884" s="18" t="str">
        <f t="shared" ref="H884:H895" si="158">VLOOKUP(D884,A$11:B$15, 2, FALSE)</f>
        <v>1-Unmetered, CE Funded, CE Maintained</v>
      </c>
      <c r="I884" s="123">
        <f>VLOOKUP(F884,'Maintenance Model'!$A$57:$B$61,2,FALSE)</f>
        <v>10.731618231111112</v>
      </c>
      <c r="J884" s="123" t="e">
        <f>IF(D884=1,VLOOKUP(C884,'Capital Code Schedules'!A$15:F$300,2,FALSE),IF(D884=2,VLOOKUP(C884,'Capital Code Schedules'!A$15:F$300,3,FALSE),0))</f>
        <v>#N/A</v>
      </c>
      <c r="K884" s="123" t="e">
        <v>#N/A</v>
      </c>
      <c r="L884" s="123">
        <f>VLOOKUP(LEFT(A884,10),'Streetlight Tariff Schedule'!B$11:H$260,7, FALSE)+I884</f>
        <v>76.327549366793704</v>
      </c>
      <c r="M884" s="161" t="e">
        <f t="shared" si="146"/>
        <v>#N/A</v>
      </c>
      <c r="N884" s="405" t="e">
        <f t="shared" si="147"/>
        <v>#N/A</v>
      </c>
      <c r="O884" s="405" t="e">
        <v>#N/A</v>
      </c>
      <c r="P884" s="406" t="e">
        <v>#N/A</v>
      </c>
      <c r="Q884" s="406" t="e">
        <v>#N/A</v>
      </c>
      <c r="R884" s="406" t="e">
        <v>#N/A</v>
      </c>
      <c r="S884" s="405" t="e">
        <f t="shared" si="148"/>
        <v>#N/A</v>
      </c>
      <c r="T884" s="406" t="e">
        <v>#N/A</v>
      </c>
      <c r="U884" s="406" t="e">
        <v>#N/A</v>
      </c>
      <c r="V884" s="405" t="e">
        <f t="shared" si="149"/>
        <v>#N/A</v>
      </c>
      <c r="W884" s="406" t="e">
        <v>#N/A</v>
      </c>
      <c r="X884" s="406" t="e">
        <v>#N/A</v>
      </c>
      <c r="Y884" s="405" t="e">
        <f t="shared" si="150"/>
        <v>#N/A</v>
      </c>
      <c r="Z884" s="406" t="e">
        <v>#N/A</v>
      </c>
      <c r="AA884" s="406" t="e">
        <v>#N/A</v>
      </c>
      <c r="AB884" s="442" t="e">
        <f t="shared" si="151"/>
        <v>#N/A</v>
      </c>
      <c r="AC884" s="438" t="e">
        <f t="shared" si="152"/>
        <v>#N/A</v>
      </c>
      <c r="AD884" s="410"/>
      <c r="AE884" s="411"/>
      <c r="AF884" s="411"/>
      <c r="AG884" s="411"/>
    </row>
    <row r="885" spans="1:33" x14ac:dyDescent="0.2">
      <c r="A885" s="6" t="s">
        <v>835</v>
      </c>
      <c r="B885" s="18" t="str">
        <f>VLOOKUP(LEFT(A885,7),'Tariff Schedule Lookup Table'!$A$8:$G$186,2,FALSE)</f>
        <v>T5 2x24W</v>
      </c>
      <c r="C885" s="160">
        <f t="shared" si="156"/>
        <v>1920</v>
      </c>
      <c r="D885" s="18">
        <f t="shared" si="157"/>
        <v>2</v>
      </c>
      <c r="E885" s="18" t="str">
        <f>VLOOKUP(C885,'Tariff Schedule Lookup Table'!I$7:L$286,2,FALSE)</f>
        <v>T5 2x24W</v>
      </c>
      <c r="F885" s="18" t="str">
        <f>IF(E885 = "BULKHEADS ETC", "SHARED OR NO POLE", VLOOKUP(C885,'Tariff Schedule Lookup Table'!I$7:L$286,3,FALSE))</f>
        <v>WOOD POLE</v>
      </c>
      <c r="G885" s="18">
        <f>IF(E885 = "NO CAPITAL", 1, VLOOKUP(C885,'Tariff Schedule Lookup Table'!I$7:L$286,4,FALSE))</f>
        <v>3</v>
      </c>
      <c r="H885" s="18" t="str">
        <f t="shared" si="158"/>
        <v>2-Unmetered, Funded by Others, CE Maintained</v>
      </c>
      <c r="I885" s="123">
        <f>VLOOKUP(F885,'Maintenance Model'!$A$57:$B$61,2,FALSE)</f>
        <v>10.731618231111112</v>
      </c>
      <c r="J885" s="123">
        <f>IF(D885=1,VLOOKUP(C885,'Capital Code Schedules'!A$15:F$300,2,FALSE),IF(D885=2,VLOOKUP(C885,'Capital Code Schedules'!A$15:F$300,3,FALSE),0))</f>
        <v>0</v>
      </c>
      <c r="K885" s="123">
        <v>0</v>
      </c>
      <c r="L885" s="123">
        <f>VLOOKUP(LEFT(A885,10),'Streetlight Tariff Schedule'!B$11:H$260,7, FALSE)+I885</f>
        <v>76.327549366793704</v>
      </c>
      <c r="M885" s="161">
        <f t="shared" si="146"/>
        <v>76.327549366793704</v>
      </c>
      <c r="N885" s="405">
        <f t="shared" si="147"/>
        <v>79.508013207708757</v>
      </c>
      <c r="O885" s="405">
        <v>59.258576110776815</v>
      </c>
      <c r="P885" s="406">
        <v>59.258576110776815</v>
      </c>
      <c r="Q885" s="406">
        <v>62.15862340677301</v>
      </c>
      <c r="R885" s="406">
        <v>62.15862340677301</v>
      </c>
      <c r="S885" s="405">
        <f t="shared" si="148"/>
        <v>83.399044917313276</v>
      </c>
      <c r="T885" s="406">
        <v>64.711551732656233</v>
      </c>
      <c r="U885" s="406">
        <v>64.947961872902269</v>
      </c>
      <c r="V885" s="405">
        <f t="shared" si="149"/>
        <v>87.141537129599868</v>
      </c>
      <c r="W885" s="406">
        <v>67.067227390038184</v>
      </c>
      <c r="X885" s="406">
        <v>67.91327268627775</v>
      </c>
      <c r="Y885" s="405">
        <f t="shared" si="150"/>
        <v>91.120133761319195</v>
      </c>
      <c r="Z885" s="406">
        <v>69.00450511316717</v>
      </c>
      <c r="AA885" s="406">
        <v>70.130690669416822</v>
      </c>
      <c r="AB885" s="442">
        <f t="shared" si="151"/>
        <v>93.098054951476314</v>
      </c>
      <c r="AC885" s="438">
        <f t="shared" si="152"/>
        <v>95.881599398861326</v>
      </c>
      <c r="AD885" s="410"/>
      <c r="AE885" s="411"/>
      <c r="AF885" s="411"/>
      <c r="AG885" s="411"/>
    </row>
    <row r="886" spans="1:33" x14ac:dyDescent="0.2">
      <c r="A886" s="6" t="s">
        <v>836</v>
      </c>
      <c r="B886" s="18" t="str">
        <f>VLOOKUP(LEFT(A886,7),'Tariff Schedule Lookup Table'!$A$8:$G$186,2,FALSE)</f>
        <v>T5 2x24W</v>
      </c>
      <c r="C886" s="160">
        <f t="shared" si="156"/>
        <v>1930</v>
      </c>
      <c r="D886" s="18">
        <f t="shared" si="157"/>
        <v>1</v>
      </c>
      <c r="E886" s="18" t="str">
        <f>VLOOKUP(C886,'Tariff Schedule Lookup Table'!I$7:L$286,2,FALSE)</f>
        <v>T5 2x24W</v>
      </c>
      <c r="F886" s="18" t="str">
        <f>IF(E886 = "BULKHEADS ETC", "SHARED OR NO POLE", VLOOKUP(C886,'Tariff Schedule Lookup Table'!I$7:L$286,3,FALSE))</f>
        <v>WOOD POLE</v>
      </c>
      <c r="G886" s="18">
        <f>IF(E886 = "NO CAPITAL", 1, VLOOKUP(C886,'Tariff Schedule Lookup Table'!I$7:L$286,4,FALSE))</f>
        <v>4</v>
      </c>
      <c r="H886" s="18" t="str">
        <f t="shared" si="158"/>
        <v>1-Unmetered, CE Funded, CE Maintained</v>
      </c>
      <c r="I886" s="123">
        <f>VLOOKUP(F886,'Maintenance Model'!$A$57:$B$61,2,FALSE)</f>
        <v>10.731618231111112</v>
      </c>
      <c r="J886" s="123" t="e">
        <f>IF(D886=1,VLOOKUP(C886,'Capital Code Schedules'!A$15:F$300,2,FALSE),IF(D886=2,VLOOKUP(C886,'Capital Code Schedules'!A$15:F$300,3,FALSE),0))</f>
        <v>#N/A</v>
      </c>
      <c r="K886" s="123" t="e">
        <v>#N/A</v>
      </c>
      <c r="L886" s="123">
        <f>VLOOKUP(LEFT(A886,10),'Streetlight Tariff Schedule'!B$11:H$260,7, FALSE)+I886</f>
        <v>76.327549366793704</v>
      </c>
      <c r="M886" s="161" t="e">
        <f t="shared" si="146"/>
        <v>#N/A</v>
      </c>
      <c r="N886" s="405" t="e">
        <f t="shared" si="147"/>
        <v>#N/A</v>
      </c>
      <c r="O886" s="405" t="e">
        <v>#N/A</v>
      </c>
      <c r="P886" s="406" t="e">
        <v>#N/A</v>
      </c>
      <c r="Q886" s="406" t="e">
        <v>#N/A</v>
      </c>
      <c r="R886" s="406" t="e">
        <v>#N/A</v>
      </c>
      <c r="S886" s="405" t="e">
        <f t="shared" si="148"/>
        <v>#N/A</v>
      </c>
      <c r="T886" s="406" t="e">
        <v>#N/A</v>
      </c>
      <c r="U886" s="406" t="e">
        <v>#N/A</v>
      </c>
      <c r="V886" s="405" t="e">
        <f t="shared" si="149"/>
        <v>#N/A</v>
      </c>
      <c r="W886" s="406" t="e">
        <v>#N/A</v>
      </c>
      <c r="X886" s="406" t="e">
        <v>#N/A</v>
      </c>
      <c r="Y886" s="405" t="e">
        <f t="shared" si="150"/>
        <v>#N/A</v>
      </c>
      <c r="Z886" s="406" t="e">
        <v>#N/A</v>
      </c>
      <c r="AA886" s="406" t="e">
        <v>#N/A</v>
      </c>
      <c r="AB886" s="442" t="e">
        <f t="shared" si="151"/>
        <v>#N/A</v>
      </c>
      <c r="AC886" s="438" t="e">
        <f t="shared" si="152"/>
        <v>#N/A</v>
      </c>
      <c r="AD886" s="410"/>
      <c r="AE886" s="411"/>
      <c r="AF886" s="411"/>
      <c r="AG886" s="411"/>
    </row>
    <row r="887" spans="1:33" x14ac:dyDescent="0.2">
      <c r="A887" s="6" t="s">
        <v>837</v>
      </c>
      <c r="B887" s="18" t="str">
        <f>VLOOKUP(LEFT(A887,7),'Tariff Schedule Lookup Table'!$A$8:$G$186,2,FALSE)</f>
        <v>T5 2x24W</v>
      </c>
      <c r="C887" s="160">
        <f t="shared" si="156"/>
        <v>1930</v>
      </c>
      <c r="D887" s="18">
        <f t="shared" si="157"/>
        <v>2</v>
      </c>
      <c r="E887" s="18" t="str">
        <f>VLOOKUP(C887,'Tariff Schedule Lookup Table'!I$7:L$286,2,FALSE)</f>
        <v>T5 2x24W</v>
      </c>
      <c r="F887" s="18" t="str">
        <f>IF(E887 = "BULKHEADS ETC", "SHARED OR NO POLE", VLOOKUP(C887,'Tariff Schedule Lookup Table'!I$7:L$286,3,FALSE))</f>
        <v>WOOD POLE</v>
      </c>
      <c r="G887" s="18">
        <f>IF(E887 = "NO CAPITAL", 1, VLOOKUP(C887,'Tariff Schedule Lookup Table'!I$7:L$286,4,FALSE))</f>
        <v>4</v>
      </c>
      <c r="H887" s="18" t="str">
        <f t="shared" si="158"/>
        <v>2-Unmetered, Funded by Others, CE Maintained</v>
      </c>
      <c r="I887" s="123">
        <f>VLOOKUP(F887,'Maintenance Model'!$A$57:$B$61,2,FALSE)</f>
        <v>10.731618231111112</v>
      </c>
      <c r="J887" s="123">
        <f>IF(D887=1,VLOOKUP(C887,'Capital Code Schedules'!A$15:F$300,2,FALSE),IF(D887=2,VLOOKUP(C887,'Capital Code Schedules'!A$15:F$300,3,FALSE),0))</f>
        <v>0</v>
      </c>
      <c r="K887" s="123">
        <v>0</v>
      </c>
      <c r="L887" s="123">
        <f>VLOOKUP(LEFT(A887,10),'Streetlight Tariff Schedule'!B$11:H$260,7, FALSE)+I887</f>
        <v>76.327549366793704</v>
      </c>
      <c r="M887" s="161">
        <f t="shared" si="146"/>
        <v>76.327549366793704</v>
      </c>
      <c r="N887" s="405">
        <f t="shared" si="147"/>
        <v>79.508013207708757</v>
      </c>
      <c r="O887" s="405">
        <v>59.258576110776815</v>
      </c>
      <c r="P887" s="406">
        <v>59.258576110776815</v>
      </c>
      <c r="Q887" s="406">
        <v>62.15862340677301</v>
      </c>
      <c r="R887" s="406">
        <v>62.15862340677301</v>
      </c>
      <c r="S887" s="405">
        <f t="shared" si="148"/>
        <v>83.399044917313276</v>
      </c>
      <c r="T887" s="406">
        <v>64.711551732656233</v>
      </c>
      <c r="U887" s="406">
        <v>64.947961872902269</v>
      </c>
      <c r="V887" s="405">
        <f t="shared" si="149"/>
        <v>87.141537129599868</v>
      </c>
      <c r="W887" s="406">
        <v>67.067227390038184</v>
      </c>
      <c r="X887" s="406">
        <v>67.91327268627775</v>
      </c>
      <c r="Y887" s="405">
        <f t="shared" si="150"/>
        <v>91.120133761319195</v>
      </c>
      <c r="Z887" s="406">
        <v>69.00450511316717</v>
      </c>
      <c r="AA887" s="406">
        <v>70.130690669416822</v>
      </c>
      <c r="AB887" s="442">
        <f t="shared" si="151"/>
        <v>93.098054951476314</v>
      </c>
      <c r="AC887" s="438">
        <f t="shared" si="152"/>
        <v>95.881599398861326</v>
      </c>
      <c r="AD887" s="410"/>
      <c r="AE887" s="411"/>
      <c r="AF887" s="411"/>
      <c r="AG887" s="411"/>
    </row>
    <row r="888" spans="1:33" x14ac:dyDescent="0.2">
      <c r="A888" s="6" t="s">
        <v>838</v>
      </c>
      <c r="B888" s="18" t="str">
        <f>VLOOKUP(LEFT(A888,7),'Tariff Schedule Lookup Table'!$A$8:$G$186,2,FALSE)</f>
        <v>T5 2x24W</v>
      </c>
      <c r="C888" s="160">
        <f t="shared" si="156"/>
        <v>1940</v>
      </c>
      <c r="D888" s="18">
        <f t="shared" si="157"/>
        <v>1</v>
      </c>
      <c r="E888" s="18" t="str">
        <f>VLOOKUP(C888,'Tariff Schedule Lookup Table'!I$7:L$286,2,FALSE)</f>
        <v>T5 2x24W</v>
      </c>
      <c r="F888" s="18" t="str">
        <f>IF(E888 = "BULKHEADS ETC", "SHARED OR NO POLE", VLOOKUP(C888,'Tariff Schedule Lookup Table'!I$7:L$286,3,FALSE))</f>
        <v>STEEL POLE</v>
      </c>
      <c r="G888" s="18">
        <f>IF(E888 = "NO CAPITAL", 1, VLOOKUP(C888,'Tariff Schedule Lookup Table'!I$7:L$286,4,FALSE))</f>
        <v>1</v>
      </c>
      <c r="H888" s="18" t="str">
        <f t="shared" si="158"/>
        <v>1-Unmetered, CE Funded, CE Maintained</v>
      </c>
      <c r="I888" s="123">
        <f>VLOOKUP(F888,'Maintenance Model'!$A$57:$B$61,2,FALSE)</f>
        <v>9.9616182311111103</v>
      </c>
      <c r="J888" s="123" t="e">
        <f>IF(D888=1,VLOOKUP(C888,'Capital Code Schedules'!A$15:F$300,2,FALSE),IF(D888=2,VLOOKUP(C888,'Capital Code Schedules'!A$15:F$300,3,FALSE),0))</f>
        <v>#N/A</v>
      </c>
      <c r="K888" s="123" t="e">
        <v>#N/A</v>
      </c>
      <c r="L888" s="123">
        <f>VLOOKUP(LEFT(A888,10),'Streetlight Tariff Schedule'!B$11:H$260,7, FALSE)+I888</f>
        <v>75.557549366793694</v>
      </c>
      <c r="M888" s="161" t="e">
        <f t="shared" si="146"/>
        <v>#N/A</v>
      </c>
      <c r="N888" s="405" t="e">
        <f t="shared" si="147"/>
        <v>#N/A</v>
      </c>
      <c r="O888" s="405" t="e">
        <v>#N/A</v>
      </c>
      <c r="P888" s="406" t="e">
        <v>#N/A</v>
      </c>
      <c r="Q888" s="406" t="e">
        <v>#N/A</v>
      </c>
      <c r="R888" s="406" t="e">
        <v>#N/A</v>
      </c>
      <c r="S888" s="405" t="e">
        <f t="shared" si="148"/>
        <v>#N/A</v>
      </c>
      <c r="T888" s="406" t="e">
        <v>#N/A</v>
      </c>
      <c r="U888" s="406" t="e">
        <v>#N/A</v>
      </c>
      <c r="V888" s="405" t="e">
        <f t="shared" si="149"/>
        <v>#N/A</v>
      </c>
      <c r="W888" s="406" t="e">
        <v>#N/A</v>
      </c>
      <c r="X888" s="406" t="e">
        <v>#N/A</v>
      </c>
      <c r="Y888" s="405" t="e">
        <f t="shared" si="150"/>
        <v>#N/A</v>
      </c>
      <c r="Z888" s="406" t="e">
        <v>#N/A</v>
      </c>
      <c r="AA888" s="406" t="e">
        <v>#N/A</v>
      </c>
      <c r="AB888" s="442" t="e">
        <f t="shared" si="151"/>
        <v>#N/A</v>
      </c>
      <c r="AC888" s="438" t="e">
        <f t="shared" si="152"/>
        <v>#N/A</v>
      </c>
      <c r="AD888" s="410"/>
      <c r="AE888" s="411"/>
      <c r="AF888" s="411"/>
      <c r="AG888" s="411"/>
    </row>
    <row r="889" spans="1:33" x14ac:dyDescent="0.2">
      <c r="A889" s="6" t="s">
        <v>839</v>
      </c>
      <c r="B889" s="18" t="str">
        <f>VLOOKUP(LEFT(A889,7),'Tariff Schedule Lookup Table'!$A$8:$G$186,2,FALSE)</f>
        <v>T5 2x24W</v>
      </c>
      <c r="C889" s="160">
        <f t="shared" si="156"/>
        <v>1940</v>
      </c>
      <c r="D889" s="18">
        <f t="shared" si="157"/>
        <v>2</v>
      </c>
      <c r="E889" s="18" t="str">
        <f>VLOOKUP(C889,'Tariff Schedule Lookup Table'!I$7:L$286,2,FALSE)</f>
        <v>T5 2x24W</v>
      </c>
      <c r="F889" s="18" t="str">
        <f>IF(E889 = "BULKHEADS ETC", "SHARED OR NO POLE", VLOOKUP(C889,'Tariff Schedule Lookup Table'!I$7:L$286,3,FALSE))</f>
        <v>STEEL POLE</v>
      </c>
      <c r="G889" s="18">
        <f>IF(E889 = "NO CAPITAL", 1, VLOOKUP(C889,'Tariff Schedule Lookup Table'!I$7:L$286,4,FALSE))</f>
        <v>1</v>
      </c>
      <c r="H889" s="18" t="str">
        <f t="shared" si="158"/>
        <v>2-Unmetered, Funded by Others, CE Maintained</v>
      </c>
      <c r="I889" s="123">
        <f>VLOOKUP(F889,'Maintenance Model'!$A$57:$B$61,2,FALSE)</f>
        <v>9.9616182311111103</v>
      </c>
      <c r="J889" s="123">
        <f>IF(D889=1,VLOOKUP(C889,'Capital Code Schedules'!A$15:F$300,2,FALSE),IF(D889=2,VLOOKUP(C889,'Capital Code Schedules'!A$15:F$300,3,FALSE),0))</f>
        <v>0</v>
      </c>
      <c r="K889" s="123">
        <v>0</v>
      </c>
      <c r="L889" s="123">
        <f>VLOOKUP(LEFT(A889,10),'Streetlight Tariff Schedule'!B$11:H$260,7, FALSE)+I889</f>
        <v>75.557549366793694</v>
      </c>
      <c r="M889" s="161">
        <f t="shared" si="146"/>
        <v>75.557549366793694</v>
      </c>
      <c r="N889" s="405">
        <f t="shared" si="147"/>
        <v>78.705928368383738</v>
      </c>
      <c r="O889" s="405">
        <v>58.45649127145181</v>
      </c>
      <c r="P889" s="406">
        <v>58.45649127145181</v>
      </c>
      <c r="Q889" s="406">
        <v>61.317285447948549</v>
      </c>
      <c r="R889" s="406">
        <v>61.317285447948549</v>
      </c>
      <c r="S889" s="405">
        <f t="shared" si="148"/>
        <v>82.557706958488794</v>
      </c>
      <c r="T889" s="406">
        <v>63.835659026815122</v>
      </c>
      <c r="U889" s="406">
        <v>64.06886927597705</v>
      </c>
      <c r="V889" s="405">
        <f t="shared" si="149"/>
        <v>86.26244453267465</v>
      </c>
      <c r="W889" s="406">
        <v>66.159449818660974</v>
      </c>
      <c r="X889" s="406">
        <v>66.994043606105819</v>
      </c>
      <c r="Y889" s="405">
        <f t="shared" si="150"/>
        <v>90.20090468114725</v>
      </c>
      <c r="Z889" s="406">
        <v>68.070505833587276</v>
      </c>
      <c r="AA889" s="406">
        <v>69.18144808801938</v>
      </c>
      <c r="AB889" s="442">
        <f t="shared" si="151"/>
        <v>92.158872403270138</v>
      </c>
      <c r="AC889" s="438">
        <f t="shared" si="152"/>
        <v>94.914336174120052</v>
      </c>
      <c r="AD889" s="410"/>
      <c r="AE889" s="411"/>
      <c r="AF889" s="411"/>
      <c r="AG889" s="411"/>
    </row>
    <row r="890" spans="1:33" x14ac:dyDescent="0.2">
      <c r="A890" s="6" t="s">
        <v>840</v>
      </c>
      <c r="B890" s="18" t="str">
        <f>VLOOKUP(LEFT(A890,7),'Tariff Schedule Lookup Table'!$A$8:$G$186,2,FALSE)</f>
        <v>T5 2x24W</v>
      </c>
      <c r="C890" s="160">
        <f t="shared" si="156"/>
        <v>1950</v>
      </c>
      <c r="D890" s="18">
        <f t="shared" si="157"/>
        <v>1</v>
      </c>
      <c r="E890" s="18" t="str">
        <f>VLOOKUP(C890,'Tariff Schedule Lookup Table'!I$7:L$286,2,FALSE)</f>
        <v>T5 2x24W</v>
      </c>
      <c r="F890" s="18" t="str">
        <f>IF(E890 = "BULKHEADS ETC", "SHARED OR NO POLE", VLOOKUP(C890,'Tariff Schedule Lookup Table'!I$7:L$286,3,FALSE))</f>
        <v>STEEL POLE</v>
      </c>
      <c r="G890" s="18">
        <f>IF(E890 = "NO CAPITAL", 1, VLOOKUP(C890,'Tariff Schedule Lookup Table'!I$7:L$286,4,FALSE))</f>
        <v>2</v>
      </c>
      <c r="H890" s="18" t="str">
        <f t="shared" si="158"/>
        <v>1-Unmetered, CE Funded, CE Maintained</v>
      </c>
      <c r="I890" s="123">
        <f>VLOOKUP(F890,'Maintenance Model'!$A$57:$B$61,2,FALSE)</f>
        <v>9.9616182311111103</v>
      </c>
      <c r="J890" s="123" t="e">
        <f>IF(D890=1,VLOOKUP(C890,'Capital Code Schedules'!A$15:F$300,2,FALSE),IF(D890=2,VLOOKUP(C890,'Capital Code Schedules'!A$15:F$300,3,FALSE),0))</f>
        <v>#N/A</v>
      </c>
      <c r="K890" s="123" t="e">
        <v>#N/A</v>
      </c>
      <c r="L890" s="123">
        <f>VLOOKUP(LEFT(A890,10),'Streetlight Tariff Schedule'!B$11:H$260,7, FALSE)+I890</f>
        <v>75.557549366793694</v>
      </c>
      <c r="M890" s="161" t="e">
        <f t="shared" si="146"/>
        <v>#N/A</v>
      </c>
      <c r="N890" s="405" t="e">
        <f t="shared" si="147"/>
        <v>#N/A</v>
      </c>
      <c r="O890" s="405" t="e">
        <v>#N/A</v>
      </c>
      <c r="P890" s="406" t="e">
        <v>#N/A</v>
      </c>
      <c r="Q890" s="406" t="e">
        <v>#N/A</v>
      </c>
      <c r="R890" s="406" t="e">
        <v>#N/A</v>
      </c>
      <c r="S890" s="405" t="e">
        <f t="shared" si="148"/>
        <v>#N/A</v>
      </c>
      <c r="T890" s="406" t="e">
        <v>#N/A</v>
      </c>
      <c r="U890" s="406" t="e">
        <v>#N/A</v>
      </c>
      <c r="V890" s="405" t="e">
        <f t="shared" si="149"/>
        <v>#N/A</v>
      </c>
      <c r="W890" s="406" t="e">
        <v>#N/A</v>
      </c>
      <c r="X890" s="406" t="e">
        <v>#N/A</v>
      </c>
      <c r="Y890" s="405" t="e">
        <f t="shared" si="150"/>
        <v>#N/A</v>
      </c>
      <c r="Z890" s="406" t="e">
        <v>#N/A</v>
      </c>
      <c r="AA890" s="406" t="e">
        <v>#N/A</v>
      </c>
      <c r="AB890" s="442" t="e">
        <f t="shared" si="151"/>
        <v>#N/A</v>
      </c>
      <c r="AC890" s="438" t="e">
        <f t="shared" si="152"/>
        <v>#N/A</v>
      </c>
      <c r="AD890" s="410"/>
      <c r="AE890" s="411"/>
      <c r="AF890" s="411"/>
      <c r="AG890" s="411"/>
    </row>
    <row r="891" spans="1:33" x14ac:dyDescent="0.2">
      <c r="A891" s="6" t="s">
        <v>841</v>
      </c>
      <c r="B891" s="18" t="str">
        <f>VLOOKUP(LEFT(A891,7),'Tariff Schedule Lookup Table'!$A$8:$G$186,2,FALSE)</f>
        <v>T5 2x24W</v>
      </c>
      <c r="C891" s="160">
        <f t="shared" si="156"/>
        <v>1950</v>
      </c>
      <c r="D891" s="18">
        <f t="shared" si="157"/>
        <v>2</v>
      </c>
      <c r="E891" s="18" t="str">
        <f>VLOOKUP(C891,'Tariff Schedule Lookup Table'!I$7:L$286,2,FALSE)</f>
        <v>T5 2x24W</v>
      </c>
      <c r="F891" s="18" t="str">
        <f>IF(E891 = "BULKHEADS ETC", "SHARED OR NO POLE", VLOOKUP(C891,'Tariff Schedule Lookup Table'!I$7:L$286,3,FALSE))</f>
        <v>STEEL POLE</v>
      </c>
      <c r="G891" s="18">
        <f>IF(E891 = "NO CAPITAL", 1, VLOOKUP(C891,'Tariff Schedule Lookup Table'!I$7:L$286,4,FALSE))</f>
        <v>2</v>
      </c>
      <c r="H891" s="18" t="str">
        <f t="shared" si="158"/>
        <v>2-Unmetered, Funded by Others, CE Maintained</v>
      </c>
      <c r="I891" s="123">
        <f>VLOOKUP(F891,'Maintenance Model'!$A$57:$B$61,2,FALSE)</f>
        <v>9.9616182311111103</v>
      </c>
      <c r="J891" s="123">
        <f>IF(D891=1,VLOOKUP(C891,'Capital Code Schedules'!A$15:F$300,2,FALSE),IF(D891=2,VLOOKUP(C891,'Capital Code Schedules'!A$15:F$300,3,FALSE),0))</f>
        <v>0</v>
      </c>
      <c r="K891" s="123">
        <v>0</v>
      </c>
      <c r="L891" s="123">
        <f>VLOOKUP(LEFT(A891,10),'Streetlight Tariff Schedule'!B$11:H$260,7, FALSE)+I891</f>
        <v>75.557549366793694</v>
      </c>
      <c r="M891" s="161">
        <f t="shared" si="146"/>
        <v>75.557549366793694</v>
      </c>
      <c r="N891" s="405">
        <f t="shared" si="147"/>
        <v>78.705928368383738</v>
      </c>
      <c r="O891" s="405">
        <v>58.45649127145181</v>
      </c>
      <c r="P891" s="406">
        <v>58.45649127145181</v>
      </c>
      <c r="Q891" s="406">
        <v>61.317285447948549</v>
      </c>
      <c r="R891" s="406">
        <v>61.317285447948549</v>
      </c>
      <c r="S891" s="405">
        <f t="shared" si="148"/>
        <v>82.557706958488794</v>
      </c>
      <c r="T891" s="406">
        <v>63.835659026815122</v>
      </c>
      <c r="U891" s="406">
        <v>64.06886927597705</v>
      </c>
      <c r="V891" s="405">
        <f t="shared" si="149"/>
        <v>86.26244453267465</v>
      </c>
      <c r="W891" s="406">
        <v>66.159449818660974</v>
      </c>
      <c r="X891" s="406">
        <v>66.994043606105819</v>
      </c>
      <c r="Y891" s="405">
        <f t="shared" si="150"/>
        <v>90.20090468114725</v>
      </c>
      <c r="Z891" s="406">
        <v>68.070505833587276</v>
      </c>
      <c r="AA891" s="406">
        <v>69.18144808801938</v>
      </c>
      <c r="AB891" s="442">
        <f t="shared" si="151"/>
        <v>92.158872403270138</v>
      </c>
      <c r="AC891" s="438">
        <f t="shared" si="152"/>
        <v>94.914336174120052</v>
      </c>
      <c r="AD891" s="410"/>
      <c r="AE891" s="411"/>
      <c r="AF891" s="411"/>
      <c r="AG891" s="411"/>
    </row>
    <row r="892" spans="1:33" x14ac:dyDescent="0.2">
      <c r="A892" s="6" t="s">
        <v>842</v>
      </c>
      <c r="B892" s="18" t="str">
        <f>VLOOKUP(LEFT(A892,7),'Tariff Schedule Lookup Table'!$A$8:$G$186,2,FALSE)</f>
        <v>T5 2x24W</v>
      </c>
      <c r="C892" s="160">
        <f t="shared" si="156"/>
        <v>1960</v>
      </c>
      <c r="D892" s="18">
        <f t="shared" si="157"/>
        <v>1</v>
      </c>
      <c r="E892" s="18" t="str">
        <f>VLOOKUP(C892,'Tariff Schedule Lookup Table'!I$7:L$286,2,FALSE)</f>
        <v>T5 2x24W</v>
      </c>
      <c r="F892" s="18" t="str">
        <f>IF(E892 = "BULKHEADS ETC", "SHARED OR NO POLE", VLOOKUP(C892,'Tariff Schedule Lookup Table'!I$7:L$286,3,FALSE))</f>
        <v>STEEL POLE</v>
      </c>
      <c r="G892" s="18">
        <f>IF(E892 = "NO CAPITAL", 1, VLOOKUP(C892,'Tariff Schedule Lookup Table'!I$7:L$286,4,FALSE))</f>
        <v>3</v>
      </c>
      <c r="H892" s="18" t="str">
        <f t="shared" si="158"/>
        <v>1-Unmetered, CE Funded, CE Maintained</v>
      </c>
      <c r="I892" s="123">
        <f>VLOOKUP(F892,'Maintenance Model'!$A$57:$B$61,2,FALSE)</f>
        <v>9.9616182311111103</v>
      </c>
      <c r="J892" s="123" t="e">
        <f>IF(D892=1,VLOOKUP(C892,'Capital Code Schedules'!A$15:F$300,2,FALSE),IF(D892=2,VLOOKUP(C892,'Capital Code Schedules'!A$15:F$300,3,FALSE),0))</f>
        <v>#N/A</v>
      </c>
      <c r="K892" s="123" t="e">
        <v>#N/A</v>
      </c>
      <c r="L892" s="123">
        <f>VLOOKUP(LEFT(A892,10),'Streetlight Tariff Schedule'!B$11:H$260,7, FALSE)+I892</f>
        <v>75.557549366793694</v>
      </c>
      <c r="M892" s="161" t="e">
        <f t="shared" si="146"/>
        <v>#N/A</v>
      </c>
      <c r="N892" s="405" t="e">
        <f t="shared" si="147"/>
        <v>#N/A</v>
      </c>
      <c r="O892" s="405" t="e">
        <v>#N/A</v>
      </c>
      <c r="P892" s="406" t="e">
        <v>#N/A</v>
      </c>
      <c r="Q892" s="406" t="e">
        <v>#N/A</v>
      </c>
      <c r="R892" s="406" t="e">
        <v>#N/A</v>
      </c>
      <c r="S892" s="405" t="e">
        <f t="shared" si="148"/>
        <v>#N/A</v>
      </c>
      <c r="T892" s="406" t="e">
        <v>#N/A</v>
      </c>
      <c r="U892" s="406" t="e">
        <v>#N/A</v>
      </c>
      <c r="V892" s="405" t="e">
        <f t="shared" si="149"/>
        <v>#N/A</v>
      </c>
      <c r="W892" s="406" t="e">
        <v>#N/A</v>
      </c>
      <c r="X892" s="406" t="e">
        <v>#N/A</v>
      </c>
      <c r="Y892" s="405" t="e">
        <f t="shared" si="150"/>
        <v>#N/A</v>
      </c>
      <c r="Z892" s="406" t="e">
        <v>#N/A</v>
      </c>
      <c r="AA892" s="406" t="e">
        <v>#N/A</v>
      </c>
      <c r="AB892" s="442" t="e">
        <f t="shared" si="151"/>
        <v>#N/A</v>
      </c>
      <c r="AC892" s="438" t="e">
        <f t="shared" si="152"/>
        <v>#N/A</v>
      </c>
      <c r="AD892" s="410"/>
      <c r="AE892" s="411"/>
      <c r="AF892" s="411"/>
      <c r="AG892" s="411"/>
    </row>
    <row r="893" spans="1:33" x14ac:dyDescent="0.2">
      <c r="A893" s="6" t="s">
        <v>843</v>
      </c>
      <c r="B893" s="18" t="str">
        <f>VLOOKUP(LEFT(A893,7),'Tariff Schedule Lookup Table'!$A$8:$G$186,2,FALSE)</f>
        <v>T5 2x24W</v>
      </c>
      <c r="C893" s="160">
        <f t="shared" si="156"/>
        <v>1960</v>
      </c>
      <c r="D893" s="18">
        <f t="shared" si="157"/>
        <v>2</v>
      </c>
      <c r="E893" s="18" t="str">
        <f>VLOOKUP(C893,'Tariff Schedule Lookup Table'!I$7:L$286,2,FALSE)</f>
        <v>T5 2x24W</v>
      </c>
      <c r="F893" s="18" t="str">
        <f>IF(E893 = "BULKHEADS ETC", "SHARED OR NO POLE", VLOOKUP(C893,'Tariff Schedule Lookup Table'!I$7:L$286,3,FALSE))</f>
        <v>STEEL POLE</v>
      </c>
      <c r="G893" s="18">
        <f>IF(E893 = "NO CAPITAL", 1, VLOOKUP(C893,'Tariff Schedule Lookup Table'!I$7:L$286,4,FALSE))</f>
        <v>3</v>
      </c>
      <c r="H893" s="18" t="str">
        <f t="shared" si="158"/>
        <v>2-Unmetered, Funded by Others, CE Maintained</v>
      </c>
      <c r="I893" s="123">
        <f>VLOOKUP(F893,'Maintenance Model'!$A$57:$B$61,2,FALSE)</f>
        <v>9.9616182311111103</v>
      </c>
      <c r="J893" s="123">
        <f>IF(D893=1,VLOOKUP(C893,'Capital Code Schedules'!A$15:F$300,2,FALSE),IF(D893=2,VLOOKUP(C893,'Capital Code Schedules'!A$15:F$300,3,FALSE),0))</f>
        <v>0</v>
      </c>
      <c r="K893" s="123">
        <v>0</v>
      </c>
      <c r="L893" s="123">
        <f>VLOOKUP(LEFT(A893,10),'Streetlight Tariff Schedule'!B$11:H$260,7, FALSE)+I893</f>
        <v>75.557549366793694</v>
      </c>
      <c r="M893" s="161">
        <f t="shared" si="146"/>
        <v>75.557549366793694</v>
      </c>
      <c r="N893" s="405">
        <f t="shared" si="147"/>
        <v>78.705928368383738</v>
      </c>
      <c r="O893" s="405">
        <v>58.45649127145181</v>
      </c>
      <c r="P893" s="406">
        <v>58.45649127145181</v>
      </c>
      <c r="Q893" s="406">
        <v>61.317285447948549</v>
      </c>
      <c r="R893" s="406">
        <v>61.317285447948549</v>
      </c>
      <c r="S893" s="405">
        <f t="shared" si="148"/>
        <v>82.557706958488794</v>
      </c>
      <c r="T893" s="406">
        <v>63.835659026815122</v>
      </c>
      <c r="U893" s="406">
        <v>64.06886927597705</v>
      </c>
      <c r="V893" s="405">
        <f t="shared" si="149"/>
        <v>86.26244453267465</v>
      </c>
      <c r="W893" s="406">
        <v>66.159449818660974</v>
      </c>
      <c r="X893" s="406">
        <v>66.994043606105819</v>
      </c>
      <c r="Y893" s="405">
        <f t="shared" si="150"/>
        <v>90.20090468114725</v>
      </c>
      <c r="Z893" s="406">
        <v>68.070505833587276</v>
      </c>
      <c r="AA893" s="406">
        <v>69.18144808801938</v>
      </c>
      <c r="AB893" s="442">
        <f t="shared" si="151"/>
        <v>92.158872403270138</v>
      </c>
      <c r="AC893" s="438">
        <f t="shared" si="152"/>
        <v>94.914336174120052</v>
      </c>
      <c r="AD893" s="410"/>
      <c r="AE893" s="411"/>
      <c r="AF893" s="411"/>
      <c r="AG893" s="411"/>
    </row>
    <row r="894" spans="1:33" x14ac:dyDescent="0.2">
      <c r="A894" s="6" t="s">
        <v>844</v>
      </c>
      <c r="B894" s="18" t="str">
        <f>VLOOKUP(LEFT(A894,7),'Tariff Schedule Lookup Table'!$A$8:$G$186,2,FALSE)</f>
        <v>T5 2x24W</v>
      </c>
      <c r="C894" s="160">
        <f t="shared" si="156"/>
        <v>1970</v>
      </c>
      <c r="D894" s="18">
        <f t="shared" si="157"/>
        <v>1</v>
      </c>
      <c r="E894" s="18" t="str">
        <f>VLOOKUP(C894,'Tariff Schedule Lookup Table'!I$7:L$286,2,FALSE)</f>
        <v>T5 2x24W</v>
      </c>
      <c r="F894" s="18" t="str">
        <f>IF(E894 = "BULKHEADS ETC", "SHARED OR NO POLE", VLOOKUP(C894,'Tariff Schedule Lookup Table'!I$7:L$286,3,FALSE))</f>
        <v>STEEL POLE</v>
      </c>
      <c r="G894" s="18">
        <f>IF(E894 = "NO CAPITAL", 1, VLOOKUP(C894,'Tariff Schedule Lookup Table'!I$7:L$286,4,FALSE))</f>
        <v>4</v>
      </c>
      <c r="H894" s="18" t="str">
        <f t="shared" si="158"/>
        <v>1-Unmetered, CE Funded, CE Maintained</v>
      </c>
      <c r="I894" s="123">
        <f>VLOOKUP(F894,'Maintenance Model'!$A$57:$B$61,2,FALSE)</f>
        <v>9.9616182311111103</v>
      </c>
      <c r="J894" s="123" t="e">
        <f>IF(D894=1,VLOOKUP(C894,'Capital Code Schedules'!A$15:F$300,2,FALSE),IF(D894=2,VLOOKUP(C894,'Capital Code Schedules'!A$15:F$300,3,FALSE),0))</f>
        <v>#N/A</v>
      </c>
      <c r="K894" s="123" t="e">
        <v>#N/A</v>
      </c>
      <c r="L894" s="123">
        <f>VLOOKUP(LEFT(A894,10),'Streetlight Tariff Schedule'!B$11:H$260,7, FALSE)+I894</f>
        <v>75.557549366793694</v>
      </c>
      <c r="M894" s="161" t="e">
        <f t="shared" si="146"/>
        <v>#N/A</v>
      </c>
      <c r="N894" s="405" t="e">
        <f t="shared" si="147"/>
        <v>#N/A</v>
      </c>
      <c r="O894" s="405" t="e">
        <v>#N/A</v>
      </c>
      <c r="P894" s="406" t="e">
        <v>#N/A</v>
      </c>
      <c r="Q894" s="406" t="e">
        <v>#N/A</v>
      </c>
      <c r="R894" s="406" t="e">
        <v>#N/A</v>
      </c>
      <c r="S894" s="405" t="e">
        <f t="shared" si="148"/>
        <v>#N/A</v>
      </c>
      <c r="T894" s="406" t="e">
        <v>#N/A</v>
      </c>
      <c r="U894" s="406" t="e">
        <v>#N/A</v>
      </c>
      <c r="V894" s="405" t="e">
        <f t="shared" si="149"/>
        <v>#N/A</v>
      </c>
      <c r="W894" s="406" t="e">
        <v>#N/A</v>
      </c>
      <c r="X894" s="406" t="e">
        <v>#N/A</v>
      </c>
      <c r="Y894" s="405" t="e">
        <f t="shared" si="150"/>
        <v>#N/A</v>
      </c>
      <c r="Z894" s="406" t="e">
        <v>#N/A</v>
      </c>
      <c r="AA894" s="406" t="e">
        <v>#N/A</v>
      </c>
      <c r="AB894" s="442" t="e">
        <f t="shared" si="151"/>
        <v>#N/A</v>
      </c>
      <c r="AC894" s="438" t="e">
        <f t="shared" si="152"/>
        <v>#N/A</v>
      </c>
      <c r="AD894" s="410"/>
      <c r="AE894" s="411"/>
      <c r="AF894" s="411"/>
      <c r="AG894" s="411"/>
    </row>
    <row r="895" spans="1:33" x14ac:dyDescent="0.2">
      <c r="A895" s="6" t="s">
        <v>845</v>
      </c>
      <c r="B895" s="18" t="str">
        <f>VLOOKUP(LEFT(A895,7),'Tariff Schedule Lookup Table'!$A$8:$G$186,2,FALSE)</f>
        <v>T5 2x24W</v>
      </c>
      <c r="C895" s="160">
        <f t="shared" si="156"/>
        <v>1970</v>
      </c>
      <c r="D895" s="18">
        <f t="shared" si="157"/>
        <v>2</v>
      </c>
      <c r="E895" s="18" t="str">
        <f>VLOOKUP(C895,'Tariff Schedule Lookup Table'!I$7:L$286,2,FALSE)</f>
        <v>T5 2x24W</v>
      </c>
      <c r="F895" s="18" t="str">
        <f>IF(E895 = "BULKHEADS ETC", "SHARED OR NO POLE", VLOOKUP(C895,'Tariff Schedule Lookup Table'!I$7:L$286,3,FALSE))</f>
        <v>STEEL POLE</v>
      </c>
      <c r="G895" s="18">
        <f>IF(E895 = "NO CAPITAL", 1, VLOOKUP(C895,'Tariff Schedule Lookup Table'!I$7:L$286,4,FALSE))</f>
        <v>4</v>
      </c>
      <c r="H895" s="18" t="str">
        <f t="shared" si="158"/>
        <v>2-Unmetered, Funded by Others, CE Maintained</v>
      </c>
      <c r="I895" s="361">
        <f>VLOOKUP(F895,'Maintenance Model'!$A$57:$B$61,2,FALSE)</f>
        <v>9.9616182311111103</v>
      </c>
      <c r="J895" s="361">
        <f>IF(D895=1,VLOOKUP(C895,'Capital Code Schedules'!A$15:F$300,2,FALSE),IF(D895=2,VLOOKUP(C895,'Capital Code Schedules'!A$15:F$300,3,FALSE),0))</f>
        <v>0</v>
      </c>
      <c r="K895" s="361">
        <v>0</v>
      </c>
      <c r="L895" s="361">
        <f>VLOOKUP(LEFT(A895,10),'Streetlight Tariff Schedule'!B$11:H$260,7, FALSE)+I895</f>
        <v>75.557549366793694</v>
      </c>
      <c r="M895" s="161">
        <f t="shared" si="146"/>
        <v>75.557549366793694</v>
      </c>
      <c r="N895" s="405">
        <f t="shared" si="147"/>
        <v>78.705928368383738</v>
      </c>
      <c r="O895" s="405">
        <v>58.45649127145181</v>
      </c>
      <c r="P895" s="406">
        <v>58.45649127145181</v>
      </c>
      <c r="Q895" s="406">
        <v>61.317285447948549</v>
      </c>
      <c r="R895" s="406">
        <v>61.317285447948549</v>
      </c>
      <c r="S895" s="405">
        <f t="shared" si="148"/>
        <v>82.557706958488794</v>
      </c>
      <c r="T895" s="406">
        <v>63.835659026815122</v>
      </c>
      <c r="U895" s="406">
        <v>64.06886927597705</v>
      </c>
      <c r="V895" s="405">
        <f t="shared" si="149"/>
        <v>86.26244453267465</v>
      </c>
      <c r="W895" s="406">
        <v>66.159449818660974</v>
      </c>
      <c r="X895" s="406">
        <v>66.994043606105819</v>
      </c>
      <c r="Y895" s="405">
        <f t="shared" si="150"/>
        <v>90.20090468114725</v>
      </c>
      <c r="Z895" s="406">
        <v>68.070505833587276</v>
      </c>
      <c r="AA895" s="406">
        <v>69.18144808801938</v>
      </c>
      <c r="AB895" s="442">
        <f t="shared" si="151"/>
        <v>92.158872403270138</v>
      </c>
      <c r="AC895" s="438">
        <f t="shared" si="152"/>
        <v>94.914336174120052</v>
      </c>
      <c r="AD895" s="410"/>
      <c r="AE895" s="411"/>
      <c r="AF895" s="411"/>
      <c r="AG895" s="411"/>
    </row>
    <row r="896" spans="1:33" s="376" customFormat="1" x14ac:dyDescent="0.2">
      <c r="A896" s="38" t="s">
        <v>737</v>
      </c>
      <c r="B896" s="23" t="str">
        <f>VLOOKUP(LEFT(A896,7),'[7]Tariff Schedule Lookup Table'!$A$8:$G$186,2,FALSE)</f>
        <v>High Pressure Sodium 70</v>
      </c>
      <c r="C896" s="375">
        <f>1*MID(A896,12,4)</f>
        <v>5</v>
      </c>
      <c r="D896" s="23">
        <f>1*(MID(A896,17,3))</f>
        <v>1</v>
      </c>
      <c r="E896" s="23" t="str">
        <f>VLOOKUP(C896,'[7]Tariff Schedule Lookup Table'!I$7:L$287,2,FALSE)</f>
        <v>MAINTENANCE COMPONENT</v>
      </c>
      <c r="F896" s="23" t="str">
        <f>IF(E896 = "BULKHEADS ETC", "SHARED OR NO POLE", VLOOKUP(C896,'[7]Tariff Schedule Lookup Table'!I$7:L$287,3,FALSE))</f>
        <v>NO CAPITAL</v>
      </c>
      <c r="G896" s="23">
        <f>IF(E896 = "NO CAPITAL", 1, VLOOKUP(C896,'[7]Tariff Schedule Lookup Table'!I$7:L$287,4,FALSE))</f>
        <v>1</v>
      </c>
      <c r="H896" s="23" t="str">
        <f>VLOOKUP(D896,A$11:B$15, 2, FALSE)</f>
        <v>1-Unmetered, CE Funded, CE Maintained</v>
      </c>
      <c r="I896" s="374">
        <f>VLOOKUP(F896,'Maintenance Model'!$A$57:$B$61,2,FALSE)</f>
        <v>0</v>
      </c>
      <c r="J896" s="374">
        <f>IF(D896=1,VLOOKUP(C896,'Capital Code Schedules'!A$15:F$300,2,FALSE),IF(D896=2,VLOOKUP(C896,'Capital Code Schedules'!A$15:F$300,3,FALSE),0))</f>
        <v>0</v>
      </c>
      <c r="K896" s="374">
        <v>0</v>
      </c>
      <c r="L896" s="374">
        <f>VLOOKUP(LEFT(A896,10),'Streetlight Tariff Schedule'!B$11:H$260,7, FALSE)+I896</f>
        <v>52.135530877055935</v>
      </c>
      <c r="M896" s="161">
        <f t="shared" si="146"/>
        <v>52.135530877055935</v>
      </c>
      <c r="N896" s="405">
        <f t="shared" si="147"/>
        <v>54.30794663200907</v>
      </c>
      <c r="O896" s="405">
        <v>32.871577674698983</v>
      </c>
      <c r="P896" s="406">
        <v>32.871577674698983</v>
      </c>
      <c r="Q896" s="406">
        <v>34.480275287892276</v>
      </c>
      <c r="R896" s="406">
        <v>34.480275287892276</v>
      </c>
      <c r="S896" s="405">
        <f t="shared" si="148"/>
        <v>56.965715753677543</v>
      </c>
      <c r="T896" s="406">
        <v>35.896421055642975</v>
      </c>
      <c r="U896" s="406">
        <v>36.027561133556041</v>
      </c>
      <c r="V896" s="405">
        <f t="shared" si="149"/>
        <v>59.522024975046243</v>
      </c>
      <c r="W896" s="406">
        <v>37.203147953759348</v>
      </c>
      <c r="X896" s="406">
        <v>37.672461351024651</v>
      </c>
      <c r="Y896" s="405">
        <f t="shared" si="150"/>
        <v>62.239605314794382</v>
      </c>
      <c r="Z896" s="406">
        <v>38.277783548010788</v>
      </c>
      <c r="AA896" s="406">
        <v>38.902494744567065</v>
      </c>
      <c r="AB896" s="442">
        <f t="shared" si="151"/>
        <v>63.590624339213392</v>
      </c>
      <c r="AC896" s="438">
        <f t="shared" si="152"/>
        <v>65.491924311349464</v>
      </c>
      <c r="AD896" s="410"/>
      <c r="AE896" s="411"/>
      <c r="AF896" s="411"/>
      <c r="AG896" s="411"/>
    </row>
    <row r="897" spans="1:33" s="376" customFormat="1" x14ac:dyDescent="0.2">
      <c r="A897" s="38" t="s">
        <v>738</v>
      </c>
      <c r="B897" s="23" t="str">
        <f>VLOOKUP(LEFT(A897,7),'[7]Tariff Schedule Lookup Table'!$A$8:$G$186,2,FALSE)</f>
        <v>High Pressure Sodium 150</v>
      </c>
      <c r="C897" s="375">
        <f>1*MID(A897,12,4)</f>
        <v>5</v>
      </c>
      <c r="D897" s="23">
        <f>1*(MID(A897,17,3))</f>
        <v>1</v>
      </c>
      <c r="E897" s="23" t="str">
        <f>VLOOKUP(C897,'[7]Tariff Schedule Lookup Table'!I$7:L$287,2,FALSE)</f>
        <v>MAINTENANCE COMPONENT</v>
      </c>
      <c r="F897" s="23" t="str">
        <f>IF(E897 = "BULKHEADS ETC", "SHARED OR NO POLE", VLOOKUP(C897,'[7]Tariff Schedule Lookup Table'!I$7:L$287,3,FALSE))</f>
        <v>NO CAPITAL</v>
      </c>
      <c r="G897" s="23">
        <f>IF(E897 = "NO CAPITAL", 1, VLOOKUP(C897,'[7]Tariff Schedule Lookup Table'!I$7:L$287,4,FALSE))</f>
        <v>1</v>
      </c>
      <c r="H897" s="23" t="str">
        <f>VLOOKUP(D897,A$11:B$15, 2, FALSE)</f>
        <v>1-Unmetered, CE Funded, CE Maintained</v>
      </c>
      <c r="I897" s="374">
        <f>VLOOKUP(F897,'Maintenance Model'!$A$57:$B$61,2,FALSE)</f>
        <v>0</v>
      </c>
      <c r="J897" s="374">
        <f>IF(D897=1,VLOOKUP(C897,'Capital Code Schedules'!A$15:F$300,2,FALSE),IF(D897=2,VLOOKUP(C897,'Capital Code Schedules'!A$15:F$300,3,FALSE),0))</f>
        <v>0</v>
      </c>
      <c r="K897" s="374">
        <v>0</v>
      </c>
      <c r="L897" s="374">
        <f>VLOOKUP(LEFT(A897,10),'Streetlight Tariff Schedule'!B$11:H$260,7, FALSE)+I897</f>
        <v>64.695087563558161</v>
      </c>
      <c r="M897" s="161">
        <f t="shared" si="146"/>
        <v>64.695087563558161</v>
      </c>
      <c r="N897" s="405">
        <f t="shared" si="147"/>
        <v>67.390842744848513</v>
      </c>
      <c r="O897" s="405">
        <v>35.021392674980348</v>
      </c>
      <c r="P897" s="406">
        <v>35.021392674980348</v>
      </c>
      <c r="Q897" s="406">
        <v>36.735299788428989</v>
      </c>
      <c r="R897" s="406">
        <v>36.735299788428989</v>
      </c>
      <c r="S897" s="405">
        <f t="shared" si="148"/>
        <v>70.688873917783852</v>
      </c>
      <c r="T897" s="406">
        <v>38.244062084787579</v>
      </c>
      <c r="U897" s="406">
        <v>38.383778778932012</v>
      </c>
      <c r="V897" s="405">
        <f t="shared" si="149"/>
        <v>73.861003291626304</v>
      </c>
      <c r="W897" s="406">
        <v>39.636249471434269</v>
      </c>
      <c r="X897" s="406">
        <v>40.13625616219641</v>
      </c>
      <c r="Y897" s="405">
        <f t="shared" si="150"/>
        <v>77.233254328171938</v>
      </c>
      <c r="Z897" s="406">
        <v>40.781166685363978</v>
      </c>
      <c r="AA897" s="406">
        <v>41.446734256825373</v>
      </c>
      <c r="AB897" s="442">
        <f t="shared" si="151"/>
        <v>78.909736616056094</v>
      </c>
      <c r="AC897" s="438">
        <f t="shared" si="152"/>
        <v>81.269063664475311</v>
      </c>
      <c r="AD897" s="410"/>
      <c r="AE897" s="411"/>
      <c r="AF897" s="411"/>
      <c r="AG897" s="411"/>
    </row>
    <row r="898" spans="1:33" s="376" customFormat="1" x14ac:dyDescent="0.2">
      <c r="A898" s="38" t="s">
        <v>739</v>
      </c>
      <c r="B898" s="23" t="str">
        <f>VLOOKUP(LEFT(A898,7),'[7]Tariff Schedule Lookup Table'!$A$8:$G$186,2,FALSE)</f>
        <v>High Pressure Sodium 310 (Retrofit)</v>
      </c>
      <c r="C898" s="375">
        <f t="shared" ref="C898:C925" si="159">1*MID(A898,12,4)</f>
        <v>330</v>
      </c>
      <c r="D898" s="23">
        <f t="shared" ref="D898:D925" si="160">1*(MID(A898,17,3))</f>
        <v>1</v>
      </c>
      <c r="E898" s="23" t="str">
        <f>VLOOKUP(C898,'[7]Tariff Schedule Lookup Table'!I$7:L$287,2,FALSE)</f>
        <v>HIGH PRESSURE SODIUM 400W (310/360)</v>
      </c>
      <c r="F898" s="23" t="str">
        <f>IF(E898 = "BULKHEADS ETC", "SHARED OR NO POLE", VLOOKUP(C898,'[7]Tariff Schedule Lookup Table'!I$7:L$287,3,FALSE))</f>
        <v>STEEL POLE</v>
      </c>
      <c r="G898" s="23">
        <f>IF(E898 = "NO CAPITAL", 1, VLOOKUP(C898,'[7]Tariff Schedule Lookup Table'!I$7:L$287,4,FALSE))</f>
        <v>1</v>
      </c>
      <c r="H898" s="23" t="str">
        <f t="shared" ref="H898:H925" si="161">VLOOKUP(D898,A$11:B$15, 2, FALSE)</f>
        <v>1-Unmetered, CE Funded, CE Maintained</v>
      </c>
      <c r="I898" s="374">
        <f>VLOOKUP(F898,'Maintenance Model'!$A$57:$B$61,2,FALSE)</f>
        <v>9.9616182311111103</v>
      </c>
      <c r="J898" s="374">
        <f>IF(D898=1,VLOOKUP(C898,'Capital Code Schedules'!A$15:F$300,2,FALSE),IF(D898=2,VLOOKUP(C898,'Capital Code Schedules'!A$15:F$300,3,FALSE),0))</f>
        <v>95.968430970589921</v>
      </c>
      <c r="K898" s="374">
        <v>121.73315019865107</v>
      </c>
      <c r="L898" s="374">
        <f>VLOOKUP(LEFT(A898,10),'Streetlight Tariff Schedule'!B$11:H$260,7, FALSE)+I898</f>
        <v>75.787319305969277</v>
      </c>
      <c r="M898" s="161">
        <f t="shared" si="146"/>
        <v>197.52046950462034</v>
      </c>
      <c r="N898" s="405">
        <f t="shared" si="147"/>
        <v>177.28892214152867</v>
      </c>
      <c r="O898" s="405">
        <v>182.3223963054559</v>
      </c>
      <c r="P898" s="406">
        <v>176.79980235030652</v>
      </c>
      <c r="Q898" s="406">
        <v>182.43471861077276</v>
      </c>
      <c r="R898" s="406">
        <v>188.0939967663121</v>
      </c>
      <c r="S898" s="405">
        <f t="shared" si="148"/>
        <v>183.58641928986634</v>
      </c>
      <c r="T898" s="406">
        <v>187.84113432255262</v>
      </c>
      <c r="U898" s="406">
        <v>194.34874431926258</v>
      </c>
      <c r="V898" s="405">
        <f t="shared" si="149"/>
        <v>190.17458610966358</v>
      </c>
      <c r="W898" s="406">
        <v>193.1525858983087</v>
      </c>
      <c r="X898" s="406">
        <v>201.60790413637699</v>
      </c>
      <c r="Y898" s="405">
        <f t="shared" si="150"/>
        <v>197.63875192049704</v>
      </c>
      <c r="Z898" s="406">
        <v>198.17675359116564</v>
      </c>
      <c r="AA898" s="406">
        <v>207.60134619530768</v>
      </c>
      <c r="AB898" s="442">
        <f t="shared" si="151"/>
        <v>201.4887522343486</v>
      </c>
      <c r="AC898" s="438">
        <f t="shared" si="152"/>
        <v>207.42593944874454</v>
      </c>
      <c r="AD898" s="410"/>
      <c r="AE898" s="411"/>
      <c r="AF898" s="411"/>
      <c r="AG898" s="411"/>
    </row>
    <row r="899" spans="1:33" s="376" customFormat="1" x14ac:dyDescent="0.2">
      <c r="A899" s="38" t="s">
        <v>740</v>
      </c>
      <c r="B899" s="23" t="str">
        <f>VLOOKUP(LEFT(A899,7),'[7]Tariff Schedule Lookup Table'!$A$8:$G$186,2,FALSE)</f>
        <v>Fluorescent 40</v>
      </c>
      <c r="C899" s="375">
        <f t="shared" si="159"/>
        <v>1</v>
      </c>
      <c r="D899" s="23">
        <f t="shared" si="160"/>
        <v>1</v>
      </c>
      <c r="E899" s="23" t="str">
        <f>VLOOKUP(C899,'[7]Tariff Schedule Lookup Table'!I$7:L$287,2,FALSE)</f>
        <v>NO CAPITAL</v>
      </c>
      <c r="F899" s="23" t="str">
        <f>IF(E899 = "BULKHEADS ETC", "SHARED OR NO POLE", VLOOKUP(C899,'[7]Tariff Schedule Lookup Table'!I$7:L$287,3,FALSE))</f>
        <v>NO CAPITAL</v>
      </c>
      <c r="G899" s="23">
        <f>IF(E899 = "NO CAPITAL", 1, VLOOKUP(C899,'[7]Tariff Schedule Lookup Table'!I$7:L$287,4,FALSE))</f>
        <v>1</v>
      </c>
      <c r="H899" s="23" t="str">
        <f t="shared" si="161"/>
        <v>1-Unmetered, CE Funded, CE Maintained</v>
      </c>
      <c r="I899" s="374">
        <f>VLOOKUP(F899,'Maintenance Model'!$A$57:$B$61,2,FALSE)</f>
        <v>0</v>
      </c>
      <c r="J899" s="374">
        <f>IF(D899=1,VLOOKUP(C899,'Capital Code Schedules'!A$15:F$300,2,FALSE),IF(D899=2,VLOOKUP(C899,'Capital Code Schedules'!A$15:F$300,3,FALSE),0))</f>
        <v>0</v>
      </c>
      <c r="K899" s="374">
        <v>0</v>
      </c>
      <c r="L899" s="374">
        <f>VLOOKUP(LEFT(A899,10),'Streetlight Tariff Schedule'!B$11:H$260,7, FALSE)+I899</f>
        <v>25.940433004400706</v>
      </c>
      <c r="M899" s="161">
        <f t="shared" si="146"/>
        <v>25.940433004400706</v>
      </c>
      <c r="N899" s="405">
        <f t="shared" si="147"/>
        <v>27.021335114747622</v>
      </c>
      <c r="O899" s="405">
        <v>35.168294703877628</v>
      </c>
      <c r="P899" s="406">
        <v>35.168294703877628</v>
      </c>
      <c r="Q899" s="406">
        <v>36.889391035489098</v>
      </c>
      <c r="R899" s="406">
        <v>36.889391035489098</v>
      </c>
      <c r="S899" s="405">
        <f t="shared" si="148"/>
        <v>28.343728512915682</v>
      </c>
      <c r="T899" s="406">
        <v>38.404482041973985</v>
      </c>
      <c r="U899" s="406">
        <v>38.544784796930763</v>
      </c>
      <c r="V899" s="405">
        <f t="shared" si="149"/>
        <v>29.61563976000398</v>
      </c>
      <c r="W899" s="406">
        <v>39.802509149319427</v>
      </c>
      <c r="X899" s="406">
        <v>40.3046131866382</v>
      </c>
      <c r="Y899" s="405">
        <f t="shared" si="150"/>
        <v>30.967792688177894</v>
      </c>
      <c r="Z899" s="406">
        <v>40.952228875336722</v>
      </c>
      <c r="AA899" s="406">
        <v>41.620588261147809</v>
      </c>
      <c r="AB899" s="442">
        <f t="shared" si="151"/>
        <v>31.640002559278212</v>
      </c>
      <c r="AC899" s="438">
        <f t="shared" si="152"/>
        <v>32.586008933794091</v>
      </c>
      <c r="AD899" s="410"/>
      <c r="AE899" s="411"/>
      <c r="AF899" s="411"/>
      <c r="AG899" s="411"/>
    </row>
    <row r="900" spans="1:33" s="376" customFormat="1" x14ac:dyDescent="0.2">
      <c r="A900" s="38" t="s">
        <v>738</v>
      </c>
      <c r="B900" s="23" t="str">
        <f>VLOOKUP(LEFT(A900,7),'[7]Tariff Schedule Lookup Table'!$A$8:$G$186,2,FALSE)</f>
        <v>High Pressure Sodium 150</v>
      </c>
      <c r="C900" s="375">
        <f t="shared" si="159"/>
        <v>5</v>
      </c>
      <c r="D900" s="23">
        <f t="shared" si="160"/>
        <v>1</v>
      </c>
      <c r="E900" s="23" t="str">
        <f>VLOOKUP(C900,'[7]Tariff Schedule Lookup Table'!I$7:L$287,2,FALSE)</f>
        <v>MAINTENANCE COMPONENT</v>
      </c>
      <c r="F900" s="23" t="str">
        <f>IF(E900 = "BULKHEADS ETC", "SHARED OR NO POLE", VLOOKUP(C900,'[7]Tariff Schedule Lookup Table'!I$7:L$287,3,FALSE))</f>
        <v>NO CAPITAL</v>
      </c>
      <c r="G900" s="23">
        <f>IF(E900 = "NO CAPITAL", 1, VLOOKUP(C900,'[7]Tariff Schedule Lookup Table'!I$7:L$287,4,FALSE))</f>
        <v>1</v>
      </c>
      <c r="H900" s="23" t="str">
        <f t="shared" si="161"/>
        <v>1-Unmetered, CE Funded, CE Maintained</v>
      </c>
      <c r="I900" s="374">
        <f>VLOOKUP(F900,'Maintenance Model'!$A$57:$B$61,2,FALSE)</f>
        <v>0</v>
      </c>
      <c r="J900" s="374">
        <f>IF(D900=1,VLOOKUP(C900,'Capital Code Schedules'!A$15:F$300,2,FALSE),IF(D900=2,VLOOKUP(C900,'Capital Code Schedules'!A$15:F$300,3,FALSE),0))</f>
        <v>0</v>
      </c>
      <c r="K900" s="374">
        <v>0</v>
      </c>
      <c r="L900" s="374">
        <f>VLOOKUP(LEFT(A900,10),'Streetlight Tariff Schedule'!B$11:H$260,7, FALSE)+I900</f>
        <v>64.695087563558161</v>
      </c>
      <c r="M900" s="161">
        <f t="shared" si="146"/>
        <v>64.695087563558161</v>
      </c>
      <c r="N900" s="405">
        <f t="shared" si="147"/>
        <v>67.390842744848513</v>
      </c>
      <c r="O900" s="405">
        <v>35.021392674980348</v>
      </c>
      <c r="P900" s="406">
        <v>35.021392674980348</v>
      </c>
      <c r="Q900" s="406">
        <v>36.735299788428989</v>
      </c>
      <c r="R900" s="406">
        <v>36.735299788428989</v>
      </c>
      <c r="S900" s="405">
        <f t="shared" si="148"/>
        <v>70.688873917783852</v>
      </c>
      <c r="T900" s="406">
        <v>38.244062084787579</v>
      </c>
      <c r="U900" s="406">
        <v>38.383778778932012</v>
      </c>
      <c r="V900" s="405">
        <f t="shared" si="149"/>
        <v>73.861003291626304</v>
      </c>
      <c r="W900" s="406">
        <v>39.636249471434269</v>
      </c>
      <c r="X900" s="406">
        <v>40.13625616219641</v>
      </c>
      <c r="Y900" s="405">
        <f t="shared" si="150"/>
        <v>77.233254328171938</v>
      </c>
      <c r="Z900" s="406">
        <v>40.781166685363978</v>
      </c>
      <c r="AA900" s="406">
        <v>41.446734256825373</v>
      </c>
      <c r="AB900" s="442">
        <f t="shared" si="151"/>
        <v>78.909736616056094</v>
      </c>
      <c r="AC900" s="438">
        <f t="shared" si="152"/>
        <v>81.269063664475311</v>
      </c>
      <c r="AD900" s="410"/>
      <c r="AE900" s="411"/>
      <c r="AF900" s="411"/>
      <c r="AG900" s="411"/>
    </row>
    <row r="901" spans="1:33" s="376" customFormat="1" x14ac:dyDescent="0.2">
      <c r="A901" s="38" t="s">
        <v>741</v>
      </c>
      <c r="B901" s="23" t="str">
        <f>VLOOKUP(LEFT(A901,7),'[7]Tariff Schedule Lookup Table'!$A$8:$G$186,2,FALSE)</f>
        <v>High Pressure Sodium 250</v>
      </c>
      <c r="C901" s="375">
        <f t="shared" si="159"/>
        <v>390</v>
      </c>
      <c r="D901" s="23">
        <f t="shared" si="160"/>
        <v>1</v>
      </c>
      <c r="E901" s="23" t="str">
        <f>VLOOKUP(C901,'[7]Tariff Schedule Lookup Table'!I$7:L$287,2,FALSE)</f>
        <v>HIGH PRESSURE SODIUM 250W (210/220)</v>
      </c>
      <c r="F901" s="23" t="str">
        <f>IF(E901 = "BULKHEADS ETC", "SHARED OR NO POLE", VLOOKUP(C901,'[7]Tariff Schedule Lookup Table'!I$7:L$287,3,FALSE))</f>
        <v>STEEL POLE</v>
      </c>
      <c r="G901" s="23">
        <f>IF(E901 = "NO CAPITAL", 1, VLOOKUP(C901,'[7]Tariff Schedule Lookup Table'!I$7:L$287,4,FALSE))</f>
        <v>2</v>
      </c>
      <c r="H901" s="23" t="str">
        <f t="shared" si="161"/>
        <v>1-Unmetered, CE Funded, CE Maintained</v>
      </c>
      <c r="I901" s="374">
        <f>VLOOKUP(F901,'Maintenance Model'!$A$57:$B$61,2,FALSE)</f>
        <v>9.9616182311111103</v>
      </c>
      <c r="J901" s="374">
        <f>IF(D901=1,VLOOKUP(C901,'Capital Code Schedules'!A$15:F$300,2,FALSE),IF(D901=2,VLOOKUP(C901,'Capital Code Schedules'!A$15:F$300,3,FALSE),0))</f>
        <v>105.05612002630808</v>
      </c>
      <c r="K901" s="374">
        <v>133.26061819609492</v>
      </c>
      <c r="L901" s="374">
        <f>VLOOKUP(LEFT(A901,10),'Streetlight Tariff Schedule'!B$11:H$260,7, FALSE)+I901</f>
        <v>78.826593414933001</v>
      </c>
      <c r="M901" s="161">
        <f t="shared" si="146"/>
        <v>212.08721161102793</v>
      </c>
      <c r="N901" s="405">
        <f t="shared" si="147"/>
        <v>189.76744797586005</v>
      </c>
      <c r="O901" s="405">
        <v>186.45355983051161</v>
      </c>
      <c r="P901" s="406">
        <v>180.4080062298016</v>
      </c>
      <c r="Q901" s="406">
        <v>185.93376634775461</v>
      </c>
      <c r="R901" s="406">
        <v>192.12894740008218</v>
      </c>
      <c r="S901" s="405">
        <f t="shared" si="148"/>
        <v>196.45036855623155</v>
      </c>
      <c r="T901" s="406">
        <v>191.28632188344409</v>
      </c>
      <c r="U901" s="406">
        <v>198.35777042263015</v>
      </c>
      <c r="V901" s="405">
        <f t="shared" si="149"/>
        <v>203.45953530522581</v>
      </c>
      <c r="W901" s="406">
        <v>196.5786387985211</v>
      </c>
      <c r="X901" s="406">
        <v>205.64711645587164</v>
      </c>
      <c r="Y901" s="405">
        <f t="shared" si="150"/>
        <v>211.41485523163323</v>
      </c>
      <c r="Z901" s="406">
        <v>201.64919925082873</v>
      </c>
      <c r="AA901" s="406">
        <v>211.71664739314875</v>
      </c>
      <c r="AB901" s="442">
        <f t="shared" si="151"/>
        <v>215.52221544409008</v>
      </c>
      <c r="AC901" s="438">
        <f t="shared" si="152"/>
        <v>221.8707386027815</v>
      </c>
      <c r="AD901" s="410"/>
      <c r="AE901" s="411"/>
      <c r="AF901" s="411"/>
      <c r="AG901" s="411"/>
    </row>
    <row r="902" spans="1:33" s="376" customFormat="1" x14ac:dyDescent="0.2">
      <c r="A902" s="38" t="s">
        <v>742</v>
      </c>
      <c r="B902" s="23" t="str">
        <f>VLOOKUP(LEFT(A902,7),'[7]Tariff Schedule Lookup Table'!$A$8:$G$186,2,FALSE)</f>
        <v>Mercury Vapour 400</v>
      </c>
      <c r="C902" s="375">
        <f t="shared" si="159"/>
        <v>580</v>
      </c>
      <c r="D902" s="23">
        <f t="shared" si="160"/>
        <v>1</v>
      </c>
      <c r="E902" s="23" t="str">
        <f>VLOOKUP(C902,'[7]Tariff Schedule Lookup Table'!I$7:L$287,2,FALSE)</f>
        <v>MERCURY VAPOUR 400W</v>
      </c>
      <c r="F902" s="23" t="str">
        <f>IF(E902 = "BULKHEADS ETC", "SHARED OR NO POLE", VLOOKUP(C902,'[7]Tariff Schedule Lookup Table'!I$7:L$287,3,FALSE))</f>
        <v>R/BOUT COLUMN</v>
      </c>
      <c r="G902" s="23">
        <f>IF(E902 = "NO CAPITAL", 1, VLOOKUP(C902,'[7]Tariff Schedule Lookup Table'!I$7:L$287,4,FALSE))</f>
        <v>4</v>
      </c>
      <c r="H902" s="23" t="str">
        <f t="shared" si="161"/>
        <v>1-Unmetered, CE Funded, CE Maintained</v>
      </c>
      <c r="I902" s="374">
        <f>VLOOKUP(F902,'Maintenance Model'!$A$57:$B$61,2,FALSE)</f>
        <v>9.9616182311111103</v>
      </c>
      <c r="J902" s="374">
        <f>IF(D902=1,VLOOKUP(C902,'Capital Code Schedules'!A$15:F$300,2,FALSE),IF(D902=2,VLOOKUP(C902,'Capital Code Schedules'!A$15:F$300,3,FALSE),0))</f>
        <v>192.53948994210435</v>
      </c>
      <c r="K902" s="374">
        <v>244.23071640586372</v>
      </c>
      <c r="L902" s="374">
        <f>VLOOKUP(LEFT(A902,10),'Streetlight Tariff Schedule'!B$11:H$260,7, FALSE)+I902</f>
        <v>68.934945883005099</v>
      </c>
      <c r="M902" s="161">
        <f t="shared" si="146"/>
        <v>313.16566228886882</v>
      </c>
      <c r="N902" s="405">
        <f t="shared" si="147"/>
        <v>269.11221243823343</v>
      </c>
      <c r="O902" s="405">
        <v>325.26947812778764</v>
      </c>
      <c r="P902" s="406">
        <v>314.18961142029013</v>
      </c>
      <c r="Q902" s="406">
        <v>323.51181571727102</v>
      </c>
      <c r="R902" s="406">
        <v>334.86590912577907</v>
      </c>
      <c r="S902" s="405">
        <f t="shared" si="148"/>
        <v>277.50967828357471</v>
      </c>
      <c r="T902" s="406">
        <v>332.61293922555302</v>
      </c>
      <c r="U902" s="406">
        <v>345.50736937203862</v>
      </c>
      <c r="V902" s="405">
        <f t="shared" si="149"/>
        <v>286.65205828929652</v>
      </c>
      <c r="W902" s="406">
        <v>341.65841679432521</v>
      </c>
      <c r="X902" s="406">
        <v>358.04363382917825</v>
      </c>
      <c r="Y902" s="405">
        <f t="shared" si="150"/>
        <v>297.29483514370651</v>
      </c>
      <c r="Z902" s="406">
        <v>350.41361735212428</v>
      </c>
      <c r="AA902" s="406">
        <v>368.55191357333536</v>
      </c>
      <c r="AB902" s="442">
        <f t="shared" si="151"/>
        <v>302.86518777178446</v>
      </c>
      <c r="AC902" s="438">
        <f t="shared" si="152"/>
        <v>311.74575073799747</v>
      </c>
      <c r="AD902" s="410"/>
      <c r="AE902" s="411"/>
      <c r="AF902" s="411"/>
      <c r="AG902" s="411"/>
    </row>
    <row r="903" spans="1:33" s="376" customFormat="1" x14ac:dyDescent="0.2">
      <c r="A903" s="38" t="s">
        <v>743</v>
      </c>
      <c r="B903" s="23" t="str">
        <f>VLOOKUP(LEFT(A903,7),'[7]Tariff Schedule Lookup Table'!$A$8:$G$186,2,FALSE)</f>
        <v>Mercury Vapour 400</v>
      </c>
      <c r="C903" s="375">
        <f t="shared" si="159"/>
        <v>460</v>
      </c>
      <c r="D903" s="23">
        <f t="shared" si="160"/>
        <v>1</v>
      </c>
      <c r="E903" s="23" t="str">
        <f>VLOOKUP(C903,'[7]Tariff Schedule Lookup Table'!I$7:L$287,2,FALSE)</f>
        <v xml:space="preserve">MERCURY VAPOUR 400W </v>
      </c>
      <c r="F903" s="23" t="str">
        <f>IF(E903 = "BULKHEADS ETC", "SHARED OR NO POLE", VLOOKUP(C903,'[7]Tariff Schedule Lookup Table'!I$7:L$287,3,FALSE))</f>
        <v>STEEL POLE</v>
      </c>
      <c r="G903" s="23">
        <f>IF(E903 = "NO CAPITAL", 1, VLOOKUP(C903,'[7]Tariff Schedule Lookup Table'!I$7:L$287,4,FALSE))</f>
        <v>4</v>
      </c>
      <c r="H903" s="23" t="str">
        <f t="shared" si="161"/>
        <v>1-Unmetered, CE Funded, CE Maintained</v>
      </c>
      <c r="I903" s="374">
        <f>VLOOKUP(F903,'Maintenance Model'!$A$57:$B$61,2,FALSE)</f>
        <v>9.9616182311111103</v>
      </c>
      <c r="J903" s="374">
        <f>IF(D903=1,VLOOKUP(C903,'Capital Code Schedules'!A$15:F$300,2,FALSE),IF(D903=2,VLOOKUP(C903,'Capital Code Schedules'!A$15:F$300,3,FALSE),0))</f>
        <v>132.53929434697199</v>
      </c>
      <c r="K903" s="374">
        <v>168.12222168045713</v>
      </c>
      <c r="L903" s="374">
        <f>VLOOKUP(LEFT(A903,10),'Streetlight Tariff Schedule'!B$11:H$260,7, FALSE)+I903</f>
        <v>68.934945883005099</v>
      </c>
      <c r="M903" s="161">
        <f t="shared" si="146"/>
        <v>237.05716756346223</v>
      </c>
      <c r="N903" s="405">
        <f t="shared" si="147"/>
        <v>207.62701200212152</v>
      </c>
      <c r="O903" s="405">
        <v>243.82453026175307</v>
      </c>
      <c r="P903" s="406">
        <v>236.19743145042969</v>
      </c>
      <c r="Q903" s="406">
        <v>243.58932929315654</v>
      </c>
      <c r="R903" s="406">
        <v>251.40519880006011</v>
      </c>
      <c r="S903" s="405">
        <f t="shared" si="148"/>
        <v>214.50271913666901</v>
      </c>
      <c r="T903" s="406">
        <v>250.71237126244171</v>
      </c>
      <c r="U903" s="406">
        <v>259.6680288020367</v>
      </c>
      <c r="V903" s="405">
        <f t="shared" si="149"/>
        <v>221.84940080670398</v>
      </c>
      <c r="W903" s="406">
        <v>257.73080977412695</v>
      </c>
      <c r="X903" s="406">
        <v>269.29433961385331</v>
      </c>
      <c r="Y903" s="405">
        <f t="shared" si="150"/>
        <v>230.2953675724541</v>
      </c>
      <c r="Z903" s="406">
        <v>264.40880205817609</v>
      </c>
      <c r="AA903" s="406">
        <v>277.27326447287362</v>
      </c>
      <c r="AB903" s="442">
        <f t="shared" si="151"/>
        <v>234.68652957127807</v>
      </c>
      <c r="AC903" s="438">
        <f t="shared" si="152"/>
        <v>241.58309358385631</v>
      </c>
      <c r="AD903" s="410"/>
      <c r="AE903" s="411"/>
      <c r="AF903" s="411"/>
      <c r="AG903" s="411"/>
    </row>
    <row r="904" spans="1:33" s="376" customFormat="1" x14ac:dyDescent="0.2">
      <c r="A904" s="38" t="s">
        <v>744</v>
      </c>
      <c r="B904" s="23" t="str">
        <f>VLOOKUP(LEFT(A904,7),'[7]Tariff Schedule Lookup Table'!$A$8:$G$186,2,FALSE)</f>
        <v>Mercury Vapour 80</v>
      </c>
      <c r="C904" s="375">
        <f t="shared" si="159"/>
        <v>5</v>
      </c>
      <c r="D904" s="23">
        <f t="shared" si="160"/>
        <v>1</v>
      </c>
      <c r="E904" s="23" t="str">
        <f>VLOOKUP(C904,'[7]Tariff Schedule Lookup Table'!I$7:L$287,2,FALSE)</f>
        <v>MAINTENANCE COMPONENT</v>
      </c>
      <c r="F904" s="23" t="str">
        <f>IF(E904 = "BULKHEADS ETC", "SHARED OR NO POLE", VLOOKUP(C904,'[7]Tariff Schedule Lookup Table'!I$7:L$287,3,FALSE))</f>
        <v>NO CAPITAL</v>
      </c>
      <c r="G904" s="23">
        <f>IF(E904 = "NO CAPITAL", 1, VLOOKUP(C904,'[7]Tariff Schedule Lookup Table'!I$7:L$287,4,FALSE))</f>
        <v>1</v>
      </c>
      <c r="H904" s="23" t="str">
        <f t="shared" si="161"/>
        <v>1-Unmetered, CE Funded, CE Maintained</v>
      </c>
      <c r="I904" s="374">
        <f>VLOOKUP(F904,'Maintenance Model'!$A$57:$B$61,2,FALSE)</f>
        <v>0</v>
      </c>
      <c r="J904" s="374">
        <f>IF(D904=1,VLOOKUP(C904,'Capital Code Schedules'!A$15:F$300,2,FALSE),IF(D904=2,VLOOKUP(C904,'Capital Code Schedules'!A$15:F$300,3,FALSE),0))</f>
        <v>0</v>
      </c>
      <c r="K904" s="374">
        <v>0</v>
      </c>
      <c r="L904" s="374">
        <f>VLOOKUP(LEFT(A904,10),'Streetlight Tariff Schedule'!B$11:H$260,7, FALSE)+I904</f>
        <v>34.396113742339779</v>
      </c>
      <c r="M904" s="161">
        <f t="shared" si="146"/>
        <v>34.396113742339779</v>
      </c>
      <c r="N904" s="405">
        <f t="shared" si="147"/>
        <v>35.829352421336402</v>
      </c>
      <c r="O904" s="405">
        <v>29.84449639805074</v>
      </c>
      <c r="P904" s="406">
        <v>29.84449639805074</v>
      </c>
      <c r="Q904" s="406">
        <v>31.305052097494812</v>
      </c>
      <c r="R904" s="406">
        <v>31.305052097494812</v>
      </c>
      <c r="S904" s="405">
        <f t="shared" si="148"/>
        <v>37.582800165550672</v>
      </c>
      <c r="T904" s="406">
        <v>32.590787685941514</v>
      </c>
      <c r="U904" s="406">
        <v>32.709851322668897</v>
      </c>
      <c r="V904" s="405">
        <f t="shared" si="149"/>
        <v>39.269310329725201</v>
      </c>
      <c r="W904" s="406">
        <v>33.777180581043936</v>
      </c>
      <c r="X904" s="406">
        <v>34.203275797186286</v>
      </c>
      <c r="Y904" s="405">
        <f t="shared" si="150"/>
        <v>41.062218177740604</v>
      </c>
      <c r="Z904" s="406">
        <v>34.752855020501691</v>
      </c>
      <c r="AA904" s="406">
        <v>35.320037747170637</v>
      </c>
      <c r="AB904" s="442">
        <f t="shared" si="151"/>
        <v>41.953545133661791</v>
      </c>
      <c r="AC904" s="438">
        <f t="shared" si="152"/>
        <v>43.207916749328604</v>
      </c>
      <c r="AD904" s="410"/>
      <c r="AE904" s="411"/>
      <c r="AF904" s="411"/>
      <c r="AG904" s="411"/>
    </row>
    <row r="905" spans="1:33" s="376" customFormat="1" x14ac:dyDescent="0.2">
      <c r="A905" s="38" t="s">
        <v>745</v>
      </c>
      <c r="B905" s="23" t="str">
        <f>VLOOKUP(LEFT(A905,7),'[7]Tariff Schedule Lookup Table'!$A$8:$G$186,2,FALSE)</f>
        <v>Mercury Vapour 125</v>
      </c>
      <c r="C905" s="375">
        <f t="shared" si="159"/>
        <v>5</v>
      </c>
      <c r="D905" s="23">
        <f t="shared" si="160"/>
        <v>1</v>
      </c>
      <c r="E905" s="23" t="str">
        <f>VLOOKUP(C905,'[7]Tariff Schedule Lookup Table'!I$7:L$287,2,FALSE)</f>
        <v>MAINTENANCE COMPONENT</v>
      </c>
      <c r="F905" s="23" t="str">
        <f>IF(E905 = "BULKHEADS ETC", "SHARED OR NO POLE", VLOOKUP(C905,'[7]Tariff Schedule Lookup Table'!I$7:L$287,3,FALSE))</f>
        <v>NO CAPITAL</v>
      </c>
      <c r="G905" s="23">
        <f>IF(E905 = "NO CAPITAL", 1, VLOOKUP(C905,'[7]Tariff Schedule Lookup Table'!I$7:L$287,4,FALSE))</f>
        <v>1</v>
      </c>
      <c r="H905" s="23" t="str">
        <f t="shared" si="161"/>
        <v>1-Unmetered, CE Funded, CE Maintained</v>
      </c>
      <c r="I905" s="374">
        <f>VLOOKUP(F905,'Maintenance Model'!$A$57:$B$61,2,FALSE)</f>
        <v>0</v>
      </c>
      <c r="J905" s="374">
        <f>IF(D905=1,VLOOKUP(C905,'Capital Code Schedules'!A$15:F$300,2,FALSE),IF(D905=2,VLOOKUP(C905,'Capital Code Schedules'!A$15:F$300,3,FALSE),0))</f>
        <v>0</v>
      </c>
      <c r="K905" s="374">
        <v>0</v>
      </c>
      <c r="L905" s="374">
        <f>VLOOKUP(LEFT(A905,10),'Streetlight Tariff Schedule'!B$11:H$260,7, FALSE)+I905</f>
        <v>34.764063013691775</v>
      </c>
      <c r="M905" s="161">
        <f t="shared" si="146"/>
        <v>34.764063013691775</v>
      </c>
      <c r="N905" s="405">
        <f t="shared" si="147"/>
        <v>36.212633631975514</v>
      </c>
      <c r="O905" s="405">
        <v>30.237444452515287</v>
      </c>
      <c r="P905" s="406">
        <v>30.237444452515287</v>
      </c>
      <c r="Q905" s="406">
        <v>31.71723058268531</v>
      </c>
      <c r="R905" s="406">
        <v>31.71723058268531</v>
      </c>
      <c r="S905" s="405">
        <f t="shared" si="148"/>
        <v>37.984838722576946</v>
      </c>
      <c r="T905" s="406">
        <v>33.019894829980778</v>
      </c>
      <c r="U905" s="406">
        <v>33.140526120046509</v>
      </c>
      <c r="V905" s="405">
        <f t="shared" si="149"/>
        <v>39.689390174516845</v>
      </c>
      <c r="W905" s="406">
        <v>34.221908386720216</v>
      </c>
      <c r="X905" s="406">
        <v>34.653613792559412</v>
      </c>
      <c r="Y905" s="405">
        <f t="shared" si="150"/>
        <v>41.501477489759864</v>
      </c>
      <c r="Z905" s="406">
        <v>35.210429059790435</v>
      </c>
      <c r="AA905" s="406">
        <v>35.785079607192486</v>
      </c>
      <c r="AB905" s="442">
        <f t="shared" si="151"/>
        <v>42.402339334024091</v>
      </c>
      <c r="AC905" s="438">
        <f t="shared" si="152"/>
        <v>43.670129474976825</v>
      </c>
      <c r="AD905" s="410"/>
      <c r="AE905" s="411"/>
      <c r="AF905" s="411"/>
      <c r="AG905" s="411"/>
    </row>
    <row r="906" spans="1:33" s="376" customFormat="1" x14ac:dyDescent="0.2">
      <c r="A906" s="38" t="s">
        <v>746</v>
      </c>
      <c r="B906" s="23" t="str">
        <f>VLOOKUP(LEFT(A906,7),'[7]Tariff Schedule Lookup Table'!$A$8:$G$186,2,FALSE)</f>
        <v>Fluorescent 20</v>
      </c>
      <c r="C906" s="375">
        <f t="shared" si="159"/>
        <v>990</v>
      </c>
      <c r="D906" s="23">
        <f t="shared" si="160"/>
        <v>1</v>
      </c>
      <c r="E906" s="23" t="str">
        <f>VLOOKUP(C906,'[7]Tariff Schedule Lookup Table'!I$7:L$287,2,FALSE)</f>
        <v>MERCURY VAPOUR 80W</v>
      </c>
      <c r="F906" s="23" t="str">
        <f>IF(E906 = "BULKHEADS ETC", "SHARED OR NO POLE", VLOOKUP(C906,'[7]Tariff Schedule Lookup Table'!I$7:L$287,3,FALSE))</f>
        <v>STEEL POLE</v>
      </c>
      <c r="G906" s="23">
        <f>IF(E906 = "NO CAPITAL", 1, VLOOKUP(C906,'[7]Tariff Schedule Lookup Table'!I$7:L$287,4,FALSE))</f>
        <v>1</v>
      </c>
      <c r="H906" s="23" t="str">
        <f t="shared" si="161"/>
        <v>1-Unmetered, CE Funded, CE Maintained</v>
      </c>
      <c r="I906" s="374">
        <f>VLOOKUP(F906,'Maintenance Model'!$A$57:$B$61,2,FALSE)</f>
        <v>9.9616182311111103</v>
      </c>
      <c r="J906" s="374">
        <f>IF(D906=1,VLOOKUP(C906,'Capital Code Schedules'!A$15:F$300,2,FALSE),IF(D906=2,VLOOKUP(C906,'Capital Code Schedules'!A$15:F$300,3,FALSE),0))</f>
        <v>86.253661186307269</v>
      </c>
      <c r="K906" s="374">
        <v>109.41024862221688</v>
      </c>
      <c r="L906" s="374">
        <f>VLOOKUP(LEFT(A906,10),'Streetlight Tariff Schedule'!B$11:H$260,7, FALSE)+I906</f>
        <v>36.838480773651156</v>
      </c>
      <c r="M906" s="161">
        <f t="shared" si="146"/>
        <v>146.24872939586805</v>
      </c>
      <c r="N906" s="405">
        <f t="shared" si="147"/>
        <v>126.76192882315031</v>
      </c>
      <c r="O906" s="405">
        <v>163.04795675316424</v>
      </c>
      <c r="P906" s="406">
        <v>158.08440839606976</v>
      </c>
      <c r="Q906" s="406">
        <v>163.10886894331944</v>
      </c>
      <c r="R906" s="406">
        <v>168.19526512225204</v>
      </c>
      <c r="S906" s="405">
        <f t="shared" si="148"/>
        <v>130.82749761530496</v>
      </c>
      <c r="T906" s="406">
        <v>167.93275232089721</v>
      </c>
      <c r="U906" s="406">
        <v>173.77834069482995</v>
      </c>
      <c r="V906" s="405">
        <f t="shared" si="149"/>
        <v>135.21517942917527</v>
      </c>
      <c r="W906" s="406">
        <v>172.67400806205498</v>
      </c>
      <c r="X906" s="406">
        <v>180.26172349224836</v>
      </c>
      <c r="Y906" s="405">
        <f t="shared" si="150"/>
        <v>140.29343465488463</v>
      </c>
      <c r="Z906" s="406">
        <v>177.16283798797343</v>
      </c>
      <c r="AA906" s="406">
        <v>185.61784150523437</v>
      </c>
      <c r="AB906" s="442">
        <f t="shared" si="151"/>
        <v>142.94320507796402</v>
      </c>
      <c r="AC906" s="438">
        <f t="shared" si="152"/>
        <v>147.1387561999133</v>
      </c>
      <c r="AD906" s="410"/>
      <c r="AE906" s="411"/>
      <c r="AF906" s="411"/>
      <c r="AG906" s="411"/>
    </row>
    <row r="907" spans="1:33" s="376" customFormat="1" x14ac:dyDescent="0.2">
      <c r="A907" s="38" t="s">
        <v>747</v>
      </c>
      <c r="B907" s="23" t="str">
        <f>VLOOKUP(LEFT(A907,7),'[7]Tariff Schedule Lookup Table'!$A$8:$G$186,2,FALSE)</f>
        <v>Fluorescent 3x20</v>
      </c>
      <c r="C907" s="375">
        <f t="shared" si="159"/>
        <v>990</v>
      </c>
      <c r="D907" s="23">
        <f t="shared" si="160"/>
        <v>1</v>
      </c>
      <c r="E907" s="23" t="str">
        <f>VLOOKUP(C907,'[7]Tariff Schedule Lookup Table'!I$7:L$287,2,FALSE)</f>
        <v>MERCURY VAPOUR 80W</v>
      </c>
      <c r="F907" s="23" t="str">
        <f>IF(E907 = "BULKHEADS ETC", "SHARED OR NO POLE", VLOOKUP(C907,'[7]Tariff Schedule Lookup Table'!I$7:L$287,3,FALSE))</f>
        <v>STEEL POLE</v>
      </c>
      <c r="G907" s="23">
        <f>IF(E907 = "NO CAPITAL", 1, VLOOKUP(C907,'[7]Tariff Schedule Lookup Table'!I$7:L$287,4,FALSE))</f>
        <v>1</v>
      </c>
      <c r="H907" s="23" t="str">
        <f t="shared" si="161"/>
        <v>1-Unmetered, CE Funded, CE Maintained</v>
      </c>
      <c r="I907" s="374">
        <f>VLOOKUP(F907,'Maintenance Model'!$A$57:$B$61,2,FALSE)</f>
        <v>9.9616182311111103</v>
      </c>
      <c r="J907" s="374">
        <f>IF(D907=1,VLOOKUP(C907,'Capital Code Schedules'!A$15:F$300,2,FALSE),IF(D907=2,VLOOKUP(C907,'Capital Code Schedules'!A$15:F$300,3,FALSE),0))</f>
        <v>86.253661186307269</v>
      </c>
      <c r="K907" s="374">
        <v>109.41024862221688</v>
      </c>
      <c r="L907" s="374">
        <f>VLOOKUP(LEFT(A907,10),'Streetlight Tariff Schedule'!B$11:H$260,7, FALSE)+I907</f>
        <v>46.813260983851151</v>
      </c>
      <c r="M907" s="161">
        <f t="shared" si="146"/>
        <v>156.22350960606803</v>
      </c>
      <c r="N907" s="405">
        <f t="shared" si="147"/>
        <v>137.15234438444961</v>
      </c>
      <c r="O907" s="405">
        <v>174.41391705322624</v>
      </c>
      <c r="P907" s="406">
        <v>169.45036869613179</v>
      </c>
      <c r="Q907" s="406">
        <v>175.03106640933993</v>
      </c>
      <c r="R907" s="406">
        <v>180.11746258827247</v>
      </c>
      <c r="S907" s="405">
        <f t="shared" si="148"/>
        <v>141.72640829293127</v>
      </c>
      <c r="T907" s="406">
        <v>180.34460856553312</v>
      </c>
      <c r="U907" s="406">
        <v>186.23554106423092</v>
      </c>
      <c r="V907" s="405">
        <f t="shared" si="149"/>
        <v>146.60317350546475</v>
      </c>
      <c r="W907" s="406">
        <v>185.53768947291792</v>
      </c>
      <c r="X907" s="406">
        <v>193.28767875240416</v>
      </c>
      <c r="Y907" s="405">
        <f t="shared" si="150"/>
        <v>152.20136717116952</v>
      </c>
      <c r="Z907" s="406">
        <v>190.39809467344497</v>
      </c>
      <c r="AA907" s="406">
        <v>199.06910372379375</v>
      </c>
      <c r="AB907" s="442">
        <f t="shared" si="151"/>
        <v>155.10962000733025</v>
      </c>
      <c r="AC907" s="438">
        <f t="shared" si="152"/>
        <v>159.66893551446321</v>
      </c>
      <c r="AD907" s="410"/>
      <c r="AE907" s="411"/>
      <c r="AF907" s="411"/>
      <c r="AG907" s="411"/>
    </row>
    <row r="908" spans="1:33" s="376" customFormat="1" x14ac:dyDescent="0.2">
      <c r="A908" s="38" t="s">
        <v>748</v>
      </c>
      <c r="B908" s="23" t="str">
        <f>VLOOKUP(LEFT(A908,7),'[7]Tariff Schedule Lookup Table'!$A$8:$G$186,2,FALSE)</f>
        <v>High Pressure Sodium 400</v>
      </c>
      <c r="C908" s="375">
        <f t="shared" si="159"/>
        <v>660</v>
      </c>
      <c r="D908" s="23">
        <f t="shared" si="160"/>
        <v>1</v>
      </c>
      <c r="E908" s="23" t="str">
        <f>VLOOKUP(C908,'[7]Tariff Schedule Lookup Table'!I$7:L$287,2,FALSE)</f>
        <v>METAL HALIDE/HPS 400W FLOOD (310/360)</v>
      </c>
      <c r="F908" s="23" t="str">
        <f>IF(E908 = "BULKHEADS ETC", "SHARED OR NO POLE", VLOOKUP(C908,'[7]Tariff Schedule Lookup Table'!I$7:L$287,3,FALSE))</f>
        <v>SHARED OR NO POLE</v>
      </c>
      <c r="G908" s="23">
        <f>IF(E908 = "NO CAPITAL", 1, VLOOKUP(C908,'[7]Tariff Schedule Lookup Table'!I$7:L$287,4,FALSE))</f>
        <v>2</v>
      </c>
      <c r="H908" s="23" t="str">
        <f t="shared" si="161"/>
        <v>1-Unmetered, CE Funded, CE Maintained</v>
      </c>
      <c r="I908" s="374">
        <f>VLOOKUP(F908,'Maintenance Model'!$A$57:$B$61,2,FALSE)</f>
        <v>0</v>
      </c>
      <c r="J908" s="374">
        <f>IF(D908=1,VLOOKUP(C908,'Capital Code Schedules'!A$15:F$300,2,FALSE),IF(D908=2,VLOOKUP(C908,'Capital Code Schedules'!A$15:F$300,3,FALSE),0))</f>
        <v>49.505888035288052</v>
      </c>
      <c r="K908" s="374">
        <v>62.796772261121802</v>
      </c>
      <c r="L908" s="374">
        <f>VLOOKUP(LEFT(A908,10),'Streetlight Tariff Schedule'!B$11:H$260,7, FALSE)+I908</f>
        <v>70.417216134374826</v>
      </c>
      <c r="M908" s="161">
        <f t="shared" si="146"/>
        <v>133.21398839549664</v>
      </c>
      <c r="N908" s="405">
        <f t="shared" si="147"/>
        <v>124.08256329514045</v>
      </c>
      <c r="O908" s="405">
        <v>106.99747179811214</v>
      </c>
      <c r="P908" s="406">
        <v>104.14860873717736</v>
      </c>
      <c r="Q908" s="406">
        <v>107.68894586522813</v>
      </c>
      <c r="R908" s="406">
        <v>110.60831828692108</v>
      </c>
      <c r="S908" s="405">
        <f t="shared" si="148"/>
        <v>128.92789375993229</v>
      </c>
      <c r="T908" s="406">
        <v>111.0355794947488</v>
      </c>
      <c r="U908" s="406">
        <v>114.44421410978985</v>
      </c>
      <c r="V908" s="405">
        <f t="shared" si="149"/>
        <v>133.86221304363696</v>
      </c>
      <c r="W908" s="406">
        <v>114.29013433301881</v>
      </c>
      <c r="X908" s="406">
        <v>118.83668416208424</v>
      </c>
      <c r="Y908" s="405">
        <f t="shared" si="150"/>
        <v>139.34530976114706</v>
      </c>
      <c r="Z908" s="406">
        <v>117.30509064106836</v>
      </c>
      <c r="AA908" s="406">
        <v>122.41284468199368</v>
      </c>
      <c r="AB908" s="442">
        <f t="shared" si="151"/>
        <v>142.14301778650693</v>
      </c>
      <c r="AC908" s="438">
        <f t="shared" si="152"/>
        <v>146.34801026982186</v>
      </c>
      <c r="AD908" s="410"/>
      <c r="AE908" s="411"/>
      <c r="AF908" s="411"/>
      <c r="AG908" s="411"/>
    </row>
    <row r="909" spans="1:33" s="376" customFormat="1" x14ac:dyDescent="0.2">
      <c r="A909" s="38" t="s">
        <v>749</v>
      </c>
      <c r="B909" s="23" t="str">
        <f>VLOOKUP(LEFT(A909,7),'[7]Tariff Schedule Lookup Table'!$A$8:$G$186,2,FALSE)</f>
        <v>Low Pressure Sodium 18</v>
      </c>
      <c r="C909" s="375">
        <f t="shared" si="159"/>
        <v>360</v>
      </c>
      <c r="D909" s="23">
        <f t="shared" si="160"/>
        <v>1</v>
      </c>
      <c r="E909" s="23" t="str">
        <f>VLOOKUP(C909,'[7]Tariff Schedule Lookup Table'!I$7:L$287,2,FALSE)</f>
        <v>HIGH PRESSURE SODIUM 70W (100)</v>
      </c>
      <c r="F909" s="23" t="str">
        <f>IF(E909 = "BULKHEADS ETC", "SHARED OR NO POLE", VLOOKUP(C909,'[7]Tariff Schedule Lookup Table'!I$7:L$287,3,FALSE))</f>
        <v>STEEL POLE</v>
      </c>
      <c r="G909" s="23">
        <f>IF(E909 = "NO CAPITAL", 1, VLOOKUP(C909,'[7]Tariff Schedule Lookup Table'!I$7:L$287,4,FALSE))</f>
        <v>1</v>
      </c>
      <c r="H909" s="23" t="str">
        <f t="shared" si="161"/>
        <v>1-Unmetered, CE Funded, CE Maintained</v>
      </c>
      <c r="I909" s="374">
        <f>VLOOKUP(F909,'Maintenance Model'!$A$57:$B$61,2,FALSE)</f>
        <v>9.9616182311111103</v>
      </c>
      <c r="J909" s="374">
        <f>IF(D909=1,VLOOKUP(C909,'Capital Code Schedules'!A$15:F$300,2,FALSE),IF(D909=2,VLOOKUP(C909,'Capital Code Schedules'!A$15:F$300,3,FALSE),0))</f>
        <v>87.482155888651974</v>
      </c>
      <c r="K909" s="374">
        <v>110.96855825181379</v>
      </c>
      <c r="L909" s="374">
        <f>VLOOKUP(LEFT(A909,10),'Streetlight Tariff Schedule'!B$11:H$260,7, FALSE)+I909</f>
        <v>62.285344828862883</v>
      </c>
      <c r="M909" s="161">
        <f t="shared" si="146"/>
        <v>173.25390308067668</v>
      </c>
      <c r="N909" s="405">
        <f t="shared" si="147"/>
        <v>154.52802859671522</v>
      </c>
      <c r="O909" s="405">
        <v>175.1474321458316</v>
      </c>
      <c r="P909" s="406">
        <v>170.1131889013821</v>
      </c>
      <c r="Q909" s="406">
        <v>175.68769762430762</v>
      </c>
      <c r="R909" s="406">
        <v>180.84653838905726</v>
      </c>
      <c r="S909" s="405">
        <f t="shared" si="148"/>
        <v>159.92198736467623</v>
      </c>
      <c r="T909" s="406">
        <v>181.00150040694172</v>
      </c>
      <c r="U909" s="406">
        <v>186.96935227207322</v>
      </c>
      <c r="V909" s="405">
        <f t="shared" si="149"/>
        <v>165.59414639915266</v>
      </c>
      <c r="W909" s="406">
        <v>186.19895351451285</v>
      </c>
      <c r="X909" s="406">
        <v>194.03433038442088</v>
      </c>
      <c r="Y909" s="405">
        <f t="shared" si="150"/>
        <v>172.04380646801923</v>
      </c>
      <c r="Z909" s="406">
        <v>191.07135307922377</v>
      </c>
      <c r="AA909" s="406">
        <v>199.83259166794565</v>
      </c>
      <c r="AB909" s="442">
        <f t="shared" si="151"/>
        <v>175.37714036173085</v>
      </c>
      <c r="AC909" s="438">
        <f t="shared" si="152"/>
        <v>180.5413202538337</v>
      </c>
      <c r="AD909" s="410"/>
      <c r="AE909" s="411"/>
      <c r="AF909" s="411"/>
      <c r="AG909" s="411"/>
    </row>
    <row r="910" spans="1:33" s="376" customFormat="1" x14ac:dyDescent="0.2">
      <c r="A910" s="38" t="s">
        <v>750</v>
      </c>
      <c r="B910" s="23" t="str">
        <f>VLOOKUP(LEFT(A910,7),'[7]Tariff Schedule Lookup Table'!$A$8:$G$186,2,FALSE)</f>
        <v>Mercury Vapour 80</v>
      </c>
      <c r="C910" s="375">
        <f t="shared" si="159"/>
        <v>820</v>
      </c>
      <c r="D910" s="23">
        <f t="shared" si="160"/>
        <v>1</v>
      </c>
      <c r="E910" s="23" t="str">
        <f>VLOOKUP(C910,'[7]Tariff Schedule Lookup Table'!I$7:L$287,2,FALSE)</f>
        <v>MERCURY VAPOUR 80W</v>
      </c>
      <c r="F910" s="23" t="str">
        <f>IF(E910 = "BULKHEADS ETC", "SHARED OR NO POLE", VLOOKUP(C910,'[7]Tariff Schedule Lookup Table'!I$7:L$287,3,FALSE))</f>
        <v>SHARED OR NO POLE</v>
      </c>
      <c r="G910" s="23">
        <f>IF(E910 = "NO CAPITAL", 1, VLOOKUP(C910,'[7]Tariff Schedule Lookup Table'!I$7:L$287,4,FALSE))</f>
        <v>3</v>
      </c>
      <c r="H910" s="23" t="str">
        <f t="shared" si="161"/>
        <v>1-Unmetered, CE Funded, CE Maintained</v>
      </c>
      <c r="I910" s="374">
        <f>VLOOKUP(F910,'Maintenance Model'!$A$57:$B$61,2,FALSE)</f>
        <v>0</v>
      </c>
      <c r="J910" s="374">
        <f>IF(D910=1,VLOOKUP(C910,'Capital Code Schedules'!A$15:F$300,2,FALSE),IF(D910=2,VLOOKUP(C910,'Capital Code Schedules'!A$15:F$300,3,FALSE),0))</f>
        <v>30.584534903875124</v>
      </c>
      <c r="K910" s="374">
        <v>38.795588753037947</v>
      </c>
      <c r="L910" s="374">
        <f>VLOOKUP(LEFT(A910,10),'Streetlight Tariff Schedule'!B$11:H$260,7, FALSE)+I910</f>
        <v>34.396113742339779</v>
      </c>
      <c r="M910" s="161">
        <f t="shared" si="146"/>
        <v>73.191702495377726</v>
      </c>
      <c r="N910" s="405">
        <f t="shared" si="147"/>
        <v>67.170854564082433</v>
      </c>
      <c r="O910" s="405">
        <v>71.360291905809191</v>
      </c>
      <c r="P910" s="406">
        <v>69.600275972726379</v>
      </c>
      <c r="Q910" s="406">
        <v>72.04478721664367</v>
      </c>
      <c r="R910" s="406">
        <v>73.848363544070281</v>
      </c>
      <c r="S910" s="405">
        <f t="shared" si="148"/>
        <v>69.700004486329675</v>
      </c>
      <c r="T910" s="406">
        <v>74.338831249289314</v>
      </c>
      <c r="U910" s="406">
        <v>76.465647145471763</v>
      </c>
      <c r="V910" s="405">
        <f t="shared" si="149"/>
        <v>72.3018549736464</v>
      </c>
      <c r="W910" s="406">
        <v>76.558488222584586</v>
      </c>
      <c r="X910" s="406">
        <v>79.442393098382169</v>
      </c>
      <c r="Y910" s="405">
        <f t="shared" si="150"/>
        <v>75.214566085090723</v>
      </c>
      <c r="Z910" s="406">
        <v>78.593000026170458</v>
      </c>
      <c r="AA910" s="406">
        <v>81.848469891450591</v>
      </c>
      <c r="AB910" s="442">
        <f t="shared" si="151"/>
        <v>76.706974364181278</v>
      </c>
      <c r="AC910" s="438">
        <f t="shared" si="152"/>
        <v>78.972670770456219</v>
      </c>
      <c r="AD910" s="410"/>
      <c r="AE910" s="411"/>
      <c r="AF910" s="411"/>
      <c r="AG910" s="411"/>
    </row>
    <row r="911" spans="1:33" s="376" customFormat="1" x14ac:dyDescent="0.2">
      <c r="A911" s="38" t="s">
        <v>751</v>
      </c>
      <c r="B911" s="23" t="str">
        <f>VLOOKUP(LEFT(A911,7),'[7]Tariff Schedule Lookup Table'!$A$8:$G$186,2,FALSE)</f>
        <v>Incandescent 500</v>
      </c>
      <c r="C911" s="375">
        <f t="shared" si="159"/>
        <v>990</v>
      </c>
      <c r="D911" s="23">
        <f t="shared" si="160"/>
        <v>1</v>
      </c>
      <c r="E911" s="23" t="str">
        <f>VLOOKUP(C911,'[7]Tariff Schedule Lookup Table'!I$7:L$287,2,FALSE)</f>
        <v>MERCURY VAPOUR 80W</v>
      </c>
      <c r="F911" s="23" t="str">
        <f>IF(E911 = "BULKHEADS ETC", "SHARED OR NO POLE", VLOOKUP(C911,'[7]Tariff Schedule Lookup Table'!I$7:L$287,3,FALSE))</f>
        <v>STEEL POLE</v>
      </c>
      <c r="G911" s="23">
        <f>IF(E911 = "NO CAPITAL", 1, VLOOKUP(C911,'[7]Tariff Schedule Lookup Table'!I$7:L$287,4,FALSE))</f>
        <v>1</v>
      </c>
      <c r="H911" s="23" t="str">
        <f t="shared" si="161"/>
        <v>1-Unmetered, CE Funded, CE Maintained</v>
      </c>
      <c r="I911" s="374">
        <f>VLOOKUP(F911,'Maintenance Model'!$A$57:$B$61,2,FALSE)</f>
        <v>9.9616182311111103</v>
      </c>
      <c r="J911" s="374">
        <f>IF(D911=1,VLOOKUP(C911,'Capital Code Schedules'!A$15:F$300,2,FALSE),IF(D911=2,VLOOKUP(C911,'Capital Code Schedules'!A$15:F$300,3,FALSE),0))</f>
        <v>86.253661186307269</v>
      </c>
      <c r="K911" s="374">
        <v>109.41024862221688</v>
      </c>
      <c r="L911" s="374">
        <f>VLOOKUP(LEFT(A911,10),'Streetlight Tariff Schedule'!B$11:H$260,7, FALSE)+I911</f>
        <v>30.864845666684118</v>
      </c>
      <c r="M911" s="161">
        <f t="shared" si="146"/>
        <v>140.27509428890102</v>
      </c>
      <c r="N911" s="405">
        <f t="shared" si="147"/>
        <v>120.53938056995833</v>
      </c>
      <c r="O911" s="405">
        <v>192.82912617325474</v>
      </c>
      <c r="P911" s="406">
        <v>187.86557781616025</v>
      </c>
      <c r="Q911" s="406">
        <v>194.34749491260013</v>
      </c>
      <c r="R911" s="406">
        <v>199.4338910915327</v>
      </c>
      <c r="S911" s="405">
        <f t="shared" si="148"/>
        <v>124.30042493003515</v>
      </c>
      <c r="T911" s="406">
        <v>200.45438567881897</v>
      </c>
      <c r="U911" s="406">
        <v>206.41878504858349</v>
      </c>
      <c r="V911" s="405">
        <f t="shared" si="149"/>
        <v>128.39520748207494</v>
      </c>
      <c r="W911" s="406">
        <v>206.37951691033831</v>
      </c>
      <c r="X911" s="406">
        <v>214.3924234260765</v>
      </c>
      <c r="Y911" s="405">
        <f t="shared" si="150"/>
        <v>133.16208516831307</v>
      </c>
      <c r="Z911" s="406">
        <v>211.84195099404852</v>
      </c>
      <c r="AA911" s="406">
        <v>220.86293373407094</v>
      </c>
      <c r="AB911" s="442">
        <f t="shared" si="151"/>
        <v>135.65705723145092</v>
      </c>
      <c r="AC911" s="438">
        <f t="shared" si="152"/>
        <v>139.63475937265019</v>
      </c>
      <c r="AD911" s="410"/>
      <c r="AE911" s="411"/>
      <c r="AF911" s="411"/>
      <c r="AG911" s="411"/>
    </row>
    <row r="912" spans="1:33" s="376" customFormat="1" x14ac:dyDescent="0.2">
      <c r="A912" s="38" t="s">
        <v>752</v>
      </c>
      <c r="B912" s="23" t="str">
        <f>VLOOKUP(LEFT(A912,7),'[7]Tariff Schedule Lookup Table'!$A$8:$G$186,2,FALSE)</f>
        <v>Mercury Vapour 250</v>
      </c>
      <c r="C912" s="375">
        <f t="shared" si="159"/>
        <v>450</v>
      </c>
      <c r="D912" s="23">
        <f t="shared" si="160"/>
        <v>1</v>
      </c>
      <c r="E912" s="23" t="str">
        <f>VLOOKUP(C912,'[7]Tariff Schedule Lookup Table'!I$7:L$287,2,FALSE)</f>
        <v xml:space="preserve">MERCURY VAPOUR 250W </v>
      </c>
      <c r="F912" s="23" t="str">
        <f>IF(E912 = "BULKHEADS ETC", "SHARED OR NO POLE", VLOOKUP(C912,'[7]Tariff Schedule Lookup Table'!I$7:L$287,3,FALSE))</f>
        <v>STEEL POLE</v>
      </c>
      <c r="G912" s="23">
        <f>IF(E912 = "NO CAPITAL", 1, VLOOKUP(C912,'[7]Tariff Schedule Lookup Table'!I$7:L$287,4,FALSE))</f>
        <v>4</v>
      </c>
      <c r="H912" s="23" t="str">
        <f t="shared" si="161"/>
        <v>1-Unmetered, CE Funded, CE Maintained</v>
      </c>
      <c r="I912" s="374">
        <f>VLOOKUP(F912,'Maintenance Model'!$A$57:$B$61,2,FALSE)</f>
        <v>9.9616182311111103</v>
      </c>
      <c r="J912" s="374">
        <f>IF(D912=1,VLOOKUP(C912,'Capital Code Schedules'!A$15:F$300,2,FALSE),IF(D912=2,VLOOKUP(C912,'Capital Code Schedules'!A$15:F$300,3,FALSE),0))</f>
        <v>131.9734324216279</v>
      </c>
      <c r="K912" s="374">
        <v>167.40444236435346</v>
      </c>
      <c r="L912" s="374">
        <f>VLOOKUP(LEFT(A912,10),'Streetlight Tariff Schedule'!B$11:H$260,7, FALSE)+I912</f>
        <v>54.679405333235103</v>
      </c>
      <c r="M912" s="161">
        <f t="shared" si="146"/>
        <v>222.08384769758857</v>
      </c>
      <c r="N912" s="405">
        <f t="shared" si="147"/>
        <v>192.19759570665337</v>
      </c>
      <c r="O912" s="405">
        <v>228.06397366788411</v>
      </c>
      <c r="P912" s="406">
        <v>220.46943791523273</v>
      </c>
      <c r="Q912" s="406">
        <v>227.10941762928093</v>
      </c>
      <c r="R912" s="406">
        <v>234.89191814181041</v>
      </c>
      <c r="S912" s="405">
        <f t="shared" si="148"/>
        <v>198.33223108505234</v>
      </c>
      <c r="T912" s="406">
        <v>233.56791217480043</v>
      </c>
      <c r="U912" s="406">
        <v>242.42661126177083</v>
      </c>
      <c r="V912" s="405">
        <f t="shared" si="149"/>
        <v>204.96299989259441</v>
      </c>
      <c r="W912" s="406">
        <v>239.97124656737813</v>
      </c>
      <c r="X912" s="406">
        <v>251.27525318862874</v>
      </c>
      <c r="Y912" s="405">
        <f t="shared" si="150"/>
        <v>212.64517417003006</v>
      </c>
      <c r="Z912" s="406">
        <v>246.13951647149244</v>
      </c>
      <c r="AA912" s="406">
        <v>258.66931584752729</v>
      </c>
      <c r="AB912" s="442">
        <f t="shared" si="151"/>
        <v>216.65580291827439</v>
      </c>
      <c r="AC912" s="438">
        <f t="shared" si="152"/>
        <v>223.01377892105134</v>
      </c>
      <c r="AD912" s="410"/>
      <c r="AE912" s="411"/>
      <c r="AF912" s="411"/>
      <c r="AG912" s="411"/>
    </row>
    <row r="913" spans="1:33" s="376" customFormat="1" x14ac:dyDescent="0.2">
      <c r="A913" s="38" t="s">
        <v>739</v>
      </c>
      <c r="B913" s="23" t="str">
        <f>VLOOKUP(LEFT(A913,7),'[7]Tariff Schedule Lookup Table'!$A$8:$G$186,2,FALSE)</f>
        <v>High Pressure Sodium 310 (Retrofit)</v>
      </c>
      <c r="C913" s="375">
        <f t="shared" si="159"/>
        <v>330</v>
      </c>
      <c r="D913" s="23">
        <f t="shared" si="160"/>
        <v>1</v>
      </c>
      <c r="E913" s="23" t="str">
        <f>VLOOKUP(C913,'[7]Tariff Schedule Lookup Table'!I$7:L$287,2,FALSE)</f>
        <v>HIGH PRESSURE SODIUM 400W (310/360)</v>
      </c>
      <c r="F913" s="23" t="str">
        <f>IF(E913 = "BULKHEADS ETC", "SHARED OR NO POLE", VLOOKUP(C913,'[7]Tariff Schedule Lookup Table'!I$7:L$287,3,FALSE))</f>
        <v>STEEL POLE</v>
      </c>
      <c r="G913" s="23">
        <f>IF(E913 = "NO CAPITAL", 1, VLOOKUP(C913,'[7]Tariff Schedule Lookup Table'!I$7:L$287,4,FALSE))</f>
        <v>1</v>
      </c>
      <c r="H913" s="23" t="str">
        <f t="shared" si="161"/>
        <v>1-Unmetered, CE Funded, CE Maintained</v>
      </c>
      <c r="I913" s="374">
        <f>VLOOKUP(F913,'Maintenance Model'!$A$57:$B$61,2,FALSE)</f>
        <v>9.9616182311111103</v>
      </c>
      <c r="J913" s="374">
        <f>IF(D913=1,VLOOKUP(C913,'Capital Code Schedules'!A$15:F$300,2,FALSE),IF(D913=2,VLOOKUP(C913,'Capital Code Schedules'!A$15:F$300,3,FALSE),0))</f>
        <v>95.968430970589921</v>
      </c>
      <c r="K913" s="374">
        <v>121.73315019865107</v>
      </c>
      <c r="L913" s="374">
        <f>VLOOKUP(LEFT(A913,10),'Streetlight Tariff Schedule'!B$11:H$260,7, FALSE)+I913</f>
        <v>75.787319305969277</v>
      </c>
      <c r="M913" s="161">
        <f t="shared" si="146"/>
        <v>197.52046950462034</v>
      </c>
      <c r="N913" s="405">
        <f t="shared" si="147"/>
        <v>177.28892214152867</v>
      </c>
      <c r="O913" s="405">
        <v>182.3223963054559</v>
      </c>
      <c r="P913" s="406">
        <v>176.79980235030652</v>
      </c>
      <c r="Q913" s="406">
        <v>182.43471861077276</v>
      </c>
      <c r="R913" s="406">
        <v>188.0939967663121</v>
      </c>
      <c r="S913" s="405">
        <f t="shared" si="148"/>
        <v>183.58641928986634</v>
      </c>
      <c r="T913" s="406">
        <v>187.84113432255262</v>
      </c>
      <c r="U913" s="406">
        <v>194.34874431926258</v>
      </c>
      <c r="V913" s="405">
        <f t="shared" si="149"/>
        <v>190.17458610966358</v>
      </c>
      <c r="W913" s="406">
        <v>193.1525858983087</v>
      </c>
      <c r="X913" s="406">
        <v>201.60790413637699</v>
      </c>
      <c r="Y913" s="405">
        <f t="shared" si="150"/>
        <v>197.63875192049704</v>
      </c>
      <c r="Z913" s="406">
        <v>198.17675359116564</v>
      </c>
      <c r="AA913" s="406">
        <v>207.60134619530768</v>
      </c>
      <c r="AB913" s="442">
        <f t="shared" si="151"/>
        <v>201.4887522343486</v>
      </c>
      <c r="AC913" s="438">
        <f t="shared" si="152"/>
        <v>207.42593944874454</v>
      </c>
      <c r="AD913" s="410"/>
      <c r="AE913" s="411"/>
      <c r="AF913" s="411"/>
      <c r="AG913" s="411"/>
    </row>
    <row r="914" spans="1:33" s="376" customFormat="1" x14ac:dyDescent="0.2">
      <c r="A914" s="38" t="s">
        <v>739</v>
      </c>
      <c r="B914" s="23" t="str">
        <f>VLOOKUP(LEFT(A914,7),'[7]Tariff Schedule Lookup Table'!$A$8:$G$186,2,FALSE)</f>
        <v>High Pressure Sodium 310 (Retrofit)</v>
      </c>
      <c r="C914" s="375">
        <f t="shared" si="159"/>
        <v>330</v>
      </c>
      <c r="D914" s="23">
        <f t="shared" si="160"/>
        <v>1</v>
      </c>
      <c r="E914" s="23" t="str">
        <f>VLOOKUP(C914,'[7]Tariff Schedule Lookup Table'!I$7:L$287,2,FALSE)</f>
        <v>HIGH PRESSURE SODIUM 400W (310/360)</v>
      </c>
      <c r="F914" s="23" t="str">
        <f>IF(E914 = "BULKHEADS ETC", "SHARED OR NO POLE", VLOOKUP(C914,'[7]Tariff Schedule Lookup Table'!I$7:L$287,3,FALSE))</f>
        <v>STEEL POLE</v>
      </c>
      <c r="G914" s="23">
        <f>IF(E914 = "NO CAPITAL", 1, VLOOKUP(C914,'[7]Tariff Schedule Lookup Table'!I$7:L$287,4,FALSE))</f>
        <v>1</v>
      </c>
      <c r="H914" s="23" t="str">
        <f t="shared" si="161"/>
        <v>1-Unmetered, CE Funded, CE Maintained</v>
      </c>
      <c r="I914" s="374">
        <f>VLOOKUP(F914,'Maintenance Model'!$A$57:$B$61,2,FALSE)</f>
        <v>9.9616182311111103</v>
      </c>
      <c r="J914" s="374">
        <f>IF(D914=1,VLOOKUP(C914,'Capital Code Schedules'!A$15:F$300,2,FALSE),IF(D914=2,VLOOKUP(C914,'Capital Code Schedules'!A$15:F$300,3,FALSE),0))</f>
        <v>95.968430970589921</v>
      </c>
      <c r="K914" s="374">
        <v>121.73315019865107</v>
      </c>
      <c r="L914" s="374">
        <f>VLOOKUP(LEFT(A914,10),'Streetlight Tariff Schedule'!B$11:H$260,7, FALSE)+I914</f>
        <v>75.787319305969277</v>
      </c>
      <c r="M914" s="161">
        <f t="shared" si="146"/>
        <v>197.52046950462034</v>
      </c>
      <c r="N914" s="405">
        <f t="shared" si="147"/>
        <v>177.28892214152867</v>
      </c>
      <c r="O914" s="405">
        <v>182.3223963054559</v>
      </c>
      <c r="P914" s="406">
        <v>176.79980235030652</v>
      </c>
      <c r="Q914" s="406">
        <v>182.43471861077276</v>
      </c>
      <c r="R914" s="406">
        <v>188.0939967663121</v>
      </c>
      <c r="S914" s="405">
        <f t="shared" si="148"/>
        <v>183.58641928986634</v>
      </c>
      <c r="T914" s="406">
        <v>187.84113432255262</v>
      </c>
      <c r="U914" s="406">
        <v>194.34874431926258</v>
      </c>
      <c r="V914" s="405">
        <f t="shared" si="149"/>
        <v>190.17458610966358</v>
      </c>
      <c r="W914" s="406">
        <v>193.1525858983087</v>
      </c>
      <c r="X914" s="406">
        <v>201.60790413637699</v>
      </c>
      <c r="Y914" s="405">
        <f t="shared" si="150"/>
        <v>197.63875192049704</v>
      </c>
      <c r="Z914" s="406">
        <v>198.17675359116564</v>
      </c>
      <c r="AA914" s="406">
        <v>207.60134619530768</v>
      </c>
      <c r="AB914" s="442">
        <f t="shared" si="151"/>
        <v>201.4887522343486</v>
      </c>
      <c r="AC914" s="438">
        <f t="shared" si="152"/>
        <v>207.42593944874454</v>
      </c>
      <c r="AD914" s="410"/>
      <c r="AE914" s="411"/>
      <c r="AF914" s="411"/>
      <c r="AG914" s="411"/>
    </row>
    <row r="915" spans="1:33" s="376" customFormat="1" x14ac:dyDescent="0.2">
      <c r="A915" s="38" t="s">
        <v>753</v>
      </c>
      <c r="B915" s="23" t="str">
        <f>VLOOKUP(LEFT(A915,7),'[7]Tariff Schedule Lookup Table'!$A$8:$G$186,2,FALSE)</f>
        <v>Low Pressure Sodium 135</v>
      </c>
      <c r="C915" s="375">
        <f t="shared" si="159"/>
        <v>320</v>
      </c>
      <c r="D915" s="23">
        <f t="shared" si="160"/>
        <v>1</v>
      </c>
      <c r="E915" s="23" t="str">
        <f>VLOOKUP(C915,'[7]Tariff Schedule Lookup Table'!I$7:L$287,2,FALSE)</f>
        <v>HIGH PRESSURE SODIUM 250W (210/220)</v>
      </c>
      <c r="F915" s="23" t="str">
        <f>IF(E915 = "BULKHEADS ETC", "SHARED OR NO POLE", VLOOKUP(C915,'[7]Tariff Schedule Lookup Table'!I$7:L$287,3,FALSE))</f>
        <v>STEEL POLE</v>
      </c>
      <c r="G915" s="23">
        <f>IF(E915 = "NO CAPITAL", 1, VLOOKUP(C915,'[7]Tariff Schedule Lookup Table'!I$7:L$287,4,FALSE))</f>
        <v>1</v>
      </c>
      <c r="H915" s="23" t="str">
        <f t="shared" si="161"/>
        <v>1-Unmetered, CE Funded, CE Maintained</v>
      </c>
      <c r="I915" s="374">
        <f>VLOOKUP(F915,'Maintenance Model'!$A$57:$B$61,2,FALSE)</f>
        <v>9.9616182311111103</v>
      </c>
      <c r="J915" s="374">
        <f>IF(D915=1,VLOOKUP(C915,'Capital Code Schedules'!A$15:F$300,2,FALSE),IF(D915=2,VLOOKUP(C915,'Capital Code Schedules'!A$15:F$300,3,FALSE),0))</f>
        <v>92.322513672035399</v>
      </c>
      <c r="K915" s="374">
        <v>117.10841065015505</v>
      </c>
      <c r="L915" s="374">
        <f>VLOOKUP(LEFT(A915,10),'Streetlight Tariff Schedule'!B$11:H$260,7, FALSE)+I915</f>
        <v>67.075922303229547</v>
      </c>
      <c r="M915" s="161">
        <f t="shared" ref="M915:M978" si="162">IF(VLOOKUP(D915,A$11:D$15,3,FALSE)="Y",IF(VLOOKUP(D915,A$11:D$15,4,FALSE)="Y",K915+L915,K915),IF(VLOOKUP(D915,A$11:D$15,4,FALSE)="Y",L915,0))</f>
        <v>184.1843329533846</v>
      </c>
      <c r="N915" s="405">
        <f t="shared" ref="N915:N978" si="163">($J915+$L915+$L915*$M$10*$M$14)*(1+$M$12)</f>
        <v>164.47837947394041</v>
      </c>
      <c r="O915" s="405">
        <v>186.61786390007015</v>
      </c>
      <c r="P915" s="406">
        <v>181.30507769764043</v>
      </c>
      <c r="Q915" s="406">
        <v>187.27511290891135</v>
      </c>
      <c r="R915" s="406">
        <v>192.71939056985124</v>
      </c>
      <c r="S915" s="405">
        <f t="shared" ref="S915:S978" si="164">($J915+$L915+$L915*$N$10*$N$14)*(1+$N$12)</f>
        <v>170.23931654737075</v>
      </c>
      <c r="T915" s="406">
        <v>192.9595931386915</v>
      </c>
      <c r="U915" s="406">
        <v>199.2647438003041</v>
      </c>
      <c r="V915" s="405">
        <f t="shared" ref="V915:V978" si="165">($J915+$L915+$L915*$O$10*$O$14)*(1+$O$12)</f>
        <v>176.29123039944091</v>
      </c>
      <c r="W915" s="406">
        <v>198.51536244438543</v>
      </c>
      <c r="X915" s="406">
        <v>206.80967548043031</v>
      </c>
      <c r="Y915" s="405">
        <f t="shared" ref="Y915:Y978" si="166">($J915+$L915+$L915*$P$10*$P$14)*(1+$P$12)</f>
        <v>183.16782263943551</v>
      </c>
      <c r="Z915" s="406">
        <v>203.71552826873963</v>
      </c>
      <c r="AA915" s="406">
        <v>212.99534348044074</v>
      </c>
      <c r="AB915" s="442">
        <f t="shared" ref="AB915:AB978" si="167">($J915+$L915+$L915*$Q$10*$Q$14)*(1+$Q$12)</f>
        <v>186.72042571581051</v>
      </c>
      <c r="AC915" s="438">
        <f t="shared" ref="AC915:AC978" si="168">($J915+$L915+$L915*$R$10*$R$14)*(1+$R$12)</f>
        <v>192.21936424777584</v>
      </c>
      <c r="AD915" s="410"/>
      <c r="AE915" s="411"/>
      <c r="AF915" s="411"/>
      <c r="AG915" s="411"/>
    </row>
    <row r="916" spans="1:33" s="376" customFormat="1" x14ac:dyDescent="0.2">
      <c r="A916" s="38" t="s">
        <v>746</v>
      </c>
      <c r="B916" s="23" t="str">
        <f>VLOOKUP(LEFT(A916,7),'[7]Tariff Schedule Lookup Table'!$A$8:$G$186,2,FALSE)</f>
        <v>Fluorescent 20</v>
      </c>
      <c r="C916" s="375">
        <f t="shared" si="159"/>
        <v>990</v>
      </c>
      <c r="D916" s="23">
        <f t="shared" si="160"/>
        <v>1</v>
      </c>
      <c r="E916" s="23" t="str">
        <f>VLOOKUP(C916,'[7]Tariff Schedule Lookup Table'!I$7:L$287,2,FALSE)</f>
        <v>MERCURY VAPOUR 80W</v>
      </c>
      <c r="F916" s="23" t="str">
        <f>IF(E916 = "BULKHEADS ETC", "SHARED OR NO POLE", VLOOKUP(C916,'[7]Tariff Schedule Lookup Table'!I$7:L$287,3,FALSE))</f>
        <v>STEEL POLE</v>
      </c>
      <c r="G916" s="23">
        <f>IF(E916 = "NO CAPITAL", 1, VLOOKUP(C916,'[7]Tariff Schedule Lookup Table'!I$7:L$287,4,FALSE))</f>
        <v>1</v>
      </c>
      <c r="H916" s="23" t="str">
        <f t="shared" si="161"/>
        <v>1-Unmetered, CE Funded, CE Maintained</v>
      </c>
      <c r="I916" s="374">
        <f>VLOOKUP(F916,'Maintenance Model'!$A$57:$B$61,2,FALSE)</f>
        <v>9.9616182311111103</v>
      </c>
      <c r="J916" s="374">
        <f>IF(D916=1,VLOOKUP(C916,'Capital Code Schedules'!A$15:F$300,2,FALSE),IF(D916=2,VLOOKUP(C916,'Capital Code Schedules'!A$15:F$300,3,FALSE),0))</f>
        <v>86.253661186307269</v>
      </c>
      <c r="K916" s="374">
        <v>109.41024862221688</v>
      </c>
      <c r="L916" s="374">
        <f>VLOOKUP(LEFT(A916,10),'Streetlight Tariff Schedule'!B$11:H$260,7, FALSE)+I916</f>
        <v>36.838480773651156</v>
      </c>
      <c r="M916" s="161">
        <f t="shared" si="162"/>
        <v>146.24872939586805</v>
      </c>
      <c r="N916" s="405">
        <f t="shared" si="163"/>
        <v>126.76192882315031</v>
      </c>
      <c r="O916" s="405">
        <v>163.04795675316424</v>
      </c>
      <c r="P916" s="406">
        <v>158.08440839606976</v>
      </c>
      <c r="Q916" s="406">
        <v>163.10886894331944</v>
      </c>
      <c r="R916" s="406">
        <v>168.19526512225204</v>
      </c>
      <c r="S916" s="405">
        <f t="shared" si="164"/>
        <v>130.82749761530496</v>
      </c>
      <c r="T916" s="406">
        <v>167.93275232089721</v>
      </c>
      <c r="U916" s="406">
        <v>173.77834069482995</v>
      </c>
      <c r="V916" s="405">
        <f t="shared" si="165"/>
        <v>135.21517942917527</v>
      </c>
      <c r="W916" s="406">
        <v>172.67400806205498</v>
      </c>
      <c r="X916" s="406">
        <v>180.26172349224836</v>
      </c>
      <c r="Y916" s="405">
        <f t="shared" si="166"/>
        <v>140.29343465488463</v>
      </c>
      <c r="Z916" s="406">
        <v>177.16283798797343</v>
      </c>
      <c r="AA916" s="406">
        <v>185.61784150523437</v>
      </c>
      <c r="AB916" s="442">
        <f t="shared" si="167"/>
        <v>142.94320507796402</v>
      </c>
      <c r="AC916" s="438">
        <f t="shared" si="168"/>
        <v>147.1387561999133</v>
      </c>
      <c r="AD916" s="410"/>
      <c r="AE916" s="411"/>
      <c r="AF916" s="411"/>
      <c r="AG916" s="411"/>
    </row>
    <row r="917" spans="1:33" s="376" customFormat="1" x14ac:dyDescent="0.2">
      <c r="A917" s="38" t="s">
        <v>747</v>
      </c>
      <c r="B917" s="23" t="str">
        <f>VLOOKUP(LEFT(A917,7),'[7]Tariff Schedule Lookup Table'!$A$8:$G$186,2,FALSE)</f>
        <v>Fluorescent 3x20</v>
      </c>
      <c r="C917" s="375">
        <f t="shared" si="159"/>
        <v>990</v>
      </c>
      <c r="D917" s="23">
        <f t="shared" si="160"/>
        <v>1</v>
      </c>
      <c r="E917" s="23" t="str">
        <f>VLOOKUP(C917,'[7]Tariff Schedule Lookup Table'!I$7:L$287,2,FALSE)</f>
        <v>MERCURY VAPOUR 80W</v>
      </c>
      <c r="F917" s="23" t="str">
        <f>IF(E917 = "BULKHEADS ETC", "SHARED OR NO POLE", VLOOKUP(C917,'[7]Tariff Schedule Lookup Table'!I$7:L$287,3,FALSE))</f>
        <v>STEEL POLE</v>
      </c>
      <c r="G917" s="23">
        <f>IF(E917 = "NO CAPITAL", 1, VLOOKUP(C917,'[7]Tariff Schedule Lookup Table'!I$7:L$287,4,FALSE))</f>
        <v>1</v>
      </c>
      <c r="H917" s="23" t="str">
        <f t="shared" si="161"/>
        <v>1-Unmetered, CE Funded, CE Maintained</v>
      </c>
      <c r="I917" s="374">
        <f>VLOOKUP(F917,'Maintenance Model'!$A$57:$B$61,2,FALSE)</f>
        <v>9.9616182311111103</v>
      </c>
      <c r="J917" s="374">
        <f>IF(D917=1,VLOOKUP(C917,'Capital Code Schedules'!A$15:F$300,2,FALSE),IF(D917=2,VLOOKUP(C917,'Capital Code Schedules'!A$15:F$300,3,FALSE),0))</f>
        <v>86.253661186307269</v>
      </c>
      <c r="K917" s="374">
        <v>109.41024862221688</v>
      </c>
      <c r="L917" s="374">
        <f>VLOOKUP(LEFT(A917,10),'Streetlight Tariff Schedule'!B$11:H$260,7, FALSE)+I917</f>
        <v>46.813260983851151</v>
      </c>
      <c r="M917" s="161">
        <f t="shared" si="162"/>
        <v>156.22350960606803</v>
      </c>
      <c r="N917" s="405">
        <f t="shared" si="163"/>
        <v>137.15234438444961</v>
      </c>
      <c r="O917" s="405">
        <v>174.41391705322624</v>
      </c>
      <c r="P917" s="406">
        <v>169.45036869613179</v>
      </c>
      <c r="Q917" s="406">
        <v>175.03106640933993</v>
      </c>
      <c r="R917" s="406">
        <v>180.11746258827247</v>
      </c>
      <c r="S917" s="405">
        <f t="shared" si="164"/>
        <v>141.72640829293127</v>
      </c>
      <c r="T917" s="406">
        <v>180.34460856553312</v>
      </c>
      <c r="U917" s="406">
        <v>186.23554106423092</v>
      </c>
      <c r="V917" s="405">
        <f t="shared" si="165"/>
        <v>146.60317350546475</v>
      </c>
      <c r="W917" s="406">
        <v>185.53768947291792</v>
      </c>
      <c r="X917" s="406">
        <v>193.28767875240416</v>
      </c>
      <c r="Y917" s="405">
        <f t="shared" si="166"/>
        <v>152.20136717116952</v>
      </c>
      <c r="Z917" s="406">
        <v>190.39809467344497</v>
      </c>
      <c r="AA917" s="406">
        <v>199.06910372379375</v>
      </c>
      <c r="AB917" s="442">
        <f t="shared" si="167"/>
        <v>155.10962000733025</v>
      </c>
      <c r="AC917" s="438">
        <f t="shared" si="168"/>
        <v>159.66893551446321</v>
      </c>
      <c r="AD917" s="410"/>
      <c r="AE917" s="411"/>
      <c r="AF917" s="411"/>
      <c r="AG917" s="411"/>
    </row>
    <row r="918" spans="1:33" s="376" customFormat="1" x14ac:dyDescent="0.2">
      <c r="A918" s="38" t="s">
        <v>749</v>
      </c>
      <c r="B918" s="23" t="str">
        <f>VLOOKUP(LEFT(A918,7),'[7]Tariff Schedule Lookup Table'!$A$8:$G$186,2,FALSE)</f>
        <v>Low Pressure Sodium 18</v>
      </c>
      <c r="C918" s="375">
        <f t="shared" si="159"/>
        <v>360</v>
      </c>
      <c r="D918" s="23">
        <f t="shared" si="160"/>
        <v>1</v>
      </c>
      <c r="E918" s="23" t="str">
        <f>VLOOKUP(C918,'[7]Tariff Schedule Lookup Table'!I$7:L$287,2,FALSE)</f>
        <v>HIGH PRESSURE SODIUM 70W (100)</v>
      </c>
      <c r="F918" s="23" t="str">
        <f>IF(E918 = "BULKHEADS ETC", "SHARED OR NO POLE", VLOOKUP(C918,'[7]Tariff Schedule Lookup Table'!I$7:L$287,3,FALSE))</f>
        <v>STEEL POLE</v>
      </c>
      <c r="G918" s="23">
        <f>IF(E918 = "NO CAPITAL", 1, VLOOKUP(C918,'[7]Tariff Schedule Lookup Table'!I$7:L$287,4,FALSE))</f>
        <v>1</v>
      </c>
      <c r="H918" s="23" t="str">
        <f t="shared" si="161"/>
        <v>1-Unmetered, CE Funded, CE Maintained</v>
      </c>
      <c r="I918" s="374">
        <f>VLOOKUP(F918,'Maintenance Model'!$A$57:$B$61,2,FALSE)</f>
        <v>9.9616182311111103</v>
      </c>
      <c r="J918" s="374">
        <f>IF(D918=1,VLOOKUP(C918,'Capital Code Schedules'!A$15:F$300,2,FALSE),IF(D918=2,VLOOKUP(C918,'Capital Code Schedules'!A$15:F$300,3,FALSE),0))</f>
        <v>87.482155888651974</v>
      </c>
      <c r="K918" s="374">
        <v>110.96855825181379</v>
      </c>
      <c r="L918" s="374">
        <f>VLOOKUP(LEFT(A918,10),'Streetlight Tariff Schedule'!B$11:H$260,7, FALSE)+I918</f>
        <v>62.285344828862883</v>
      </c>
      <c r="M918" s="161">
        <f t="shared" si="162"/>
        <v>173.25390308067668</v>
      </c>
      <c r="N918" s="405">
        <f t="shared" si="163"/>
        <v>154.52802859671522</v>
      </c>
      <c r="O918" s="405">
        <v>175.1474321458316</v>
      </c>
      <c r="P918" s="406">
        <v>170.1131889013821</v>
      </c>
      <c r="Q918" s="406">
        <v>175.68769762430762</v>
      </c>
      <c r="R918" s="406">
        <v>180.84653838905726</v>
      </c>
      <c r="S918" s="405">
        <f t="shared" si="164"/>
        <v>159.92198736467623</v>
      </c>
      <c r="T918" s="406">
        <v>181.00150040694172</v>
      </c>
      <c r="U918" s="406">
        <v>186.96935227207322</v>
      </c>
      <c r="V918" s="405">
        <f t="shared" si="165"/>
        <v>165.59414639915266</v>
      </c>
      <c r="W918" s="406">
        <v>186.19895351451285</v>
      </c>
      <c r="X918" s="406">
        <v>194.03433038442088</v>
      </c>
      <c r="Y918" s="405">
        <f t="shared" si="166"/>
        <v>172.04380646801923</v>
      </c>
      <c r="Z918" s="406">
        <v>191.07135307922377</v>
      </c>
      <c r="AA918" s="406">
        <v>199.83259166794565</v>
      </c>
      <c r="AB918" s="442">
        <f t="shared" si="167"/>
        <v>175.37714036173085</v>
      </c>
      <c r="AC918" s="438">
        <f t="shared" si="168"/>
        <v>180.5413202538337</v>
      </c>
      <c r="AD918" s="410"/>
      <c r="AE918" s="411"/>
      <c r="AF918" s="411"/>
      <c r="AG918" s="411"/>
    </row>
    <row r="919" spans="1:33" s="376" customFormat="1" x14ac:dyDescent="0.2">
      <c r="A919" s="38" t="s">
        <v>754</v>
      </c>
      <c r="B919" s="23" t="str">
        <f>VLOOKUP(LEFT(A919,7),'[7]Tariff Schedule Lookup Table'!$A$8:$G$186,2,FALSE)</f>
        <v>Low Pressure Sodium 35</v>
      </c>
      <c r="C919" s="375">
        <f t="shared" si="159"/>
        <v>360</v>
      </c>
      <c r="D919" s="23">
        <f t="shared" si="160"/>
        <v>1</v>
      </c>
      <c r="E919" s="23" t="str">
        <f>VLOOKUP(C919,'[7]Tariff Schedule Lookup Table'!I$7:L$287,2,FALSE)</f>
        <v>HIGH PRESSURE SODIUM 70W (100)</v>
      </c>
      <c r="F919" s="23" t="str">
        <f>IF(E919 = "BULKHEADS ETC", "SHARED OR NO POLE", VLOOKUP(C919,'[7]Tariff Schedule Lookup Table'!I$7:L$287,3,FALSE))</f>
        <v>STEEL POLE</v>
      </c>
      <c r="G919" s="23">
        <f>IF(E919 = "NO CAPITAL", 1, VLOOKUP(C919,'[7]Tariff Schedule Lookup Table'!I$7:L$287,4,FALSE))</f>
        <v>1</v>
      </c>
      <c r="H919" s="23" t="str">
        <f t="shared" si="161"/>
        <v>1-Unmetered, CE Funded, CE Maintained</v>
      </c>
      <c r="I919" s="374">
        <f>VLOOKUP(F919,'Maintenance Model'!$A$57:$B$61,2,FALSE)</f>
        <v>9.9616182311111103</v>
      </c>
      <c r="J919" s="374">
        <f>IF(D919=1,VLOOKUP(C919,'Capital Code Schedules'!A$15:F$300,2,FALSE),IF(D919=2,VLOOKUP(C919,'Capital Code Schedules'!A$15:F$300,3,FALSE),0))</f>
        <v>87.482155888651974</v>
      </c>
      <c r="K919" s="374">
        <v>110.96855825181379</v>
      </c>
      <c r="L919" s="374">
        <f>VLOOKUP(LEFT(A919,10),'Streetlight Tariff Schedule'!B$11:H$260,7, FALSE)+I919</f>
        <v>62.285344828862883</v>
      </c>
      <c r="M919" s="161">
        <f t="shared" si="162"/>
        <v>173.25390308067668</v>
      </c>
      <c r="N919" s="405">
        <f t="shared" si="163"/>
        <v>154.52802859671522</v>
      </c>
      <c r="O919" s="405">
        <v>175.1474321458316</v>
      </c>
      <c r="P919" s="406">
        <v>170.1131889013821</v>
      </c>
      <c r="Q919" s="406">
        <v>175.68769762430762</v>
      </c>
      <c r="R919" s="406">
        <v>180.84653838905726</v>
      </c>
      <c r="S919" s="405">
        <f t="shared" si="164"/>
        <v>159.92198736467623</v>
      </c>
      <c r="T919" s="406">
        <v>181.00150040694172</v>
      </c>
      <c r="U919" s="406">
        <v>186.96935227207322</v>
      </c>
      <c r="V919" s="405">
        <f t="shared" si="165"/>
        <v>165.59414639915266</v>
      </c>
      <c r="W919" s="406">
        <v>186.19895351451285</v>
      </c>
      <c r="X919" s="406">
        <v>194.03433038442088</v>
      </c>
      <c r="Y919" s="405">
        <f t="shared" si="166"/>
        <v>172.04380646801923</v>
      </c>
      <c r="Z919" s="406">
        <v>191.07135307922377</v>
      </c>
      <c r="AA919" s="406">
        <v>199.83259166794565</v>
      </c>
      <c r="AB919" s="442">
        <f t="shared" si="167"/>
        <v>175.37714036173085</v>
      </c>
      <c r="AC919" s="438">
        <f t="shared" si="168"/>
        <v>180.5413202538337</v>
      </c>
      <c r="AD919" s="410"/>
      <c r="AE919" s="411"/>
      <c r="AF919" s="411"/>
      <c r="AG919" s="411"/>
    </row>
    <row r="920" spans="1:33" s="376" customFormat="1" x14ac:dyDescent="0.2">
      <c r="A920" s="38" t="s">
        <v>738</v>
      </c>
      <c r="B920" s="23" t="str">
        <f>VLOOKUP(LEFT(A920,7),'[7]Tariff Schedule Lookup Table'!$A$8:$G$186,2,FALSE)</f>
        <v>High Pressure Sodium 150</v>
      </c>
      <c r="C920" s="375">
        <f t="shared" si="159"/>
        <v>5</v>
      </c>
      <c r="D920" s="23">
        <f t="shared" si="160"/>
        <v>1</v>
      </c>
      <c r="E920" s="23" t="str">
        <f>VLOOKUP(C920,'[7]Tariff Schedule Lookup Table'!I$7:L$287,2,FALSE)</f>
        <v>MAINTENANCE COMPONENT</v>
      </c>
      <c r="F920" s="23" t="str">
        <f>IF(E920 = "BULKHEADS ETC", "SHARED OR NO POLE", VLOOKUP(C920,'[7]Tariff Schedule Lookup Table'!I$7:L$287,3,FALSE))</f>
        <v>NO CAPITAL</v>
      </c>
      <c r="G920" s="23">
        <f>IF(E920 = "NO CAPITAL", 1, VLOOKUP(C920,'[7]Tariff Schedule Lookup Table'!I$7:L$287,4,FALSE))</f>
        <v>1</v>
      </c>
      <c r="H920" s="23" t="str">
        <f t="shared" si="161"/>
        <v>1-Unmetered, CE Funded, CE Maintained</v>
      </c>
      <c r="I920" s="374">
        <f>VLOOKUP(F920,'Maintenance Model'!$A$57:$B$61,2,FALSE)</f>
        <v>0</v>
      </c>
      <c r="J920" s="374">
        <f>IF(D920=1,VLOOKUP(C920,'Capital Code Schedules'!A$15:F$300,2,FALSE),IF(D920=2,VLOOKUP(C920,'Capital Code Schedules'!A$15:F$300,3,FALSE),0))</f>
        <v>0</v>
      </c>
      <c r="K920" s="374">
        <v>0</v>
      </c>
      <c r="L920" s="374">
        <f>VLOOKUP(LEFT(A920,10),'Streetlight Tariff Schedule'!B$11:H$260,7, FALSE)+I920</f>
        <v>64.695087563558161</v>
      </c>
      <c r="M920" s="161">
        <f t="shared" si="162"/>
        <v>64.695087563558161</v>
      </c>
      <c r="N920" s="405">
        <f t="shared" si="163"/>
        <v>67.390842744848513</v>
      </c>
      <c r="O920" s="405">
        <v>35.021392674980348</v>
      </c>
      <c r="P920" s="406">
        <v>35.021392674980348</v>
      </c>
      <c r="Q920" s="406">
        <v>36.735299788428989</v>
      </c>
      <c r="R920" s="406">
        <v>36.735299788428989</v>
      </c>
      <c r="S920" s="405">
        <f t="shared" si="164"/>
        <v>70.688873917783852</v>
      </c>
      <c r="T920" s="406">
        <v>38.244062084787579</v>
      </c>
      <c r="U920" s="406">
        <v>38.383778778932012</v>
      </c>
      <c r="V920" s="405">
        <f t="shared" si="165"/>
        <v>73.861003291626304</v>
      </c>
      <c r="W920" s="406">
        <v>39.636249471434269</v>
      </c>
      <c r="X920" s="406">
        <v>40.13625616219641</v>
      </c>
      <c r="Y920" s="405">
        <f t="shared" si="166"/>
        <v>77.233254328171938</v>
      </c>
      <c r="Z920" s="406">
        <v>40.781166685363978</v>
      </c>
      <c r="AA920" s="406">
        <v>41.446734256825373</v>
      </c>
      <c r="AB920" s="442">
        <f t="shared" si="167"/>
        <v>78.909736616056094</v>
      </c>
      <c r="AC920" s="438">
        <f t="shared" si="168"/>
        <v>81.269063664475311</v>
      </c>
      <c r="AD920" s="410"/>
      <c r="AE920" s="411"/>
      <c r="AF920" s="411"/>
      <c r="AG920" s="411"/>
    </row>
    <row r="921" spans="1:33" s="376" customFormat="1" x14ac:dyDescent="0.2">
      <c r="A921" s="38" t="s">
        <v>755</v>
      </c>
      <c r="B921" s="23" t="str">
        <f>VLOOKUP(LEFT(A921,7),'[7]Tariff Schedule Lookup Table'!$A$8:$G$186,2,FALSE)</f>
        <v>Metal Hallide (Reactor Control Gear) 400</v>
      </c>
      <c r="C921" s="375">
        <f t="shared" si="159"/>
        <v>330</v>
      </c>
      <c r="D921" s="23">
        <f t="shared" si="160"/>
        <v>1</v>
      </c>
      <c r="E921" s="23" t="str">
        <f>VLOOKUP(C921,'[7]Tariff Schedule Lookup Table'!I$7:L$287,2,FALSE)</f>
        <v>HIGH PRESSURE SODIUM 400W (310/360)</v>
      </c>
      <c r="F921" s="23" t="str">
        <f>IF(E921 = "BULKHEADS ETC", "SHARED OR NO POLE", VLOOKUP(C921,'[7]Tariff Schedule Lookup Table'!I$7:L$287,3,FALSE))</f>
        <v>STEEL POLE</v>
      </c>
      <c r="G921" s="23">
        <f>IF(E921 = "NO CAPITAL", 1, VLOOKUP(C921,'[7]Tariff Schedule Lookup Table'!I$7:L$287,4,FALSE))</f>
        <v>1</v>
      </c>
      <c r="H921" s="23" t="str">
        <f t="shared" si="161"/>
        <v>1-Unmetered, CE Funded, CE Maintained</v>
      </c>
      <c r="I921" s="374">
        <f>VLOOKUP(F921,'Maintenance Model'!$A$57:$B$61,2,FALSE)</f>
        <v>9.9616182311111103</v>
      </c>
      <c r="J921" s="374">
        <f>IF(D921=1,VLOOKUP(C921,'Capital Code Schedules'!A$15:F$300,2,FALSE),IF(D921=2,VLOOKUP(C921,'Capital Code Schedules'!A$15:F$300,3,FALSE),0))</f>
        <v>95.968430970589921</v>
      </c>
      <c r="K921" s="374">
        <v>121.73315019865107</v>
      </c>
      <c r="L921" s="374">
        <f>VLOOKUP(LEFT(A921,10),'Streetlight Tariff Schedule'!B$11:H$260,7, FALSE)+I921</f>
        <v>84.575535451609795</v>
      </c>
      <c r="M921" s="161">
        <f t="shared" si="162"/>
        <v>206.30868565026088</v>
      </c>
      <c r="N921" s="405">
        <f t="shared" si="163"/>
        <v>186.44333114819031</v>
      </c>
      <c r="O921" s="405">
        <v>203.24906230852912</v>
      </c>
      <c r="P921" s="406">
        <v>197.72646835337972</v>
      </c>
      <c r="Q921" s="406">
        <v>204.38551183963312</v>
      </c>
      <c r="R921" s="406">
        <v>210.04478999517247</v>
      </c>
      <c r="S921" s="405">
        <f t="shared" si="164"/>
        <v>193.1888346582837</v>
      </c>
      <c r="T921" s="406">
        <v>210.69347264263612</v>
      </c>
      <c r="U921" s="406">
        <v>217.28456888504019</v>
      </c>
      <c r="V921" s="405">
        <f t="shared" si="165"/>
        <v>200.20790527045736</v>
      </c>
      <c r="W921" s="406">
        <v>216.8368111945735</v>
      </c>
      <c r="X921" s="406">
        <v>225.59090318827134</v>
      </c>
      <c r="Y921" s="405">
        <f t="shared" si="166"/>
        <v>208.13015950998965</v>
      </c>
      <c r="Z921" s="406">
        <v>222.54511216446576</v>
      </c>
      <c r="AA921" s="406">
        <v>232.36740769263804</v>
      </c>
      <c r="AB921" s="442">
        <f t="shared" si="167"/>
        <v>212.20789409649041</v>
      </c>
      <c r="AC921" s="438">
        <f t="shared" si="168"/>
        <v>218.46557358998552</v>
      </c>
      <c r="AD921" s="410"/>
      <c r="AE921" s="411"/>
      <c r="AF921" s="411"/>
      <c r="AG921" s="411"/>
    </row>
    <row r="922" spans="1:33" s="376" customFormat="1" x14ac:dyDescent="0.2">
      <c r="A922" s="38" t="s">
        <v>756</v>
      </c>
      <c r="B922" s="23" t="str">
        <f>VLOOKUP(LEFT(A922,7),'[7]Tariff Schedule Lookup Table'!$A$8:$G$186,2,FALSE)</f>
        <v>Mercury Vapour 400</v>
      </c>
      <c r="C922" s="375">
        <f t="shared" si="159"/>
        <v>380</v>
      </c>
      <c r="D922" s="23">
        <f t="shared" si="160"/>
        <v>1</v>
      </c>
      <c r="E922" s="23" t="str">
        <f>VLOOKUP(C922,'[7]Tariff Schedule Lookup Table'!I$7:L$287,2,FALSE)</f>
        <v>MERCURY VAPOUR 400W</v>
      </c>
      <c r="F922" s="23" t="str">
        <f>IF(E922 = "BULKHEADS ETC", "SHARED OR NO POLE", VLOOKUP(C922,'[7]Tariff Schedule Lookup Table'!I$7:L$287,3,FALSE))</f>
        <v>STEEL POLE</v>
      </c>
      <c r="G922" s="23">
        <f>IF(E922 = "NO CAPITAL", 1, VLOOKUP(C922,'[7]Tariff Schedule Lookup Table'!I$7:L$287,4,FALSE))</f>
        <v>2</v>
      </c>
      <c r="H922" s="23" t="str">
        <f t="shared" si="161"/>
        <v>1-Unmetered, CE Funded, CE Maintained</v>
      </c>
      <c r="I922" s="374">
        <f>VLOOKUP(F922,'Maintenance Model'!$A$57:$B$61,2,FALSE)</f>
        <v>9.9616182311111103</v>
      </c>
      <c r="J922" s="374">
        <f>IF(D922=1,VLOOKUP(C922,'Capital Code Schedules'!A$15:F$300,2,FALSE),IF(D922=2,VLOOKUP(C922,'Capital Code Schedules'!A$15:F$300,3,FALSE),0))</f>
        <v>106.06410083236733</v>
      </c>
      <c r="K922" s="374">
        <v>134.53921239233614</v>
      </c>
      <c r="L922" s="374">
        <f>VLOOKUP(LEFT(A922,10),'Streetlight Tariff Schedule'!B$11:H$260,7, FALSE)+I922</f>
        <v>68.934945883005099</v>
      </c>
      <c r="M922" s="161">
        <f t="shared" si="162"/>
        <v>203.47415827534124</v>
      </c>
      <c r="N922" s="405">
        <f t="shared" si="163"/>
        <v>180.49655744803042</v>
      </c>
      <c r="O922" s="405">
        <v>207.88680149016412</v>
      </c>
      <c r="P922" s="406">
        <v>201.7832426824277</v>
      </c>
      <c r="Q922" s="406">
        <v>208.3233893531465</v>
      </c>
      <c r="R922" s="406">
        <v>214.57801124137438</v>
      </c>
      <c r="S922" s="405">
        <f t="shared" si="164"/>
        <v>186.70078583236415</v>
      </c>
      <c r="T922" s="406">
        <v>214.57359930891641</v>
      </c>
      <c r="U922" s="406">
        <v>221.79126639792838</v>
      </c>
      <c r="V922" s="405">
        <f t="shared" si="165"/>
        <v>193.25511240322643</v>
      </c>
      <c r="W922" s="406">
        <v>220.69760321475189</v>
      </c>
      <c r="X922" s="406">
        <v>230.13355496424575</v>
      </c>
      <c r="Y922" s="405">
        <f t="shared" si="166"/>
        <v>200.73173279209863</v>
      </c>
      <c r="Z922" s="406">
        <v>226.45902363645652</v>
      </c>
      <c r="AA922" s="406">
        <v>236.99639746075221</v>
      </c>
      <c r="AB922" s="442">
        <f t="shared" si="167"/>
        <v>204.60257481878836</v>
      </c>
      <c r="AC922" s="438">
        <f t="shared" si="168"/>
        <v>210.62369574806914</v>
      </c>
      <c r="AD922" s="410"/>
      <c r="AE922" s="411"/>
      <c r="AF922" s="411"/>
      <c r="AG922" s="411"/>
    </row>
    <row r="923" spans="1:33" s="376" customFormat="1" x14ac:dyDescent="0.2">
      <c r="A923" s="38" t="s">
        <v>757</v>
      </c>
      <c r="B923" s="23" t="str">
        <f>VLOOKUP(LEFT(A923,7),'[7]Tariff Schedule Lookup Table'!$A$8:$G$186,2,FALSE)</f>
        <v>High Pressure Sodium 250</v>
      </c>
      <c r="C923" s="375">
        <f t="shared" si="159"/>
        <v>5</v>
      </c>
      <c r="D923" s="23">
        <f t="shared" si="160"/>
        <v>1</v>
      </c>
      <c r="E923" s="23" t="str">
        <f>VLOOKUP(C923,'[7]Tariff Schedule Lookup Table'!I$7:L$287,2,FALSE)</f>
        <v>MAINTENANCE COMPONENT</v>
      </c>
      <c r="F923" s="23" t="str">
        <f>IF(E923 = "BULKHEADS ETC", "SHARED OR NO POLE", VLOOKUP(C923,'[7]Tariff Schedule Lookup Table'!I$7:L$287,3,FALSE))</f>
        <v>NO CAPITAL</v>
      </c>
      <c r="G923" s="23">
        <f>IF(E923 = "NO CAPITAL", 1, VLOOKUP(C923,'[7]Tariff Schedule Lookup Table'!I$7:L$287,4,FALSE))</f>
        <v>1</v>
      </c>
      <c r="H923" s="23" t="str">
        <f t="shared" si="161"/>
        <v>1-Unmetered, CE Funded, CE Maintained</v>
      </c>
      <c r="I923" s="374">
        <f>VLOOKUP(F923,'Maintenance Model'!$A$57:$B$61,2,FALSE)</f>
        <v>0</v>
      </c>
      <c r="J923" s="374">
        <f>IF(D923=1,VLOOKUP(C923,'Capital Code Schedules'!A$15:F$300,2,FALSE),IF(D923=2,VLOOKUP(C923,'Capital Code Schedules'!A$15:F$300,3,FALSE),0))</f>
        <v>0</v>
      </c>
      <c r="K923" s="374">
        <v>0</v>
      </c>
      <c r="L923" s="374">
        <f>VLOOKUP(LEFT(A923,10),'Streetlight Tariff Schedule'!B$11:H$260,7, FALSE)+I923</f>
        <v>65.825701074858159</v>
      </c>
      <c r="M923" s="161">
        <f t="shared" si="162"/>
        <v>65.825701074858159</v>
      </c>
      <c r="N923" s="405">
        <f t="shared" si="163"/>
        <v>68.568567363744279</v>
      </c>
      <c r="O923" s="405">
        <v>36.128452599425493</v>
      </c>
      <c r="P923" s="406">
        <v>36.128452599425493</v>
      </c>
      <c r="Q923" s="406">
        <v>37.896537966067243</v>
      </c>
      <c r="R923" s="406">
        <v>37.896537966067243</v>
      </c>
      <c r="S923" s="405">
        <f t="shared" si="164"/>
        <v>71.92423503962344</v>
      </c>
      <c r="T923" s="406">
        <v>39.452993690534583</v>
      </c>
      <c r="U923" s="406">
        <v>39.597126963833894</v>
      </c>
      <c r="V923" s="405">
        <f t="shared" si="165"/>
        <v>75.151800652363235</v>
      </c>
      <c r="W923" s="406">
        <v>40.889189460210986</v>
      </c>
      <c r="X923" s="406">
        <v>41.405001843637443</v>
      </c>
      <c r="Y923" s="405">
        <f t="shared" si="166"/>
        <v>78.582985260668394</v>
      </c>
      <c r="Z923" s="406">
        <v>42.070298609056358</v>
      </c>
      <c r="AA923" s="406">
        <v>42.75690541194448</v>
      </c>
      <c r="AB923" s="442">
        <f t="shared" si="167"/>
        <v>80.288765809015871</v>
      </c>
      <c r="AC923" s="438">
        <f t="shared" si="168"/>
        <v>82.689324535742955</v>
      </c>
      <c r="AD923" s="410"/>
      <c r="AE923" s="411"/>
      <c r="AF923" s="411"/>
      <c r="AG923" s="411"/>
    </row>
    <row r="924" spans="1:33" s="376" customFormat="1" x14ac:dyDescent="0.2">
      <c r="A924" s="38" t="s">
        <v>758</v>
      </c>
      <c r="B924" s="23" t="str">
        <f>VLOOKUP(LEFT(A924,7),'[7]Tariff Schedule Lookup Table'!$A$8:$G$186,2,FALSE)</f>
        <v>High Pressure Sodium 1000</v>
      </c>
      <c r="C924" s="375">
        <f t="shared" si="159"/>
        <v>840</v>
      </c>
      <c r="D924" s="23">
        <f t="shared" si="160"/>
        <v>1</v>
      </c>
      <c r="E924" s="23" t="str">
        <f>VLOOKUP(C924,'[7]Tariff Schedule Lookup Table'!I$7:L$287,2,FALSE)</f>
        <v xml:space="preserve">METAL HALIDE 1000W FLOODLIGHT </v>
      </c>
      <c r="F924" s="23" t="str">
        <f>IF(E924 = "BULKHEADS ETC", "SHARED OR NO POLE", VLOOKUP(C924,'[7]Tariff Schedule Lookup Table'!I$7:L$287,3,FALSE))</f>
        <v>R/BOUT COLUMN</v>
      </c>
      <c r="G924" s="23">
        <f>IF(E924 = "NO CAPITAL", 1, VLOOKUP(C924,'[7]Tariff Schedule Lookup Table'!I$7:L$287,4,FALSE))</f>
        <v>3</v>
      </c>
      <c r="H924" s="23" t="str">
        <f t="shared" si="161"/>
        <v>1-Unmetered, CE Funded, CE Maintained</v>
      </c>
      <c r="I924" s="374">
        <f>VLOOKUP(F924,'Maintenance Model'!$A$57:$B$61,2,FALSE)</f>
        <v>9.9616182311111103</v>
      </c>
      <c r="J924" s="374">
        <f>IF(D924=1,VLOOKUP(C924,'Capital Code Schedules'!A$15:F$300,2,FALSE),IF(D924=2,VLOOKUP(C924,'Capital Code Schedules'!A$15:F$300,3,FALSE),0))</f>
        <v>200.25475215839111</v>
      </c>
      <c r="K924" s="374">
        <f>IF(D924=1,VLOOKUP(C924,'Capital Code Schedules'!E$15:G$300,2,FALSE),IF(D924=2,VLOOKUP(C924,'Capital Code Schedules'!E$15:G$300,3,FALSE),0))</f>
        <v>254.01730106394828</v>
      </c>
      <c r="L924" s="374">
        <f>VLOOKUP(LEFT(A924,10),'Streetlight Tariff Schedule'!B$11:H$260,7, FALSE)+I924</f>
        <v>201.39494185104928</v>
      </c>
      <c r="M924" s="161">
        <f t="shared" si="162"/>
        <v>455.41224291499759</v>
      </c>
      <c r="N924" s="405">
        <f t="shared" si="163"/>
        <v>414.99784893076139</v>
      </c>
      <c r="O924" s="405">
        <v>438.56578183802941</v>
      </c>
      <c r="P924" s="406">
        <v>427.04193308302803</v>
      </c>
      <c r="Q924" s="406">
        <v>441.6444162836205</v>
      </c>
      <c r="R924" s="406">
        <v>453.45348029530817</v>
      </c>
      <c r="S924" s="405">
        <f t="shared" si="164"/>
        <v>430.34354950617791</v>
      </c>
      <c r="T924" s="406">
        <v>455.42965262115695</v>
      </c>
      <c r="U924" s="406">
        <v>469.24076988820389</v>
      </c>
      <c r="V924" s="405">
        <f t="shared" si="165"/>
        <v>446.21161168010974</v>
      </c>
      <c r="W924" s="406">
        <v>468.82327203474375</v>
      </c>
      <c r="X924" s="406">
        <v>487.29652651522645</v>
      </c>
      <c r="Y924" s="405">
        <f t="shared" si="166"/>
        <v>464.04138779253657</v>
      </c>
      <c r="Z924" s="406">
        <v>481.20707531961159</v>
      </c>
      <c r="AA924" s="406">
        <v>501.9776393942376</v>
      </c>
      <c r="AB924" s="442">
        <f t="shared" si="167"/>
        <v>473.19588401074571</v>
      </c>
      <c r="AC924" s="438">
        <f t="shared" si="168"/>
        <v>487.16216959992136</v>
      </c>
      <c r="AD924" s="410"/>
      <c r="AE924" s="411"/>
      <c r="AF924" s="411"/>
      <c r="AG924" s="411"/>
    </row>
    <row r="925" spans="1:33" s="376" customFormat="1" x14ac:dyDescent="0.2">
      <c r="A925" s="38" t="s">
        <v>744</v>
      </c>
      <c r="B925" s="23" t="str">
        <f>VLOOKUP(LEFT(A925,7),'[7]Tariff Schedule Lookup Table'!$A$8:$G$186,2,FALSE)</f>
        <v>Mercury Vapour 80</v>
      </c>
      <c r="C925" s="375">
        <f t="shared" si="159"/>
        <v>5</v>
      </c>
      <c r="D925" s="23">
        <f t="shared" si="160"/>
        <v>1</v>
      </c>
      <c r="E925" s="23" t="str">
        <f>VLOOKUP(C925,'[7]Tariff Schedule Lookup Table'!I$7:L$287,2,FALSE)</f>
        <v>MAINTENANCE COMPONENT</v>
      </c>
      <c r="F925" s="23" t="str">
        <f>IF(E925 = "BULKHEADS ETC", "SHARED OR NO POLE", VLOOKUP(C925,'[7]Tariff Schedule Lookup Table'!I$7:L$287,3,FALSE))</f>
        <v>NO CAPITAL</v>
      </c>
      <c r="G925" s="23">
        <f>IF(E925 = "NO CAPITAL", 1, VLOOKUP(C925,'[7]Tariff Schedule Lookup Table'!I$7:L$287,4,FALSE))</f>
        <v>1</v>
      </c>
      <c r="H925" s="23" t="str">
        <f t="shared" si="161"/>
        <v>1-Unmetered, CE Funded, CE Maintained</v>
      </c>
      <c r="I925" s="374">
        <f>VLOOKUP(F925,'Maintenance Model'!$A$57:$B$61,2,FALSE)</f>
        <v>0</v>
      </c>
      <c r="J925" s="374">
        <f>IF(D925=1,VLOOKUP(C925,'Capital Code Schedules'!A$15:F$300,2,FALSE),IF(D925=2,VLOOKUP(C925,'Capital Code Schedules'!A$15:F$300,3,FALSE),0))</f>
        <v>0</v>
      </c>
      <c r="K925" s="374">
        <f>IF(D925=1,VLOOKUP(C925,'Capital Code Schedules'!E$15:G$300,2,FALSE),IF(D925=2,VLOOKUP(C925,'Capital Code Schedules'!E$15:G$300,3,FALSE),0))</f>
        <v>0</v>
      </c>
      <c r="L925" s="374">
        <f>VLOOKUP(LEFT(A925,10),'Streetlight Tariff Schedule'!B$11:H$260,7, FALSE)+I925</f>
        <v>34.396113742339779</v>
      </c>
      <c r="M925" s="161">
        <f t="shared" si="162"/>
        <v>34.396113742339779</v>
      </c>
      <c r="N925" s="405">
        <f t="shared" si="163"/>
        <v>35.829352421336402</v>
      </c>
      <c r="O925" s="405">
        <v>29.84449639805074</v>
      </c>
      <c r="P925" s="406">
        <v>29.84449639805074</v>
      </c>
      <c r="Q925" s="406">
        <v>31.305052097494812</v>
      </c>
      <c r="R925" s="406">
        <v>31.305052097494812</v>
      </c>
      <c r="S925" s="405">
        <f t="shared" si="164"/>
        <v>37.582800165550672</v>
      </c>
      <c r="T925" s="406">
        <v>32.590787685941514</v>
      </c>
      <c r="U925" s="406">
        <v>32.709851322668897</v>
      </c>
      <c r="V925" s="405">
        <f t="shared" si="165"/>
        <v>39.269310329725201</v>
      </c>
      <c r="W925" s="406">
        <v>33.777180581043936</v>
      </c>
      <c r="X925" s="406">
        <v>34.203275797186286</v>
      </c>
      <c r="Y925" s="405">
        <f t="shared" si="166"/>
        <v>41.062218177740604</v>
      </c>
      <c r="Z925" s="406">
        <v>34.752855020501691</v>
      </c>
      <c r="AA925" s="406">
        <v>35.320037747170637</v>
      </c>
      <c r="AB925" s="442">
        <f t="shared" si="167"/>
        <v>41.953545133661791</v>
      </c>
      <c r="AC925" s="438">
        <f t="shared" si="168"/>
        <v>43.207916749328604</v>
      </c>
      <c r="AD925" s="410"/>
      <c r="AE925" s="411"/>
      <c r="AF925" s="411"/>
      <c r="AG925" s="411"/>
    </row>
    <row r="926" spans="1:33" s="301" customFormat="1" x14ac:dyDescent="0.2">
      <c r="A926" t="s">
        <v>1848</v>
      </c>
      <c r="B926" s="23" t="str">
        <f>VLOOKUP(LEFT(A926,7),'[7]Tariff Schedule Lookup Table'!$A$8:$G$186,2,FALSE)</f>
        <v>Fluorescent 9</v>
      </c>
      <c r="C926" s="375">
        <f t="shared" ref="C926:C989" si="169">1*MID(A926,12,4)</f>
        <v>990</v>
      </c>
      <c r="D926" s="23">
        <f t="shared" ref="D926:D989" si="170">1*(MID(A926,17,3))</f>
        <v>1</v>
      </c>
      <c r="E926" s="23" t="str">
        <f>VLOOKUP(C926,'[7]Tariff Schedule Lookup Table'!I$7:L$287,2,FALSE)</f>
        <v>MERCURY VAPOUR 80W</v>
      </c>
      <c r="F926" s="23" t="str">
        <f>IF(E926 = "BULKHEADS ETC", "SHARED OR NO POLE", VLOOKUP(C926,'[7]Tariff Schedule Lookup Table'!I$7:L$287,3,FALSE))</f>
        <v>STEEL POLE</v>
      </c>
      <c r="G926" s="23">
        <f>IF(E926 = "NO CAPITAL", 1, VLOOKUP(C926,'[7]Tariff Schedule Lookup Table'!I$7:L$287,4,FALSE))</f>
        <v>1</v>
      </c>
      <c r="H926" s="23" t="str">
        <f t="shared" ref="H926:H989" si="171">VLOOKUP(D926,A$11:B$15, 2, FALSE)</f>
        <v>1-Unmetered, CE Funded, CE Maintained</v>
      </c>
      <c r="I926" s="374">
        <f>VLOOKUP(F926,'Maintenance Model'!$A$57:$B$61,2,FALSE)</f>
        <v>9.9616182311111103</v>
      </c>
      <c r="J926" s="374">
        <f>IF(D926=1,VLOOKUP(C926,'Capital Code Schedules'!A$15:F$300,2,FALSE),IF(D926=2,VLOOKUP(C926,'Capital Code Schedules'!A$15:F$300,3,FALSE),0))</f>
        <v>86.253661186307269</v>
      </c>
      <c r="K926" s="374">
        <f>IF(D926=1,VLOOKUP(C926,'Capital Code Schedules'!E$15:G$300,2,FALSE),IF(D926=2,VLOOKUP(C926,'Capital Code Schedules'!E$15:G$300,3,FALSE),0))</f>
        <v>109.41024862221688</v>
      </c>
      <c r="L926" s="374">
        <f>VLOOKUP(LEFT(A926,10),'Streetlight Tariff Schedule'!B$11:H$260,7, FALSE)+I926</f>
        <v>36.838480773651156</v>
      </c>
      <c r="M926" s="161">
        <f t="shared" si="162"/>
        <v>146.24872939586805</v>
      </c>
      <c r="N926" s="405">
        <f t="shared" si="163"/>
        <v>126.76192882315031</v>
      </c>
      <c r="O926" s="405">
        <v>163.04795675316424</v>
      </c>
      <c r="P926" s="406">
        <v>158.08440839606976</v>
      </c>
      <c r="Q926" s="406">
        <v>163.10886894331944</v>
      </c>
      <c r="R926" s="406">
        <v>168.19526512225204</v>
      </c>
      <c r="S926" s="405">
        <f t="shared" si="164"/>
        <v>130.82749761530496</v>
      </c>
      <c r="T926" s="406">
        <v>167.93275232089721</v>
      </c>
      <c r="U926" s="406">
        <v>173.77834069482995</v>
      </c>
      <c r="V926" s="405">
        <f t="shared" si="165"/>
        <v>135.21517942917527</v>
      </c>
      <c r="W926" s="406">
        <v>172.67400806205498</v>
      </c>
      <c r="X926" s="406">
        <v>180.26172349224836</v>
      </c>
      <c r="Y926" s="405">
        <f t="shared" si="166"/>
        <v>140.29343465488463</v>
      </c>
      <c r="Z926" s="406">
        <v>177.16283798797343</v>
      </c>
      <c r="AA926" s="406">
        <v>185.61784150523437</v>
      </c>
      <c r="AB926" s="442">
        <f t="shared" si="167"/>
        <v>142.94320507796402</v>
      </c>
      <c r="AC926" s="438">
        <f t="shared" si="168"/>
        <v>147.1387561999133</v>
      </c>
      <c r="AD926" s="410"/>
      <c r="AE926" s="411"/>
      <c r="AF926" s="411"/>
      <c r="AG926" s="411"/>
    </row>
    <row r="927" spans="1:33" s="301" customFormat="1" x14ac:dyDescent="0.2">
      <c r="A927" t="s">
        <v>1849</v>
      </c>
      <c r="B927" s="23" t="str">
        <f>VLOOKUP(LEFT(A927,7),'[7]Tariff Schedule Lookup Table'!$A$8:$G$186,2,FALSE)</f>
        <v>Fluorescent 9</v>
      </c>
      <c r="C927" s="375">
        <f t="shared" si="169"/>
        <v>990</v>
      </c>
      <c r="D927" s="23">
        <f t="shared" si="170"/>
        <v>2</v>
      </c>
      <c r="E927" s="23" t="str">
        <f>VLOOKUP(C927,'[7]Tariff Schedule Lookup Table'!I$7:L$287,2,FALSE)</f>
        <v>MERCURY VAPOUR 80W</v>
      </c>
      <c r="F927" s="23" t="str">
        <f>IF(E927 = "BULKHEADS ETC", "SHARED OR NO POLE", VLOOKUP(C927,'[7]Tariff Schedule Lookup Table'!I$7:L$287,3,FALSE))</f>
        <v>STEEL POLE</v>
      </c>
      <c r="G927" s="23">
        <f>IF(E927 = "NO CAPITAL", 1, VLOOKUP(C927,'[7]Tariff Schedule Lookup Table'!I$7:L$287,4,FALSE))</f>
        <v>1</v>
      </c>
      <c r="H927" s="23" t="str">
        <f t="shared" si="171"/>
        <v>2-Unmetered, Funded by Others, CE Maintained</v>
      </c>
      <c r="I927" s="374">
        <f>VLOOKUP(F927,'Maintenance Model'!$A$57:$B$61,2,FALSE)</f>
        <v>9.9616182311111103</v>
      </c>
      <c r="J927" s="374">
        <f>IF(D927=1,VLOOKUP(C927,'Capital Code Schedules'!A$15:F$300,2,FALSE),IF(D927=2,VLOOKUP(C927,'Capital Code Schedules'!A$15:F$300,3,FALSE),0))</f>
        <v>0</v>
      </c>
      <c r="K927" s="374">
        <f>IF(D927=1,VLOOKUP(C927,'Capital Code Schedules'!E$15:G$300,2,FALSE),IF(D927=2,VLOOKUP(C927,'Capital Code Schedules'!E$15:G$300,3,FALSE),0))</f>
        <v>0</v>
      </c>
      <c r="L927" s="374">
        <f>VLOOKUP(LEFT(A927,10),'Streetlight Tariff Schedule'!B$11:H$260,7, FALSE)+I927</f>
        <v>36.838480773651156</v>
      </c>
      <c r="M927" s="161">
        <f t="shared" si="162"/>
        <v>36.838480773651156</v>
      </c>
      <c r="N927" s="405">
        <f t="shared" si="163"/>
        <v>38.373489522481933</v>
      </c>
      <c r="O927" s="405">
        <v>45.966256120453025</v>
      </c>
      <c r="P927" s="406">
        <v>45.966256120453025</v>
      </c>
      <c r="Q927" s="406">
        <v>48.215792398881177</v>
      </c>
      <c r="R927" s="406">
        <v>48.215792398881177</v>
      </c>
      <c r="S927" s="405">
        <f t="shared" si="164"/>
        <v>40.25144444194504</v>
      </c>
      <c r="T927" s="406">
        <v>50.196072131984081</v>
      </c>
      <c r="U927" s="406">
        <v>50.379452998843036</v>
      </c>
      <c r="V927" s="405">
        <f t="shared" si="165"/>
        <v>42.057708740374601</v>
      </c>
      <c r="W927" s="406">
        <v>52.023345038466275</v>
      </c>
      <c r="X927" s="406">
        <v>52.679613503367513</v>
      </c>
      <c r="Y927" s="405">
        <f t="shared" si="166"/>
        <v>43.977925709733618</v>
      </c>
      <c r="Z927" s="406">
        <v>53.526071054550897</v>
      </c>
      <c r="AA927" s="406">
        <v>54.399641381670378</v>
      </c>
      <c r="AB927" s="442">
        <f t="shared" si="167"/>
        <v>44.932543175378328</v>
      </c>
      <c r="AC927" s="438">
        <f t="shared" si="168"/>
        <v>46.275984035962374</v>
      </c>
      <c r="AD927" s="410"/>
      <c r="AE927" s="411"/>
      <c r="AF927" s="411"/>
      <c r="AG927" s="411"/>
    </row>
    <row r="928" spans="1:33" s="301" customFormat="1" x14ac:dyDescent="0.2">
      <c r="A928" t="s">
        <v>1850</v>
      </c>
      <c r="B928" s="23" t="str">
        <f>VLOOKUP(LEFT(A928,7),'[7]Tariff Schedule Lookup Table'!$A$8:$G$186,2,FALSE)</f>
        <v>Fluorescent 20</v>
      </c>
      <c r="C928" s="375">
        <f t="shared" si="169"/>
        <v>740</v>
      </c>
      <c r="D928" s="23">
        <f t="shared" si="170"/>
        <v>1</v>
      </c>
      <c r="E928" s="23" t="str">
        <f>VLOOKUP(C928,'[7]Tariff Schedule Lookup Table'!I$7:L$287,2,FALSE)</f>
        <v>MERCURY VAPOUR 80W</v>
      </c>
      <c r="F928" s="23" t="str">
        <f>IF(E928 = "BULKHEADS ETC", "SHARED OR NO POLE", VLOOKUP(C928,'[7]Tariff Schedule Lookup Table'!I$7:L$287,3,FALSE))</f>
        <v>SHARED OR NO POLE</v>
      </c>
      <c r="G928" s="23">
        <f>IF(E928 = "NO CAPITAL", 1, VLOOKUP(C928,'[7]Tariff Schedule Lookup Table'!I$7:L$287,4,FALSE))</f>
        <v>2</v>
      </c>
      <c r="H928" s="23" t="str">
        <f t="shared" si="171"/>
        <v>1-Unmetered, CE Funded, CE Maintained</v>
      </c>
      <c r="I928" s="374">
        <f>VLOOKUP(F928,'Maintenance Model'!$A$57:$B$61,2,FALSE)</f>
        <v>0</v>
      </c>
      <c r="J928" s="374">
        <f>IF(D928=1,VLOOKUP(C928,'Capital Code Schedules'!A$15:F$300,2,FALSE),IF(D928=2,VLOOKUP(C928,'Capital Code Schedules'!A$15:F$300,3,FALSE),0))</f>
        <v>23.919781035330548</v>
      </c>
      <c r="K928" s="374">
        <f>IF(D928=1,VLOOKUP(C928,'Capital Code Schedules'!E$15:G$300,2,FALSE),IF(D928=2,VLOOKUP(C928,'Capital Code Schedules'!E$15:G$300,3,FALSE),0))</f>
        <v>30.34154323503618</v>
      </c>
      <c r="L928" s="374">
        <f>VLOOKUP(LEFT(A928,10),'Streetlight Tariff Schedule'!B$11:H$260,7, FALSE)+I928</f>
        <v>26.876862542540042</v>
      </c>
      <c r="M928" s="161">
        <f t="shared" si="162"/>
        <v>57.218405777576223</v>
      </c>
      <c r="N928" s="405">
        <f t="shared" si="163"/>
        <v>52.508579997764514</v>
      </c>
      <c r="O928" s="405">
        <v>68.841123694594998</v>
      </c>
      <c r="P928" s="406">
        <v>67.464637314457178</v>
      </c>
      <c r="Q928" s="406">
        <v>70.014187795162641</v>
      </c>
      <c r="R928" s="406">
        <v>71.424742213208873</v>
      </c>
      <c r="S928" s="405">
        <f t="shared" si="164"/>
        <v>54.48537771478253</v>
      </c>
      <c r="T928" s="406">
        <v>72.369727278135244</v>
      </c>
      <c r="U928" s="406">
        <v>74.085070590730169</v>
      </c>
      <c r="V928" s="405">
        <f t="shared" si="165"/>
        <v>56.519080155562442</v>
      </c>
      <c r="W928" s="406">
        <v>74.623713134943785</v>
      </c>
      <c r="X928" s="406">
        <v>77.06522679880878</v>
      </c>
      <c r="Y928" s="405">
        <f t="shared" si="166"/>
        <v>58.795828840370497</v>
      </c>
      <c r="Z928" s="406">
        <v>76.640892344533469</v>
      </c>
      <c r="AA928" s="406">
        <v>79.434605989795216</v>
      </c>
      <c r="AB928" s="442">
        <f t="shared" si="167"/>
        <v>59.962403128823368</v>
      </c>
      <c r="AC928" s="438">
        <f t="shared" si="168"/>
        <v>61.733504031360958</v>
      </c>
      <c r="AD928" s="410"/>
      <c r="AE928" s="411"/>
      <c r="AF928" s="411"/>
      <c r="AG928" s="411"/>
    </row>
    <row r="929" spans="1:33" s="301" customFormat="1" x14ac:dyDescent="0.2">
      <c r="A929" t="s">
        <v>1851</v>
      </c>
      <c r="B929" s="23" t="str">
        <f>VLOOKUP(LEFT(A929,7),'[7]Tariff Schedule Lookup Table'!$A$8:$G$186,2,FALSE)</f>
        <v>Fluorescent 20</v>
      </c>
      <c r="C929" s="375">
        <f t="shared" si="169"/>
        <v>810</v>
      </c>
      <c r="D929" s="23">
        <f t="shared" si="170"/>
        <v>2</v>
      </c>
      <c r="E929" s="23" t="str">
        <f>VLOOKUP(C929,'[7]Tariff Schedule Lookup Table'!I$7:L$287,2,FALSE)</f>
        <v>MERCURY VAPOUR 80W</v>
      </c>
      <c r="F929" s="23" t="str">
        <f>IF(E929 = "BULKHEADS ETC", "SHARED OR NO POLE", VLOOKUP(C929,'[7]Tariff Schedule Lookup Table'!I$7:L$287,3,FALSE))</f>
        <v>WOOD POLE</v>
      </c>
      <c r="G929" s="23">
        <f>IF(E929 = "NO CAPITAL", 1, VLOOKUP(C929,'[7]Tariff Schedule Lookup Table'!I$7:L$287,4,FALSE))</f>
        <v>1</v>
      </c>
      <c r="H929" s="23" t="str">
        <f t="shared" si="171"/>
        <v>2-Unmetered, Funded by Others, CE Maintained</v>
      </c>
      <c r="I929" s="374">
        <f>VLOOKUP(F929,'Maintenance Model'!$A$57:$B$61,2,FALSE)</f>
        <v>10.731618231111112</v>
      </c>
      <c r="J929" s="374">
        <f>IF(D929=1,VLOOKUP(C929,'Capital Code Schedules'!A$15:F$300,2,FALSE),IF(D929=2,VLOOKUP(C929,'Capital Code Schedules'!A$15:F$300,3,FALSE),0))</f>
        <v>0</v>
      </c>
      <c r="K929" s="374">
        <f>IF(D929=1,VLOOKUP(C929,'Capital Code Schedules'!E$15:G$300,2,FALSE),IF(D929=2,VLOOKUP(C929,'Capital Code Schedules'!E$15:G$300,3,FALSE),0))</f>
        <v>0</v>
      </c>
      <c r="L929" s="374">
        <f>VLOOKUP(LEFT(A929,10),'Streetlight Tariff Schedule'!B$11:H$260,7, FALSE)+I929</f>
        <v>37.608480773651152</v>
      </c>
      <c r="M929" s="161">
        <f t="shared" si="162"/>
        <v>37.608480773651152</v>
      </c>
      <c r="N929" s="405">
        <f t="shared" si="163"/>
        <v>39.17557436180693</v>
      </c>
      <c r="O929" s="405">
        <v>46.768340959778023</v>
      </c>
      <c r="P929" s="406">
        <v>46.768340959778023</v>
      </c>
      <c r="Q929" s="406">
        <v>49.057130357705638</v>
      </c>
      <c r="R929" s="406">
        <v>49.057130357705638</v>
      </c>
      <c r="S929" s="405">
        <f t="shared" si="164"/>
        <v>41.092782400769494</v>
      </c>
      <c r="T929" s="406">
        <v>51.071964837825178</v>
      </c>
      <c r="U929" s="406">
        <v>51.258545595768254</v>
      </c>
      <c r="V929" s="405">
        <f t="shared" si="165"/>
        <v>42.936801337299798</v>
      </c>
      <c r="W929" s="406">
        <v>52.931122609843477</v>
      </c>
      <c r="X929" s="406">
        <v>53.598842583539444</v>
      </c>
      <c r="Y929" s="405">
        <f t="shared" si="166"/>
        <v>44.897154789905549</v>
      </c>
      <c r="Z929" s="406">
        <v>54.460070334130798</v>
      </c>
      <c r="AA929" s="406">
        <v>55.348883963067834</v>
      </c>
      <c r="AB929" s="442">
        <f t="shared" si="167"/>
        <v>45.871725723584483</v>
      </c>
      <c r="AC929" s="438">
        <f t="shared" si="168"/>
        <v>47.243247260703633</v>
      </c>
      <c r="AD929" s="410"/>
      <c r="AE929" s="411"/>
      <c r="AF929" s="411"/>
      <c r="AG929" s="411"/>
    </row>
    <row r="930" spans="1:33" s="301" customFormat="1" x14ac:dyDescent="0.2">
      <c r="A930" t="s">
        <v>1852</v>
      </c>
      <c r="B930" s="23" t="str">
        <f>VLOOKUP(LEFT(A930,7),'[7]Tariff Schedule Lookup Table'!$A$8:$G$186,2,FALSE)</f>
        <v>Fluorescent 20</v>
      </c>
      <c r="C930" s="375">
        <f t="shared" si="169"/>
        <v>990</v>
      </c>
      <c r="D930" s="23">
        <f t="shared" si="170"/>
        <v>2</v>
      </c>
      <c r="E930" s="23" t="str">
        <f>VLOOKUP(C930,'[7]Tariff Schedule Lookup Table'!I$7:L$287,2,FALSE)</f>
        <v>MERCURY VAPOUR 80W</v>
      </c>
      <c r="F930" s="23" t="str">
        <f>IF(E930 = "BULKHEADS ETC", "SHARED OR NO POLE", VLOOKUP(C930,'[7]Tariff Schedule Lookup Table'!I$7:L$287,3,FALSE))</f>
        <v>STEEL POLE</v>
      </c>
      <c r="G930" s="23">
        <f>IF(E930 = "NO CAPITAL", 1, VLOOKUP(C930,'[7]Tariff Schedule Lookup Table'!I$7:L$287,4,FALSE))</f>
        <v>1</v>
      </c>
      <c r="H930" s="23" t="str">
        <f t="shared" si="171"/>
        <v>2-Unmetered, Funded by Others, CE Maintained</v>
      </c>
      <c r="I930" s="374">
        <f>VLOOKUP(F930,'Maintenance Model'!$A$57:$B$61,2,FALSE)</f>
        <v>9.9616182311111103</v>
      </c>
      <c r="J930" s="374">
        <f>IF(D930=1,VLOOKUP(C930,'Capital Code Schedules'!A$15:F$300,2,FALSE),IF(D930=2,VLOOKUP(C930,'Capital Code Schedules'!A$15:F$300,3,FALSE),0))</f>
        <v>0</v>
      </c>
      <c r="K930" s="374">
        <f>IF(D930=1,VLOOKUP(C930,'Capital Code Schedules'!E$15:G$300,2,FALSE),IF(D930=2,VLOOKUP(C930,'Capital Code Schedules'!E$15:G$300,3,FALSE),0))</f>
        <v>0</v>
      </c>
      <c r="L930" s="374">
        <f>VLOOKUP(LEFT(A930,10),'Streetlight Tariff Schedule'!B$11:H$260,7, FALSE)+I930</f>
        <v>36.838480773651156</v>
      </c>
      <c r="M930" s="161">
        <f t="shared" si="162"/>
        <v>36.838480773651156</v>
      </c>
      <c r="N930" s="405">
        <f t="shared" si="163"/>
        <v>38.373489522481933</v>
      </c>
      <c r="O930" s="405">
        <v>45.966256120453025</v>
      </c>
      <c r="P930" s="406">
        <v>45.966256120453025</v>
      </c>
      <c r="Q930" s="406">
        <v>48.215792398881177</v>
      </c>
      <c r="R930" s="406">
        <v>48.215792398881177</v>
      </c>
      <c r="S930" s="405">
        <f t="shared" si="164"/>
        <v>40.25144444194504</v>
      </c>
      <c r="T930" s="406">
        <v>50.196072131984081</v>
      </c>
      <c r="U930" s="406">
        <v>50.379452998843036</v>
      </c>
      <c r="V930" s="405">
        <f t="shared" si="165"/>
        <v>42.057708740374601</v>
      </c>
      <c r="W930" s="406">
        <v>52.023345038466275</v>
      </c>
      <c r="X930" s="406">
        <v>52.679613503367513</v>
      </c>
      <c r="Y930" s="405">
        <f t="shared" si="166"/>
        <v>43.977925709733618</v>
      </c>
      <c r="Z930" s="406">
        <v>53.526071054550897</v>
      </c>
      <c r="AA930" s="406">
        <v>54.399641381670378</v>
      </c>
      <c r="AB930" s="442">
        <f t="shared" si="167"/>
        <v>44.932543175378328</v>
      </c>
      <c r="AC930" s="438">
        <f t="shared" si="168"/>
        <v>46.275984035962374</v>
      </c>
      <c r="AD930" s="410"/>
      <c r="AE930" s="411"/>
      <c r="AF930" s="411"/>
      <c r="AG930" s="411"/>
    </row>
    <row r="931" spans="1:33" s="301" customFormat="1" x14ac:dyDescent="0.2">
      <c r="A931" t="s">
        <v>1853</v>
      </c>
      <c r="B931" s="23" t="str">
        <f>VLOOKUP(LEFT(A931,7),'[7]Tariff Schedule Lookup Table'!$A$8:$G$186,2,FALSE)</f>
        <v>Fluorescent 20</v>
      </c>
      <c r="C931" s="375">
        <f t="shared" si="169"/>
        <v>1000</v>
      </c>
      <c r="D931" s="23">
        <f t="shared" si="170"/>
        <v>1</v>
      </c>
      <c r="E931" s="23" t="str">
        <f>VLOOKUP(C931,'[7]Tariff Schedule Lookup Table'!I$7:L$287,2,FALSE)</f>
        <v>MERCURY VAPOUR 80W</v>
      </c>
      <c r="F931" s="23" t="str">
        <f>IF(E931 = "BULKHEADS ETC", "SHARED OR NO POLE", VLOOKUP(C931,'[7]Tariff Schedule Lookup Table'!I$7:L$287,3,FALSE))</f>
        <v>STEEL POLE</v>
      </c>
      <c r="G931" s="23">
        <f>IF(E931 = "NO CAPITAL", 1, VLOOKUP(C931,'[7]Tariff Schedule Lookup Table'!I$7:L$287,4,FALSE))</f>
        <v>2</v>
      </c>
      <c r="H931" s="23" t="str">
        <f t="shared" si="171"/>
        <v>1-Unmetered, CE Funded, CE Maintained</v>
      </c>
      <c r="I931" s="374">
        <f>VLOOKUP(F931,'Maintenance Model'!$A$57:$B$61,2,FALSE)</f>
        <v>9.9616182311111103</v>
      </c>
      <c r="J931" s="374">
        <f>IF(D931=1,VLOOKUP(C931,'Capital Code Schedules'!A$15:F$300,2,FALSE),IF(D931=2,VLOOKUP(C931,'Capital Code Schedules'!A$15:F$300,3,FALSE),0))</f>
        <v>92.918415054851835</v>
      </c>
      <c r="K931" s="374" t="e">
        <f>IF(D931=1,VLOOKUP(C931,'Capital Code Schedules'!E$15:G$300,2,FALSE),IF(D931=2,VLOOKUP(C931,'Capital Code Schedules'!E$15:G$300,3,FALSE),0))</f>
        <v>#N/A</v>
      </c>
      <c r="L931" s="374">
        <f>VLOOKUP(LEFT(A931,10),'Streetlight Tariff Schedule'!B$11:H$260,7, FALSE)+I931</f>
        <v>36.838480773651156</v>
      </c>
      <c r="M931" s="161" t="e">
        <f t="shared" si="162"/>
        <v>#N/A</v>
      </c>
      <c r="N931" s="405">
        <f t="shared" si="163"/>
        <v>133.59163534994136</v>
      </c>
      <c r="O931" s="405">
        <v>172.09476945068153</v>
      </c>
      <c r="P931" s="406" t="e">
        <v>#N/A</v>
      </c>
      <c r="Q931" s="406" t="e">
        <v>#N/A</v>
      </c>
      <c r="R931" s="406">
        <v>177.46598643403286</v>
      </c>
      <c r="S931" s="405">
        <f t="shared" si="164"/>
        <v>137.82623937863409</v>
      </c>
      <c r="T931" s="406" t="e">
        <v>#N/A</v>
      </c>
      <c r="U931" s="406">
        <v>183.31327756399654</v>
      </c>
      <c r="V931" s="405">
        <f t="shared" si="165"/>
        <v>142.41338533275928</v>
      </c>
      <c r="W931" s="406" t="e">
        <v>#N/A</v>
      </c>
      <c r="X931" s="406">
        <v>190.11989472127968</v>
      </c>
      <c r="Y931" s="405">
        <f t="shared" si="166"/>
        <v>147.73565973860013</v>
      </c>
      <c r="Z931" s="406" t="e">
        <v>#N/A</v>
      </c>
      <c r="AA931" s="406">
        <v>195.75697061429307</v>
      </c>
      <c r="AB931" s="442">
        <f t="shared" si="167"/>
        <v>150.5164133231529</v>
      </c>
      <c r="AC931" s="438">
        <f t="shared" si="168"/>
        <v>154.93234480503722</v>
      </c>
      <c r="AD931" s="410"/>
      <c r="AE931" s="411"/>
      <c r="AF931" s="411"/>
      <c r="AG931" s="411"/>
    </row>
    <row r="932" spans="1:33" s="301" customFormat="1" x14ac:dyDescent="0.2">
      <c r="A932" t="s">
        <v>1854</v>
      </c>
      <c r="B932" s="23" t="str">
        <f>VLOOKUP(LEFT(A932,7),'[7]Tariff Schedule Lookup Table'!$A$8:$G$186,2,FALSE)</f>
        <v>Fluorescent 20</v>
      </c>
      <c r="C932" s="375">
        <f t="shared" si="169"/>
        <v>1260</v>
      </c>
      <c r="D932" s="23">
        <f t="shared" si="170"/>
        <v>2</v>
      </c>
      <c r="E932" s="23" t="str">
        <f>VLOOKUP(C932,'[7]Tariff Schedule Lookup Table'!I$7:L$287,2,FALSE)</f>
        <v>MERCURY VAPOUR 80W</v>
      </c>
      <c r="F932" s="23" t="str">
        <f>IF(E932 = "BULKHEADS ETC", "SHARED OR NO POLE", VLOOKUP(C932,'[7]Tariff Schedule Lookup Table'!I$7:L$287,3,FALSE))</f>
        <v>WOOD POLE</v>
      </c>
      <c r="G932" s="23">
        <f>IF(E932 = "NO CAPITAL", 1, VLOOKUP(C932,'[7]Tariff Schedule Lookup Table'!I$7:L$287,4,FALSE))</f>
        <v>2</v>
      </c>
      <c r="H932" s="23" t="str">
        <f t="shared" si="171"/>
        <v>2-Unmetered, Funded by Others, CE Maintained</v>
      </c>
      <c r="I932" s="374">
        <f>VLOOKUP(F932,'Maintenance Model'!$A$57:$B$61,2,FALSE)</f>
        <v>10.731618231111112</v>
      </c>
      <c r="J932" s="374">
        <f>IF(D932=1,VLOOKUP(C932,'Capital Code Schedules'!A$15:F$300,2,FALSE),IF(D932=2,VLOOKUP(C932,'Capital Code Schedules'!A$15:F$300,3,FALSE),0))</f>
        <v>0</v>
      </c>
      <c r="K932" s="374">
        <f>IF(D932=1,VLOOKUP(C932,'Capital Code Schedules'!E$15:G$300,2,FALSE),IF(D932=2,VLOOKUP(C932,'Capital Code Schedules'!E$15:G$300,3,FALSE),0))</f>
        <v>0</v>
      </c>
      <c r="L932" s="374">
        <f>VLOOKUP(LEFT(A932,10),'Streetlight Tariff Schedule'!B$11:H$260,7, FALSE)+I932</f>
        <v>37.608480773651152</v>
      </c>
      <c r="M932" s="161">
        <f t="shared" si="162"/>
        <v>37.608480773651152</v>
      </c>
      <c r="N932" s="405">
        <f t="shared" si="163"/>
        <v>39.17557436180693</v>
      </c>
      <c r="O932" s="405">
        <v>46.768340959778023</v>
      </c>
      <c r="P932" s="406">
        <v>46.768340959778023</v>
      </c>
      <c r="Q932" s="406">
        <v>49.057130357705638</v>
      </c>
      <c r="R932" s="406">
        <v>49.057130357705638</v>
      </c>
      <c r="S932" s="405">
        <f t="shared" si="164"/>
        <v>41.092782400769494</v>
      </c>
      <c r="T932" s="406">
        <v>51.071964837825178</v>
      </c>
      <c r="U932" s="406">
        <v>51.258545595768254</v>
      </c>
      <c r="V932" s="405">
        <f t="shared" si="165"/>
        <v>42.936801337299798</v>
      </c>
      <c r="W932" s="406">
        <v>52.931122609843477</v>
      </c>
      <c r="X932" s="406">
        <v>53.598842583539444</v>
      </c>
      <c r="Y932" s="405">
        <f t="shared" si="166"/>
        <v>44.897154789905549</v>
      </c>
      <c r="Z932" s="406">
        <v>54.460070334130798</v>
      </c>
      <c r="AA932" s="406">
        <v>55.348883963067834</v>
      </c>
      <c r="AB932" s="442">
        <f t="shared" si="167"/>
        <v>45.871725723584483</v>
      </c>
      <c r="AC932" s="438">
        <f t="shared" si="168"/>
        <v>47.243247260703633</v>
      </c>
      <c r="AD932" s="410"/>
      <c r="AE932" s="411"/>
      <c r="AF932" s="411"/>
      <c r="AG932" s="411"/>
    </row>
    <row r="933" spans="1:33" s="301" customFormat="1" x14ac:dyDescent="0.2">
      <c r="A933" t="s">
        <v>1855</v>
      </c>
      <c r="B933" s="23" t="str">
        <f>VLOOKUP(LEFT(A933,7),'[7]Tariff Schedule Lookup Table'!$A$8:$G$186,2,FALSE)</f>
        <v>Fluorescent 20</v>
      </c>
      <c r="C933" s="375">
        <f t="shared" si="169"/>
        <v>1500</v>
      </c>
      <c r="D933" s="23">
        <f t="shared" si="170"/>
        <v>2</v>
      </c>
      <c r="E933" s="23" t="str">
        <f>VLOOKUP(C933,'[7]Tariff Schedule Lookup Table'!I$7:L$287,2,FALSE)</f>
        <v>MERCURY VAPOUR 80W</v>
      </c>
      <c r="F933" s="23" t="str">
        <f>IF(E933 = "BULKHEADS ETC", "SHARED OR NO POLE", VLOOKUP(C933,'[7]Tariff Schedule Lookup Table'!I$7:L$287,3,FALSE))</f>
        <v>STEEL POLE</v>
      </c>
      <c r="G933" s="23">
        <f>IF(E933 = "NO CAPITAL", 1, VLOOKUP(C933,'[7]Tariff Schedule Lookup Table'!I$7:L$287,4,FALSE))</f>
        <v>4</v>
      </c>
      <c r="H933" s="23" t="str">
        <f t="shared" si="171"/>
        <v>2-Unmetered, Funded by Others, CE Maintained</v>
      </c>
      <c r="I933" s="374">
        <f>VLOOKUP(F933,'Maintenance Model'!$A$57:$B$61,2,FALSE)</f>
        <v>9.9616182311111103</v>
      </c>
      <c r="J933" s="374">
        <f>IF(D933=1,VLOOKUP(C933,'Capital Code Schedules'!A$15:F$300,2,FALSE),IF(D933=2,VLOOKUP(C933,'Capital Code Schedules'!A$15:F$300,3,FALSE),0))</f>
        <v>0</v>
      </c>
      <c r="K933" s="374">
        <f>IF(D933=1,VLOOKUP(C933,'Capital Code Schedules'!E$15:G$300,2,FALSE),IF(D933=2,VLOOKUP(C933,'Capital Code Schedules'!E$15:G$300,3,FALSE),0))</f>
        <v>0</v>
      </c>
      <c r="L933" s="374">
        <f>VLOOKUP(LEFT(A933,10),'Streetlight Tariff Schedule'!B$11:H$260,7, FALSE)+I933</f>
        <v>36.838480773651156</v>
      </c>
      <c r="M933" s="161">
        <f t="shared" si="162"/>
        <v>36.838480773651156</v>
      </c>
      <c r="N933" s="405">
        <f t="shared" si="163"/>
        <v>38.373489522481933</v>
      </c>
      <c r="O933" s="405">
        <v>45.966256120453025</v>
      </c>
      <c r="P933" s="406">
        <v>45.966256120453025</v>
      </c>
      <c r="Q933" s="406">
        <v>48.215792398881177</v>
      </c>
      <c r="R933" s="406">
        <v>48.215792398881177</v>
      </c>
      <c r="S933" s="405">
        <f t="shared" si="164"/>
        <v>40.25144444194504</v>
      </c>
      <c r="T933" s="406">
        <v>50.196072131984081</v>
      </c>
      <c r="U933" s="406">
        <v>50.379452998843036</v>
      </c>
      <c r="V933" s="405">
        <f t="shared" si="165"/>
        <v>42.057708740374601</v>
      </c>
      <c r="W933" s="406">
        <v>52.023345038466275</v>
      </c>
      <c r="X933" s="406">
        <v>52.679613503367513</v>
      </c>
      <c r="Y933" s="405">
        <f t="shared" si="166"/>
        <v>43.977925709733618</v>
      </c>
      <c r="Z933" s="406">
        <v>53.526071054550897</v>
      </c>
      <c r="AA933" s="406">
        <v>54.399641381670378</v>
      </c>
      <c r="AB933" s="442">
        <f t="shared" si="167"/>
        <v>44.932543175378328</v>
      </c>
      <c r="AC933" s="438">
        <f t="shared" si="168"/>
        <v>46.275984035962374</v>
      </c>
      <c r="AD933" s="410"/>
      <c r="AE933" s="411"/>
      <c r="AF933" s="411"/>
      <c r="AG933" s="411"/>
    </row>
    <row r="934" spans="1:33" s="301" customFormat="1" x14ac:dyDescent="0.2">
      <c r="A934" t="s">
        <v>1856</v>
      </c>
      <c r="B934" s="23" t="str">
        <f>VLOOKUP(LEFT(A934,7),'[7]Tariff Schedule Lookup Table'!$A$8:$G$186,2,FALSE)</f>
        <v>Fluorescent Twin 20</v>
      </c>
      <c r="C934" s="375">
        <f t="shared" si="169"/>
        <v>740</v>
      </c>
      <c r="D934" s="23">
        <f t="shared" si="170"/>
        <v>1</v>
      </c>
      <c r="E934" s="23" t="str">
        <f>VLOOKUP(C934,'[7]Tariff Schedule Lookup Table'!I$7:L$287,2,FALSE)</f>
        <v>MERCURY VAPOUR 80W</v>
      </c>
      <c r="F934" s="23" t="str">
        <f>IF(E934 = "BULKHEADS ETC", "SHARED OR NO POLE", VLOOKUP(C934,'[7]Tariff Schedule Lookup Table'!I$7:L$287,3,FALSE))</f>
        <v>SHARED OR NO POLE</v>
      </c>
      <c r="G934" s="23">
        <f>IF(E934 = "NO CAPITAL", 1, VLOOKUP(C934,'[7]Tariff Schedule Lookup Table'!I$7:L$287,4,FALSE))</f>
        <v>2</v>
      </c>
      <c r="H934" s="23" t="str">
        <f t="shared" si="171"/>
        <v>1-Unmetered, CE Funded, CE Maintained</v>
      </c>
      <c r="I934" s="374">
        <f>VLOOKUP(F934,'Maintenance Model'!$A$57:$B$61,2,FALSE)</f>
        <v>0</v>
      </c>
      <c r="J934" s="374">
        <f>IF(D934=1,VLOOKUP(C934,'Capital Code Schedules'!A$15:F$300,2,FALSE),IF(D934=2,VLOOKUP(C934,'Capital Code Schedules'!A$15:F$300,3,FALSE),0))</f>
        <v>23.919781035330548</v>
      </c>
      <c r="K934" s="374">
        <f>IF(D934=1,VLOOKUP(C934,'Capital Code Schedules'!E$15:G$300,2,FALSE),IF(D934=2,VLOOKUP(C934,'Capital Code Schedules'!E$15:G$300,3,FALSE),0))</f>
        <v>30.34154323503618</v>
      </c>
      <c r="L934" s="374">
        <f>VLOOKUP(LEFT(A934,10),'Streetlight Tariff Schedule'!B$11:H$260,7, FALSE)+I934</f>
        <v>31.86425264764004</v>
      </c>
      <c r="M934" s="161">
        <f t="shared" si="162"/>
        <v>62.20579588267622</v>
      </c>
      <c r="N934" s="405">
        <f t="shared" si="163"/>
        <v>57.70378777841416</v>
      </c>
      <c r="O934" s="405">
        <v>74.524103844625984</v>
      </c>
      <c r="P934" s="406">
        <v>73.147617464488178</v>
      </c>
      <c r="Q934" s="406">
        <v>75.975286528172887</v>
      </c>
      <c r="R934" s="406">
        <v>77.385840946219105</v>
      </c>
      <c r="S934" s="405">
        <f t="shared" si="164"/>
        <v>59.934833053595689</v>
      </c>
      <c r="T934" s="406">
        <v>78.575655400453201</v>
      </c>
      <c r="U934" s="406">
        <v>80.313670775430651</v>
      </c>
      <c r="V934" s="405">
        <f t="shared" si="165"/>
        <v>62.213077193707193</v>
      </c>
      <c r="W934" s="406">
        <v>81.055553840375239</v>
      </c>
      <c r="X934" s="406">
        <v>83.578204428886679</v>
      </c>
      <c r="Y934" s="405">
        <f t="shared" si="166"/>
        <v>64.749795098512948</v>
      </c>
      <c r="Z934" s="406">
        <v>83.258520687269225</v>
      </c>
      <c r="AA934" s="406">
        <v>86.160237099074905</v>
      </c>
      <c r="AB934" s="442">
        <f t="shared" si="167"/>
        <v>66.045610593506481</v>
      </c>
      <c r="AC934" s="438">
        <f t="shared" si="168"/>
        <v>67.998593688635921</v>
      </c>
      <c r="AD934" s="410"/>
      <c r="AE934" s="411"/>
      <c r="AF934" s="411"/>
      <c r="AG934" s="411"/>
    </row>
    <row r="935" spans="1:33" s="301" customFormat="1" x14ac:dyDescent="0.2">
      <c r="A935" t="s">
        <v>1857</v>
      </c>
      <c r="B935" s="23" t="str">
        <f>VLOOKUP(LEFT(A935,7),'[7]Tariff Schedule Lookup Table'!$A$8:$G$186,2,FALSE)</f>
        <v>Fluorescent Twin 20</v>
      </c>
      <c r="C935" s="375">
        <f t="shared" si="169"/>
        <v>810</v>
      </c>
      <c r="D935" s="23">
        <f t="shared" si="170"/>
        <v>1</v>
      </c>
      <c r="E935" s="23" t="str">
        <f>VLOOKUP(C935,'[7]Tariff Schedule Lookup Table'!I$7:L$287,2,FALSE)</f>
        <v>MERCURY VAPOUR 80W</v>
      </c>
      <c r="F935" s="23" t="str">
        <f>IF(E935 = "BULKHEADS ETC", "SHARED OR NO POLE", VLOOKUP(C935,'[7]Tariff Schedule Lookup Table'!I$7:L$287,3,FALSE))</f>
        <v>WOOD POLE</v>
      </c>
      <c r="G935" s="23">
        <f>IF(E935 = "NO CAPITAL", 1, VLOOKUP(C935,'[7]Tariff Schedule Lookup Table'!I$7:L$287,4,FALSE))</f>
        <v>1</v>
      </c>
      <c r="H935" s="23" t="str">
        <f t="shared" si="171"/>
        <v>1-Unmetered, CE Funded, CE Maintained</v>
      </c>
      <c r="I935" s="374">
        <f>VLOOKUP(F935,'Maintenance Model'!$A$57:$B$61,2,FALSE)</f>
        <v>10.731618231111112</v>
      </c>
      <c r="J935" s="374">
        <f>IF(D935=1,VLOOKUP(C935,'Capital Code Schedules'!A$15:F$300,2,FALSE),IF(D935=2,VLOOKUP(C935,'Capital Code Schedules'!A$15:F$300,3,FALSE),0))</f>
        <v>51.156145528662286</v>
      </c>
      <c r="K935" s="374">
        <f>IF(D935=1,VLOOKUP(C935,'Capital Code Schedules'!E$15:G$300,2,FALSE),IF(D935=2,VLOOKUP(C935,'Capital Code Schedules'!E$15:G$300,3,FALSE),0))</f>
        <v>64.890075665956445</v>
      </c>
      <c r="L935" s="374">
        <f>VLOOKUP(LEFT(A935,10),'Streetlight Tariff Schedule'!B$11:H$260,7, FALSE)+I935</f>
        <v>42.59587087875115</v>
      </c>
      <c r="M935" s="161">
        <f t="shared" si="162"/>
        <v>107.48594654470759</v>
      </c>
      <c r="N935" s="405">
        <f t="shared" si="163"/>
        <v>96.793042272953258</v>
      </c>
      <c r="O935" s="405">
        <v>121.89125483474483</v>
      </c>
      <c r="P935" s="406">
        <v>118.94742614849788</v>
      </c>
      <c r="Q935" s="406">
        <v>123.1601127291123</v>
      </c>
      <c r="R935" s="406">
        <v>126.17680117534385</v>
      </c>
      <c r="S935" s="405">
        <f t="shared" si="164"/>
        <v>100.26194880830911</v>
      </c>
      <c r="T935" s="406">
        <v>127.10628821858988</v>
      </c>
      <c r="U935" s="406">
        <v>130.67373716950863</v>
      </c>
      <c r="V935" s="405">
        <f t="shared" si="165"/>
        <v>103.88152120962972</v>
      </c>
      <c r="W935" s="406">
        <v>130.91961135636822</v>
      </c>
      <c r="X935" s="406">
        <v>135.77943705074568</v>
      </c>
      <c r="Y935" s="405">
        <f t="shared" si="166"/>
        <v>107.97484338631205</v>
      </c>
      <c r="Z935" s="406">
        <v>134.4053737569769</v>
      </c>
      <c r="AA935" s="406">
        <v>139.89865898933402</v>
      </c>
      <c r="AB935" s="442">
        <f t="shared" si="167"/>
        <v>110.08403303968511</v>
      </c>
      <c r="AC935" s="438">
        <f t="shared" si="168"/>
        <v>113.32899357507235</v>
      </c>
      <c r="AD935" s="410"/>
      <c r="AE935" s="411"/>
      <c r="AF935" s="411"/>
      <c r="AG935" s="411"/>
    </row>
    <row r="936" spans="1:33" s="301" customFormat="1" x14ac:dyDescent="0.2">
      <c r="A936" t="s">
        <v>1858</v>
      </c>
      <c r="B936" s="23" t="str">
        <f>VLOOKUP(LEFT(A936,7),'[7]Tariff Schedule Lookup Table'!$A$8:$G$186,2,FALSE)</f>
        <v>Fluorescent Twin 20</v>
      </c>
      <c r="C936" s="375">
        <f t="shared" si="169"/>
        <v>810</v>
      </c>
      <c r="D936" s="23">
        <f t="shared" si="170"/>
        <v>2</v>
      </c>
      <c r="E936" s="23" t="str">
        <f>VLOOKUP(C936,'[7]Tariff Schedule Lookup Table'!I$7:L$287,2,FALSE)</f>
        <v>MERCURY VAPOUR 80W</v>
      </c>
      <c r="F936" s="23" t="str">
        <f>IF(E936 = "BULKHEADS ETC", "SHARED OR NO POLE", VLOOKUP(C936,'[7]Tariff Schedule Lookup Table'!I$7:L$287,3,FALSE))</f>
        <v>WOOD POLE</v>
      </c>
      <c r="G936" s="23">
        <f>IF(E936 = "NO CAPITAL", 1, VLOOKUP(C936,'[7]Tariff Schedule Lookup Table'!I$7:L$287,4,FALSE))</f>
        <v>1</v>
      </c>
      <c r="H936" s="23" t="str">
        <f t="shared" si="171"/>
        <v>2-Unmetered, Funded by Others, CE Maintained</v>
      </c>
      <c r="I936" s="374">
        <f>VLOOKUP(F936,'Maintenance Model'!$A$57:$B$61,2,FALSE)</f>
        <v>10.731618231111112</v>
      </c>
      <c r="J936" s="374">
        <f>IF(D936=1,VLOOKUP(C936,'Capital Code Schedules'!A$15:F$300,2,FALSE),IF(D936=2,VLOOKUP(C936,'Capital Code Schedules'!A$15:F$300,3,FALSE),0))</f>
        <v>0</v>
      </c>
      <c r="K936" s="374">
        <f>IF(D936=1,VLOOKUP(C936,'Capital Code Schedules'!E$15:G$300,2,FALSE),IF(D936=2,VLOOKUP(C936,'Capital Code Schedules'!E$15:G$300,3,FALSE),0))</f>
        <v>0</v>
      </c>
      <c r="L936" s="374">
        <f>VLOOKUP(LEFT(A936,10),'Streetlight Tariff Schedule'!B$11:H$260,7, FALSE)+I936</f>
        <v>42.59587087875115</v>
      </c>
      <c r="M936" s="161">
        <f t="shared" si="162"/>
        <v>42.59587087875115</v>
      </c>
      <c r="N936" s="405">
        <f t="shared" si="163"/>
        <v>44.370782142456576</v>
      </c>
      <c r="O936" s="405">
        <v>52.451321109809015</v>
      </c>
      <c r="P936" s="406">
        <v>52.451321109809015</v>
      </c>
      <c r="Q936" s="406">
        <v>55.018229090715877</v>
      </c>
      <c r="R936" s="406">
        <v>55.018229090715877</v>
      </c>
      <c r="S936" s="405">
        <f t="shared" si="164"/>
        <v>46.542237739582646</v>
      </c>
      <c r="T936" s="406">
        <v>57.277892960143134</v>
      </c>
      <c r="U936" s="406">
        <v>57.487145780468744</v>
      </c>
      <c r="V936" s="405">
        <f t="shared" si="165"/>
        <v>48.630798375444556</v>
      </c>
      <c r="W936" s="406">
        <v>59.362963315274925</v>
      </c>
      <c r="X936" s="406">
        <v>60.111820213617349</v>
      </c>
      <c r="Y936" s="405">
        <f t="shared" si="166"/>
        <v>50.851121048047993</v>
      </c>
      <c r="Z936" s="406">
        <v>61.077698676866561</v>
      </c>
      <c r="AA936" s="406">
        <v>62.074515072347523</v>
      </c>
      <c r="AB936" s="442">
        <f t="shared" si="167"/>
        <v>51.954933188267603</v>
      </c>
      <c r="AC936" s="438">
        <f t="shared" si="168"/>
        <v>53.508336917978596</v>
      </c>
      <c r="AD936" s="410"/>
      <c r="AE936" s="411"/>
      <c r="AF936" s="411"/>
      <c r="AG936" s="411"/>
    </row>
    <row r="937" spans="1:33" s="301" customFormat="1" x14ac:dyDescent="0.2">
      <c r="A937" t="s">
        <v>1859</v>
      </c>
      <c r="B937" s="23" t="str">
        <f>VLOOKUP(LEFT(A937,7),'[7]Tariff Schedule Lookup Table'!$A$8:$G$186,2,FALSE)</f>
        <v>Fluorescent Twin 20</v>
      </c>
      <c r="C937" s="375">
        <f t="shared" si="169"/>
        <v>830</v>
      </c>
      <c r="D937" s="23">
        <f t="shared" si="170"/>
        <v>2</v>
      </c>
      <c r="E937" s="23" t="str">
        <f>VLOOKUP(C937,'[7]Tariff Schedule Lookup Table'!I$7:L$287,2,FALSE)</f>
        <v>MERCURY VAPOUR 80W</v>
      </c>
      <c r="F937" s="23" t="str">
        <f>IF(E937 = "BULKHEADS ETC", "SHARED OR NO POLE", VLOOKUP(C937,'[7]Tariff Schedule Lookup Table'!I$7:L$287,3,FALSE))</f>
        <v>SHARED OR NO POLE</v>
      </c>
      <c r="G937" s="23">
        <f>IF(E937 = "NO CAPITAL", 1, VLOOKUP(C937,'[7]Tariff Schedule Lookup Table'!I$7:L$287,4,FALSE))</f>
        <v>4</v>
      </c>
      <c r="H937" s="23" t="str">
        <f t="shared" si="171"/>
        <v>2-Unmetered, Funded by Others, CE Maintained</v>
      </c>
      <c r="I937" s="374">
        <f>VLOOKUP(F937,'Maintenance Model'!$A$57:$B$61,2,FALSE)</f>
        <v>0</v>
      </c>
      <c r="J937" s="374">
        <f>IF(D937=1,VLOOKUP(C937,'Capital Code Schedules'!A$15:F$300,2,FALSE),IF(D937=2,VLOOKUP(C937,'Capital Code Schedules'!A$15:F$300,3,FALSE),0))</f>
        <v>0</v>
      </c>
      <c r="K937" s="374">
        <f>IF(D937=1,VLOOKUP(C937,'Capital Code Schedules'!E$15:G$300,2,FALSE),IF(D937=2,VLOOKUP(C937,'Capital Code Schedules'!E$15:G$300,3,FALSE),0))</f>
        <v>0</v>
      </c>
      <c r="L937" s="374">
        <f>VLOOKUP(LEFT(A937,10),'Streetlight Tariff Schedule'!B$11:H$260,7, FALSE)+I937</f>
        <v>31.86425264764004</v>
      </c>
      <c r="M937" s="161">
        <f t="shared" si="162"/>
        <v>31.86425264764004</v>
      </c>
      <c r="N937" s="405">
        <f t="shared" si="163"/>
        <v>33.191992162459179</v>
      </c>
      <c r="O937" s="405">
        <v>42.055121034384847</v>
      </c>
      <c r="P937" s="406">
        <v>42.055121034384847</v>
      </c>
      <c r="Q937" s="406">
        <v>44.1132508114245</v>
      </c>
      <c r="R937" s="406">
        <v>44.1132508114245</v>
      </c>
      <c r="S937" s="405">
        <f t="shared" si="164"/>
        <v>34.816370496145822</v>
      </c>
      <c r="T937" s="406">
        <v>45.925034299715279</v>
      </c>
      <c r="U937" s="406">
        <v>46.092811821794406</v>
      </c>
      <c r="V937" s="405">
        <f t="shared" si="165"/>
        <v>36.378738453370005</v>
      </c>
      <c r="W937" s="406">
        <v>47.596829867394064</v>
      </c>
      <c r="X937" s="406">
        <v>48.197258356722145</v>
      </c>
      <c r="Y937" s="405">
        <f t="shared" si="166"/>
        <v>38.039672274878335</v>
      </c>
      <c r="Z937" s="406">
        <v>48.971693295956776</v>
      </c>
      <c r="AA937" s="406">
        <v>49.770934063853694</v>
      </c>
      <c r="AB937" s="442">
        <f t="shared" si="167"/>
        <v>38.865389608175903</v>
      </c>
      <c r="AC937" s="438">
        <f t="shared" si="168"/>
        <v>40.027428272632214</v>
      </c>
      <c r="AD937" s="410"/>
      <c r="AE937" s="411"/>
      <c r="AF937" s="411"/>
      <c r="AG937" s="411"/>
    </row>
    <row r="938" spans="1:33" s="301" customFormat="1" x14ac:dyDescent="0.2">
      <c r="A938" t="s">
        <v>1860</v>
      </c>
      <c r="B938" s="23" t="str">
        <f>VLOOKUP(LEFT(A938,7),'[7]Tariff Schedule Lookup Table'!$A$8:$G$186,2,FALSE)</f>
        <v>Fluorescent Twin 20</v>
      </c>
      <c r="C938" s="375">
        <f t="shared" si="169"/>
        <v>990</v>
      </c>
      <c r="D938" s="23">
        <f t="shared" si="170"/>
        <v>2</v>
      </c>
      <c r="E938" s="23" t="str">
        <f>VLOOKUP(C938,'[7]Tariff Schedule Lookup Table'!I$7:L$287,2,FALSE)</f>
        <v>MERCURY VAPOUR 80W</v>
      </c>
      <c r="F938" s="23" t="str">
        <f>IF(E938 = "BULKHEADS ETC", "SHARED OR NO POLE", VLOOKUP(C938,'[7]Tariff Schedule Lookup Table'!I$7:L$287,3,FALSE))</f>
        <v>STEEL POLE</v>
      </c>
      <c r="G938" s="23">
        <f>IF(E938 = "NO CAPITAL", 1, VLOOKUP(C938,'[7]Tariff Schedule Lookup Table'!I$7:L$287,4,FALSE))</f>
        <v>1</v>
      </c>
      <c r="H938" s="23" t="str">
        <f t="shared" si="171"/>
        <v>2-Unmetered, Funded by Others, CE Maintained</v>
      </c>
      <c r="I938" s="374">
        <f>VLOOKUP(F938,'Maintenance Model'!$A$57:$B$61,2,FALSE)</f>
        <v>9.9616182311111103</v>
      </c>
      <c r="J938" s="374">
        <f>IF(D938=1,VLOOKUP(C938,'Capital Code Schedules'!A$15:F$300,2,FALSE),IF(D938=2,VLOOKUP(C938,'Capital Code Schedules'!A$15:F$300,3,FALSE),0))</f>
        <v>0</v>
      </c>
      <c r="K938" s="374">
        <f>IF(D938=1,VLOOKUP(C938,'Capital Code Schedules'!E$15:G$300,2,FALSE),IF(D938=2,VLOOKUP(C938,'Capital Code Schedules'!E$15:G$300,3,FALSE),0))</f>
        <v>0</v>
      </c>
      <c r="L938" s="374">
        <f>VLOOKUP(LEFT(A938,10),'Streetlight Tariff Schedule'!B$11:H$260,7, FALSE)+I938</f>
        <v>41.825870878751147</v>
      </c>
      <c r="M938" s="161">
        <f t="shared" si="162"/>
        <v>41.825870878751147</v>
      </c>
      <c r="N938" s="405">
        <f t="shared" si="163"/>
        <v>43.568697303131572</v>
      </c>
      <c r="O938" s="405">
        <v>51.64923627048401</v>
      </c>
      <c r="P938" s="406">
        <v>51.64923627048401</v>
      </c>
      <c r="Q938" s="406">
        <v>54.176891131891416</v>
      </c>
      <c r="R938" s="406">
        <v>54.176891131891416</v>
      </c>
      <c r="S938" s="405">
        <f t="shared" si="164"/>
        <v>45.700899780758185</v>
      </c>
      <c r="T938" s="406">
        <v>56.402000254302031</v>
      </c>
      <c r="U938" s="406">
        <v>56.608053183543539</v>
      </c>
      <c r="V938" s="405">
        <f t="shared" si="165"/>
        <v>47.751705778519337</v>
      </c>
      <c r="W938" s="406">
        <v>58.455185743897722</v>
      </c>
      <c r="X938" s="406">
        <v>59.192591133445411</v>
      </c>
      <c r="Y938" s="405">
        <f t="shared" si="166"/>
        <v>49.931891967876055</v>
      </c>
      <c r="Z938" s="406">
        <v>60.14369939728666</v>
      </c>
      <c r="AA938" s="406">
        <v>61.125272490950081</v>
      </c>
      <c r="AB938" s="442">
        <f t="shared" si="167"/>
        <v>51.015750640061434</v>
      </c>
      <c r="AC938" s="438">
        <f t="shared" si="168"/>
        <v>52.541073693237315</v>
      </c>
      <c r="AD938" s="410"/>
      <c r="AE938" s="411"/>
      <c r="AF938" s="411"/>
      <c r="AG938" s="411"/>
    </row>
    <row r="939" spans="1:33" s="301" customFormat="1" x14ac:dyDescent="0.2">
      <c r="A939" t="s">
        <v>1861</v>
      </c>
      <c r="B939" s="23" t="str">
        <f>VLOOKUP(LEFT(A939,7),'[7]Tariff Schedule Lookup Table'!$A$8:$G$186,2,FALSE)</f>
        <v>Fluorescent Twin 20</v>
      </c>
      <c r="C939" s="375">
        <f t="shared" si="169"/>
        <v>1000</v>
      </c>
      <c r="D939" s="23">
        <f t="shared" si="170"/>
        <v>2</v>
      </c>
      <c r="E939" s="23" t="str">
        <f>VLOOKUP(C939,'[7]Tariff Schedule Lookup Table'!I$7:L$287,2,FALSE)</f>
        <v>MERCURY VAPOUR 80W</v>
      </c>
      <c r="F939" s="23" t="str">
        <f>IF(E939 = "BULKHEADS ETC", "SHARED OR NO POLE", VLOOKUP(C939,'[7]Tariff Schedule Lookup Table'!I$7:L$287,3,FALSE))</f>
        <v>STEEL POLE</v>
      </c>
      <c r="G939" s="23">
        <f>IF(E939 = "NO CAPITAL", 1, VLOOKUP(C939,'[7]Tariff Schedule Lookup Table'!I$7:L$287,4,FALSE))</f>
        <v>2</v>
      </c>
      <c r="H939" s="23" t="str">
        <f t="shared" si="171"/>
        <v>2-Unmetered, Funded by Others, CE Maintained</v>
      </c>
      <c r="I939" s="374">
        <f>VLOOKUP(F939,'Maintenance Model'!$A$57:$B$61,2,FALSE)</f>
        <v>9.9616182311111103</v>
      </c>
      <c r="J939" s="374">
        <f>IF(D939=1,VLOOKUP(C939,'Capital Code Schedules'!A$15:F$300,2,FALSE),IF(D939=2,VLOOKUP(C939,'Capital Code Schedules'!A$15:F$300,3,FALSE),0))</f>
        <v>0</v>
      </c>
      <c r="K939" s="374">
        <f>IF(D939=1,VLOOKUP(C939,'Capital Code Schedules'!E$15:G$300,2,FALSE),IF(D939=2,VLOOKUP(C939,'Capital Code Schedules'!E$15:G$300,3,FALSE),0))</f>
        <v>0</v>
      </c>
      <c r="L939" s="374">
        <f>VLOOKUP(LEFT(A939,10),'Streetlight Tariff Schedule'!B$11:H$260,7, FALSE)+I939</f>
        <v>41.825870878751147</v>
      </c>
      <c r="M939" s="161">
        <f t="shared" si="162"/>
        <v>41.825870878751147</v>
      </c>
      <c r="N939" s="405">
        <f t="shared" si="163"/>
        <v>43.568697303131572</v>
      </c>
      <c r="O939" s="405">
        <v>51.64923627048401</v>
      </c>
      <c r="P939" s="406">
        <v>51.64923627048401</v>
      </c>
      <c r="Q939" s="406">
        <v>54.176891131891416</v>
      </c>
      <c r="R939" s="406">
        <v>54.176891131891416</v>
      </c>
      <c r="S939" s="405">
        <f t="shared" si="164"/>
        <v>45.700899780758185</v>
      </c>
      <c r="T939" s="406">
        <v>56.402000254302031</v>
      </c>
      <c r="U939" s="406">
        <v>56.608053183543539</v>
      </c>
      <c r="V939" s="405">
        <f t="shared" si="165"/>
        <v>47.751705778519337</v>
      </c>
      <c r="W939" s="406">
        <v>58.455185743897722</v>
      </c>
      <c r="X939" s="406">
        <v>59.192591133445411</v>
      </c>
      <c r="Y939" s="405">
        <f t="shared" si="166"/>
        <v>49.931891967876055</v>
      </c>
      <c r="Z939" s="406">
        <v>60.14369939728666</v>
      </c>
      <c r="AA939" s="406">
        <v>61.125272490950081</v>
      </c>
      <c r="AB939" s="442">
        <f t="shared" si="167"/>
        <v>51.015750640061434</v>
      </c>
      <c r="AC939" s="438">
        <f t="shared" si="168"/>
        <v>52.541073693237315</v>
      </c>
      <c r="AD939" s="410"/>
      <c r="AE939" s="411"/>
      <c r="AF939" s="411"/>
      <c r="AG939" s="411"/>
    </row>
    <row r="940" spans="1:33" s="301" customFormat="1" x14ac:dyDescent="0.2">
      <c r="A940" t="s">
        <v>1862</v>
      </c>
      <c r="B940" s="23" t="str">
        <f>VLOOKUP(LEFT(A940,7),'[7]Tariff Schedule Lookup Table'!$A$8:$G$186,2,FALSE)</f>
        <v>Fluorescent Twin 20</v>
      </c>
      <c r="C940" s="375">
        <f t="shared" si="169"/>
        <v>1260</v>
      </c>
      <c r="D940" s="23">
        <f t="shared" si="170"/>
        <v>2</v>
      </c>
      <c r="E940" s="23" t="str">
        <f>VLOOKUP(C940,'[7]Tariff Schedule Lookup Table'!I$7:L$287,2,FALSE)</f>
        <v>MERCURY VAPOUR 80W</v>
      </c>
      <c r="F940" s="23" t="str">
        <f>IF(E940 = "BULKHEADS ETC", "SHARED OR NO POLE", VLOOKUP(C940,'[7]Tariff Schedule Lookup Table'!I$7:L$287,3,FALSE))</f>
        <v>WOOD POLE</v>
      </c>
      <c r="G940" s="23">
        <f>IF(E940 = "NO CAPITAL", 1, VLOOKUP(C940,'[7]Tariff Schedule Lookup Table'!I$7:L$287,4,FALSE))</f>
        <v>2</v>
      </c>
      <c r="H940" s="23" t="str">
        <f t="shared" si="171"/>
        <v>2-Unmetered, Funded by Others, CE Maintained</v>
      </c>
      <c r="I940" s="374">
        <f>VLOOKUP(F940,'Maintenance Model'!$A$57:$B$61,2,FALSE)</f>
        <v>10.731618231111112</v>
      </c>
      <c r="J940" s="374">
        <f>IF(D940=1,VLOOKUP(C940,'Capital Code Schedules'!A$15:F$300,2,FALSE),IF(D940=2,VLOOKUP(C940,'Capital Code Schedules'!A$15:F$300,3,FALSE),0))</f>
        <v>0</v>
      </c>
      <c r="K940" s="374">
        <f>IF(D940=1,VLOOKUP(C940,'Capital Code Schedules'!E$15:G$300,2,FALSE),IF(D940=2,VLOOKUP(C940,'Capital Code Schedules'!E$15:G$300,3,FALSE),0))</f>
        <v>0</v>
      </c>
      <c r="L940" s="374">
        <f>VLOOKUP(LEFT(A940,10),'Streetlight Tariff Schedule'!B$11:H$260,7, FALSE)+I940</f>
        <v>42.59587087875115</v>
      </c>
      <c r="M940" s="161">
        <f t="shared" si="162"/>
        <v>42.59587087875115</v>
      </c>
      <c r="N940" s="405">
        <f t="shared" si="163"/>
        <v>44.370782142456576</v>
      </c>
      <c r="O940" s="405">
        <v>52.451321109809015</v>
      </c>
      <c r="P940" s="406">
        <v>52.451321109809015</v>
      </c>
      <c r="Q940" s="406">
        <v>55.018229090715877</v>
      </c>
      <c r="R940" s="406">
        <v>55.018229090715877</v>
      </c>
      <c r="S940" s="405">
        <f t="shared" si="164"/>
        <v>46.542237739582646</v>
      </c>
      <c r="T940" s="406">
        <v>57.277892960143134</v>
      </c>
      <c r="U940" s="406">
        <v>57.487145780468744</v>
      </c>
      <c r="V940" s="405">
        <f t="shared" si="165"/>
        <v>48.630798375444556</v>
      </c>
      <c r="W940" s="406">
        <v>59.362963315274925</v>
      </c>
      <c r="X940" s="406">
        <v>60.111820213617349</v>
      </c>
      <c r="Y940" s="405">
        <f t="shared" si="166"/>
        <v>50.851121048047993</v>
      </c>
      <c r="Z940" s="406">
        <v>61.077698676866561</v>
      </c>
      <c r="AA940" s="406">
        <v>62.074515072347523</v>
      </c>
      <c r="AB940" s="442">
        <f t="shared" si="167"/>
        <v>51.954933188267603</v>
      </c>
      <c r="AC940" s="438">
        <f t="shared" si="168"/>
        <v>53.508336917978596</v>
      </c>
      <c r="AD940" s="410"/>
      <c r="AE940" s="411"/>
      <c r="AF940" s="411"/>
      <c r="AG940" s="411"/>
    </row>
    <row r="941" spans="1:33" s="301" customFormat="1" x14ac:dyDescent="0.2">
      <c r="A941" t="s">
        <v>1863</v>
      </c>
      <c r="B941" s="23" t="str">
        <f>VLOOKUP(LEFT(A941,7),'[7]Tariff Schedule Lookup Table'!$A$8:$G$186,2,FALSE)</f>
        <v>Fluorescent Twin 20</v>
      </c>
      <c r="C941" s="375">
        <f t="shared" si="169"/>
        <v>1500</v>
      </c>
      <c r="D941" s="23">
        <f t="shared" si="170"/>
        <v>2</v>
      </c>
      <c r="E941" s="23" t="str">
        <f>VLOOKUP(C941,'[7]Tariff Schedule Lookup Table'!I$7:L$287,2,FALSE)</f>
        <v>MERCURY VAPOUR 80W</v>
      </c>
      <c r="F941" s="23" t="str">
        <f>IF(E941 = "BULKHEADS ETC", "SHARED OR NO POLE", VLOOKUP(C941,'[7]Tariff Schedule Lookup Table'!I$7:L$287,3,FALSE))</f>
        <v>STEEL POLE</v>
      </c>
      <c r="G941" s="23">
        <f>IF(E941 = "NO CAPITAL", 1, VLOOKUP(C941,'[7]Tariff Schedule Lookup Table'!I$7:L$287,4,FALSE))</f>
        <v>4</v>
      </c>
      <c r="H941" s="23" t="str">
        <f t="shared" si="171"/>
        <v>2-Unmetered, Funded by Others, CE Maintained</v>
      </c>
      <c r="I941" s="374">
        <f>VLOOKUP(F941,'Maintenance Model'!$A$57:$B$61,2,FALSE)</f>
        <v>9.9616182311111103</v>
      </c>
      <c r="J941" s="374">
        <f>IF(D941=1,VLOOKUP(C941,'Capital Code Schedules'!A$15:F$300,2,FALSE),IF(D941=2,VLOOKUP(C941,'Capital Code Schedules'!A$15:F$300,3,FALSE),0))</f>
        <v>0</v>
      </c>
      <c r="K941" s="374">
        <f>IF(D941=1,VLOOKUP(C941,'Capital Code Schedules'!E$15:G$300,2,FALSE),IF(D941=2,VLOOKUP(C941,'Capital Code Schedules'!E$15:G$300,3,FALSE),0))</f>
        <v>0</v>
      </c>
      <c r="L941" s="374">
        <f>VLOOKUP(LEFT(A941,10),'Streetlight Tariff Schedule'!B$11:H$260,7, FALSE)+I941</f>
        <v>41.825870878751147</v>
      </c>
      <c r="M941" s="161">
        <f t="shared" si="162"/>
        <v>41.825870878751147</v>
      </c>
      <c r="N941" s="405">
        <f t="shared" si="163"/>
        <v>43.568697303131572</v>
      </c>
      <c r="O941" s="405">
        <v>51.64923627048401</v>
      </c>
      <c r="P941" s="406">
        <v>51.64923627048401</v>
      </c>
      <c r="Q941" s="406">
        <v>54.176891131891416</v>
      </c>
      <c r="R941" s="406">
        <v>54.176891131891416</v>
      </c>
      <c r="S941" s="405">
        <f t="shared" si="164"/>
        <v>45.700899780758185</v>
      </c>
      <c r="T941" s="406">
        <v>56.402000254302031</v>
      </c>
      <c r="U941" s="406">
        <v>56.608053183543539</v>
      </c>
      <c r="V941" s="405">
        <f t="shared" si="165"/>
        <v>47.751705778519337</v>
      </c>
      <c r="W941" s="406">
        <v>58.455185743897722</v>
      </c>
      <c r="X941" s="406">
        <v>59.192591133445411</v>
      </c>
      <c r="Y941" s="405">
        <f t="shared" si="166"/>
        <v>49.931891967876055</v>
      </c>
      <c r="Z941" s="406">
        <v>60.14369939728666</v>
      </c>
      <c r="AA941" s="406">
        <v>61.125272490950081</v>
      </c>
      <c r="AB941" s="442">
        <f t="shared" si="167"/>
        <v>51.015750640061434</v>
      </c>
      <c r="AC941" s="438">
        <f t="shared" si="168"/>
        <v>52.541073693237315</v>
      </c>
      <c r="AD941" s="410"/>
      <c r="AE941" s="411"/>
      <c r="AF941" s="411"/>
      <c r="AG941" s="411"/>
    </row>
    <row r="942" spans="1:33" s="301" customFormat="1" x14ac:dyDescent="0.2">
      <c r="A942" t="s">
        <v>1864</v>
      </c>
      <c r="B942" s="23" t="str">
        <f>VLOOKUP(LEFT(A942,7),'[7]Tariff Schedule Lookup Table'!$A$8:$G$186,2,FALSE)</f>
        <v>Fluorescent 3x20</v>
      </c>
      <c r="C942" s="375">
        <f t="shared" si="169"/>
        <v>990</v>
      </c>
      <c r="D942" s="23">
        <f t="shared" si="170"/>
        <v>2</v>
      </c>
      <c r="E942" s="23" t="str">
        <f>VLOOKUP(C942,'[7]Tariff Schedule Lookup Table'!I$7:L$287,2,FALSE)</f>
        <v>MERCURY VAPOUR 80W</v>
      </c>
      <c r="F942" s="23" t="str">
        <f>IF(E942 = "BULKHEADS ETC", "SHARED OR NO POLE", VLOOKUP(C942,'[7]Tariff Schedule Lookup Table'!I$7:L$287,3,FALSE))</f>
        <v>STEEL POLE</v>
      </c>
      <c r="G942" s="23">
        <f>IF(E942 = "NO CAPITAL", 1, VLOOKUP(C942,'[7]Tariff Schedule Lookup Table'!I$7:L$287,4,FALSE))</f>
        <v>1</v>
      </c>
      <c r="H942" s="23" t="str">
        <f t="shared" si="171"/>
        <v>2-Unmetered, Funded by Others, CE Maintained</v>
      </c>
      <c r="I942" s="374">
        <f>VLOOKUP(F942,'Maintenance Model'!$A$57:$B$61,2,FALSE)</f>
        <v>9.9616182311111103</v>
      </c>
      <c r="J942" s="374">
        <f>IF(D942=1,VLOOKUP(C942,'Capital Code Schedules'!A$15:F$300,2,FALSE),IF(D942=2,VLOOKUP(C942,'Capital Code Schedules'!A$15:F$300,3,FALSE),0))</f>
        <v>0</v>
      </c>
      <c r="K942" s="374">
        <f>IF(D942=1,VLOOKUP(C942,'Capital Code Schedules'!E$15:G$300,2,FALSE),IF(D942=2,VLOOKUP(C942,'Capital Code Schedules'!E$15:G$300,3,FALSE),0))</f>
        <v>0</v>
      </c>
      <c r="L942" s="374">
        <f>VLOOKUP(LEFT(A942,10),'Streetlight Tariff Schedule'!B$11:H$260,7, FALSE)+I942</f>
        <v>46.813260983851151</v>
      </c>
      <c r="M942" s="161">
        <f t="shared" si="162"/>
        <v>46.813260983851151</v>
      </c>
      <c r="N942" s="405">
        <f t="shared" si="163"/>
        <v>48.763905083781225</v>
      </c>
      <c r="O942" s="405">
        <v>57.332216420515003</v>
      </c>
      <c r="P942" s="406">
        <v>57.332216420515003</v>
      </c>
      <c r="Q942" s="406">
        <v>60.13798986490167</v>
      </c>
      <c r="R942" s="406">
        <v>60.13798986490167</v>
      </c>
      <c r="S942" s="405">
        <f t="shared" si="164"/>
        <v>51.150355119571351</v>
      </c>
      <c r="T942" s="406">
        <v>62.607928376619995</v>
      </c>
      <c r="U942" s="406">
        <v>62.836653368244043</v>
      </c>
      <c r="V942" s="405">
        <f t="shared" si="165"/>
        <v>53.445702816664095</v>
      </c>
      <c r="W942" s="406">
        <v>64.88702644932917</v>
      </c>
      <c r="X942" s="406">
        <v>65.705568763523317</v>
      </c>
      <c r="Y942" s="405">
        <f t="shared" si="166"/>
        <v>55.885858226018513</v>
      </c>
      <c r="Z942" s="406">
        <v>66.761327740022423</v>
      </c>
      <c r="AA942" s="406">
        <v>67.850903600229785</v>
      </c>
      <c r="AB942" s="442">
        <f t="shared" si="167"/>
        <v>57.098958104744568</v>
      </c>
      <c r="AC942" s="438">
        <f t="shared" si="168"/>
        <v>58.806163350512286</v>
      </c>
      <c r="AD942" s="410"/>
      <c r="AE942" s="411"/>
      <c r="AF942" s="411"/>
      <c r="AG942" s="411"/>
    </row>
    <row r="943" spans="1:33" s="301" customFormat="1" x14ac:dyDescent="0.2">
      <c r="A943" t="s">
        <v>1865</v>
      </c>
      <c r="B943" s="23" t="str">
        <f>VLOOKUP(LEFT(A943,7),'[7]Tariff Schedule Lookup Table'!$A$8:$G$186,2,FALSE)</f>
        <v>Fluorescent 3x20</v>
      </c>
      <c r="C943" s="375">
        <f t="shared" si="169"/>
        <v>1000</v>
      </c>
      <c r="D943" s="23">
        <f t="shared" si="170"/>
        <v>2</v>
      </c>
      <c r="E943" s="23" t="str">
        <f>VLOOKUP(C943,'[7]Tariff Schedule Lookup Table'!I$7:L$287,2,FALSE)</f>
        <v>MERCURY VAPOUR 80W</v>
      </c>
      <c r="F943" s="23" t="str">
        <f>IF(E943 = "BULKHEADS ETC", "SHARED OR NO POLE", VLOOKUP(C943,'[7]Tariff Schedule Lookup Table'!I$7:L$287,3,FALSE))</f>
        <v>STEEL POLE</v>
      </c>
      <c r="G943" s="23">
        <f>IF(E943 = "NO CAPITAL", 1, VLOOKUP(C943,'[7]Tariff Schedule Lookup Table'!I$7:L$287,4,FALSE))</f>
        <v>2</v>
      </c>
      <c r="H943" s="23" t="str">
        <f t="shared" si="171"/>
        <v>2-Unmetered, Funded by Others, CE Maintained</v>
      </c>
      <c r="I943" s="374">
        <f>VLOOKUP(F943,'Maintenance Model'!$A$57:$B$61,2,FALSE)</f>
        <v>9.9616182311111103</v>
      </c>
      <c r="J943" s="374">
        <f>IF(D943=1,VLOOKUP(C943,'Capital Code Schedules'!A$15:F$300,2,FALSE),IF(D943=2,VLOOKUP(C943,'Capital Code Schedules'!A$15:F$300,3,FALSE),0))</f>
        <v>0</v>
      </c>
      <c r="K943" s="374">
        <f>IF(D943=1,VLOOKUP(C943,'Capital Code Schedules'!E$15:G$300,2,FALSE),IF(D943=2,VLOOKUP(C943,'Capital Code Schedules'!E$15:G$300,3,FALSE),0))</f>
        <v>0</v>
      </c>
      <c r="L943" s="374">
        <f>VLOOKUP(LEFT(A943,10),'Streetlight Tariff Schedule'!B$11:H$260,7, FALSE)+I943</f>
        <v>46.813260983851151</v>
      </c>
      <c r="M943" s="161">
        <f t="shared" si="162"/>
        <v>46.813260983851151</v>
      </c>
      <c r="N943" s="405">
        <f t="shared" si="163"/>
        <v>48.763905083781225</v>
      </c>
      <c r="O943" s="405">
        <v>57.332216420515003</v>
      </c>
      <c r="P943" s="406">
        <v>57.332216420515003</v>
      </c>
      <c r="Q943" s="406">
        <v>60.13798986490167</v>
      </c>
      <c r="R943" s="406">
        <v>60.13798986490167</v>
      </c>
      <c r="S943" s="405">
        <f t="shared" si="164"/>
        <v>51.150355119571351</v>
      </c>
      <c r="T943" s="406">
        <v>62.607928376619995</v>
      </c>
      <c r="U943" s="406">
        <v>62.836653368244043</v>
      </c>
      <c r="V943" s="405">
        <f t="shared" si="165"/>
        <v>53.445702816664095</v>
      </c>
      <c r="W943" s="406">
        <v>64.88702644932917</v>
      </c>
      <c r="X943" s="406">
        <v>65.705568763523317</v>
      </c>
      <c r="Y943" s="405">
        <f t="shared" si="166"/>
        <v>55.885858226018513</v>
      </c>
      <c r="Z943" s="406">
        <v>66.761327740022423</v>
      </c>
      <c r="AA943" s="406">
        <v>67.850903600229785</v>
      </c>
      <c r="AB943" s="442">
        <f t="shared" si="167"/>
        <v>57.098958104744568</v>
      </c>
      <c r="AC943" s="438">
        <f t="shared" si="168"/>
        <v>58.806163350512286</v>
      </c>
      <c r="AD943" s="410"/>
      <c r="AE943" s="411"/>
      <c r="AF943" s="411"/>
      <c r="AG943" s="411"/>
    </row>
    <row r="944" spans="1:33" s="301" customFormat="1" x14ac:dyDescent="0.2">
      <c r="A944" t="s">
        <v>1866</v>
      </c>
      <c r="B944" s="23" t="str">
        <f>VLOOKUP(LEFT(A944,7),'[7]Tariff Schedule Lookup Table'!$A$8:$G$186,2,FALSE)</f>
        <v>Fluorescent 4x20</v>
      </c>
      <c r="C944" s="375">
        <f t="shared" si="169"/>
        <v>990</v>
      </c>
      <c r="D944" s="23">
        <f t="shared" si="170"/>
        <v>2</v>
      </c>
      <c r="E944" s="23" t="str">
        <f>VLOOKUP(C944,'[7]Tariff Schedule Lookup Table'!I$7:L$287,2,FALSE)</f>
        <v>MERCURY VAPOUR 80W</v>
      </c>
      <c r="F944" s="23" t="str">
        <f>IF(E944 = "BULKHEADS ETC", "SHARED OR NO POLE", VLOOKUP(C944,'[7]Tariff Schedule Lookup Table'!I$7:L$287,3,FALSE))</f>
        <v>STEEL POLE</v>
      </c>
      <c r="G944" s="23">
        <f>IF(E944 = "NO CAPITAL", 1, VLOOKUP(C944,'[7]Tariff Schedule Lookup Table'!I$7:L$287,4,FALSE))</f>
        <v>1</v>
      </c>
      <c r="H944" s="23" t="str">
        <f t="shared" si="171"/>
        <v>2-Unmetered, Funded by Others, CE Maintained</v>
      </c>
      <c r="I944" s="374">
        <f>VLOOKUP(F944,'Maintenance Model'!$A$57:$B$61,2,FALSE)</f>
        <v>9.9616182311111103</v>
      </c>
      <c r="J944" s="374">
        <f>IF(D944=1,VLOOKUP(C944,'Capital Code Schedules'!A$15:F$300,2,FALSE),IF(D944=2,VLOOKUP(C944,'Capital Code Schedules'!A$15:F$300,3,FALSE),0))</f>
        <v>0</v>
      </c>
      <c r="K944" s="374">
        <f>IF(D944=1,VLOOKUP(C944,'Capital Code Schedules'!E$15:G$300,2,FALSE),IF(D944=2,VLOOKUP(C944,'Capital Code Schedules'!E$15:G$300,3,FALSE),0))</f>
        <v>0</v>
      </c>
      <c r="L944" s="374">
        <f>VLOOKUP(LEFT(A944,10),'Streetlight Tariff Schedule'!B$11:H$260,7, FALSE)+I944</f>
        <v>51.800651088951149</v>
      </c>
      <c r="M944" s="161">
        <f t="shared" si="162"/>
        <v>51.800651088951149</v>
      </c>
      <c r="N944" s="405">
        <f t="shared" si="163"/>
        <v>53.959112864430871</v>
      </c>
      <c r="O944" s="405">
        <v>63.015196570546003</v>
      </c>
      <c r="P944" s="406">
        <v>63.015196570546003</v>
      </c>
      <c r="Q944" s="406">
        <v>66.099088597911916</v>
      </c>
      <c r="R944" s="406">
        <v>66.099088597911916</v>
      </c>
      <c r="S944" s="405">
        <f t="shared" si="164"/>
        <v>56.599810458384503</v>
      </c>
      <c r="T944" s="406">
        <v>68.813856498937952</v>
      </c>
      <c r="U944" s="406">
        <v>69.065253552944554</v>
      </c>
      <c r="V944" s="405">
        <f t="shared" si="165"/>
        <v>59.139699854808839</v>
      </c>
      <c r="W944" s="406">
        <v>71.318867154760625</v>
      </c>
      <c r="X944" s="406">
        <v>72.21854639360123</v>
      </c>
      <c r="Y944" s="405">
        <f t="shared" si="166"/>
        <v>61.839824484160957</v>
      </c>
      <c r="Z944" s="406">
        <v>73.378956082758194</v>
      </c>
      <c r="AA944" s="406">
        <v>74.576534709509488</v>
      </c>
      <c r="AB944" s="442">
        <f t="shared" si="167"/>
        <v>63.182165569427688</v>
      </c>
      <c r="AC944" s="438">
        <f t="shared" si="168"/>
        <v>65.071253007787249</v>
      </c>
      <c r="AD944" s="410"/>
      <c r="AE944" s="411"/>
      <c r="AF944" s="411"/>
      <c r="AG944" s="411"/>
    </row>
    <row r="945" spans="1:33" s="301" customFormat="1" x14ac:dyDescent="0.2">
      <c r="A945" t="s">
        <v>1867</v>
      </c>
      <c r="B945" s="23" t="str">
        <f>VLOOKUP(LEFT(A945,7),'[7]Tariff Schedule Lookup Table'!$A$8:$G$186,2,FALSE)</f>
        <v>Fluorescent 26</v>
      </c>
      <c r="C945" s="375">
        <f t="shared" si="169"/>
        <v>990</v>
      </c>
      <c r="D945" s="23">
        <f t="shared" si="170"/>
        <v>2</v>
      </c>
      <c r="E945" s="23" t="str">
        <f>VLOOKUP(C945,'[7]Tariff Schedule Lookup Table'!I$7:L$287,2,FALSE)</f>
        <v>MERCURY VAPOUR 80W</v>
      </c>
      <c r="F945" s="23" t="str">
        <f>IF(E945 = "BULKHEADS ETC", "SHARED OR NO POLE", VLOOKUP(C945,'[7]Tariff Schedule Lookup Table'!I$7:L$287,3,FALSE))</f>
        <v>STEEL POLE</v>
      </c>
      <c r="G945" s="23">
        <f>IF(E945 = "NO CAPITAL", 1, VLOOKUP(C945,'[7]Tariff Schedule Lookup Table'!I$7:L$287,4,FALSE))</f>
        <v>1</v>
      </c>
      <c r="H945" s="23" t="str">
        <f t="shared" si="171"/>
        <v>2-Unmetered, Funded by Others, CE Maintained</v>
      </c>
      <c r="I945" s="374">
        <f>VLOOKUP(F945,'Maintenance Model'!$A$57:$B$61,2,FALSE)</f>
        <v>9.9616182311111103</v>
      </c>
      <c r="J945" s="374">
        <f>IF(D945=1,VLOOKUP(C945,'Capital Code Schedules'!A$15:F$300,2,FALSE),IF(D945=2,VLOOKUP(C945,'Capital Code Schedules'!A$15:F$300,3,FALSE),0))</f>
        <v>0</v>
      </c>
      <c r="K945" s="374">
        <f>IF(D945=1,VLOOKUP(C945,'Capital Code Schedules'!E$15:G$300,2,FALSE),IF(D945=2,VLOOKUP(C945,'Capital Code Schedules'!E$15:G$300,3,FALSE),0))</f>
        <v>0</v>
      </c>
      <c r="L945" s="374">
        <f>VLOOKUP(LEFT(A945,10),'Streetlight Tariff Schedule'!B$11:H$260,7, FALSE)+I945</f>
        <v>36.838480773651156</v>
      </c>
      <c r="M945" s="161">
        <f t="shared" si="162"/>
        <v>36.838480773651156</v>
      </c>
      <c r="N945" s="405">
        <f t="shared" si="163"/>
        <v>38.373489522481933</v>
      </c>
      <c r="O945" s="405">
        <v>45.966256120453025</v>
      </c>
      <c r="P945" s="406">
        <v>45.966256120453025</v>
      </c>
      <c r="Q945" s="406">
        <v>48.215792398881177</v>
      </c>
      <c r="R945" s="406">
        <v>48.215792398881177</v>
      </c>
      <c r="S945" s="405">
        <f t="shared" si="164"/>
        <v>40.25144444194504</v>
      </c>
      <c r="T945" s="406">
        <v>50.196072131984081</v>
      </c>
      <c r="U945" s="406">
        <v>50.379452998843036</v>
      </c>
      <c r="V945" s="405">
        <f t="shared" si="165"/>
        <v>42.057708740374601</v>
      </c>
      <c r="W945" s="406">
        <v>52.023345038466275</v>
      </c>
      <c r="X945" s="406">
        <v>52.679613503367513</v>
      </c>
      <c r="Y945" s="405">
        <f t="shared" si="166"/>
        <v>43.977925709733618</v>
      </c>
      <c r="Z945" s="406">
        <v>53.526071054550897</v>
      </c>
      <c r="AA945" s="406">
        <v>54.399641381670378</v>
      </c>
      <c r="AB945" s="442">
        <f t="shared" si="167"/>
        <v>44.932543175378328</v>
      </c>
      <c r="AC945" s="438">
        <f t="shared" si="168"/>
        <v>46.275984035962374</v>
      </c>
      <c r="AD945" s="410"/>
      <c r="AE945" s="411"/>
      <c r="AF945" s="411"/>
      <c r="AG945" s="411"/>
    </row>
    <row r="946" spans="1:33" s="301" customFormat="1" x14ac:dyDescent="0.2">
      <c r="A946" t="s">
        <v>1868</v>
      </c>
      <c r="B946" s="23" t="str">
        <f>VLOOKUP(LEFT(A946,7),'[7]Tariff Schedule Lookup Table'!$A$8:$G$186,2,FALSE)</f>
        <v>Fluorescent 26</v>
      </c>
      <c r="C946" s="375">
        <f t="shared" si="169"/>
        <v>1000</v>
      </c>
      <c r="D946" s="23">
        <f t="shared" si="170"/>
        <v>2</v>
      </c>
      <c r="E946" s="23" t="str">
        <f>VLOOKUP(C946,'[7]Tariff Schedule Lookup Table'!I$7:L$287,2,FALSE)</f>
        <v>MERCURY VAPOUR 80W</v>
      </c>
      <c r="F946" s="23" t="str">
        <f>IF(E946 = "BULKHEADS ETC", "SHARED OR NO POLE", VLOOKUP(C946,'[7]Tariff Schedule Lookup Table'!I$7:L$287,3,FALSE))</f>
        <v>STEEL POLE</v>
      </c>
      <c r="G946" s="23">
        <f>IF(E946 = "NO CAPITAL", 1, VLOOKUP(C946,'[7]Tariff Schedule Lookup Table'!I$7:L$287,4,FALSE))</f>
        <v>2</v>
      </c>
      <c r="H946" s="23" t="str">
        <f t="shared" si="171"/>
        <v>2-Unmetered, Funded by Others, CE Maintained</v>
      </c>
      <c r="I946" s="374">
        <f>VLOOKUP(F946,'Maintenance Model'!$A$57:$B$61,2,FALSE)</f>
        <v>9.9616182311111103</v>
      </c>
      <c r="J946" s="374">
        <f>IF(D946=1,VLOOKUP(C946,'Capital Code Schedules'!A$15:F$300,2,FALSE),IF(D946=2,VLOOKUP(C946,'Capital Code Schedules'!A$15:F$300,3,FALSE),0))</f>
        <v>0</v>
      </c>
      <c r="K946" s="374">
        <f>IF(D946=1,VLOOKUP(C946,'Capital Code Schedules'!E$15:G$300,2,FALSE),IF(D946=2,VLOOKUP(C946,'Capital Code Schedules'!E$15:G$300,3,FALSE),0))</f>
        <v>0</v>
      </c>
      <c r="L946" s="374">
        <f>VLOOKUP(LEFT(A946,10),'Streetlight Tariff Schedule'!B$11:H$260,7, FALSE)+I946</f>
        <v>36.838480773651156</v>
      </c>
      <c r="M946" s="161">
        <f t="shared" si="162"/>
        <v>36.838480773651156</v>
      </c>
      <c r="N946" s="405">
        <f t="shared" si="163"/>
        <v>38.373489522481933</v>
      </c>
      <c r="O946" s="405">
        <v>45.966256120453025</v>
      </c>
      <c r="P946" s="406">
        <v>45.966256120453025</v>
      </c>
      <c r="Q946" s="406">
        <v>48.215792398881177</v>
      </c>
      <c r="R946" s="406">
        <v>48.215792398881177</v>
      </c>
      <c r="S946" s="405">
        <f t="shared" si="164"/>
        <v>40.25144444194504</v>
      </c>
      <c r="T946" s="406">
        <v>50.196072131984081</v>
      </c>
      <c r="U946" s="406">
        <v>50.379452998843036</v>
      </c>
      <c r="V946" s="405">
        <f t="shared" si="165"/>
        <v>42.057708740374601</v>
      </c>
      <c r="W946" s="406">
        <v>52.023345038466275</v>
      </c>
      <c r="X946" s="406">
        <v>52.679613503367513</v>
      </c>
      <c r="Y946" s="405">
        <f t="shared" si="166"/>
        <v>43.977925709733618</v>
      </c>
      <c r="Z946" s="406">
        <v>53.526071054550897</v>
      </c>
      <c r="AA946" s="406">
        <v>54.399641381670378</v>
      </c>
      <c r="AB946" s="442">
        <f t="shared" si="167"/>
        <v>44.932543175378328</v>
      </c>
      <c r="AC946" s="438">
        <f t="shared" si="168"/>
        <v>46.275984035962374</v>
      </c>
      <c r="AD946" s="410"/>
      <c r="AE946" s="411"/>
      <c r="AF946" s="411"/>
      <c r="AG946" s="411"/>
    </row>
    <row r="947" spans="1:33" s="301" customFormat="1" x14ac:dyDescent="0.2">
      <c r="A947" t="s">
        <v>1869</v>
      </c>
      <c r="B947" s="23" t="str">
        <f>VLOOKUP(LEFT(A947,7),'[7]Tariff Schedule Lookup Table'!$A$8:$G$186,2,FALSE)</f>
        <v>Fluorescent 6x36</v>
      </c>
      <c r="C947" s="375">
        <f t="shared" si="169"/>
        <v>990</v>
      </c>
      <c r="D947" s="23">
        <f t="shared" si="170"/>
        <v>2</v>
      </c>
      <c r="E947" s="23" t="str">
        <f>VLOOKUP(C947,'[7]Tariff Schedule Lookup Table'!I$7:L$287,2,FALSE)</f>
        <v>MERCURY VAPOUR 80W</v>
      </c>
      <c r="F947" s="23" t="str">
        <f>IF(E947 = "BULKHEADS ETC", "SHARED OR NO POLE", VLOOKUP(C947,'[7]Tariff Schedule Lookup Table'!I$7:L$287,3,FALSE))</f>
        <v>STEEL POLE</v>
      </c>
      <c r="G947" s="23">
        <f>IF(E947 = "NO CAPITAL", 1, VLOOKUP(C947,'[7]Tariff Schedule Lookup Table'!I$7:L$287,4,FALSE))</f>
        <v>1</v>
      </c>
      <c r="H947" s="23" t="str">
        <f t="shared" si="171"/>
        <v>2-Unmetered, Funded by Others, CE Maintained</v>
      </c>
      <c r="I947" s="374">
        <f>VLOOKUP(F947,'Maintenance Model'!$A$57:$B$61,2,FALSE)</f>
        <v>9.9616182311111103</v>
      </c>
      <c r="J947" s="374">
        <f>IF(D947=1,VLOOKUP(C947,'Capital Code Schedules'!A$15:F$300,2,FALSE),IF(D947=2,VLOOKUP(C947,'Capital Code Schedules'!A$15:F$300,3,FALSE),0))</f>
        <v>0</v>
      </c>
      <c r="K947" s="374">
        <f>IF(D947=1,VLOOKUP(C947,'Capital Code Schedules'!E$15:G$300,2,FALSE),IF(D947=2,VLOOKUP(C947,'Capital Code Schedules'!E$15:G$300,3,FALSE),0))</f>
        <v>0</v>
      </c>
      <c r="L947" s="374">
        <f>VLOOKUP(LEFT(A947,10),'Streetlight Tariff Schedule'!B$11:H$260,7, FALSE)+I947</f>
        <v>41.825870878751147</v>
      </c>
      <c r="M947" s="161">
        <f t="shared" si="162"/>
        <v>41.825870878751147</v>
      </c>
      <c r="N947" s="405">
        <f t="shared" si="163"/>
        <v>43.568697303131572</v>
      </c>
      <c r="O947" s="405">
        <v>51.64923627048401</v>
      </c>
      <c r="P947" s="406">
        <v>51.64923627048401</v>
      </c>
      <c r="Q947" s="406">
        <v>54.176891131891416</v>
      </c>
      <c r="R947" s="406">
        <v>54.176891131891416</v>
      </c>
      <c r="S947" s="405">
        <f t="shared" si="164"/>
        <v>45.700899780758185</v>
      </c>
      <c r="T947" s="406">
        <v>56.402000254302031</v>
      </c>
      <c r="U947" s="406">
        <v>56.608053183543539</v>
      </c>
      <c r="V947" s="405">
        <f t="shared" si="165"/>
        <v>47.751705778519337</v>
      </c>
      <c r="W947" s="406">
        <v>58.455185743897722</v>
      </c>
      <c r="X947" s="406">
        <v>59.192591133445411</v>
      </c>
      <c r="Y947" s="405">
        <f t="shared" si="166"/>
        <v>49.931891967876055</v>
      </c>
      <c r="Z947" s="406">
        <v>60.14369939728666</v>
      </c>
      <c r="AA947" s="406">
        <v>61.125272490950081</v>
      </c>
      <c r="AB947" s="442">
        <f t="shared" si="167"/>
        <v>51.015750640061434</v>
      </c>
      <c r="AC947" s="438">
        <f t="shared" si="168"/>
        <v>52.541073693237315</v>
      </c>
      <c r="AD947" s="410"/>
      <c r="AE947" s="411"/>
      <c r="AF947" s="411"/>
      <c r="AG947" s="411"/>
    </row>
    <row r="948" spans="1:33" s="301" customFormat="1" x14ac:dyDescent="0.2">
      <c r="A948" t="s">
        <v>1870</v>
      </c>
      <c r="B948" s="23" t="str">
        <f>VLOOKUP(LEFT(A948,7),'[7]Tariff Schedule Lookup Table'!$A$8:$G$186,2,FALSE)</f>
        <v>Fluorescent 40</v>
      </c>
      <c r="C948" s="375">
        <f t="shared" si="169"/>
        <v>1000</v>
      </c>
      <c r="D948" s="23">
        <f t="shared" si="170"/>
        <v>1</v>
      </c>
      <c r="E948" s="23" t="str">
        <f>VLOOKUP(C948,'[7]Tariff Schedule Lookup Table'!I$7:L$287,2,FALSE)</f>
        <v>MERCURY VAPOUR 80W</v>
      </c>
      <c r="F948" s="23" t="str">
        <f>IF(E948 = "BULKHEADS ETC", "SHARED OR NO POLE", VLOOKUP(C948,'[7]Tariff Schedule Lookup Table'!I$7:L$287,3,FALSE))</f>
        <v>STEEL POLE</v>
      </c>
      <c r="G948" s="23">
        <f>IF(E948 = "NO CAPITAL", 1, VLOOKUP(C948,'[7]Tariff Schedule Lookup Table'!I$7:L$287,4,FALSE))</f>
        <v>2</v>
      </c>
      <c r="H948" s="23" t="str">
        <f t="shared" si="171"/>
        <v>1-Unmetered, CE Funded, CE Maintained</v>
      </c>
      <c r="I948" s="374">
        <f>VLOOKUP(F948,'Maintenance Model'!$A$57:$B$61,2,FALSE)</f>
        <v>9.9616182311111103</v>
      </c>
      <c r="J948" s="374">
        <f>IF(D948=1,VLOOKUP(C948,'Capital Code Schedules'!A$15:F$300,2,FALSE),IF(D948=2,VLOOKUP(C948,'Capital Code Schedules'!A$15:F$300,3,FALSE),0))</f>
        <v>92.918415054851835</v>
      </c>
      <c r="K948" s="374" t="e">
        <f>IF(D948=1,VLOOKUP(C948,'Capital Code Schedules'!E$15:G$300,2,FALSE),IF(D948=2,VLOOKUP(C948,'Capital Code Schedules'!E$15:G$300,3,FALSE),0))</f>
        <v>#N/A</v>
      </c>
      <c r="L948" s="374">
        <f>VLOOKUP(LEFT(A948,10),'Streetlight Tariff Schedule'!B$11:H$260,7, FALSE)+I948</f>
        <v>35.90205123551182</v>
      </c>
      <c r="M948" s="161" t="e">
        <f t="shared" si="162"/>
        <v>#N/A</v>
      </c>
      <c r="N948" s="405">
        <f t="shared" si="163"/>
        <v>132.61618608287941</v>
      </c>
      <c r="O948" s="405">
        <v>170.89092327020532</v>
      </c>
      <c r="P948" s="406" t="e">
        <v>#N/A</v>
      </c>
      <c r="Q948" s="406" t="e">
        <v>#N/A</v>
      </c>
      <c r="R948" s="406">
        <v>176.20322539110771</v>
      </c>
      <c r="S948" s="405">
        <f t="shared" si="164"/>
        <v>136.80305273421709</v>
      </c>
      <c r="T948" s="406" t="e">
        <v>#N/A</v>
      </c>
      <c r="U948" s="406">
        <v>181.99385072383342</v>
      </c>
      <c r="V948" s="405">
        <f t="shared" si="165"/>
        <v>141.34428367753796</v>
      </c>
      <c r="W948" s="406" t="e">
        <v>#N/A</v>
      </c>
      <c r="X948" s="406">
        <v>188.7402271812737</v>
      </c>
      <c r="Y948" s="405">
        <f t="shared" si="166"/>
        <v>146.61774641004212</v>
      </c>
      <c r="Z948" s="406" t="e">
        <v>#N/A</v>
      </c>
      <c r="AA948" s="406">
        <v>194.33225592086691</v>
      </c>
      <c r="AB948" s="442">
        <f t="shared" si="167"/>
        <v>149.37423373893833</v>
      </c>
      <c r="AC948" s="438">
        <f t="shared" si="168"/>
        <v>153.75601512347401</v>
      </c>
      <c r="AD948" s="410"/>
      <c r="AE948" s="411"/>
      <c r="AF948" s="411"/>
      <c r="AG948" s="411"/>
    </row>
    <row r="949" spans="1:33" s="301" customFormat="1" x14ac:dyDescent="0.2">
      <c r="A949" t="s">
        <v>1871</v>
      </c>
      <c r="B949" s="23" t="str">
        <f>VLOOKUP(LEFT(A949,7),'[7]Tariff Schedule Lookup Table'!$A$8:$G$186,2,FALSE)</f>
        <v>Fluorescent 40</v>
      </c>
      <c r="C949" s="375">
        <f t="shared" si="169"/>
        <v>1000</v>
      </c>
      <c r="D949" s="23">
        <f t="shared" si="170"/>
        <v>2</v>
      </c>
      <c r="E949" s="23" t="str">
        <f>VLOOKUP(C949,'[7]Tariff Schedule Lookup Table'!I$7:L$287,2,FALSE)</f>
        <v>MERCURY VAPOUR 80W</v>
      </c>
      <c r="F949" s="23" t="str">
        <f>IF(E949 = "BULKHEADS ETC", "SHARED OR NO POLE", VLOOKUP(C949,'[7]Tariff Schedule Lookup Table'!I$7:L$287,3,FALSE))</f>
        <v>STEEL POLE</v>
      </c>
      <c r="G949" s="23">
        <f>IF(E949 = "NO CAPITAL", 1, VLOOKUP(C949,'[7]Tariff Schedule Lookup Table'!I$7:L$287,4,FALSE))</f>
        <v>2</v>
      </c>
      <c r="H949" s="23" t="str">
        <f t="shared" si="171"/>
        <v>2-Unmetered, Funded by Others, CE Maintained</v>
      </c>
      <c r="I949" s="374">
        <f>VLOOKUP(F949,'Maintenance Model'!$A$57:$B$61,2,FALSE)</f>
        <v>9.9616182311111103</v>
      </c>
      <c r="J949" s="374">
        <f>IF(D949=1,VLOOKUP(C949,'Capital Code Schedules'!A$15:F$300,2,FALSE),IF(D949=2,VLOOKUP(C949,'Capital Code Schedules'!A$15:F$300,3,FALSE),0))</f>
        <v>0</v>
      </c>
      <c r="K949" s="374">
        <f>IF(D949=1,VLOOKUP(C949,'Capital Code Schedules'!E$15:G$300,2,FALSE),IF(D949=2,VLOOKUP(C949,'Capital Code Schedules'!E$15:G$300,3,FALSE),0))</f>
        <v>0</v>
      </c>
      <c r="L949" s="374">
        <f>VLOOKUP(LEFT(A949,10),'Streetlight Tariff Schedule'!B$11:H$260,7, FALSE)+I949</f>
        <v>35.90205123551182</v>
      </c>
      <c r="M949" s="161">
        <f t="shared" si="162"/>
        <v>35.90205123551182</v>
      </c>
      <c r="N949" s="405">
        <f t="shared" si="163"/>
        <v>37.398040255420021</v>
      </c>
      <c r="O949" s="405">
        <v>44.762409939976784</v>
      </c>
      <c r="P949" s="406">
        <v>44.762409939976784</v>
      </c>
      <c r="Q949" s="406">
        <v>46.953031355956014</v>
      </c>
      <c r="R949" s="406">
        <v>46.953031355956014</v>
      </c>
      <c r="S949" s="405">
        <f t="shared" si="164"/>
        <v>39.228257797528059</v>
      </c>
      <c r="T949" s="406">
        <v>48.881447996560738</v>
      </c>
      <c r="U949" s="406">
        <v>49.060026158679896</v>
      </c>
      <c r="V949" s="405">
        <f t="shared" si="165"/>
        <v>40.988607085153319</v>
      </c>
      <c r="W949" s="406">
        <v>50.660865025823085</v>
      </c>
      <c r="X949" s="406">
        <v>51.299945963361466</v>
      </c>
      <c r="Y949" s="405">
        <f t="shared" si="166"/>
        <v>42.860012381175629</v>
      </c>
      <c r="Z949" s="406">
        <v>52.124234976666614</v>
      </c>
      <c r="AA949" s="406">
        <v>52.974926688244203</v>
      </c>
      <c r="AB949" s="442">
        <f t="shared" si="167"/>
        <v>43.790363591163754</v>
      </c>
      <c r="AC949" s="438">
        <f t="shared" si="168"/>
        <v>45.099654354399213</v>
      </c>
      <c r="AD949" s="410"/>
      <c r="AE949" s="411"/>
      <c r="AF949" s="411"/>
      <c r="AG949" s="411"/>
    </row>
    <row r="950" spans="1:33" s="301" customFormat="1" x14ac:dyDescent="0.2">
      <c r="A950" t="s">
        <v>1872</v>
      </c>
      <c r="B950" s="23" t="str">
        <f>VLOOKUP(LEFT(A950,7),'[7]Tariff Schedule Lookup Table'!$A$8:$G$186,2,FALSE)</f>
        <v>Fluorescent 40</v>
      </c>
      <c r="C950" s="375">
        <f t="shared" si="169"/>
        <v>1260</v>
      </c>
      <c r="D950" s="23">
        <f t="shared" si="170"/>
        <v>1</v>
      </c>
      <c r="E950" s="23" t="str">
        <f>VLOOKUP(C950,'[7]Tariff Schedule Lookup Table'!I$7:L$287,2,FALSE)</f>
        <v>MERCURY VAPOUR 80W</v>
      </c>
      <c r="F950" s="23" t="str">
        <f>IF(E950 = "BULKHEADS ETC", "SHARED OR NO POLE", VLOOKUP(C950,'[7]Tariff Schedule Lookup Table'!I$7:L$287,3,FALSE))</f>
        <v>WOOD POLE</v>
      </c>
      <c r="G950" s="23">
        <f>IF(E950 = "NO CAPITAL", 1, VLOOKUP(C950,'[7]Tariff Schedule Lookup Table'!I$7:L$287,4,FALSE))</f>
        <v>2</v>
      </c>
      <c r="H950" s="23" t="str">
        <f t="shared" si="171"/>
        <v>1-Unmetered, CE Funded, CE Maintained</v>
      </c>
      <c r="I950" s="374">
        <f>VLOOKUP(F950,'Maintenance Model'!$A$57:$B$61,2,FALSE)</f>
        <v>10.731618231111112</v>
      </c>
      <c r="J950" s="374">
        <f>IF(D950=1,VLOOKUP(C950,'Capital Code Schedules'!A$15:F$300,2,FALSE),IF(D950=2,VLOOKUP(C950,'Capital Code Schedules'!A$15:F$300,3,FALSE),0))</f>
        <v>57.820899397206851</v>
      </c>
      <c r="K950" s="374" t="e">
        <f>IF(D950=1,VLOOKUP(C950,'Capital Code Schedules'!E$15:G$300,2,FALSE),IF(D950=2,VLOOKUP(C950,'Capital Code Schedules'!E$15:G$300,3,FALSE),0))</f>
        <v>#N/A</v>
      </c>
      <c r="L950" s="374">
        <f>VLOOKUP(LEFT(A950,10),'Streetlight Tariff Schedule'!B$11:H$260,7, FALSE)+I950</f>
        <v>36.672051235511816</v>
      </c>
      <c r="M950" s="161" t="e">
        <f t="shared" si="162"/>
        <v>#N/A</v>
      </c>
      <c r="N950" s="405">
        <f t="shared" si="163"/>
        <v>97.452091752032743</v>
      </c>
      <c r="O950" s="405">
        <v>124.05124120175492</v>
      </c>
      <c r="P950" s="406" t="e">
        <v>#N/A</v>
      </c>
      <c r="Q950" s="406" t="e">
        <v>#N/A</v>
      </c>
      <c r="R950" s="406">
        <v>128.22366271118932</v>
      </c>
      <c r="S950" s="405">
        <f t="shared" si="164"/>
        <v>100.7880485884081</v>
      </c>
      <c r="T950" s="406" t="e">
        <v>#N/A</v>
      </c>
      <c r="U950" s="406">
        <v>132.6606470138116</v>
      </c>
      <c r="V950" s="405">
        <f t="shared" si="165"/>
        <v>104.31662841984772</v>
      </c>
      <c r="W950" s="406" t="e">
        <v>#N/A</v>
      </c>
      <c r="X950" s="406">
        <v>137.74496310969309</v>
      </c>
      <c r="Y950" s="405">
        <f t="shared" si="166"/>
        <v>108.34518888332711</v>
      </c>
      <c r="Z950" s="406" t="e">
        <v>#N/A</v>
      </c>
      <c r="AA950" s="406">
        <v>141.8874422956869</v>
      </c>
      <c r="AB950" s="442">
        <f t="shared" si="167"/>
        <v>110.43185423597632</v>
      </c>
      <c r="AC950" s="438">
        <f t="shared" si="168"/>
        <v>113.68116284135814</v>
      </c>
      <c r="AD950" s="410"/>
      <c r="AE950" s="411"/>
      <c r="AF950" s="411"/>
      <c r="AG950" s="411"/>
    </row>
    <row r="951" spans="1:33" s="301" customFormat="1" x14ac:dyDescent="0.2">
      <c r="A951" t="s">
        <v>1873</v>
      </c>
      <c r="B951" s="23" t="str">
        <f>VLOOKUP(LEFT(A951,7),'[7]Tariff Schedule Lookup Table'!$A$8:$G$186,2,FALSE)</f>
        <v>Fluorescent 2x40</v>
      </c>
      <c r="C951" s="375">
        <f t="shared" si="169"/>
        <v>740</v>
      </c>
      <c r="D951" s="23">
        <f t="shared" si="170"/>
        <v>2</v>
      </c>
      <c r="E951" s="23" t="str">
        <f>VLOOKUP(C951,'[7]Tariff Schedule Lookup Table'!I$7:L$287,2,FALSE)</f>
        <v>MERCURY VAPOUR 80W</v>
      </c>
      <c r="F951" s="23" t="str">
        <f>IF(E951 = "BULKHEADS ETC", "SHARED OR NO POLE", VLOOKUP(C951,'[7]Tariff Schedule Lookup Table'!I$7:L$287,3,FALSE))</f>
        <v>SHARED OR NO POLE</v>
      </c>
      <c r="G951" s="23">
        <f>IF(E951 = "NO CAPITAL", 1, VLOOKUP(C951,'[7]Tariff Schedule Lookup Table'!I$7:L$287,4,FALSE))</f>
        <v>2</v>
      </c>
      <c r="H951" s="23" t="str">
        <f t="shared" si="171"/>
        <v>2-Unmetered, Funded by Others, CE Maintained</v>
      </c>
      <c r="I951" s="374">
        <f>VLOOKUP(F951,'Maintenance Model'!$A$57:$B$61,2,FALSE)</f>
        <v>0</v>
      </c>
      <c r="J951" s="374">
        <f>IF(D951=1,VLOOKUP(C951,'Capital Code Schedules'!A$15:F$300,2,FALSE),IF(D951=2,VLOOKUP(C951,'Capital Code Schedules'!A$15:F$300,3,FALSE),0))</f>
        <v>0</v>
      </c>
      <c r="K951" s="374">
        <f>IF(D951=1,VLOOKUP(C951,'Capital Code Schedules'!E$15:G$300,2,FALSE),IF(D951=2,VLOOKUP(C951,'Capital Code Schedules'!E$15:G$300,3,FALSE),0))</f>
        <v>0</v>
      </c>
      <c r="L951" s="374">
        <f>VLOOKUP(LEFT(A951,10),'Streetlight Tariff Schedule'!B$11:H$260,7, FALSE)+I951</f>
        <v>29.991879471217374</v>
      </c>
      <c r="M951" s="161">
        <f t="shared" si="162"/>
        <v>29.991879471217374</v>
      </c>
      <c r="N951" s="405">
        <f t="shared" si="163"/>
        <v>31.241599774969032</v>
      </c>
      <c r="O951" s="405">
        <v>39.649689594344146</v>
      </c>
      <c r="P951" s="406">
        <v>39.649689594344146</v>
      </c>
      <c r="Q951" s="406">
        <v>41.590100293383117</v>
      </c>
      <c r="R951" s="406">
        <v>41.590100293383117</v>
      </c>
      <c r="S951" s="405">
        <f t="shared" si="164"/>
        <v>32.770528124185937</v>
      </c>
      <c r="T951" s="406">
        <v>43.298254999777917</v>
      </c>
      <c r="U951" s="406">
        <v>43.456436132247049</v>
      </c>
      <c r="V951" s="405">
        <f t="shared" si="165"/>
        <v>34.241089884442069</v>
      </c>
      <c r="W951" s="406">
        <v>44.874428690241622</v>
      </c>
      <c r="X951" s="406">
        <v>45.440514404416469</v>
      </c>
      <c r="Y951" s="405">
        <f t="shared" si="166"/>
        <v>35.804425686954161</v>
      </c>
      <c r="Z951" s="406">
        <v>46.170653902209423</v>
      </c>
      <c r="AA951" s="406">
        <v>46.924180406920897</v>
      </c>
      <c r="AB951" s="442">
        <f t="shared" si="167"/>
        <v>36.581623100350569</v>
      </c>
      <c r="AC951" s="438">
        <f t="shared" si="168"/>
        <v>37.675379290105397</v>
      </c>
      <c r="AD951" s="410"/>
      <c r="AE951" s="411"/>
      <c r="AF951" s="411"/>
      <c r="AG951" s="411"/>
    </row>
    <row r="952" spans="1:33" s="301" customFormat="1" x14ac:dyDescent="0.2">
      <c r="A952" t="s">
        <v>1874</v>
      </c>
      <c r="B952" s="23" t="str">
        <f>VLOOKUP(LEFT(A952,7),'[7]Tariff Schedule Lookup Table'!$A$8:$G$186,2,FALSE)</f>
        <v>Fluorescent 2x40</v>
      </c>
      <c r="C952" s="375">
        <f t="shared" si="169"/>
        <v>810</v>
      </c>
      <c r="D952" s="23">
        <f t="shared" si="170"/>
        <v>1</v>
      </c>
      <c r="E952" s="23" t="str">
        <f>VLOOKUP(C952,'[7]Tariff Schedule Lookup Table'!I$7:L$287,2,FALSE)</f>
        <v>MERCURY VAPOUR 80W</v>
      </c>
      <c r="F952" s="23" t="str">
        <f>IF(E952 = "BULKHEADS ETC", "SHARED OR NO POLE", VLOOKUP(C952,'[7]Tariff Schedule Lookup Table'!I$7:L$287,3,FALSE))</f>
        <v>WOOD POLE</v>
      </c>
      <c r="G952" s="23">
        <f>IF(E952 = "NO CAPITAL", 1, VLOOKUP(C952,'[7]Tariff Schedule Lookup Table'!I$7:L$287,4,FALSE))</f>
        <v>1</v>
      </c>
      <c r="H952" s="23" t="str">
        <f t="shared" si="171"/>
        <v>1-Unmetered, CE Funded, CE Maintained</v>
      </c>
      <c r="I952" s="374">
        <f>VLOOKUP(F952,'Maintenance Model'!$A$57:$B$61,2,FALSE)</f>
        <v>10.731618231111112</v>
      </c>
      <c r="J952" s="374">
        <f>IF(D952=1,VLOOKUP(C952,'Capital Code Schedules'!A$15:F$300,2,FALSE),IF(D952=2,VLOOKUP(C952,'Capital Code Schedules'!A$15:F$300,3,FALSE),0))</f>
        <v>51.156145528662286</v>
      </c>
      <c r="K952" s="374">
        <f>IF(D952=1,VLOOKUP(C952,'Capital Code Schedules'!E$15:G$300,2,FALSE),IF(D952=2,VLOOKUP(C952,'Capital Code Schedules'!E$15:G$300,3,FALSE),0))</f>
        <v>64.890075665956445</v>
      </c>
      <c r="L952" s="374">
        <f>VLOOKUP(LEFT(A952,10),'Streetlight Tariff Schedule'!B$11:H$260,7, FALSE)+I952</f>
        <v>40.723497702328487</v>
      </c>
      <c r="M952" s="161">
        <f t="shared" si="162"/>
        <v>105.61357336828493</v>
      </c>
      <c r="N952" s="405">
        <f t="shared" si="163"/>
        <v>94.842649885463118</v>
      </c>
      <c r="O952" s="405">
        <v>119.48582339470413</v>
      </c>
      <c r="P952" s="406">
        <v>116.54199470845718</v>
      </c>
      <c r="Q952" s="406">
        <v>120.63696221107091</v>
      </c>
      <c r="R952" s="406">
        <v>123.65365065730248</v>
      </c>
      <c r="S952" s="405">
        <f t="shared" si="164"/>
        <v>98.216106436349236</v>
      </c>
      <c r="T952" s="406">
        <v>124.4795089186525</v>
      </c>
      <c r="U952" s="406">
        <v>128.03736147996128</v>
      </c>
      <c r="V952" s="405">
        <f t="shared" si="165"/>
        <v>101.74387264070181</v>
      </c>
      <c r="W952" s="406">
        <v>128.19721017921577</v>
      </c>
      <c r="X952" s="406">
        <v>133.02269309844002</v>
      </c>
      <c r="Y952" s="405">
        <f t="shared" si="166"/>
        <v>105.73959679838789</v>
      </c>
      <c r="Z952" s="406">
        <v>131.60433436322955</v>
      </c>
      <c r="AA952" s="406">
        <v>137.05190533240122</v>
      </c>
      <c r="AB952" s="442">
        <f t="shared" si="167"/>
        <v>107.8002665318598</v>
      </c>
      <c r="AC952" s="438">
        <f t="shared" si="168"/>
        <v>110.97694459254555</v>
      </c>
      <c r="AD952" s="410"/>
      <c r="AE952" s="411"/>
      <c r="AF952" s="411"/>
      <c r="AG952" s="411"/>
    </row>
    <row r="953" spans="1:33" s="301" customFormat="1" x14ac:dyDescent="0.2">
      <c r="A953" t="s">
        <v>1875</v>
      </c>
      <c r="B953" s="23" t="str">
        <f>VLOOKUP(LEFT(A953,7),'[7]Tariff Schedule Lookup Table'!$A$8:$G$186,2,FALSE)</f>
        <v>Fluorescent 2x40</v>
      </c>
      <c r="C953" s="375">
        <f t="shared" si="169"/>
        <v>810</v>
      </c>
      <c r="D953" s="23">
        <f t="shared" si="170"/>
        <v>2</v>
      </c>
      <c r="E953" s="23" t="str">
        <f>VLOOKUP(C953,'[7]Tariff Schedule Lookup Table'!I$7:L$287,2,FALSE)</f>
        <v>MERCURY VAPOUR 80W</v>
      </c>
      <c r="F953" s="23" t="str">
        <f>IF(E953 = "BULKHEADS ETC", "SHARED OR NO POLE", VLOOKUP(C953,'[7]Tariff Schedule Lookup Table'!I$7:L$287,3,FALSE))</f>
        <v>WOOD POLE</v>
      </c>
      <c r="G953" s="23">
        <f>IF(E953 = "NO CAPITAL", 1, VLOOKUP(C953,'[7]Tariff Schedule Lookup Table'!I$7:L$287,4,FALSE))</f>
        <v>1</v>
      </c>
      <c r="H953" s="23" t="str">
        <f t="shared" si="171"/>
        <v>2-Unmetered, Funded by Others, CE Maintained</v>
      </c>
      <c r="I953" s="374">
        <f>VLOOKUP(F953,'Maintenance Model'!$A$57:$B$61,2,FALSE)</f>
        <v>10.731618231111112</v>
      </c>
      <c r="J953" s="374">
        <f>IF(D953=1,VLOOKUP(C953,'Capital Code Schedules'!A$15:F$300,2,FALSE),IF(D953=2,VLOOKUP(C953,'Capital Code Schedules'!A$15:F$300,3,FALSE),0))</f>
        <v>0</v>
      </c>
      <c r="K953" s="374">
        <f>IF(D953=1,VLOOKUP(C953,'Capital Code Schedules'!E$15:G$300,2,FALSE),IF(D953=2,VLOOKUP(C953,'Capital Code Schedules'!E$15:G$300,3,FALSE),0))</f>
        <v>0</v>
      </c>
      <c r="L953" s="374">
        <f>VLOOKUP(LEFT(A953,10),'Streetlight Tariff Schedule'!B$11:H$260,7, FALSE)+I953</f>
        <v>40.723497702328487</v>
      </c>
      <c r="M953" s="161">
        <f t="shared" si="162"/>
        <v>40.723497702328487</v>
      </c>
      <c r="N953" s="405">
        <f t="shared" si="163"/>
        <v>42.420389754966429</v>
      </c>
      <c r="O953" s="405">
        <v>50.045889669768314</v>
      </c>
      <c r="P953" s="406">
        <v>50.045889669768314</v>
      </c>
      <c r="Q953" s="406">
        <v>52.495078572674487</v>
      </c>
      <c r="R953" s="406">
        <v>52.495078572674487</v>
      </c>
      <c r="S953" s="405">
        <f t="shared" si="164"/>
        <v>44.496395367622767</v>
      </c>
      <c r="T953" s="406">
        <v>54.651113660205773</v>
      </c>
      <c r="U953" s="406">
        <v>54.850770090921394</v>
      </c>
      <c r="V953" s="405">
        <f t="shared" si="165"/>
        <v>46.493149806516627</v>
      </c>
      <c r="W953" s="406">
        <v>56.640562138122483</v>
      </c>
      <c r="X953" s="406">
        <v>57.355076261311673</v>
      </c>
      <c r="Y953" s="405">
        <f t="shared" si="166"/>
        <v>48.615874460123827</v>
      </c>
      <c r="Z953" s="406">
        <v>58.276659283119209</v>
      </c>
      <c r="AA953" s="406">
        <v>59.227761415414733</v>
      </c>
      <c r="AB953" s="442">
        <f t="shared" si="167"/>
        <v>49.671166680442276</v>
      </c>
      <c r="AC953" s="438">
        <f t="shared" si="168"/>
        <v>51.156287935451793</v>
      </c>
      <c r="AD953" s="410"/>
      <c r="AE953" s="411"/>
      <c r="AF953" s="411"/>
      <c r="AG953" s="411"/>
    </row>
    <row r="954" spans="1:33" s="301" customFormat="1" x14ac:dyDescent="0.2">
      <c r="A954" t="s">
        <v>1876</v>
      </c>
      <c r="B954" s="23" t="str">
        <f>VLOOKUP(LEFT(A954,7),'[7]Tariff Schedule Lookup Table'!$A$8:$G$186,2,FALSE)</f>
        <v>Fluorescent 2x40</v>
      </c>
      <c r="C954" s="375">
        <f t="shared" si="169"/>
        <v>820</v>
      </c>
      <c r="D954" s="23">
        <f t="shared" si="170"/>
        <v>2</v>
      </c>
      <c r="E954" s="23" t="str">
        <f>VLOOKUP(C954,'[7]Tariff Schedule Lookup Table'!I$7:L$287,2,FALSE)</f>
        <v>MERCURY VAPOUR 80W</v>
      </c>
      <c r="F954" s="23" t="str">
        <f>IF(E954 = "BULKHEADS ETC", "SHARED OR NO POLE", VLOOKUP(C954,'[7]Tariff Schedule Lookup Table'!I$7:L$287,3,FALSE))</f>
        <v>SHARED OR NO POLE</v>
      </c>
      <c r="G954" s="23">
        <f>IF(E954 = "NO CAPITAL", 1, VLOOKUP(C954,'[7]Tariff Schedule Lookup Table'!I$7:L$287,4,FALSE))</f>
        <v>3</v>
      </c>
      <c r="H954" s="23" t="str">
        <f t="shared" si="171"/>
        <v>2-Unmetered, Funded by Others, CE Maintained</v>
      </c>
      <c r="I954" s="374">
        <f>VLOOKUP(F954,'Maintenance Model'!$A$57:$B$61,2,FALSE)</f>
        <v>0</v>
      </c>
      <c r="J954" s="374">
        <f>IF(D954=1,VLOOKUP(C954,'Capital Code Schedules'!A$15:F$300,2,FALSE),IF(D954=2,VLOOKUP(C954,'Capital Code Schedules'!A$15:F$300,3,FALSE),0))</f>
        <v>0</v>
      </c>
      <c r="K954" s="374">
        <f>IF(D954=1,VLOOKUP(C954,'Capital Code Schedules'!E$15:G$300,2,FALSE),IF(D954=2,VLOOKUP(C954,'Capital Code Schedules'!E$15:G$300,3,FALSE),0))</f>
        <v>0</v>
      </c>
      <c r="L954" s="374">
        <f>VLOOKUP(LEFT(A954,10),'Streetlight Tariff Schedule'!B$11:H$260,7, FALSE)+I954</f>
        <v>29.991879471217374</v>
      </c>
      <c r="M954" s="161">
        <f t="shared" si="162"/>
        <v>29.991879471217374</v>
      </c>
      <c r="N954" s="405">
        <f t="shared" si="163"/>
        <v>31.241599774969032</v>
      </c>
      <c r="O954" s="405">
        <v>39.649689594344146</v>
      </c>
      <c r="P954" s="406">
        <v>39.649689594344146</v>
      </c>
      <c r="Q954" s="406">
        <v>41.590100293383117</v>
      </c>
      <c r="R954" s="406">
        <v>41.590100293383117</v>
      </c>
      <c r="S954" s="405">
        <f t="shared" si="164"/>
        <v>32.770528124185937</v>
      </c>
      <c r="T954" s="406">
        <v>43.298254999777917</v>
      </c>
      <c r="U954" s="406">
        <v>43.456436132247049</v>
      </c>
      <c r="V954" s="405">
        <f t="shared" si="165"/>
        <v>34.241089884442069</v>
      </c>
      <c r="W954" s="406">
        <v>44.874428690241622</v>
      </c>
      <c r="X954" s="406">
        <v>45.440514404416469</v>
      </c>
      <c r="Y954" s="405">
        <f t="shared" si="166"/>
        <v>35.804425686954161</v>
      </c>
      <c r="Z954" s="406">
        <v>46.170653902209423</v>
      </c>
      <c r="AA954" s="406">
        <v>46.924180406920897</v>
      </c>
      <c r="AB954" s="442">
        <f t="shared" si="167"/>
        <v>36.581623100350569</v>
      </c>
      <c r="AC954" s="438">
        <f t="shared" si="168"/>
        <v>37.675379290105397</v>
      </c>
      <c r="AD954" s="410"/>
      <c r="AE954" s="411"/>
      <c r="AF954" s="411"/>
      <c r="AG954" s="411"/>
    </row>
    <row r="955" spans="1:33" s="301" customFormat="1" x14ac:dyDescent="0.2">
      <c r="A955" t="s">
        <v>1877</v>
      </c>
      <c r="B955" s="23" t="str">
        <f>VLOOKUP(LEFT(A955,7),'[7]Tariff Schedule Lookup Table'!$A$8:$G$186,2,FALSE)</f>
        <v>Fluorescent 2x40</v>
      </c>
      <c r="C955" s="375">
        <f t="shared" si="169"/>
        <v>830</v>
      </c>
      <c r="D955" s="23">
        <f t="shared" si="170"/>
        <v>2</v>
      </c>
      <c r="E955" s="23" t="str">
        <f>VLOOKUP(C955,'[7]Tariff Schedule Lookup Table'!I$7:L$287,2,FALSE)</f>
        <v>MERCURY VAPOUR 80W</v>
      </c>
      <c r="F955" s="23" t="str">
        <f>IF(E955 = "BULKHEADS ETC", "SHARED OR NO POLE", VLOOKUP(C955,'[7]Tariff Schedule Lookup Table'!I$7:L$287,3,FALSE))</f>
        <v>SHARED OR NO POLE</v>
      </c>
      <c r="G955" s="23">
        <f>IF(E955 = "NO CAPITAL", 1, VLOOKUP(C955,'[7]Tariff Schedule Lookup Table'!I$7:L$287,4,FALSE))</f>
        <v>4</v>
      </c>
      <c r="H955" s="23" t="str">
        <f t="shared" si="171"/>
        <v>2-Unmetered, Funded by Others, CE Maintained</v>
      </c>
      <c r="I955" s="374">
        <f>VLOOKUP(F955,'Maintenance Model'!$A$57:$B$61,2,FALSE)</f>
        <v>0</v>
      </c>
      <c r="J955" s="374">
        <f>IF(D955=1,VLOOKUP(C955,'Capital Code Schedules'!A$15:F$300,2,FALSE),IF(D955=2,VLOOKUP(C955,'Capital Code Schedules'!A$15:F$300,3,FALSE),0))</f>
        <v>0</v>
      </c>
      <c r="K955" s="374">
        <f>IF(D955=1,VLOOKUP(C955,'Capital Code Schedules'!E$15:G$300,2,FALSE),IF(D955=2,VLOOKUP(C955,'Capital Code Schedules'!E$15:G$300,3,FALSE),0))</f>
        <v>0</v>
      </c>
      <c r="L955" s="374">
        <f>VLOOKUP(LEFT(A955,10),'Streetlight Tariff Schedule'!B$11:H$260,7, FALSE)+I955</f>
        <v>29.991879471217374</v>
      </c>
      <c r="M955" s="161">
        <f t="shared" si="162"/>
        <v>29.991879471217374</v>
      </c>
      <c r="N955" s="405">
        <f t="shared" si="163"/>
        <v>31.241599774969032</v>
      </c>
      <c r="O955" s="405">
        <v>39.649689594344146</v>
      </c>
      <c r="P955" s="406">
        <v>39.649689594344146</v>
      </c>
      <c r="Q955" s="406">
        <v>41.590100293383117</v>
      </c>
      <c r="R955" s="406">
        <v>41.590100293383117</v>
      </c>
      <c r="S955" s="405">
        <f t="shared" si="164"/>
        <v>32.770528124185937</v>
      </c>
      <c r="T955" s="406">
        <v>43.298254999777917</v>
      </c>
      <c r="U955" s="406">
        <v>43.456436132247049</v>
      </c>
      <c r="V955" s="405">
        <f t="shared" si="165"/>
        <v>34.241089884442069</v>
      </c>
      <c r="W955" s="406">
        <v>44.874428690241622</v>
      </c>
      <c r="X955" s="406">
        <v>45.440514404416469</v>
      </c>
      <c r="Y955" s="405">
        <f t="shared" si="166"/>
        <v>35.804425686954161</v>
      </c>
      <c r="Z955" s="406">
        <v>46.170653902209423</v>
      </c>
      <c r="AA955" s="406">
        <v>46.924180406920897</v>
      </c>
      <c r="AB955" s="442">
        <f t="shared" si="167"/>
        <v>36.581623100350569</v>
      </c>
      <c r="AC955" s="438">
        <f t="shared" si="168"/>
        <v>37.675379290105397</v>
      </c>
      <c r="AD955" s="410"/>
      <c r="AE955" s="411"/>
      <c r="AF955" s="411"/>
      <c r="AG955" s="411"/>
    </row>
    <row r="956" spans="1:33" s="301" customFormat="1" x14ac:dyDescent="0.2">
      <c r="A956" t="s">
        <v>1878</v>
      </c>
      <c r="B956" s="23" t="str">
        <f>VLOOKUP(LEFT(A956,7),'[7]Tariff Schedule Lookup Table'!$A$8:$G$186,2,FALSE)</f>
        <v>Fluorescent 2x40</v>
      </c>
      <c r="C956" s="375">
        <f t="shared" si="169"/>
        <v>990</v>
      </c>
      <c r="D956" s="23">
        <f t="shared" si="170"/>
        <v>2</v>
      </c>
      <c r="E956" s="23" t="str">
        <f>VLOOKUP(C956,'[7]Tariff Schedule Lookup Table'!I$7:L$287,2,FALSE)</f>
        <v>MERCURY VAPOUR 80W</v>
      </c>
      <c r="F956" s="23" t="str">
        <f>IF(E956 = "BULKHEADS ETC", "SHARED OR NO POLE", VLOOKUP(C956,'[7]Tariff Schedule Lookup Table'!I$7:L$287,3,FALSE))</f>
        <v>STEEL POLE</v>
      </c>
      <c r="G956" s="23">
        <f>IF(E956 = "NO CAPITAL", 1, VLOOKUP(C956,'[7]Tariff Schedule Lookup Table'!I$7:L$287,4,FALSE))</f>
        <v>1</v>
      </c>
      <c r="H956" s="23" t="str">
        <f t="shared" si="171"/>
        <v>2-Unmetered, Funded by Others, CE Maintained</v>
      </c>
      <c r="I956" s="374">
        <f>VLOOKUP(F956,'Maintenance Model'!$A$57:$B$61,2,FALSE)</f>
        <v>9.9616182311111103</v>
      </c>
      <c r="J956" s="374">
        <f>IF(D956=1,VLOOKUP(C956,'Capital Code Schedules'!A$15:F$300,2,FALSE),IF(D956=2,VLOOKUP(C956,'Capital Code Schedules'!A$15:F$300,3,FALSE),0))</f>
        <v>0</v>
      </c>
      <c r="K956" s="374">
        <f>IF(D956=1,VLOOKUP(C956,'Capital Code Schedules'!E$15:G$300,2,FALSE),IF(D956=2,VLOOKUP(C956,'Capital Code Schedules'!E$15:G$300,3,FALSE),0))</f>
        <v>0</v>
      </c>
      <c r="L956" s="374">
        <f>VLOOKUP(LEFT(A956,10),'Streetlight Tariff Schedule'!B$11:H$260,7, FALSE)+I956</f>
        <v>39.953497702328484</v>
      </c>
      <c r="M956" s="161">
        <f t="shared" si="162"/>
        <v>39.953497702328484</v>
      </c>
      <c r="N956" s="405">
        <f t="shared" si="163"/>
        <v>41.618304915641431</v>
      </c>
      <c r="O956" s="405">
        <v>49.24380483044331</v>
      </c>
      <c r="P956" s="406">
        <v>49.24380483044331</v>
      </c>
      <c r="Q956" s="406">
        <v>51.653740613850026</v>
      </c>
      <c r="R956" s="406">
        <v>51.653740613850026</v>
      </c>
      <c r="S956" s="405">
        <f t="shared" si="164"/>
        <v>43.655057408798307</v>
      </c>
      <c r="T956" s="406">
        <v>53.77522095436467</v>
      </c>
      <c r="U956" s="406">
        <v>53.971677493996175</v>
      </c>
      <c r="V956" s="405">
        <f t="shared" si="165"/>
        <v>45.614057209591408</v>
      </c>
      <c r="W956" s="406">
        <v>55.732784566745273</v>
      </c>
      <c r="X956" s="406">
        <v>56.435847181139735</v>
      </c>
      <c r="Y956" s="405">
        <f t="shared" si="166"/>
        <v>47.696645379951889</v>
      </c>
      <c r="Z956" s="406">
        <v>57.342660003539308</v>
      </c>
      <c r="AA956" s="406">
        <v>58.278518834017291</v>
      </c>
      <c r="AB956" s="442">
        <f t="shared" si="167"/>
        <v>48.731984132236114</v>
      </c>
      <c r="AC956" s="438">
        <f t="shared" si="168"/>
        <v>50.18902471071052</v>
      </c>
      <c r="AD956" s="410"/>
      <c r="AE956" s="411"/>
      <c r="AF956" s="411"/>
      <c r="AG956" s="411"/>
    </row>
    <row r="957" spans="1:33" s="301" customFormat="1" x14ac:dyDescent="0.2">
      <c r="A957" t="s">
        <v>1879</v>
      </c>
      <c r="B957" s="23" t="str">
        <f>VLOOKUP(LEFT(A957,7),'[7]Tariff Schedule Lookup Table'!$A$8:$G$186,2,FALSE)</f>
        <v>Fluorescent 2x40</v>
      </c>
      <c r="C957" s="375">
        <f t="shared" si="169"/>
        <v>1260</v>
      </c>
      <c r="D957" s="23">
        <f t="shared" si="170"/>
        <v>2</v>
      </c>
      <c r="E957" s="23" t="str">
        <f>VLOOKUP(C957,'[7]Tariff Schedule Lookup Table'!I$7:L$287,2,FALSE)</f>
        <v>MERCURY VAPOUR 80W</v>
      </c>
      <c r="F957" s="23" t="str">
        <f>IF(E957 = "BULKHEADS ETC", "SHARED OR NO POLE", VLOOKUP(C957,'[7]Tariff Schedule Lookup Table'!I$7:L$287,3,FALSE))</f>
        <v>WOOD POLE</v>
      </c>
      <c r="G957" s="23">
        <f>IF(E957 = "NO CAPITAL", 1, VLOOKUP(C957,'[7]Tariff Schedule Lookup Table'!I$7:L$287,4,FALSE))</f>
        <v>2</v>
      </c>
      <c r="H957" s="23" t="str">
        <f t="shared" si="171"/>
        <v>2-Unmetered, Funded by Others, CE Maintained</v>
      </c>
      <c r="I957" s="374">
        <f>VLOOKUP(F957,'Maintenance Model'!$A$57:$B$61,2,FALSE)</f>
        <v>10.731618231111112</v>
      </c>
      <c r="J957" s="374">
        <f>IF(D957=1,VLOOKUP(C957,'Capital Code Schedules'!A$15:F$300,2,FALSE),IF(D957=2,VLOOKUP(C957,'Capital Code Schedules'!A$15:F$300,3,FALSE),0))</f>
        <v>0</v>
      </c>
      <c r="K957" s="374">
        <f>IF(D957=1,VLOOKUP(C957,'Capital Code Schedules'!E$15:G$300,2,FALSE),IF(D957=2,VLOOKUP(C957,'Capital Code Schedules'!E$15:G$300,3,FALSE),0))</f>
        <v>0</v>
      </c>
      <c r="L957" s="374">
        <f>VLOOKUP(LEFT(A957,10),'Streetlight Tariff Schedule'!B$11:H$260,7, FALSE)+I957</f>
        <v>40.723497702328487</v>
      </c>
      <c r="M957" s="161">
        <f t="shared" si="162"/>
        <v>40.723497702328487</v>
      </c>
      <c r="N957" s="405">
        <f t="shared" si="163"/>
        <v>42.420389754966429</v>
      </c>
      <c r="O957" s="405">
        <v>50.045889669768314</v>
      </c>
      <c r="P957" s="406">
        <v>50.045889669768314</v>
      </c>
      <c r="Q957" s="406">
        <v>52.495078572674487</v>
      </c>
      <c r="R957" s="406">
        <v>52.495078572674487</v>
      </c>
      <c r="S957" s="405">
        <f t="shared" si="164"/>
        <v>44.496395367622767</v>
      </c>
      <c r="T957" s="406">
        <v>54.651113660205773</v>
      </c>
      <c r="U957" s="406">
        <v>54.850770090921394</v>
      </c>
      <c r="V957" s="405">
        <f t="shared" si="165"/>
        <v>46.493149806516627</v>
      </c>
      <c r="W957" s="406">
        <v>56.640562138122483</v>
      </c>
      <c r="X957" s="406">
        <v>57.355076261311673</v>
      </c>
      <c r="Y957" s="405">
        <f t="shared" si="166"/>
        <v>48.615874460123827</v>
      </c>
      <c r="Z957" s="406">
        <v>58.276659283119209</v>
      </c>
      <c r="AA957" s="406">
        <v>59.227761415414733</v>
      </c>
      <c r="AB957" s="442">
        <f t="shared" si="167"/>
        <v>49.671166680442276</v>
      </c>
      <c r="AC957" s="438">
        <f t="shared" si="168"/>
        <v>51.156287935451793</v>
      </c>
      <c r="AD957" s="410"/>
      <c r="AE957" s="411"/>
      <c r="AF957" s="411"/>
      <c r="AG957" s="411"/>
    </row>
    <row r="958" spans="1:33" s="301" customFormat="1" x14ac:dyDescent="0.2">
      <c r="A958" t="s">
        <v>1880</v>
      </c>
      <c r="B958" s="23" t="str">
        <f>VLOOKUP(LEFT(A958,7),'[7]Tariff Schedule Lookup Table'!$A$8:$G$186,2,FALSE)</f>
        <v>Fluorescent 3x40</v>
      </c>
      <c r="C958" s="375">
        <f t="shared" si="169"/>
        <v>990</v>
      </c>
      <c r="D958" s="23">
        <f t="shared" si="170"/>
        <v>2</v>
      </c>
      <c r="E958" s="23" t="str">
        <f>VLOOKUP(C958,'[7]Tariff Schedule Lookup Table'!I$7:L$287,2,FALSE)</f>
        <v>MERCURY VAPOUR 80W</v>
      </c>
      <c r="F958" s="23" t="str">
        <f>IF(E958 = "BULKHEADS ETC", "SHARED OR NO POLE", VLOOKUP(C958,'[7]Tariff Schedule Lookup Table'!I$7:L$287,3,FALSE))</f>
        <v>STEEL POLE</v>
      </c>
      <c r="G958" s="23">
        <f>IF(E958 = "NO CAPITAL", 1, VLOOKUP(C958,'[7]Tariff Schedule Lookup Table'!I$7:L$287,4,FALSE))</f>
        <v>1</v>
      </c>
      <c r="H958" s="23" t="str">
        <f t="shared" si="171"/>
        <v>2-Unmetered, Funded by Others, CE Maintained</v>
      </c>
      <c r="I958" s="374">
        <f>VLOOKUP(F958,'Maintenance Model'!$A$57:$B$61,2,FALSE)</f>
        <v>9.9616182311111103</v>
      </c>
      <c r="J958" s="374">
        <f>IF(D958=1,VLOOKUP(C958,'Capital Code Schedules'!A$15:F$300,2,FALSE),IF(D958=2,VLOOKUP(C958,'Capital Code Schedules'!A$15:F$300,3,FALSE),0))</f>
        <v>0</v>
      </c>
      <c r="K958" s="374">
        <f>IF(D958=1,VLOOKUP(C958,'Capital Code Schedules'!E$15:G$300,2,FALSE),IF(D958=2,VLOOKUP(C958,'Capital Code Schedules'!E$15:G$300,3,FALSE),0))</f>
        <v>0</v>
      </c>
      <c r="L958" s="374">
        <f>VLOOKUP(LEFT(A958,10),'Streetlight Tariff Schedule'!B$11:H$260,7, FALSE)+I958</f>
        <v>44.004944169145148</v>
      </c>
      <c r="M958" s="161">
        <f t="shared" si="162"/>
        <v>44.004944169145148</v>
      </c>
      <c r="N958" s="405">
        <f t="shared" si="163"/>
        <v>45.838569575862842</v>
      </c>
      <c r="O958" s="405">
        <v>53.725199720909842</v>
      </c>
      <c r="P958" s="406">
        <v>53.725199720909842</v>
      </c>
      <c r="Q958" s="406">
        <v>56.354449871744045</v>
      </c>
      <c r="R958" s="406">
        <v>56.354449871744045</v>
      </c>
      <c r="S958" s="405">
        <f t="shared" si="164"/>
        <v>48.081857020068554</v>
      </c>
      <c r="T958" s="406">
        <v>58.668993912168602</v>
      </c>
      <c r="U958" s="406">
        <v>58.883328829312468</v>
      </c>
      <c r="V958" s="405">
        <f t="shared" si="165"/>
        <v>50.239507334029497</v>
      </c>
      <c r="W958" s="406">
        <v>60.804704107667469</v>
      </c>
      <c r="X958" s="406">
        <v>61.571748398918004</v>
      </c>
      <c r="Y958" s="405">
        <f t="shared" si="166"/>
        <v>52.533278378728141</v>
      </c>
      <c r="Z958" s="406">
        <v>62.561085030412009</v>
      </c>
      <c r="AA958" s="406">
        <v>63.582110979790386</v>
      </c>
      <c r="AB958" s="442">
        <f t="shared" si="167"/>
        <v>53.673604673308475</v>
      </c>
      <c r="AC958" s="438">
        <f t="shared" si="168"/>
        <v>55.278395067021819</v>
      </c>
      <c r="AD958" s="410"/>
      <c r="AE958" s="411"/>
      <c r="AF958" s="411"/>
      <c r="AG958" s="411"/>
    </row>
    <row r="959" spans="1:33" s="301" customFormat="1" x14ac:dyDescent="0.2">
      <c r="A959" t="s">
        <v>1881</v>
      </c>
      <c r="B959" s="23" t="str">
        <f>VLOOKUP(LEFT(A959,7),'[7]Tariff Schedule Lookup Table'!$A$8:$G$186,2,FALSE)</f>
        <v>Fluorescent 3x40</v>
      </c>
      <c r="C959" s="375">
        <f t="shared" si="169"/>
        <v>1000</v>
      </c>
      <c r="D959" s="23">
        <f t="shared" si="170"/>
        <v>2</v>
      </c>
      <c r="E959" s="23" t="str">
        <f>VLOOKUP(C959,'[7]Tariff Schedule Lookup Table'!I$7:L$287,2,FALSE)</f>
        <v>MERCURY VAPOUR 80W</v>
      </c>
      <c r="F959" s="23" t="str">
        <f>IF(E959 = "BULKHEADS ETC", "SHARED OR NO POLE", VLOOKUP(C959,'[7]Tariff Schedule Lookup Table'!I$7:L$287,3,FALSE))</f>
        <v>STEEL POLE</v>
      </c>
      <c r="G959" s="23">
        <f>IF(E959 = "NO CAPITAL", 1, VLOOKUP(C959,'[7]Tariff Schedule Lookup Table'!I$7:L$287,4,FALSE))</f>
        <v>2</v>
      </c>
      <c r="H959" s="23" t="str">
        <f t="shared" si="171"/>
        <v>2-Unmetered, Funded by Others, CE Maintained</v>
      </c>
      <c r="I959" s="374">
        <f>VLOOKUP(F959,'Maintenance Model'!$A$57:$B$61,2,FALSE)</f>
        <v>9.9616182311111103</v>
      </c>
      <c r="J959" s="374">
        <f>IF(D959=1,VLOOKUP(C959,'Capital Code Schedules'!A$15:F$300,2,FALSE),IF(D959=2,VLOOKUP(C959,'Capital Code Schedules'!A$15:F$300,3,FALSE),0))</f>
        <v>0</v>
      </c>
      <c r="K959" s="374">
        <f>IF(D959=1,VLOOKUP(C959,'Capital Code Schedules'!E$15:G$300,2,FALSE),IF(D959=2,VLOOKUP(C959,'Capital Code Schedules'!E$15:G$300,3,FALSE),0))</f>
        <v>0</v>
      </c>
      <c r="L959" s="374">
        <f>VLOOKUP(LEFT(A959,10),'Streetlight Tariff Schedule'!B$11:H$260,7, FALSE)+I959</f>
        <v>44.004944169145148</v>
      </c>
      <c r="M959" s="161">
        <f t="shared" si="162"/>
        <v>44.004944169145148</v>
      </c>
      <c r="N959" s="405">
        <f t="shared" si="163"/>
        <v>45.838569575862842</v>
      </c>
      <c r="O959" s="405">
        <v>53.725199720909842</v>
      </c>
      <c r="P959" s="406">
        <v>53.725199720909842</v>
      </c>
      <c r="Q959" s="406">
        <v>56.354449871744045</v>
      </c>
      <c r="R959" s="406">
        <v>56.354449871744045</v>
      </c>
      <c r="S959" s="405">
        <f t="shared" si="164"/>
        <v>48.081857020068554</v>
      </c>
      <c r="T959" s="406">
        <v>58.668993912168602</v>
      </c>
      <c r="U959" s="406">
        <v>58.883328829312468</v>
      </c>
      <c r="V959" s="405">
        <f t="shared" si="165"/>
        <v>50.239507334029497</v>
      </c>
      <c r="W959" s="406">
        <v>60.804704107667469</v>
      </c>
      <c r="X959" s="406">
        <v>61.571748398918004</v>
      </c>
      <c r="Y959" s="405">
        <f t="shared" si="166"/>
        <v>52.533278378728141</v>
      </c>
      <c r="Z959" s="406">
        <v>62.561085030412009</v>
      </c>
      <c r="AA959" s="406">
        <v>63.582110979790386</v>
      </c>
      <c r="AB959" s="442">
        <f t="shared" si="167"/>
        <v>53.673604673308475</v>
      </c>
      <c r="AC959" s="438">
        <f t="shared" si="168"/>
        <v>55.278395067021819</v>
      </c>
      <c r="AD959" s="410"/>
      <c r="AE959" s="411"/>
      <c r="AF959" s="411"/>
      <c r="AG959" s="411"/>
    </row>
    <row r="960" spans="1:33" s="301" customFormat="1" x14ac:dyDescent="0.2">
      <c r="A960" t="s">
        <v>1882</v>
      </c>
      <c r="B960" s="23" t="str">
        <f>VLOOKUP(LEFT(A960,7),'[7]Tariff Schedule Lookup Table'!$A$8:$G$186,2,FALSE)</f>
        <v>Fluorescent 4x40</v>
      </c>
      <c r="C960" s="375">
        <f t="shared" si="169"/>
        <v>830</v>
      </c>
      <c r="D960" s="23">
        <f t="shared" si="170"/>
        <v>2</v>
      </c>
      <c r="E960" s="23" t="str">
        <f>VLOOKUP(C960,'[7]Tariff Schedule Lookup Table'!I$7:L$287,2,FALSE)</f>
        <v>MERCURY VAPOUR 80W</v>
      </c>
      <c r="F960" s="23" t="str">
        <f>IF(E960 = "BULKHEADS ETC", "SHARED OR NO POLE", VLOOKUP(C960,'[7]Tariff Schedule Lookup Table'!I$7:L$287,3,FALSE))</f>
        <v>SHARED OR NO POLE</v>
      </c>
      <c r="G960" s="23">
        <f>IF(E960 = "NO CAPITAL", 1, VLOOKUP(C960,'[7]Tariff Schedule Lookup Table'!I$7:L$287,4,FALSE))</f>
        <v>4</v>
      </c>
      <c r="H960" s="23" t="str">
        <f t="shared" si="171"/>
        <v>2-Unmetered, Funded by Others, CE Maintained</v>
      </c>
      <c r="I960" s="374">
        <f>VLOOKUP(F960,'Maintenance Model'!$A$57:$B$61,2,FALSE)</f>
        <v>0</v>
      </c>
      <c r="J960" s="374">
        <f>IF(D960=1,VLOOKUP(C960,'Capital Code Schedules'!A$15:F$300,2,FALSE),IF(D960=2,VLOOKUP(C960,'Capital Code Schedules'!A$15:F$300,3,FALSE),0))</f>
        <v>0</v>
      </c>
      <c r="K960" s="374">
        <f>IF(D960=1,VLOOKUP(C960,'Capital Code Schedules'!E$15:G$300,2,FALSE),IF(D960=2,VLOOKUP(C960,'Capital Code Schedules'!E$15:G$300,3,FALSE),0))</f>
        <v>0</v>
      </c>
      <c r="L960" s="374">
        <f>VLOOKUP(LEFT(A960,10),'Streetlight Tariff Schedule'!B$11:H$260,7, FALSE)+I960</f>
        <v>38.094772404850701</v>
      </c>
      <c r="M960" s="161">
        <f t="shared" si="162"/>
        <v>38.094772404850701</v>
      </c>
      <c r="N960" s="405">
        <f t="shared" si="163"/>
        <v>39.682129095411845</v>
      </c>
      <c r="O960" s="405">
        <v>48.612479375277196</v>
      </c>
      <c r="P960" s="406">
        <v>48.612479375277196</v>
      </c>
      <c r="Q960" s="406">
        <v>50.99151880917114</v>
      </c>
      <c r="R960" s="406">
        <v>50.99151880917114</v>
      </c>
      <c r="S960" s="405">
        <f t="shared" si="164"/>
        <v>41.624127346726439</v>
      </c>
      <c r="T960" s="406">
        <v>53.085800915385782</v>
      </c>
      <c r="U960" s="406">
        <v>53.279738802879628</v>
      </c>
      <c r="V960" s="405">
        <f t="shared" si="165"/>
        <v>43.491990133318254</v>
      </c>
      <c r="W960" s="406">
        <v>55.018267772085999</v>
      </c>
      <c r="X960" s="406">
        <v>55.712316839973006</v>
      </c>
      <c r="Y960" s="405">
        <f t="shared" si="166"/>
        <v>45.477691684506681</v>
      </c>
      <c r="Z960" s="406">
        <v>56.607503955954833</v>
      </c>
      <c r="AA960" s="406">
        <v>57.53136469846708</v>
      </c>
      <c r="AB960" s="442">
        <f t="shared" si="167"/>
        <v>46.46486418249529</v>
      </c>
      <c r="AC960" s="438">
        <f t="shared" si="168"/>
        <v>47.85412000272801</v>
      </c>
      <c r="AD960" s="410"/>
      <c r="AE960" s="411"/>
      <c r="AF960" s="411"/>
      <c r="AG960" s="411"/>
    </row>
    <row r="961" spans="1:33" s="301" customFormat="1" x14ac:dyDescent="0.2">
      <c r="A961" t="s">
        <v>1883</v>
      </c>
      <c r="B961" s="23" t="str">
        <f>VLOOKUP(LEFT(A961,7),'[7]Tariff Schedule Lookup Table'!$A$8:$G$186,2,FALSE)</f>
        <v>Fluorescent 4x40</v>
      </c>
      <c r="C961" s="375">
        <f t="shared" si="169"/>
        <v>1000</v>
      </c>
      <c r="D961" s="23">
        <f t="shared" si="170"/>
        <v>2</v>
      </c>
      <c r="E961" s="23" t="str">
        <f>VLOOKUP(C961,'[7]Tariff Schedule Lookup Table'!I$7:L$287,2,FALSE)</f>
        <v>MERCURY VAPOUR 80W</v>
      </c>
      <c r="F961" s="23" t="str">
        <f>IF(E961 = "BULKHEADS ETC", "SHARED OR NO POLE", VLOOKUP(C961,'[7]Tariff Schedule Lookup Table'!I$7:L$287,3,FALSE))</f>
        <v>STEEL POLE</v>
      </c>
      <c r="G961" s="23">
        <f>IF(E961 = "NO CAPITAL", 1, VLOOKUP(C961,'[7]Tariff Schedule Lookup Table'!I$7:L$287,4,FALSE))</f>
        <v>2</v>
      </c>
      <c r="H961" s="23" t="str">
        <f t="shared" si="171"/>
        <v>2-Unmetered, Funded by Others, CE Maintained</v>
      </c>
      <c r="I961" s="374">
        <f>VLOOKUP(F961,'Maintenance Model'!$A$57:$B$61,2,FALSE)</f>
        <v>9.9616182311111103</v>
      </c>
      <c r="J961" s="374">
        <f>IF(D961=1,VLOOKUP(C961,'Capital Code Schedules'!A$15:F$300,2,FALSE),IF(D961=2,VLOOKUP(C961,'Capital Code Schedules'!A$15:F$300,3,FALSE),0))</f>
        <v>0</v>
      </c>
      <c r="K961" s="374">
        <f>IF(D961=1,VLOOKUP(C961,'Capital Code Schedules'!E$15:G$300,2,FALSE),IF(D961=2,VLOOKUP(C961,'Capital Code Schedules'!E$15:G$300,3,FALSE),0))</f>
        <v>0</v>
      </c>
      <c r="L961" s="374">
        <f>VLOOKUP(LEFT(A961,10),'Streetlight Tariff Schedule'!B$11:H$260,7, FALSE)+I961</f>
        <v>48.056390635961812</v>
      </c>
      <c r="M961" s="161">
        <f t="shared" si="162"/>
        <v>48.056390635961812</v>
      </c>
      <c r="N961" s="405">
        <f t="shared" si="163"/>
        <v>50.058834236084238</v>
      </c>
      <c r="O961" s="405">
        <v>58.20659461137636</v>
      </c>
      <c r="P961" s="406">
        <v>58.20659461137636</v>
      </c>
      <c r="Q961" s="406">
        <v>61.055159129638056</v>
      </c>
      <c r="R961" s="406">
        <v>61.055159129638056</v>
      </c>
      <c r="S961" s="405">
        <f t="shared" si="164"/>
        <v>52.508656631338802</v>
      </c>
      <c r="T961" s="406">
        <v>63.562766869972535</v>
      </c>
      <c r="U961" s="406">
        <v>63.794980164628761</v>
      </c>
      <c r="V961" s="405">
        <f t="shared" si="165"/>
        <v>54.864957458467593</v>
      </c>
      <c r="W961" s="406">
        <v>65.876623648589657</v>
      </c>
      <c r="X961" s="406">
        <v>66.707649616696273</v>
      </c>
      <c r="Y961" s="405">
        <f t="shared" si="166"/>
        <v>57.369911377504408</v>
      </c>
      <c r="Z961" s="406">
        <v>67.77951005728471</v>
      </c>
      <c r="AA961" s="406">
        <v>68.885703125563467</v>
      </c>
      <c r="AB961" s="442">
        <f t="shared" si="167"/>
        <v>58.615225214380835</v>
      </c>
      <c r="AC961" s="438">
        <f t="shared" si="168"/>
        <v>60.367765423333125</v>
      </c>
      <c r="AD961" s="410"/>
      <c r="AE961" s="411"/>
      <c r="AF961" s="411"/>
      <c r="AG961" s="411"/>
    </row>
    <row r="962" spans="1:33" s="301" customFormat="1" x14ac:dyDescent="0.2">
      <c r="A962" t="s">
        <v>1884</v>
      </c>
      <c r="B962" s="23" t="str">
        <f>VLOOKUP(LEFT(A962,7),'[7]Tariff Schedule Lookup Table'!$A$8:$G$186,2,FALSE)</f>
        <v>Fluorescent 65</v>
      </c>
      <c r="C962" s="375">
        <f t="shared" si="169"/>
        <v>990</v>
      </c>
      <c r="D962" s="23">
        <f t="shared" si="170"/>
        <v>2</v>
      </c>
      <c r="E962" s="23" t="str">
        <f>VLOOKUP(C962,'[7]Tariff Schedule Lookup Table'!I$7:L$287,2,FALSE)</f>
        <v>MERCURY VAPOUR 80W</v>
      </c>
      <c r="F962" s="23" t="str">
        <f>IF(E962 = "BULKHEADS ETC", "SHARED OR NO POLE", VLOOKUP(C962,'[7]Tariff Schedule Lookup Table'!I$7:L$287,3,FALSE))</f>
        <v>STEEL POLE</v>
      </c>
      <c r="G962" s="23">
        <f>IF(E962 = "NO CAPITAL", 1, VLOOKUP(C962,'[7]Tariff Schedule Lookup Table'!I$7:L$287,4,FALSE))</f>
        <v>1</v>
      </c>
      <c r="H962" s="23" t="str">
        <f t="shared" si="171"/>
        <v>2-Unmetered, Funded by Others, CE Maintained</v>
      </c>
      <c r="I962" s="374">
        <f>VLOOKUP(F962,'Maintenance Model'!$A$57:$B$61,2,FALSE)</f>
        <v>9.9616182311111103</v>
      </c>
      <c r="J962" s="374">
        <f>IF(D962=1,VLOOKUP(C962,'Capital Code Schedules'!A$15:F$300,2,FALSE),IF(D962=2,VLOOKUP(C962,'Capital Code Schedules'!A$15:F$300,3,FALSE),0))</f>
        <v>0</v>
      </c>
      <c r="K962" s="374">
        <f>IF(D962=1,VLOOKUP(C962,'Capital Code Schedules'!E$15:G$300,2,FALSE),IF(D962=2,VLOOKUP(C962,'Capital Code Schedules'!E$15:G$300,3,FALSE),0))</f>
        <v>0</v>
      </c>
      <c r="L962" s="374">
        <f>VLOOKUP(LEFT(A962,10),'Streetlight Tariff Schedule'!B$11:H$260,7, FALSE)+I962</f>
        <v>35.90205123551182</v>
      </c>
      <c r="M962" s="161">
        <f t="shared" si="162"/>
        <v>35.90205123551182</v>
      </c>
      <c r="N962" s="405">
        <f t="shared" si="163"/>
        <v>37.398040255420021</v>
      </c>
      <c r="O962" s="405">
        <v>44.762409939976784</v>
      </c>
      <c r="P962" s="406">
        <v>44.762409939976784</v>
      </c>
      <c r="Q962" s="406">
        <v>46.953031355956014</v>
      </c>
      <c r="R962" s="406">
        <v>46.953031355956014</v>
      </c>
      <c r="S962" s="405">
        <f t="shared" si="164"/>
        <v>39.228257797528059</v>
      </c>
      <c r="T962" s="406">
        <v>48.881447996560738</v>
      </c>
      <c r="U962" s="406">
        <v>49.060026158679896</v>
      </c>
      <c r="V962" s="405">
        <f t="shared" si="165"/>
        <v>40.988607085153319</v>
      </c>
      <c r="W962" s="406">
        <v>50.660865025823085</v>
      </c>
      <c r="X962" s="406">
        <v>51.299945963361466</v>
      </c>
      <c r="Y962" s="405">
        <f t="shared" si="166"/>
        <v>42.860012381175629</v>
      </c>
      <c r="Z962" s="406">
        <v>52.124234976666614</v>
      </c>
      <c r="AA962" s="406">
        <v>52.974926688244203</v>
      </c>
      <c r="AB962" s="442">
        <f t="shared" si="167"/>
        <v>43.790363591163754</v>
      </c>
      <c r="AC962" s="438">
        <f t="shared" si="168"/>
        <v>45.099654354399213</v>
      </c>
      <c r="AD962" s="410"/>
      <c r="AE962" s="411"/>
      <c r="AF962" s="411"/>
      <c r="AG962" s="411"/>
    </row>
    <row r="963" spans="1:33" s="301" customFormat="1" x14ac:dyDescent="0.2">
      <c r="A963" t="s">
        <v>1885</v>
      </c>
      <c r="B963" s="23" t="str">
        <f>VLOOKUP(LEFT(A963,7),'[7]Tariff Schedule Lookup Table'!$A$8:$G$186,2,FALSE)</f>
        <v>Fluorescent 80</v>
      </c>
      <c r="C963" s="375">
        <f t="shared" si="169"/>
        <v>810</v>
      </c>
      <c r="D963" s="23">
        <f t="shared" si="170"/>
        <v>2</v>
      </c>
      <c r="E963" s="23" t="str">
        <f>VLOOKUP(C963,'[7]Tariff Schedule Lookup Table'!I$7:L$287,2,FALSE)</f>
        <v>MERCURY VAPOUR 80W</v>
      </c>
      <c r="F963" s="23" t="str">
        <f>IF(E963 = "BULKHEADS ETC", "SHARED OR NO POLE", VLOOKUP(C963,'[7]Tariff Schedule Lookup Table'!I$7:L$287,3,FALSE))</f>
        <v>WOOD POLE</v>
      </c>
      <c r="G963" s="23">
        <f>IF(E963 = "NO CAPITAL", 1, VLOOKUP(C963,'[7]Tariff Schedule Lookup Table'!I$7:L$287,4,FALSE))</f>
        <v>1</v>
      </c>
      <c r="H963" s="23" t="str">
        <f t="shared" si="171"/>
        <v>2-Unmetered, Funded by Others, CE Maintained</v>
      </c>
      <c r="I963" s="374">
        <f>VLOOKUP(F963,'Maintenance Model'!$A$57:$B$61,2,FALSE)</f>
        <v>10.731618231111112</v>
      </c>
      <c r="J963" s="374">
        <f>IF(D963=1,VLOOKUP(C963,'Capital Code Schedules'!A$15:F$300,2,FALSE),IF(D963=2,VLOOKUP(C963,'Capital Code Schedules'!A$15:F$300,3,FALSE),0))</f>
        <v>0</v>
      </c>
      <c r="K963" s="374">
        <f>IF(D963=1,VLOOKUP(C963,'Capital Code Schedules'!E$15:G$300,2,FALSE),IF(D963=2,VLOOKUP(C963,'Capital Code Schedules'!E$15:G$300,3,FALSE),0))</f>
        <v>0</v>
      </c>
      <c r="L963" s="374">
        <f>VLOOKUP(LEFT(A963,10),'Streetlight Tariff Schedule'!B$11:H$260,7, FALSE)+I963</f>
        <v>36.672051235511816</v>
      </c>
      <c r="M963" s="161">
        <f t="shared" si="162"/>
        <v>36.672051235511816</v>
      </c>
      <c r="N963" s="405">
        <f t="shared" si="163"/>
        <v>38.200125094745019</v>
      </c>
      <c r="O963" s="405">
        <v>45.564494779301789</v>
      </c>
      <c r="P963" s="406">
        <v>45.564494779301789</v>
      </c>
      <c r="Q963" s="406">
        <v>47.794369314780475</v>
      </c>
      <c r="R963" s="406">
        <v>47.794369314780475</v>
      </c>
      <c r="S963" s="405">
        <f t="shared" si="164"/>
        <v>40.069595756352506</v>
      </c>
      <c r="T963" s="406">
        <v>49.757340702401834</v>
      </c>
      <c r="U963" s="406">
        <v>49.939118755605101</v>
      </c>
      <c r="V963" s="405">
        <f t="shared" si="165"/>
        <v>41.867699682078523</v>
      </c>
      <c r="W963" s="406">
        <v>51.568642597200295</v>
      </c>
      <c r="X963" s="406">
        <v>52.219175043533404</v>
      </c>
      <c r="Y963" s="405">
        <f t="shared" si="166"/>
        <v>43.77924146134756</v>
      </c>
      <c r="Z963" s="406">
        <v>53.058234256246507</v>
      </c>
      <c r="AA963" s="406">
        <v>53.924169269641645</v>
      </c>
      <c r="AB963" s="442">
        <f t="shared" si="167"/>
        <v>44.729546139369916</v>
      </c>
      <c r="AC963" s="438">
        <f t="shared" si="168"/>
        <v>46.06691757914048</v>
      </c>
      <c r="AD963" s="410"/>
      <c r="AE963" s="411"/>
      <c r="AF963" s="411"/>
      <c r="AG963" s="411"/>
    </row>
    <row r="964" spans="1:33" s="301" customFormat="1" x14ac:dyDescent="0.2">
      <c r="A964" t="s">
        <v>773</v>
      </c>
      <c r="B964" s="23" t="str">
        <f>VLOOKUP(LEFT(A964,7),'[7]Tariff Schedule Lookup Table'!$A$8:$G$186,2,FALSE)</f>
        <v>Compact Fluorescent 1x42</v>
      </c>
      <c r="C964" s="375">
        <f t="shared" si="169"/>
        <v>1620</v>
      </c>
      <c r="D964" s="23">
        <f t="shared" si="170"/>
        <v>1</v>
      </c>
      <c r="E964" s="23" t="str">
        <f>VLOOKUP(C964,'[7]Tariff Schedule Lookup Table'!I$7:L$287,2,FALSE)</f>
        <v>COMPACT FLUORESCENT 42W</v>
      </c>
      <c r="F964" s="23" t="str">
        <f>IF(E964 = "BULKHEADS ETC", "SHARED OR NO POLE", VLOOKUP(C964,'[7]Tariff Schedule Lookup Table'!I$7:L$287,3,FALSE))</f>
        <v>SHARED OR NO POLE</v>
      </c>
      <c r="G964" s="23">
        <f>IF(E964 = "NO CAPITAL", 1, VLOOKUP(C964,'[7]Tariff Schedule Lookup Table'!I$7:L$287,4,FALSE))</f>
        <v>1</v>
      </c>
      <c r="H964" s="23" t="str">
        <f t="shared" si="171"/>
        <v>1-Unmetered, CE Funded, CE Maintained</v>
      </c>
      <c r="I964" s="374">
        <f>VLOOKUP(F964,'Maintenance Model'!$A$57:$B$61,2,FALSE)</f>
        <v>0</v>
      </c>
      <c r="J964" s="374">
        <f>IF(D964=1,VLOOKUP(C964,'Capital Code Schedules'!A$15:F$300,2,FALSE),IF(D964=2,VLOOKUP(C964,'Capital Code Schedules'!A$15:F$300,3,FALSE),0))</f>
        <v>19.218771251383032</v>
      </c>
      <c r="K964" s="374" t="e">
        <f>IF(D964=1,VLOOKUP(C964,'Capital Code Schedules'!E$15:G$300,2,FALSE),IF(D964=2,VLOOKUP(C964,'Capital Code Schedules'!E$15:G$300,3,FALSE),0))</f>
        <v>#N/A</v>
      </c>
      <c r="L964" s="374">
        <f>VLOOKUP(LEFT(A964,10),'Streetlight Tariff Schedule'!B$11:H$260,7, FALSE)+I964</f>
        <v>55.280352111282582</v>
      </c>
      <c r="M964" s="161" t="e">
        <f t="shared" si="162"/>
        <v>#N/A</v>
      </c>
      <c r="N964" s="405">
        <f t="shared" si="163"/>
        <v>77.278244074929461</v>
      </c>
      <c r="O964" s="405">
        <v>59.681733898772414</v>
      </c>
      <c r="P964" s="406" t="e">
        <v>#N/A</v>
      </c>
      <c r="Q964" s="406" t="e">
        <v>#N/A</v>
      </c>
      <c r="R964" s="406">
        <v>61.971456369781407</v>
      </c>
      <c r="S964" s="405">
        <f t="shared" si="164"/>
        <v>80.583767423519433</v>
      </c>
      <c r="T964" s="406" t="e">
        <v>#N/A</v>
      </c>
      <c r="U964" s="406">
        <v>64.314648340514296</v>
      </c>
      <c r="V964" s="405">
        <f t="shared" si="165"/>
        <v>83.869456896004266</v>
      </c>
      <c r="W964" s="406" t="e">
        <v>#N/A</v>
      </c>
      <c r="X964" s="406">
        <v>66.927788992319961</v>
      </c>
      <c r="Y964" s="405">
        <f t="shared" si="166"/>
        <v>87.45462621093202</v>
      </c>
      <c r="Z964" s="406" t="e">
        <v>#N/A</v>
      </c>
      <c r="AA964" s="406">
        <v>68.995035533027547</v>
      </c>
      <c r="AB964" s="442">
        <f t="shared" si="167"/>
        <v>89.264847543479789</v>
      </c>
      <c r="AC964" s="438">
        <f t="shared" si="168"/>
        <v>91.916332445048369</v>
      </c>
      <c r="AD964" s="410"/>
      <c r="AE964" s="411"/>
      <c r="AF964" s="411"/>
      <c r="AG964" s="411"/>
    </row>
    <row r="965" spans="1:33" s="301" customFormat="1" x14ac:dyDescent="0.2">
      <c r="A965" t="s">
        <v>789</v>
      </c>
      <c r="B965" s="23" t="str">
        <f>VLOOKUP(LEFT(A965,7),'[7]Tariff Schedule Lookup Table'!$A$8:$G$186,2,FALSE)</f>
        <v>Compact Fluorescent 1x42</v>
      </c>
      <c r="C965" s="375">
        <f t="shared" si="169"/>
        <v>1700</v>
      </c>
      <c r="D965" s="23">
        <f t="shared" si="170"/>
        <v>1</v>
      </c>
      <c r="E965" s="23" t="str">
        <f>VLOOKUP(C965,'[7]Tariff Schedule Lookup Table'!I$7:L$287,2,FALSE)</f>
        <v>COMPACT FLUORESCENT 42W</v>
      </c>
      <c r="F965" s="23" t="str">
        <f>IF(E965 = "BULKHEADS ETC", "SHARED OR NO POLE", VLOOKUP(C965,'[7]Tariff Schedule Lookup Table'!I$7:L$287,3,FALSE))</f>
        <v>STEEL POLE</v>
      </c>
      <c r="G965" s="23">
        <f>IF(E965 = "NO CAPITAL", 1, VLOOKUP(C965,'[7]Tariff Schedule Lookup Table'!I$7:L$287,4,FALSE))</f>
        <v>1</v>
      </c>
      <c r="H965" s="23" t="str">
        <f t="shared" si="171"/>
        <v>1-Unmetered, CE Funded, CE Maintained</v>
      </c>
      <c r="I965" s="374">
        <f>VLOOKUP(F965,'Maintenance Model'!$A$57:$B$61,2,FALSE)</f>
        <v>9.9616182311111103</v>
      </c>
      <c r="J965" s="374">
        <f>IF(D965=1,VLOOKUP(C965,'Capital Code Schedules'!A$15:F$300,2,FALSE),IF(D965=2,VLOOKUP(C965,'Capital Code Schedules'!A$15:F$300,3,FALSE),0))</f>
        <v>88.217405270904322</v>
      </c>
      <c r="K965" s="374" t="e">
        <f>IF(D965=1,VLOOKUP(C965,'Capital Code Schedules'!E$15:G$300,2,FALSE),IF(D965=2,VLOOKUP(C965,'Capital Code Schedules'!E$15:G$300,3,FALSE),0))</f>
        <v>#N/A</v>
      </c>
      <c r="L965" s="374">
        <f>VLOOKUP(LEFT(A965,10),'Streetlight Tariff Schedule'!B$11:H$260,7, FALSE)+I965</f>
        <v>65.241970342393699</v>
      </c>
      <c r="M965" s="161" t="e">
        <f t="shared" si="162"/>
        <v>#N/A</v>
      </c>
      <c r="N965" s="405">
        <f t="shared" si="163"/>
        <v>158.3612994271063</v>
      </c>
      <c r="O965" s="405">
        <v>162.93537965485891</v>
      </c>
      <c r="P965" s="406" t="e">
        <v>#N/A</v>
      </c>
      <c r="Q965" s="406" t="e">
        <v>#N/A</v>
      </c>
      <c r="R965" s="406">
        <v>168.01270059060536</v>
      </c>
      <c r="S965" s="405">
        <f t="shared" si="164"/>
        <v>163.92462908737102</v>
      </c>
      <c r="T965" s="406" t="e">
        <v>#N/A</v>
      </c>
      <c r="U965" s="406">
        <v>173.54285531378062</v>
      </c>
      <c r="V965" s="405">
        <f t="shared" si="165"/>
        <v>169.76376207320112</v>
      </c>
      <c r="W965" s="406" t="e">
        <v>#N/A</v>
      </c>
      <c r="X965" s="406">
        <v>179.98245691479084</v>
      </c>
      <c r="Y965" s="405">
        <f t="shared" si="166"/>
        <v>176.39445710916166</v>
      </c>
      <c r="Z965" s="406" t="e">
        <v>#N/A</v>
      </c>
      <c r="AA965" s="406">
        <v>185.31740015752538</v>
      </c>
      <c r="AB965" s="442">
        <f t="shared" si="167"/>
        <v>179.81885773780934</v>
      </c>
      <c r="AC965" s="438">
        <f t="shared" si="168"/>
        <v>185.11517321872461</v>
      </c>
      <c r="AD965" s="410"/>
      <c r="AE965" s="411"/>
      <c r="AF965" s="411"/>
      <c r="AG965" s="411"/>
    </row>
    <row r="966" spans="1:33" s="301" customFormat="1" x14ac:dyDescent="0.2">
      <c r="A966" t="s">
        <v>1886</v>
      </c>
      <c r="B966" s="23" t="str">
        <f>VLOOKUP(LEFT(A966,7),'[7]Tariff Schedule Lookup Table'!$A$8:$G$186,2,FALSE)</f>
        <v>High Pressure Sodium 50</v>
      </c>
      <c r="C966" s="375">
        <f t="shared" si="169"/>
        <v>730</v>
      </c>
      <c r="D966" s="23">
        <f t="shared" si="170"/>
        <v>2</v>
      </c>
      <c r="E966" s="23" t="str">
        <f>VLOOKUP(C966,'[7]Tariff Schedule Lookup Table'!I$7:L$287,2,FALSE)</f>
        <v>HIGH PRESSURE SODIUM 70W (100)</v>
      </c>
      <c r="F966" s="23" t="str">
        <f>IF(E966 = "BULKHEADS ETC", "SHARED OR NO POLE", VLOOKUP(C966,'[7]Tariff Schedule Lookup Table'!I$7:L$287,3,FALSE))</f>
        <v>STEEL POLE</v>
      </c>
      <c r="G966" s="23">
        <f>IF(E966 = "NO CAPITAL", 1, VLOOKUP(C966,'[7]Tariff Schedule Lookup Table'!I$7:L$287,4,FALSE))</f>
        <v>2</v>
      </c>
      <c r="H966" s="23" t="str">
        <f t="shared" si="171"/>
        <v>2-Unmetered, Funded by Others, CE Maintained</v>
      </c>
      <c r="I966" s="374">
        <f>VLOOKUP(F966,'Maintenance Model'!$A$57:$B$61,2,FALSE)</f>
        <v>9.9616182311111103</v>
      </c>
      <c r="J966" s="374">
        <f>IF(D966=1,VLOOKUP(C966,'Capital Code Schedules'!A$15:F$300,2,FALSE),IF(D966=2,VLOOKUP(C966,'Capital Code Schedules'!A$15:F$300,3,FALSE),0))</f>
        <v>0</v>
      </c>
      <c r="K966" s="374">
        <f>IF(D966=1,VLOOKUP(C966,'Capital Code Schedules'!E$15:G$300,2,FALSE),IF(D966=2,VLOOKUP(C966,'Capital Code Schedules'!E$15:G$300,3,FALSE),0))</f>
        <v>0</v>
      </c>
      <c r="L966" s="374">
        <f>VLOOKUP(LEFT(A966,10),'Streetlight Tariff Schedule'!B$11:H$260,7, FALSE)+I966</f>
        <v>62.394546487450377</v>
      </c>
      <c r="M966" s="161">
        <f t="shared" si="162"/>
        <v>62.394546487450377</v>
      </c>
      <c r="N966" s="405">
        <f t="shared" si="163"/>
        <v>64.994441291094645</v>
      </c>
      <c r="O966" s="405">
        <v>42.579718688781441</v>
      </c>
      <c r="P966" s="406">
        <v>42.579718688781441</v>
      </c>
      <c r="Q966" s="406">
        <v>44.66352167818912</v>
      </c>
      <c r="R966" s="406">
        <v>44.66352167818912</v>
      </c>
      <c r="S966" s="405">
        <f t="shared" si="164"/>
        <v>68.175195303284696</v>
      </c>
      <c r="T966" s="406">
        <v>46.497905443089607</v>
      </c>
      <c r="U966" s="406">
        <v>46.667775830255756</v>
      </c>
      <c r="V966" s="405">
        <f t="shared" si="165"/>
        <v>71.234524552757847</v>
      </c>
      <c r="W966" s="406">
        <v>48.190555071150669</v>
      </c>
      <c r="X966" s="406">
        <v>48.798473335074263</v>
      </c>
      <c r="Y966" s="405">
        <f t="shared" si="166"/>
        <v>74.486859188836462</v>
      </c>
      <c r="Z966" s="406">
        <v>49.582568613944417</v>
      </c>
      <c r="AA966" s="406">
        <v>50.391779150607277</v>
      </c>
      <c r="AB966" s="442">
        <f t="shared" si="167"/>
        <v>76.10372618733939</v>
      </c>
      <c r="AC966" s="438">
        <f t="shared" si="168"/>
        <v>78.379156158078203</v>
      </c>
      <c r="AD966" s="410"/>
      <c r="AE966" s="411"/>
      <c r="AF966" s="411"/>
      <c r="AG966" s="411"/>
    </row>
    <row r="967" spans="1:33" s="301" customFormat="1" x14ac:dyDescent="0.2">
      <c r="A967" t="s">
        <v>1887</v>
      </c>
      <c r="B967" s="23" t="str">
        <f>VLOOKUP(LEFT(A967,7),'[7]Tariff Schedule Lookup Table'!$A$8:$G$186,2,FALSE)</f>
        <v>High Pressure Sodium 50</v>
      </c>
      <c r="C967" s="375">
        <f t="shared" si="169"/>
        <v>890</v>
      </c>
      <c r="D967" s="23">
        <f t="shared" si="170"/>
        <v>2</v>
      </c>
      <c r="E967" s="23" t="str">
        <f>VLOOKUP(C967,'[7]Tariff Schedule Lookup Table'!I$7:L$287,2,FALSE)</f>
        <v>HIGH PRESSURE SODIUM 70W (100)</v>
      </c>
      <c r="F967" s="23" t="str">
        <f>IF(E967 = "BULKHEADS ETC", "SHARED OR NO POLE", VLOOKUP(C967,'[7]Tariff Schedule Lookup Table'!I$7:L$287,3,FALSE))</f>
        <v>SHARED OR NO POLE</v>
      </c>
      <c r="G967" s="23">
        <f>IF(E967 = "NO CAPITAL", 1, VLOOKUP(C967,'[7]Tariff Schedule Lookup Table'!I$7:L$287,4,FALSE))</f>
        <v>2</v>
      </c>
      <c r="H967" s="23" t="str">
        <f t="shared" si="171"/>
        <v>2-Unmetered, Funded by Others, CE Maintained</v>
      </c>
      <c r="I967" s="374">
        <f>VLOOKUP(F967,'Maintenance Model'!$A$57:$B$61,2,FALSE)</f>
        <v>0</v>
      </c>
      <c r="J967" s="374">
        <f>IF(D967=1,VLOOKUP(C967,'Capital Code Schedules'!A$15:F$300,2,FALSE),IF(D967=2,VLOOKUP(C967,'Capital Code Schedules'!A$15:F$300,3,FALSE),0))</f>
        <v>0</v>
      </c>
      <c r="K967" s="374">
        <f>IF(D967=1,VLOOKUP(C967,'Capital Code Schedules'!E$15:G$300,2,FALSE),IF(D967=2,VLOOKUP(C967,'Capital Code Schedules'!E$15:G$300,3,FALSE),0))</f>
        <v>0</v>
      </c>
      <c r="L967" s="374">
        <f>VLOOKUP(LEFT(A967,10),'Streetlight Tariff Schedule'!B$11:H$260,7, FALSE)+I967</f>
        <v>52.432928256339267</v>
      </c>
      <c r="M967" s="161">
        <f t="shared" si="162"/>
        <v>52.432928256339267</v>
      </c>
      <c r="N967" s="405">
        <f t="shared" si="163"/>
        <v>54.617736150422253</v>
      </c>
      <c r="O967" s="405">
        <v>32.985603452682277</v>
      </c>
      <c r="P967" s="406">
        <v>32.985603452682277</v>
      </c>
      <c r="Q967" s="406">
        <v>34.599881357722204</v>
      </c>
      <c r="R967" s="406">
        <v>34.599881357722204</v>
      </c>
      <c r="S967" s="405">
        <f t="shared" si="164"/>
        <v>57.290666018672326</v>
      </c>
      <c r="T967" s="406">
        <v>36.020939488502862</v>
      </c>
      <c r="U967" s="406">
        <v>36.152534468506623</v>
      </c>
      <c r="V967" s="405">
        <f t="shared" si="165"/>
        <v>59.861557227608508</v>
      </c>
      <c r="W967" s="406">
        <v>37.332199194647011</v>
      </c>
      <c r="X967" s="406">
        <v>37.803140558350997</v>
      </c>
      <c r="Y967" s="405">
        <f t="shared" si="166"/>
        <v>62.594639495838742</v>
      </c>
      <c r="Z967" s="406">
        <v>38.410562512614526</v>
      </c>
      <c r="AA967" s="406">
        <v>39.037440723510883</v>
      </c>
      <c r="AB967" s="442">
        <f t="shared" si="167"/>
        <v>63.953365155453852</v>
      </c>
      <c r="AC967" s="438">
        <f t="shared" si="168"/>
        <v>65.865510737473102</v>
      </c>
      <c r="AD967" s="410"/>
      <c r="AE967" s="411"/>
      <c r="AF967" s="411"/>
      <c r="AG967" s="411"/>
    </row>
    <row r="968" spans="1:33" s="301" customFormat="1" x14ac:dyDescent="0.2">
      <c r="A968" t="s">
        <v>1888</v>
      </c>
      <c r="B968" s="23" t="str">
        <f>VLOOKUP(LEFT(A968,7),'[7]Tariff Schedule Lookup Table'!$A$8:$G$186,2,FALSE)</f>
        <v>High Pressure Sodium 50</v>
      </c>
      <c r="C968" s="375">
        <f t="shared" si="169"/>
        <v>910</v>
      </c>
      <c r="D968" s="23">
        <f t="shared" si="170"/>
        <v>2</v>
      </c>
      <c r="E968" s="23" t="str">
        <f>VLOOKUP(C968,'[7]Tariff Schedule Lookup Table'!I$7:L$287,2,FALSE)</f>
        <v>HIGH PRESSURE SODIUM 70W (100)</v>
      </c>
      <c r="F968" s="23" t="str">
        <f>IF(E968 = "BULKHEADS ETC", "SHARED OR NO POLE", VLOOKUP(C968,'[7]Tariff Schedule Lookup Table'!I$7:L$287,3,FALSE))</f>
        <v>WOOD POLE</v>
      </c>
      <c r="G968" s="23">
        <f>IF(E968 = "NO CAPITAL", 1, VLOOKUP(C968,'[7]Tariff Schedule Lookup Table'!I$7:L$287,4,FALSE))</f>
        <v>2</v>
      </c>
      <c r="H968" s="23" t="str">
        <f t="shared" si="171"/>
        <v>2-Unmetered, Funded by Others, CE Maintained</v>
      </c>
      <c r="I968" s="374">
        <f>VLOOKUP(F968,'Maintenance Model'!$A$57:$B$61,2,FALSE)</f>
        <v>10.731618231111112</v>
      </c>
      <c r="J968" s="374">
        <f>IF(D968=1,VLOOKUP(C968,'Capital Code Schedules'!A$15:F$300,2,FALSE),IF(D968=2,VLOOKUP(C968,'Capital Code Schedules'!A$15:F$300,3,FALSE),0))</f>
        <v>0</v>
      </c>
      <c r="K968" s="374">
        <f>IF(D968=1,VLOOKUP(C968,'Capital Code Schedules'!E$15:G$300,2,FALSE),IF(D968=2,VLOOKUP(C968,'Capital Code Schedules'!E$15:G$300,3,FALSE),0))</f>
        <v>0</v>
      </c>
      <c r="L968" s="374">
        <f>VLOOKUP(LEFT(A968,10),'Streetlight Tariff Schedule'!B$11:H$260,7, FALSE)+I968</f>
        <v>63.16454648745038</v>
      </c>
      <c r="M968" s="161">
        <f t="shared" si="162"/>
        <v>63.16454648745038</v>
      </c>
      <c r="N968" s="405">
        <f t="shared" si="163"/>
        <v>65.79652613041965</v>
      </c>
      <c r="O968" s="405">
        <v>43.381803528106438</v>
      </c>
      <c r="P968" s="406">
        <v>43.381803528106438</v>
      </c>
      <c r="Q968" s="406">
        <v>45.504859637013574</v>
      </c>
      <c r="R968" s="406">
        <v>45.504859637013574</v>
      </c>
      <c r="S968" s="405">
        <f t="shared" si="164"/>
        <v>69.016533262109149</v>
      </c>
      <c r="T968" s="406">
        <v>47.37379814893071</v>
      </c>
      <c r="U968" s="406">
        <v>47.546868427180954</v>
      </c>
      <c r="V968" s="405">
        <f t="shared" si="165"/>
        <v>72.113617149683051</v>
      </c>
      <c r="W968" s="406">
        <v>49.098332642527865</v>
      </c>
      <c r="X968" s="406">
        <v>49.717702415246187</v>
      </c>
      <c r="Y968" s="405">
        <f t="shared" si="166"/>
        <v>75.406088269008407</v>
      </c>
      <c r="Z968" s="406">
        <v>50.516567893524304</v>
      </c>
      <c r="AA968" s="406">
        <v>51.341021732004712</v>
      </c>
      <c r="AB968" s="442">
        <f t="shared" si="167"/>
        <v>77.042908735545552</v>
      </c>
      <c r="AC968" s="438">
        <f t="shared" si="168"/>
        <v>79.346419382819491</v>
      </c>
      <c r="AD968" s="410"/>
      <c r="AE968" s="411"/>
      <c r="AF968" s="411"/>
      <c r="AG968" s="411"/>
    </row>
    <row r="969" spans="1:33" s="301" customFormat="1" x14ac:dyDescent="0.2">
      <c r="A969" t="s">
        <v>1889</v>
      </c>
      <c r="B969" s="23" t="str">
        <f>VLOOKUP(LEFT(A969,7),'[7]Tariff Schedule Lookup Table'!$A$8:$G$186,2,FALSE)</f>
        <v>High Pressure Sodium 50</v>
      </c>
      <c r="C969" s="375">
        <f t="shared" si="169"/>
        <v>140</v>
      </c>
      <c r="D969" s="23">
        <f t="shared" si="170"/>
        <v>2</v>
      </c>
      <c r="E969" s="23" t="str">
        <f>VLOOKUP(C969,'[7]Tariff Schedule Lookup Table'!I$7:L$287,2,FALSE)</f>
        <v>HIGH PRESSURE SODIUM 50W TWIN ARC</v>
      </c>
      <c r="F969" s="23" t="str">
        <f>IF(E969 = "BULKHEADS ETC", "SHARED OR NO POLE", VLOOKUP(C969,'[7]Tariff Schedule Lookup Table'!I$7:L$287,3,FALSE))</f>
        <v>WOOD POLE</v>
      </c>
      <c r="G969" s="23">
        <f>IF(E969 = "NO CAPITAL", 1, VLOOKUP(C969,'[7]Tariff Schedule Lookup Table'!I$7:L$287,4,FALSE))</f>
        <v>1</v>
      </c>
      <c r="H969" s="23" t="str">
        <f t="shared" si="171"/>
        <v>2-Unmetered, Funded by Others, CE Maintained</v>
      </c>
      <c r="I969" s="374">
        <f>VLOOKUP(F969,'Maintenance Model'!$A$57:$B$61,2,FALSE)</f>
        <v>10.731618231111112</v>
      </c>
      <c r="J969" s="374">
        <f>IF(D969=1,VLOOKUP(C969,'Capital Code Schedules'!A$15:F$300,2,FALSE),IF(D969=2,VLOOKUP(C969,'Capital Code Schedules'!A$15:F$300,3,FALSE),0))</f>
        <v>0</v>
      </c>
      <c r="K969" s="374">
        <f>IF(D969=1,VLOOKUP(C969,'Capital Code Schedules'!E$15:G$300,2,FALSE),IF(D969=2,VLOOKUP(C969,'Capital Code Schedules'!E$15:G$300,3,FALSE),0))</f>
        <v>0</v>
      </c>
      <c r="L969" s="374">
        <f>VLOOKUP(LEFT(A969,10),'Streetlight Tariff Schedule'!B$11:H$260,7, FALSE)+I969</f>
        <v>63.122803769777441</v>
      </c>
      <c r="M969" s="161">
        <f t="shared" si="162"/>
        <v>63.122803769777441</v>
      </c>
      <c r="N969" s="405">
        <f t="shared" si="163"/>
        <v>65.753044051201883</v>
      </c>
      <c r="O969" s="405">
        <v>36.363507377252397</v>
      </c>
      <c r="P969" s="406">
        <v>36.363507377252397</v>
      </c>
      <c r="Q969" s="406">
        <v>38.143096057297655</v>
      </c>
      <c r="R969" s="406">
        <v>38.143096057297655</v>
      </c>
      <c r="S969" s="405">
        <f t="shared" si="164"/>
        <v>68.970923219404312</v>
      </c>
      <c r="T969" s="406">
        <v>39.709678214761418</v>
      </c>
      <c r="U969" s="406">
        <v>39.854749231365382</v>
      </c>
      <c r="V969" s="405">
        <f t="shared" si="165"/>
        <v>72.065960378148219</v>
      </c>
      <c r="W969" s="406">
        <v>41.155217995965238</v>
      </c>
      <c r="X969" s="406">
        <v>41.674386298520893</v>
      </c>
      <c r="Y969" s="405">
        <f t="shared" si="166"/>
        <v>75.356255645670259</v>
      </c>
      <c r="Z969" s="406">
        <v>42.344011541140823</v>
      </c>
      <c r="AA969" s="406">
        <v>43.035085466141723</v>
      </c>
      <c r="AB969" s="442">
        <f t="shared" si="167"/>
        <v>76.99199440833371</v>
      </c>
      <c r="AC969" s="438">
        <f t="shared" si="168"/>
        <v>79.293982765019749</v>
      </c>
      <c r="AD969" s="410"/>
      <c r="AE969" s="411"/>
      <c r="AF969" s="411"/>
      <c r="AG969" s="411"/>
    </row>
    <row r="970" spans="1:33" s="301" customFormat="1" x14ac:dyDescent="0.2">
      <c r="A970" t="s">
        <v>1890</v>
      </c>
      <c r="B970" s="23" t="str">
        <f>VLOOKUP(LEFT(A970,7),'[7]Tariff Schedule Lookup Table'!$A$8:$G$186,2,FALSE)</f>
        <v>High Pressure Sodium 50</v>
      </c>
      <c r="C970" s="375">
        <f t="shared" si="169"/>
        <v>1210</v>
      </c>
      <c r="D970" s="23">
        <f t="shared" si="170"/>
        <v>1</v>
      </c>
      <c r="E970" s="23" t="str">
        <f>VLOOKUP(C970,'[7]Tariff Schedule Lookup Table'!I$7:L$287,2,FALSE)</f>
        <v>HIGH PRESSURE SODIUM 70W TWIN ARC</v>
      </c>
      <c r="F970" s="23" t="str">
        <f>IF(E970 = "BULKHEADS ETC", "SHARED OR NO POLE", VLOOKUP(C970,'[7]Tariff Schedule Lookup Table'!I$7:L$287,3,FALSE))</f>
        <v>WOOD POLE</v>
      </c>
      <c r="G970" s="23">
        <f>IF(E970 = "NO CAPITAL", 1, VLOOKUP(C970,'[7]Tariff Schedule Lookup Table'!I$7:L$287,4,FALSE))</f>
        <v>2</v>
      </c>
      <c r="H970" s="23" t="str">
        <f t="shared" si="171"/>
        <v>1-Unmetered, CE Funded, CE Maintained</v>
      </c>
      <c r="I970" s="374">
        <f>VLOOKUP(F970,'Maintenance Model'!$A$57:$B$61,2,FALSE)</f>
        <v>10.731618231111112</v>
      </c>
      <c r="J970" s="374">
        <f>IF(D970=1,VLOOKUP(C970,'Capital Code Schedules'!A$15:F$300,2,FALSE),IF(D970=2,VLOOKUP(C970,'Capital Code Schedules'!A$15:F$300,3,FALSE),0))</f>
        <v>62.436536572454742</v>
      </c>
      <c r="K970" s="374" t="e">
        <f>IF(D970=1,VLOOKUP(C970,'Capital Code Schedules'!E$15:G$300,2,FALSE),IF(D970=2,VLOOKUP(C970,'Capital Code Schedules'!E$15:G$300,3,FALSE),0))</f>
        <v>#N/A</v>
      </c>
      <c r="L970" s="374">
        <f>VLOOKUP(LEFT(A970,10),'Streetlight Tariff Schedule'!B$11:H$260,7, FALSE)+I970</f>
        <v>63.122803769777441</v>
      </c>
      <c r="M970" s="161" t="e">
        <f t="shared" si="162"/>
        <v>#N/A</v>
      </c>
      <c r="N970" s="405">
        <f t="shared" si="163"/>
        <v>129.73488490382488</v>
      </c>
      <c r="O970" s="405">
        <v>121.11557219371912</v>
      </c>
      <c r="P970" s="406" t="e">
        <v>#N/A</v>
      </c>
      <c r="Q970" s="406" t="e">
        <v>#N/A</v>
      </c>
      <c r="R970" s="406">
        <v>124.99277447797192</v>
      </c>
      <c r="S970" s="405">
        <f t="shared" si="164"/>
        <v>134.53631463312973</v>
      </c>
      <c r="T970" s="406" t="e">
        <v>#N/A</v>
      </c>
      <c r="U970" s="406">
        <v>129.17964348702887</v>
      </c>
      <c r="V970" s="405">
        <f t="shared" si="165"/>
        <v>139.49996544716481</v>
      </c>
      <c r="W970" s="406" t="e">
        <v>#N/A</v>
      </c>
      <c r="X970" s="406">
        <v>134.02739446945137</v>
      </c>
      <c r="Y970" s="405">
        <f t="shared" si="166"/>
        <v>145.0762734865265</v>
      </c>
      <c r="Z970" s="406" t="e">
        <v>#N/A</v>
      </c>
      <c r="AA970" s="406">
        <v>138.02015436994373</v>
      </c>
      <c r="AB970" s="442">
        <f t="shared" si="167"/>
        <v>147.93908456318906</v>
      </c>
      <c r="AC970" s="438">
        <f t="shared" si="168"/>
        <v>152.30563324338138</v>
      </c>
      <c r="AD970" s="410"/>
      <c r="AE970" s="411"/>
      <c r="AF970" s="411"/>
      <c r="AG970" s="411"/>
    </row>
    <row r="971" spans="1:33" s="301" customFormat="1" x14ac:dyDescent="0.2">
      <c r="A971" t="s">
        <v>1891</v>
      </c>
      <c r="B971" s="23" t="str">
        <f>VLOOKUP(LEFT(A971,7),'[7]Tariff Schedule Lookup Table'!$A$8:$G$186,2,FALSE)</f>
        <v>High Pressure Sodium 70</v>
      </c>
      <c r="C971" s="375">
        <f t="shared" si="169"/>
        <v>750</v>
      </c>
      <c r="D971" s="23">
        <f t="shared" si="170"/>
        <v>1</v>
      </c>
      <c r="E971" s="23" t="str">
        <f>VLOOKUP(C971,'[7]Tariff Schedule Lookup Table'!I$7:L$287,2,FALSE)</f>
        <v>HIGH PRESSURE SODIUM 70W (100)</v>
      </c>
      <c r="F971" s="23" t="str">
        <f>IF(E971 = "BULKHEADS ETC", "SHARED OR NO POLE", VLOOKUP(C971,'[7]Tariff Schedule Lookup Table'!I$7:L$287,3,FALSE))</f>
        <v>SHARED OR NO POLE</v>
      </c>
      <c r="G971" s="23">
        <f>IF(E971 = "NO CAPITAL", 1, VLOOKUP(C971,'[7]Tariff Schedule Lookup Table'!I$7:L$287,4,FALSE))</f>
        <v>3</v>
      </c>
      <c r="H971" s="23" t="str">
        <f t="shared" si="171"/>
        <v>1-Unmetered, CE Funded, CE Maintained</v>
      </c>
      <c r="I971" s="374">
        <f>VLOOKUP(F971,'Maintenance Model'!$A$57:$B$61,2,FALSE)</f>
        <v>0</v>
      </c>
      <c r="J971" s="374">
        <f>IF(D971=1,VLOOKUP(C971,'Capital Code Schedules'!A$15:F$300,2,FALSE),IF(D971=2,VLOOKUP(C971,'Capital Code Schedules'!A$15:F$300,3,FALSE),0))</f>
        <v>34.270019010909252</v>
      </c>
      <c r="K971" s="374">
        <f>IF(D971=1,VLOOKUP(C971,'Capital Code Schedules'!E$15:G$300,2,FALSE),IF(D971=2,VLOOKUP(C971,'Capital Code Schedules'!E$15:G$300,3,FALSE),0))</f>
        <v>43.47051764182865</v>
      </c>
      <c r="L971" s="374">
        <f>VLOOKUP(LEFT(A971,10),'Streetlight Tariff Schedule'!B$11:H$260,7, FALSE)+I971</f>
        <v>52.135530877055935</v>
      </c>
      <c r="M971" s="161">
        <f t="shared" si="162"/>
        <v>95.606048518884592</v>
      </c>
      <c r="N971" s="405">
        <f t="shared" si="163"/>
        <v>89.426148613438329</v>
      </c>
      <c r="O971" s="405">
        <v>79.390091223310705</v>
      </c>
      <c r="P971" s="406">
        <v>77.417990628162897</v>
      </c>
      <c r="Q971" s="406">
        <v>80.129211961954425</v>
      </c>
      <c r="R971" s="406">
        <v>82.150122046832138</v>
      </c>
      <c r="S971" s="405">
        <f t="shared" si="164"/>
        <v>92.953093234147175</v>
      </c>
      <c r="T971" s="406">
        <v>82.675168912388173</v>
      </c>
      <c r="U971" s="406">
        <v>85.055998525125688</v>
      </c>
      <c r="V971" s="405">
        <f t="shared" si="165"/>
        <v>96.535042713709259</v>
      </c>
      <c r="W971" s="406">
        <v>85.139669819958996</v>
      </c>
      <c r="X971" s="406">
        <v>88.362962770168494</v>
      </c>
      <c r="Y971" s="405">
        <f t="shared" si="166"/>
        <v>100.50736435479806</v>
      </c>
      <c r="Z971" s="406">
        <v>87.400734330398862</v>
      </c>
      <c r="AA971" s="406">
        <v>91.037675454156513</v>
      </c>
      <c r="AB971" s="442">
        <f t="shared" si="167"/>
        <v>102.53189593832114</v>
      </c>
      <c r="AC971" s="438">
        <f t="shared" si="168"/>
        <v>105.56638691399125</v>
      </c>
      <c r="AD971" s="410"/>
      <c r="AE971" s="411"/>
      <c r="AF971" s="411"/>
      <c r="AG971" s="411"/>
    </row>
    <row r="972" spans="1:33" s="301" customFormat="1" x14ac:dyDescent="0.2">
      <c r="A972" t="s">
        <v>1892</v>
      </c>
      <c r="B972" s="23" t="str">
        <f>VLOOKUP(LEFT(A972,7),'[7]Tariff Schedule Lookup Table'!$A$8:$G$186,2,FALSE)</f>
        <v>High Pressure Sodium 100</v>
      </c>
      <c r="C972" s="375">
        <f t="shared" si="169"/>
        <v>350</v>
      </c>
      <c r="D972" s="23">
        <f t="shared" si="170"/>
        <v>2</v>
      </c>
      <c r="E972" s="23" t="str">
        <f>VLOOKUP(C972,'[7]Tariff Schedule Lookup Table'!I$7:L$287,2,FALSE)</f>
        <v>HIGH PRESSURE SODIUM 70W (100)</v>
      </c>
      <c r="F972" s="23" t="str">
        <f>IF(E972 = "BULKHEADS ETC", "SHARED OR NO POLE", VLOOKUP(C972,'[7]Tariff Schedule Lookup Table'!I$7:L$287,3,FALSE))</f>
        <v>WOOD POLE</v>
      </c>
      <c r="G972" s="23">
        <f>IF(E972 = "NO CAPITAL", 1, VLOOKUP(C972,'[7]Tariff Schedule Lookup Table'!I$7:L$287,4,FALSE))</f>
        <v>1</v>
      </c>
      <c r="H972" s="23" t="str">
        <f t="shared" si="171"/>
        <v>2-Unmetered, Funded by Others, CE Maintained</v>
      </c>
      <c r="I972" s="374">
        <f>VLOOKUP(F972,'Maintenance Model'!$A$57:$B$61,2,FALSE)</f>
        <v>10.731618231111112</v>
      </c>
      <c r="J972" s="374">
        <f>IF(D972=1,VLOOKUP(C972,'Capital Code Schedules'!A$15:F$300,2,FALSE),IF(D972=2,VLOOKUP(C972,'Capital Code Schedules'!A$15:F$300,3,FALSE),0))</f>
        <v>0</v>
      </c>
      <c r="K972" s="374">
        <f>IF(D972=1,VLOOKUP(C972,'Capital Code Schedules'!E$15:G$300,2,FALSE),IF(D972=2,VLOOKUP(C972,'Capital Code Schedules'!E$15:G$300,3,FALSE),0))</f>
        <v>0</v>
      </c>
      <c r="L972" s="374">
        <f>VLOOKUP(LEFT(A972,10),'Streetlight Tariff Schedule'!B$11:H$260,7, FALSE)+I972</f>
        <v>62.867149108167048</v>
      </c>
      <c r="M972" s="161">
        <f t="shared" si="162"/>
        <v>62.867149108167048</v>
      </c>
      <c r="N972" s="405">
        <f t="shared" si="163"/>
        <v>65.486736612006467</v>
      </c>
      <c r="O972" s="405">
        <v>43.267777750123152</v>
      </c>
      <c r="P972" s="406">
        <v>43.267777750123152</v>
      </c>
      <c r="Q972" s="406">
        <v>45.385253567183653</v>
      </c>
      <c r="R972" s="406">
        <v>45.385253567183653</v>
      </c>
      <c r="S972" s="405">
        <f t="shared" si="164"/>
        <v>68.691582997114381</v>
      </c>
      <c r="T972" s="406">
        <v>47.249279716070831</v>
      </c>
      <c r="U972" s="406">
        <v>47.421895092230379</v>
      </c>
      <c r="V972" s="405">
        <f t="shared" si="165"/>
        <v>71.774084897120787</v>
      </c>
      <c r="W972" s="406">
        <v>48.969281401640217</v>
      </c>
      <c r="X972" s="406">
        <v>49.587023207919856</v>
      </c>
      <c r="Y972" s="405">
        <f t="shared" si="166"/>
        <v>75.051054087964047</v>
      </c>
      <c r="Z972" s="406">
        <v>50.383788928920566</v>
      </c>
      <c r="AA972" s="406">
        <v>51.206075753060894</v>
      </c>
      <c r="AB972" s="442">
        <f t="shared" si="167"/>
        <v>76.680167919305106</v>
      </c>
      <c r="AC972" s="438">
        <f t="shared" si="168"/>
        <v>78.972832956695854</v>
      </c>
      <c r="AD972" s="410"/>
      <c r="AE972" s="411"/>
      <c r="AF972" s="411"/>
      <c r="AG972" s="411"/>
    </row>
    <row r="973" spans="1:33" s="301" customFormat="1" x14ac:dyDescent="0.2">
      <c r="A973" t="s">
        <v>1893</v>
      </c>
      <c r="B973" s="23" t="str">
        <f>VLOOKUP(LEFT(A973,7),'[7]Tariff Schedule Lookup Table'!$A$8:$G$186,2,FALSE)</f>
        <v>High Pressure Sodium 100</v>
      </c>
      <c r="C973" s="375">
        <f t="shared" si="169"/>
        <v>730</v>
      </c>
      <c r="D973" s="23">
        <f t="shared" si="170"/>
        <v>1</v>
      </c>
      <c r="E973" s="23" t="str">
        <f>VLOOKUP(C973,'[7]Tariff Schedule Lookup Table'!I$7:L$287,2,FALSE)</f>
        <v>HIGH PRESSURE SODIUM 70W (100)</v>
      </c>
      <c r="F973" s="23" t="str">
        <f>IF(E973 = "BULKHEADS ETC", "SHARED OR NO POLE", VLOOKUP(C973,'[7]Tariff Schedule Lookup Table'!I$7:L$287,3,FALSE))</f>
        <v>STEEL POLE</v>
      </c>
      <c r="G973" s="23">
        <f>IF(E973 = "NO CAPITAL", 1, VLOOKUP(C973,'[7]Tariff Schedule Lookup Table'!I$7:L$287,4,FALSE))</f>
        <v>2</v>
      </c>
      <c r="H973" s="23" t="str">
        <f t="shared" si="171"/>
        <v>1-Unmetered, CE Funded, CE Maintained</v>
      </c>
      <c r="I973" s="374">
        <f>VLOOKUP(F973,'Maintenance Model'!$A$57:$B$61,2,FALSE)</f>
        <v>9.9616182311111103</v>
      </c>
      <c r="J973" s="374">
        <f>IF(D973=1,VLOOKUP(C973,'Capital Code Schedules'!A$15:F$300,2,FALSE),IF(D973=2,VLOOKUP(C973,'Capital Code Schedules'!A$15:F$300,3,FALSE),0))</f>
        <v>95.375404459541258</v>
      </c>
      <c r="K973" s="374">
        <f>IF(D973=1,VLOOKUP(C973,'Capital Code Schedules'!E$15:G$300,2,FALSE),IF(D973=2,VLOOKUP(C973,'Capital Code Schedules'!E$15:G$300,3,FALSE),0))</f>
        <v>120.98091339941246</v>
      </c>
      <c r="L973" s="374">
        <f>VLOOKUP(LEFT(A973,10),'Streetlight Tariff Schedule'!B$11:H$260,7, FALSE)+I973</f>
        <v>62.097149108167045</v>
      </c>
      <c r="M973" s="161">
        <f t="shared" si="162"/>
        <v>183.07806250757949</v>
      </c>
      <c r="N973" s="405">
        <f t="shared" si="163"/>
        <v>162.42059749259636</v>
      </c>
      <c r="O973" s="405">
        <v>171.92935160159553</v>
      </c>
      <c r="P973" s="406">
        <v>166.44088391684608</v>
      </c>
      <c r="Q973" s="406">
        <v>171.58749259180681</v>
      </c>
      <c r="R973" s="406">
        <v>177.2117998517538</v>
      </c>
      <c r="S973" s="405">
        <f t="shared" si="164"/>
        <v>168.0051554147727</v>
      </c>
      <c r="T973" s="406">
        <v>176.56129252401766</v>
      </c>
      <c r="U973" s="406">
        <v>182.99172143963651</v>
      </c>
      <c r="V973" s="405">
        <f t="shared" si="165"/>
        <v>173.90431762240814</v>
      </c>
      <c r="W973" s="406">
        <v>181.4715600055172</v>
      </c>
      <c r="X973" s="406">
        <v>189.7423314242921</v>
      </c>
      <c r="Y973" s="405">
        <f t="shared" si="166"/>
        <v>180.63316645842767</v>
      </c>
      <c r="Z973" s="406">
        <v>186.16174471493238</v>
      </c>
      <c r="AA973" s="406">
        <v>195.35199478115916</v>
      </c>
      <c r="AB973" s="442">
        <f t="shared" si="167"/>
        <v>184.1167504312657</v>
      </c>
      <c r="AC973" s="438">
        <f t="shared" si="168"/>
        <v>189.53506955537219</v>
      </c>
      <c r="AD973" s="410"/>
      <c r="AE973" s="411"/>
      <c r="AF973" s="411"/>
      <c r="AG973" s="411"/>
    </row>
    <row r="974" spans="1:33" s="301" customFormat="1" x14ac:dyDescent="0.2">
      <c r="A974" t="s">
        <v>1894</v>
      </c>
      <c r="B974" s="23" t="str">
        <f>VLOOKUP(LEFT(A974,7),'[7]Tariff Schedule Lookup Table'!$A$8:$G$186,2,FALSE)</f>
        <v>High Pressure Sodium 100</v>
      </c>
      <c r="C974" s="375">
        <f t="shared" si="169"/>
        <v>730</v>
      </c>
      <c r="D974" s="23">
        <f t="shared" si="170"/>
        <v>2</v>
      </c>
      <c r="E974" s="23" t="str">
        <f>VLOOKUP(C974,'[7]Tariff Schedule Lookup Table'!I$7:L$287,2,FALSE)</f>
        <v>HIGH PRESSURE SODIUM 70W (100)</v>
      </c>
      <c r="F974" s="23" t="str">
        <f>IF(E974 = "BULKHEADS ETC", "SHARED OR NO POLE", VLOOKUP(C974,'[7]Tariff Schedule Lookup Table'!I$7:L$287,3,FALSE))</f>
        <v>STEEL POLE</v>
      </c>
      <c r="G974" s="23">
        <f>IF(E974 = "NO CAPITAL", 1, VLOOKUP(C974,'[7]Tariff Schedule Lookup Table'!I$7:L$287,4,FALSE))</f>
        <v>2</v>
      </c>
      <c r="H974" s="23" t="str">
        <f t="shared" si="171"/>
        <v>2-Unmetered, Funded by Others, CE Maintained</v>
      </c>
      <c r="I974" s="374">
        <f>VLOOKUP(F974,'Maintenance Model'!$A$57:$B$61,2,FALSE)</f>
        <v>9.9616182311111103</v>
      </c>
      <c r="J974" s="374">
        <f>IF(D974=1,VLOOKUP(C974,'Capital Code Schedules'!A$15:F$300,2,FALSE),IF(D974=2,VLOOKUP(C974,'Capital Code Schedules'!A$15:F$300,3,FALSE),0))</f>
        <v>0</v>
      </c>
      <c r="K974" s="374">
        <f>IF(D974=1,VLOOKUP(C974,'Capital Code Schedules'!E$15:G$300,2,FALSE),IF(D974=2,VLOOKUP(C974,'Capital Code Schedules'!E$15:G$300,3,FALSE),0))</f>
        <v>0</v>
      </c>
      <c r="L974" s="374">
        <f>VLOOKUP(LEFT(A974,10),'Streetlight Tariff Schedule'!B$11:H$260,7, FALSE)+I974</f>
        <v>62.097149108167045</v>
      </c>
      <c r="M974" s="161">
        <f t="shared" si="162"/>
        <v>62.097149108167045</v>
      </c>
      <c r="N974" s="405">
        <f t="shared" si="163"/>
        <v>64.684651772681477</v>
      </c>
      <c r="O974" s="405">
        <v>42.465692910798147</v>
      </c>
      <c r="P974" s="406">
        <v>42.465692910798147</v>
      </c>
      <c r="Q974" s="406">
        <v>44.543915608359193</v>
      </c>
      <c r="R974" s="406">
        <v>44.543915608359193</v>
      </c>
      <c r="S974" s="405">
        <f t="shared" si="164"/>
        <v>67.850245038289913</v>
      </c>
      <c r="T974" s="406">
        <v>46.373387010229727</v>
      </c>
      <c r="U974" s="406">
        <v>46.542802495305168</v>
      </c>
      <c r="V974" s="405">
        <f t="shared" si="165"/>
        <v>70.894992300195582</v>
      </c>
      <c r="W974" s="406">
        <v>48.061503830263007</v>
      </c>
      <c r="X974" s="406">
        <v>48.667794127747918</v>
      </c>
      <c r="Y974" s="405">
        <f t="shared" si="166"/>
        <v>74.131825007792102</v>
      </c>
      <c r="Z974" s="406">
        <v>49.449789649340673</v>
      </c>
      <c r="AA974" s="406">
        <v>50.256833171663452</v>
      </c>
      <c r="AB974" s="442">
        <f t="shared" si="167"/>
        <v>75.74098537109893</v>
      </c>
      <c r="AC974" s="438">
        <f t="shared" si="168"/>
        <v>78.005569731954566</v>
      </c>
      <c r="AD974" s="410"/>
      <c r="AE974" s="411"/>
      <c r="AF974" s="411"/>
      <c r="AG974" s="411"/>
    </row>
    <row r="975" spans="1:33" s="301" customFormat="1" x14ac:dyDescent="0.2">
      <c r="A975" t="s">
        <v>1895</v>
      </c>
      <c r="B975" s="23" t="str">
        <f>VLOOKUP(LEFT(A975,7),'[7]Tariff Schedule Lookup Table'!$A$8:$G$186,2,FALSE)</f>
        <v>High Pressure Sodium 120</v>
      </c>
      <c r="C975" s="375">
        <f t="shared" si="169"/>
        <v>50</v>
      </c>
      <c r="D975" s="23">
        <f t="shared" si="170"/>
        <v>2</v>
      </c>
      <c r="E975" s="23" t="str">
        <f>VLOOKUP(C975,'[7]Tariff Schedule Lookup Table'!I$7:L$287,2,FALSE)</f>
        <v>HIGH PRESSURE SODIUM 150W</v>
      </c>
      <c r="F975" s="23" t="str">
        <f>IF(E975 = "BULKHEADS ETC", "SHARED OR NO POLE", VLOOKUP(C975,'[7]Tariff Schedule Lookup Table'!I$7:L$287,3,FALSE))</f>
        <v>SHARED OR NO POLE</v>
      </c>
      <c r="G975" s="23">
        <f>IF(E975 = "NO CAPITAL", 1, VLOOKUP(C975,'[7]Tariff Schedule Lookup Table'!I$7:L$287,4,FALSE))</f>
        <v>1</v>
      </c>
      <c r="H975" s="23" t="str">
        <f t="shared" si="171"/>
        <v>2-Unmetered, Funded by Others, CE Maintained</v>
      </c>
      <c r="I975" s="374">
        <f>VLOOKUP(F975,'Maintenance Model'!$A$57:$B$61,2,FALSE)</f>
        <v>0</v>
      </c>
      <c r="J975" s="374">
        <f>IF(D975=1,VLOOKUP(C975,'Capital Code Schedules'!A$15:F$300,2,FALSE),IF(D975=2,VLOOKUP(C975,'Capital Code Schedules'!A$15:F$300,3,FALSE),0))</f>
        <v>0</v>
      </c>
      <c r="K975" s="374">
        <f>IF(D975=1,VLOOKUP(C975,'Capital Code Schedules'!E$15:G$300,2,FALSE),IF(D975=2,VLOOKUP(C975,'Capital Code Schedules'!E$15:G$300,3,FALSE),0))</f>
        <v>0</v>
      </c>
      <c r="L975" s="374">
        <f>VLOOKUP(LEFT(A975,10),'Streetlight Tariff Schedule'!B$11:H$260,7, FALSE)+I975</f>
        <v>56.823264008002603</v>
      </c>
      <c r="M975" s="161">
        <f t="shared" si="162"/>
        <v>56.823264008002603</v>
      </c>
      <c r="N975" s="405">
        <f t="shared" si="163"/>
        <v>59.191011145169902</v>
      </c>
      <c r="O975" s="405">
        <v>37.486301897483372</v>
      </c>
      <c r="P975" s="406">
        <v>37.486301897483372</v>
      </c>
      <c r="Q975" s="406">
        <v>39.320838863938143</v>
      </c>
      <c r="R975" s="406">
        <v>39.320838863938143</v>
      </c>
      <c r="S975" s="405">
        <f t="shared" si="164"/>
        <v>62.087751888618399</v>
      </c>
      <c r="T975" s="406">
        <v>40.935792314182976</v>
      </c>
      <c r="U975" s="406">
        <v>41.085342682594167</v>
      </c>
      <c r="V975" s="405">
        <f t="shared" si="165"/>
        <v>64.873910029301115</v>
      </c>
      <c r="W975" s="406">
        <v>42.425965967699312</v>
      </c>
      <c r="X975" s="406">
        <v>42.961164608559244</v>
      </c>
      <c r="Y975" s="405">
        <f t="shared" si="166"/>
        <v>67.835839878497779</v>
      </c>
      <c r="Z975" s="406">
        <v>43.651465842227609</v>
      </c>
      <c r="AA975" s="406">
        <v>44.363878028359807</v>
      </c>
      <c r="AB975" s="442">
        <f t="shared" si="167"/>
        <v>69.308334920035378</v>
      </c>
      <c r="AC975" s="438">
        <f t="shared" si="168"/>
        <v>71.380589071045506</v>
      </c>
      <c r="AD975" s="410"/>
      <c r="AE975" s="411"/>
      <c r="AF975" s="411"/>
      <c r="AG975" s="411"/>
    </row>
    <row r="976" spans="1:33" s="301" customFormat="1" x14ac:dyDescent="0.2">
      <c r="A976" t="s">
        <v>1896</v>
      </c>
      <c r="B976" s="23" t="str">
        <f>VLOOKUP(LEFT(A976,7),'[7]Tariff Schedule Lookup Table'!$A$8:$G$186,2,FALSE)</f>
        <v>High Pressure Sodium 120</v>
      </c>
      <c r="C976" s="375">
        <f t="shared" si="169"/>
        <v>220</v>
      </c>
      <c r="D976" s="23">
        <f t="shared" si="170"/>
        <v>2</v>
      </c>
      <c r="E976" s="23" t="str">
        <f>VLOOKUP(C976,'[7]Tariff Schedule Lookup Table'!I$7:L$287,2,FALSE)</f>
        <v>HIGH PRESSURE SODIUM 150W</v>
      </c>
      <c r="F976" s="23" t="str">
        <f>IF(E976 = "BULKHEADS ETC", "SHARED OR NO POLE", VLOOKUP(C976,'[7]Tariff Schedule Lookup Table'!I$7:L$287,3,FALSE))</f>
        <v>WOOD POLE</v>
      </c>
      <c r="G976" s="23">
        <f>IF(E976 = "NO CAPITAL", 1, VLOOKUP(C976,'[7]Tariff Schedule Lookup Table'!I$7:L$287,4,FALSE))</f>
        <v>1</v>
      </c>
      <c r="H976" s="23" t="str">
        <f t="shared" si="171"/>
        <v>2-Unmetered, Funded by Others, CE Maintained</v>
      </c>
      <c r="I976" s="374">
        <f>VLOOKUP(F976,'Maintenance Model'!$A$57:$B$61,2,FALSE)</f>
        <v>10.731618231111112</v>
      </c>
      <c r="J976" s="374">
        <f>IF(D976=1,VLOOKUP(C976,'Capital Code Schedules'!A$15:F$300,2,FALSE),IF(D976=2,VLOOKUP(C976,'Capital Code Schedules'!A$15:F$300,3,FALSE),0))</f>
        <v>0</v>
      </c>
      <c r="K976" s="374">
        <f>IF(D976=1,VLOOKUP(C976,'Capital Code Schedules'!E$15:G$300,2,FALSE),IF(D976=2,VLOOKUP(C976,'Capital Code Schedules'!E$15:G$300,3,FALSE),0))</f>
        <v>0</v>
      </c>
      <c r="L976" s="374">
        <f>VLOOKUP(LEFT(A976,10),'Streetlight Tariff Schedule'!B$11:H$260,7, FALSE)+I976</f>
        <v>67.554882239113709</v>
      </c>
      <c r="M976" s="161">
        <f t="shared" si="162"/>
        <v>67.554882239113709</v>
      </c>
      <c r="N976" s="405">
        <f t="shared" si="163"/>
        <v>70.369801125167299</v>
      </c>
      <c r="O976" s="405">
        <v>47.882501972907534</v>
      </c>
      <c r="P976" s="406">
        <v>47.882501972907534</v>
      </c>
      <c r="Q976" s="406">
        <v>50.22581714322952</v>
      </c>
      <c r="R976" s="406">
        <v>50.22581714322952</v>
      </c>
      <c r="S976" s="405">
        <f t="shared" si="164"/>
        <v>73.813619132055223</v>
      </c>
      <c r="T976" s="406">
        <v>52.288650974610832</v>
      </c>
      <c r="U976" s="406">
        <v>52.479676641268512</v>
      </c>
      <c r="V976" s="405">
        <f t="shared" si="165"/>
        <v>77.125969951375666</v>
      </c>
      <c r="W976" s="406">
        <v>54.192099415580181</v>
      </c>
      <c r="X976" s="406">
        <v>54.875726465454456</v>
      </c>
      <c r="Y976" s="405">
        <f t="shared" si="166"/>
        <v>80.647288651667438</v>
      </c>
      <c r="Z976" s="406">
        <v>55.757471223137394</v>
      </c>
      <c r="AA976" s="406">
        <v>56.667459036853643</v>
      </c>
      <c r="AB976" s="442">
        <f t="shared" si="167"/>
        <v>82.397878500127078</v>
      </c>
      <c r="AC976" s="438">
        <f t="shared" si="168"/>
        <v>84.861497716391881</v>
      </c>
      <c r="AD976" s="410"/>
      <c r="AE976" s="411"/>
      <c r="AF976" s="411"/>
      <c r="AG976" s="411"/>
    </row>
    <row r="977" spans="1:33" s="301" customFormat="1" x14ac:dyDescent="0.2">
      <c r="A977" t="s">
        <v>1897</v>
      </c>
      <c r="B977" s="23" t="str">
        <f>VLOOKUP(LEFT(A977,7),'[7]Tariff Schedule Lookup Table'!$A$8:$G$186,2,FALSE)</f>
        <v>High Pressure Sodium 120</v>
      </c>
      <c r="C977" s="375">
        <f t="shared" si="169"/>
        <v>310</v>
      </c>
      <c r="D977" s="23">
        <f t="shared" si="170"/>
        <v>2</v>
      </c>
      <c r="E977" s="23" t="str">
        <f>VLOOKUP(C977,'[7]Tariff Schedule Lookup Table'!I$7:L$287,2,FALSE)</f>
        <v>HIGH PRESSURE SODIUM 150W</v>
      </c>
      <c r="F977" s="23" t="str">
        <f>IF(E977 = "BULKHEADS ETC", "SHARED OR NO POLE", VLOOKUP(C977,'[7]Tariff Schedule Lookup Table'!I$7:L$287,3,FALSE))</f>
        <v>STEEL POLE</v>
      </c>
      <c r="G977" s="23">
        <f>IF(E977 = "NO CAPITAL", 1, VLOOKUP(C977,'[7]Tariff Schedule Lookup Table'!I$7:L$287,4,FALSE))</f>
        <v>1</v>
      </c>
      <c r="H977" s="23" t="str">
        <f t="shared" si="171"/>
        <v>2-Unmetered, Funded by Others, CE Maintained</v>
      </c>
      <c r="I977" s="374">
        <f>VLOOKUP(F977,'Maintenance Model'!$A$57:$B$61,2,FALSE)</f>
        <v>9.9616182311111103</v>
      </c>
      <c r="J977" s="374">
        <f>IF(D977=1,VLOOKUP(C977,'Capital Code Schedules'!A$15:F$300,2,FALSE),IF(D977=2,VLOOKUP(C977,'Capital Code Schedules'!A$15:F$300,3,FALSE),0))</f>
        <v>0</v>
      </c>
      <c r="K977" s="374">
        <f>IF(D977=1,VLOOKUP(C977,'Capital Code Schedules'!E$15:G$300,2,FALSE),IF(D977=2,VLOOKUP(C977,'Capital Code Schedules'!E$15:G$300,3,FALSE),0))</f>
        <v>0</v>
      </c>
      <c r="L977" s="374">
        <f>VLOOKUP(LEFT(A977,10),'Streetlight Tariff Schedule'!B$11:H$260,7, FALSE)+I977</f>
        <v>66.784882239113713</v>
      </c>
      <c r="M977" s="161">
        <f t="shared" si="162"/>
        <v>66.784882239113713</v>
      </c>
      <c r="N977" s="405">
        <f t="shared" si="163"/>
        <v>69.567716285842309</v>
      </c>
      <c r="O977" s="405">
        <v>47.080417133582529</v>
      </c>
      <c r="P977" s="406">
        <v>47.080417133582529</v>
      </c>
      <c r="Q977" s="406">
        <v>49.384479184405059</v>
      </c>
      <c r="R977" s="406">
        <v>49.384479184405059</v>
      </c>
      <c r="S977" s="405">
        <f t="shared" si="164"/>
        <v>72.972281173230769</v>
      </c>
      <c r="T977" s="406">
        <v>51.412758268769721</v>
      </c>
      <c r="U977" s="406">
        <v>51.6005840443433</v>
      </c>
      <c r="V977" s="405">
        <f t="shared" si="165"/>
        <v>76.246877354450461</v>
      </c>
      <c r="W977" s="406">
        <v>53.284321844202971</v>
      </c>
      <c r="X977" s="406">
        <v>53.956497385282503</v>
      </c>
      <c r="Y977" s="405">
        <f t="shared" si="166"/>
        <v>79.728059571495507</v>
      </c>
      <c r="Z977" s="406">
        <v>54.823471943557493</v>
      </c>
      <c r="AA977" s="406">
        <v>55.718216455456201</v>
      </c>
      <c r="AB977" s="442">
        <f t="shared" si="167"/>
        <v>81.458695951920916</v>
      </c>
      <c r="AC977" s="438">
        <f t="shared" si="168"/>
        <v>83.894234491650622</v>
      </c>
      <c r="AD977" s="410"/>
      <c r="AE977" s="411"/>
      <c r="AF977" s="411"/>
      <c r="AG977" s="411"/>
    </row>
    <row r="978" spans="1:33" s="301" customFormat="1" x14ac:dyDescent="0.2">
      <c r="A978" t="s">
        <v>1898</v>
      </c>
      <c r="B978" s="23" t="str">
        <f>VLOOKUP(LEFT(A978,7),'[7]Tariff Schedule Lookup Table'!$A$8:$G$186,2,FALSE)</f>
        <v>High Pressure Sodium 150</v>
      </c>
      <c r="C978" s="375">
        <f t="shared" si="169"/>
        <v>710</v>
      </c>
      <c r="D978" s="23">
        <f t="shared" si="170"/>
        <v>1</v>
      </c>
      <c r="E978" s="23" t="str">
        <f>VLOOKUP(C978,'[7]Tariff Schedule Lookup Table'!I$7:L$287,2,FALSE)</f>
        <v>HIGH PRESSURE SODIUM 150W</v>
      </c>
      <c r="F978" s="23" t="str">
        <f>IF(E978 = "BULKHEADS ETC", "SHARED OR NO POLE", VLOOKUP(C978,'[7]Tariff Schedule Lookup Table'!I$7:L$287,3,FALSE))</f>
        <v>STEEL POLE</v>
      </c>
      <c r="G978" s="23">
        <f>IF(E978 = "NO CAPITAL", 1, VLOOKUP(C978,'[7]Tariff Schedule Lookup Table'!I$7:L$287,4,FALSE))</f>
        <v>3</v>
      </c>
      <c r="H978" s="23" t="str">
        <f t="shared" si="171"/>
        <v>1-Unmetered, CE Funded, CE Maintained</v>
      </c>
      <c r="I978" s="374">
        <f>VLOOKUP(F978,'Maintenance Model'!$A$57:$B$61,2,FALSE)</f>
        <v>9.9616182311111103</v>
      </c>
      <c r="J978" s="374">
        <f>IF(D978=1,VLOOKUP(C978,'Capital Code Schedules'!A$15:F$300,2,FALSE),IF(D978=2,VLOOKUP(C978,'Capital Code Schedules'!A$15:F$300,3,FALSE),0))</f>
        <v>117.40470896568439</v>
      </c>
      <c r="K978" s="374" t="e">
        <f>IF(D978=1,VLOOKUP(C978,'Capital Code Schedules'!E$15:G$300,2,FALSE),IF(D978=2,VLOOKUP(C978,'Capital Code Schedules'!E$15:G$300,3,FALSE),0))</f>
        <v>#N/A</v>
      </c>
      <c r="L978" s="374">
        <f>VLOOKUP(LEFT(A978,10),'Streetlight Tariff Schedule'!B$11:H$260,7, FALSE)+I978</f>
        <v>74.656705794669278</v>
      </c>
      <c r="M978" s="161" t="e">
        <f t="shared" si="162"/>
        <v>#N/A</v>
      </c>
      <c r="N978" s="405">
        <f t="shared" si="163"/>
        <v>198.07802339810601</v>
      </c>
      <c r="O978" s="405">
        <v>203.98199507154584</v>
      </c>
      <c r="P978" s="406" t="e">
        <v>#N/A</v>
      </c>
      <c r="Q978" s="406" t="e">
        <v>#N/A</v>
      </c>
      <c r="R978" s="406">
        <v>210.10974782658374</v>
      </c>
      <c r="S978" s="405">
        <f t="shared" si="164"/>
        <v>204.86156298391779</v>
      </c>
      <c r="T978" s="406" t="e">
        <v>#N/A</v>
      </c>
      <c r="U978" s="406">
        <v>216.8641858783231</v>
      </c>
      <c r="V978" s="405">
        <f t="shared" si="165"/>
        <v>212.03584295207057</v>
      </c>
      <c r="W978" s="406" t="e">
        <v>#N/A</v>
      </c>
      <c r="X978" s="406">
        <v>224.79077379506765</v>
      </c>
      <c r="Y978" s="405">
        <f t="shared" si="166"/>
        <v>220.22592982863111</v>
      </c>
      <c r="Z978" s="406" t="e">
        <v>#N/A</v>
      </c>
      <c r="AA978" s="406">
        <v>231.40954430847</v>
      </c>
      <c r="AB978" s="442">
        <f t="shared" si="167"/>
        <v>224.4679214776144</v>
      </c>
      <c r="AC978" s="438">
        <f t="shared" si="168"/>
        <v>231.07270058819668</v>
      </c>
      <c r="AD978" s="410"/>
      <c r="AE978" s="411"/>
      <c r="AF978" s="411"/>
      <c r="AG978" s="411"/>
    </row>
    <row r="979" spans="1:33" s="301" customFormat="1" x14ac:dyDescent="0.2">
      <c r="A979" t="s">
        <v>1899</v>
      </c>
      <c r="B979" s="23" t="str">
        <f>VLOOKUP(LEFT(A979,7),'[7]Tariff Schedule Lookup Table'!$A$8:$G$186,2,FALSE)</f>
        <v>High Pressure Sodium 150</v>
      </c>
      <c r="C979" s="375">
        <f t="shared" si="169"/>
        <v>980</v>
      </c>
      <c r="D979" s="23">
        <f t="shared" si="170"/>
        <v>1</v>
      </c>
      <c r="E979" s="23" t="str">
        <f>VLOOKUP(C979,'[7]Tariff Schedule Lookup Table'!I$7:L$287,2,FALSE)</f>
        <v>HIGH PRESSURE SODIUM 150W</v>
      </c>
      <c r="F979" s="23" t="str">
        <f>IF(E979 = "BULKHEADS ETC", "SHARED OR NO POLE", VLOOKUP(C979,'[7]Tariff Schedule Lookup Table'!I$7:L$287,3,FALSE))</f>
        <v>WOOD POLE</v>
      </c>
      <c r="G979" s="23">
        <f>IF(E979 = "NO CAPITAL", 1, VLOOKUP(C979,'[7]Tariff Schedule Lookup Table'!I$7:L$287,4,FALSE))</f>
        <v>2</v>
      </c>
      <c r="H979" s="23" t="str">
        <f t="shared" si="171"/>
        <v>1-Unmetered, CE Funded, CE Maintained</v>
      </c>
      <c r="I979" s="374">
        <f>VLOOKUP(F979,'Maintenance Model'!$A$57:$B$61,2,FALSE)</f>
        <v>10.731618231111112</v>
      </c>
      <c r="J979" s="374">
        <f>IF(D979=1,VLOOKUP(C979,'Capital Code Schedules'!A$15:F$300,2,FALSE),IF(D979=2,VLOOKUP(C979,'Capital Code Schedules'!A$15:F$300,3,FALSE),0))</f>
        <v>78.516176576080454</v>
      </c>
      <c r="K979" s="374" t="e">
        <f>IF(D979=1,VLOOKUP(C979,'Capital Code Schedules'!E$15:G$300,2,FALSE),IF(D979=2,VLOOKUP(C979,'Capital Code Schedules'!E$15:G$300,3,FALSE),0))</f>
        <v>#N/A</v>
      </c>
      <c r="L979" s="374">
        <f>VLOOKUP(LEFT(A979,10),'Streetlight Tariff Schedule'!B$11:H$260,7, FALSE)+I979</f>
        <v>75.426705794669274</v>
      </c>
      <c r="M979" s="161" t="e">
        <f t="shared" ref="M979:M1042" si="172">IF(VLOOKUP(D979,A$11:D$15,3,FALSE)="Y",IF(VLOOKUP(D979,A$11:D$15,4,FALSE)="Y",K979+L979,K979),IF(VLOOKUP(D979,A$11:D$15,4,FALSE)="Y",L979,0))</f>
        <v>#N/A</v>
      </c>
      <c r="N979" s="405">
        <f t="shared" ref="N979:N1042" si="173">($J979+$L979+$L979*$M$10*$M$14)*(1+$M$12)</f>
        <v>159.02908467118434</v>
      </c>
      <c r="O979" s="405">
        <v>151.9963437769766</v>
      </c>
      <c r="P979" s="406" t="e">
        <v>#N/A</v>
      </c>
      <c r="Q979" s="406" t="e">
        <v>#N/A</v>
      </c>
      <c r="R979" s="406">
        <v>156.8568531822001</v>
      </c>
      <c r="S979" s="405">
        <f t="shared" ref="S979:S1042" si="174">($J979+$L979+$L979*$N$10*$N$14)*(1+$N$12)</f>
        <v>164.86556454323096</v>
      </c>
      <c r="T979" s="406" t="e">
        <v>#N/A</v>
      </c>
      <c r="U979" s="406">
        <v>162.10736024284876</v>
      </c>
      <c r="V979" s="405">
        <f t="shared" ref="V979:V1042" si="175">($J979+$L979+$L979*$O$10*$O$14)*(1+$O$12)</f>
        <v>170.91373506209845</v>
      </c>
      <c r="W979" s="406" t="e">
        <v>#N/A</v>
      </c>
      <c r="X979" s="406">
        <v>168.18802701476173</v>
      </c>
      <c r="Y979" s="405">
        <f t="shared" ref="Y979:Y1042" si="176">($J979+$L979+$L979*$P$10*$P$14)*(1+$P$12)</f>
        <v>177.72011772539989</v>
      </c>
      <c r="Z979" s="406" t="e">
        <v>#N/A</v>
      </c>
      <c r="AA979" s="406">
        <v>173.19743471736592</v>
      </c>
      <c r="AB979" s="442">
        <f t="shared" ref="AB979:AB1042" si="177">($J979+$L979+$L979*$Q$10*$Q$14)*(1+$Q$12)</f>
        <v>181.21778211758951</v>
      </c>
      <c r="AC979" s="438">
        <f t="shared" ref="AC979:AC1042" si="178">($J979+$L979+$L979*$R$10*$R$14)*(1+$R$12)</f>
        <v>186.56473263717737</v>
      </c>
      <c r="AD979" s="410"/>
      <c r="AE979" s="411"/>
      <c r="AF979" s="411"/>
      <c r="AG979" s="411"/>
    </row>
    <row r="980" spans="1:33" s="301" customFormat="1" x14ac:dyDescent="0.2">
      <c r="A980" t="s">
        <v>1900</v>
      </c>
      <c r="B980" s="23" t="str">
        <f>VLOOKUP(LEFT(A980,7),'[7]Tariff Schedule Lookup Table'!$A$8:$G$186,2,FALSE)</f>
        <v>High Pressure Sodium 150</v>
      </c>
      <c r="C980" s="375">
        <f t="shared" si="169"/>
        <v>1360</v>
      </c>
      <c r="D980" s="23">
        <f t="shared" si="170"/>
        <v>1</v>
      </c>
      <c r="E980" s="23" t="str">
        <f>VLOOKUP(C980,'[7]Tariff Schedule Lookup Table'!I$7:L$287,2,FALSE)</f>
        <v>HIGH PRESSURE SODIUM 150W</v>
      </c>
      <c r="F980" s="23" t="str">
        <f>IF(E980 = "BULKHEADS ETC", "SHARED OR NO POLE", VLOOKUP(C980,'[7]Tariff Schedule Lookup Table'!I$7:L$287,3,FALSE))</f>
        <v>R/BOUT COLUMN</v>
      </c>
      <c r="G980" s="23">
        <f>IF(E980 = "NO CAPITAL", 1, VLOOKUP(C980,'[7]Tariff Schedule Lookup Table'!I$7:L$287,4,FALSE))</f>
        <v>3</v>
      </c>
      <c r="H980" s="23" t="str">
        <f t="shared" si="171"/>
        <v>1-Unmetered, CE Funded, CE Maintained</v>
      </c>
      <c r="I980" s="374">
        <f>VLOOKUP(F980,'Maintenance Model'!$A$57:$B$61,2,FALSE)</f>
        <v>9.9616182311111103</v>
      </c>
      <c r="J980" s="374">
        <f>IF(D980=1,VLOOKUP(C980,'Capital Code Schedules'!A$15:F$300,2,FALSE),IF(D980=2,VLOOKUP(C980,'Capital Code Schedules'!A$15:F$300,3,FALSE),0))</f>
        <v>177.40490456081676</v>
      </c>
      <c r="K980" s="374" t="e">
        <f>IF(D980=1,VLOOKUP(C980,'Capital Code Schedules'!E$15:G$300,2,FALSE),IF(D980=2,VLOOKUP(C980,'Capital Code Schedules'!E$15:G$300,3,FALSE),0))</f>
        <v>#N/A</v>
      </c>
      <c r="L980" s="374">
        <f>VLOOKUP(LEFT(A980,10),'Streetlight Tariff Schedule'!B$11:H$260,7, FALSE)+I980</f>
        <v>74.656705794669278</v>
      </c>
      <c r="M980" s="161" t="e">
        <f t="shared" si="172"/>
        <v>#N/A</v>
      </c>
      <c r="N980" s="405">
        <f t="shared" si="173"/>
        <v>259.56322383421792</v>
      </c>
      <c r="O980" s="405">
        <v>285.42694293758046</v>
      </c>
      <c r="P980" s="406" t="e">
        <v>#N/A</v>
      </c>
      <c r="Q980" s="406" t="e">
        <v>#N/A</v>
      </c>
      <c r="R980" s="406">
        <v>293.57045815230276</v>
      </c>
      <c r="S980" s="405">
        <f t="shared" si="174"/>
        <v>267.86852213082346</v>
      </c>
      <c r="T980" s="406" t="e">
        <v>#N/A</v>
      </c>
      <c r="U980" s="406">
        <v>302.70352644832508</v>
      </c>
      <c r="V980" s="405">
        <f t="shared" si="175"/>
        <v>276.83850043466305</v>
      </c>
      <c r="W980" s="406" t="e">
        <v>#N/A</v>
      </c>
      <c r="X980" s="406">
        <v>313.54006801039276</v>
      </c>
      <c r="Y980" s="405">
        <f t="shared" si="176"/>
        <v>287.22539739988343</v>
      </c>
      <c r="Z980" s="406" t="e">
        <v>#N/A</v>
      </c>
      <c r="AA980" s="406">
        <v>322.68819340893185</v>
      </c>
      <c r="AB980" s="442">
        <f t="shared" si="177"/>
        <v>292.64657967812082</v>
      </c>
      <c r="AC980" s="438">
        <f t="shared" si="178"/>
        <v>301.23535774233784</v>
      </c>
      <c r="AD980" s="410"/>
      <c r="AE980" s="411"/>
      <c r="AF980" s="411"/>
      <c r="AG980" s="411"/>
    </row>
    <row r="981" spans="1:33" s="301" customFormat="1" x14ac:dyDescent="0.2">
      <c r="A981" t="s">
        <v>1901</v>
      </c>
      <c r="B981" s="23" t="str">
        <f>VLOOKUP(LEFT(A981,7),'[7]Tariff Schedule Lookup Table'!$A$8:$G$186,2,FALSE)</f>
        <v>High Pressure Sodium 150</v>
      </c>
      <c r="C981" s="375">
        <f t="shared" si="169"/>
        <v>1370</v>
      </c>
      <c r="D981" s="23">
        <f t="shared" si="170"/>
        <v>2</v>
      </c>
      <c r="E981" s="23" t="str">
        <f>VLOOKUP(C981,'[7]Tariff Schedule Lookup Table'!I$7:L$287,2,FALSE)</f>
        <v>HIGH PRESSURE SODIUM 150W</v>
      </c>
      <c r="F981" s="23" t="str">
        <f>IF(E981 = "BULKHEADS ETC", "SHARED OR NO POLE", VLOOKUP(C981,'[7]Tariff Schedule Lookup Table'!I$7:L$287,3,FALSE))</f>
        <v>R/BOUT COLUMN</v>
      </c>
      <c r="G981" s="23">
        <f>IF(E981 = "NO CAPITAL", 1, VLOOKUP(C981,'[7]Tariff Schedule Lookup Table'!I$7:L$287,4,FALSE))</f>
        <v>4</v>
      </c>
      <c r="H981" s="23" t="str">
        <f t="shared" si="171"/>
        <v>2-Unmetered, Funded by Others, CE Maintained</v>
      </c>
      <c r="I981" s="374">
        <f>VLOOKUP(F981,'Maintenance Model'!$A$57:$B$61,2,FALSE)</f>
        <v>9.9616182311111103</v>
      </c>
      <c r="J981" s="374">
        <f>IF(D981=1,VLOOKUP(C981,'Capital Code Schedules'!A$15:F$300,2,FALSE),IF(D981=2,VLOOKUP(C981,'Capital Code Schedules'!A$15:F$300,3,FALSE),0))</f>
        <v>0</v>
      </c>
      <c r="K981" s="374">
        <f>IF(D981=1,VLOOKUP(C981,'Capital Code Schedules'!E$15:G$300,2,FALSE),IF(D981=2,VLOOKUP(C981,'Capital Code Schedules'!E$15:G$300,3,FALSE),0))</f>
        <v>0</v>
      </c>
      <c r="L981" s="374">
        <f>VLOOKUP(LEFT(A981,10),'Streetlight Tariff Schedule'!B$11:H$260,7, FALSE)+I981</f>
        <v>74.656705794669278</v>
      </c>
      <c r="M981" s="161">
        <f t="shared" si="172"/>
        <v>74.656705794669278</v>
      </c>
      <c r="N981" s="405">
        <f t="shared" si="173"/>
        <v>77.767547885520926</v>
      </c>
      <c r="O981" s="405">
        <v>44.615507911079519</v>
      </c>
      <c r="P981" s="406">
        <v>44.615507911079519</v>
      </c>
      <c r="Q981" s="406">
        <v>46.798940108895906</v>
      </c>
      <c r="R981" s="406">
        <v>46.798940108895906</v>
      </c>
      <c r="S981" s="405">
        <f t="shared" si="174"/>
        <v>81.573403202396221</v>
      </c>
      <c r="T981" s="406">
        <v>48.721028039374332</v>
      </c>
      <c r="U981" s="406">
        <v>48.899020140681145</v>
      </c>
      <c r="V981" s="405">
        <f t="shared" si="175"/>
        <v>85.23397061677565</v>
      </c>
      <c r="W981" s="406">
        <v>50.49460534793792</v>
      </c>
      <c r="X981" s="406">
        <v>51.131588938919677</v>
      </c>
      <c r="Y981" s="405">
        <f t="shared" si="176"/>
        <v>89.125474021169666</v>
      </c>
      <c r="Z981" s="406">
        <v>51.953172786693862</v>
      </c>
      <c r="AA981" s="406">
        <v>52.801072683921767</v>
      </c>
      <c r="AB981" s="442">
        <f t="shared" si="177"/>
        <v>91.060097647941632</v>
      </c>
      <c r="AC981" s="438">
        <f t="shared" si="178"/>
        <v>93.782709085080441</v>
      </c>
      <c r="AD981" s="410"/>
      <c r="AE981" s="411"/>
      <c r="AF981" s="411"/>
      <c r="AG981" s="411"/>
    </row>
    <row r="982" spans="1:33" s="301" customFormat="1" x14ac:dyDescent="0.2">
      <c r="A982" t="s">
        <v>1902</v>
      </c>
      <c r="B982" s="23" t="str">
        <f>VLOOKUP(LEFT(A982,7),'[7]Tariff Schedule Lookup Table'!$A$8:$G$186,2,FALSE)</f>
        <v>High Pressure Sodium 150</v>
      </c>
      <c r="C982" s="375">
        <f t="shared" si="169"/>
        <v>220</v>
      </c>
      <c r="D982" s="23">
        <f t="shared" si="170"/>
        <v>2</v>
      </c>
      <c r="E982" s="23" t="str">
        <f>VLOOKUP(C982,'[7]Tariff Schedule Lookup Table'!I$7:L$287,2,FALSE)</f>
        <v>HIGH PRESSURE SODIUM 150W</v>
      </c>
      <c r="F982" s="23" t="str">
        <f>IF(E982 = "BULKHEADS ETC", "SHARED OR NO POLE", VLOOKUP(C982,'[7]Tariff Schedule Lookup Table'!I$7:L$287,3,FALSE))</f>
        <v>WOOD POLE</v>
      </c>
      <c r="G982" s="23">
        <f>IF(E982 = "NO CAPITAL", 1, VLOOKUP(C982,'[7]Tariff Schedule Lookup Table'!I$7:L$287,4,FALSE))</f>
        <v>1</v>
      </c>
      <c r="H982" s="23" t="str">
        <f t="shared" si="171"/>
        <v>2-Unmetered, Funded by Others, CE Maintained</v>
      </c>
      <c r="I982" s="374">
        <f>VLOOKUP(F982,'Maintenance Model'!$A$57:$B$61,2,FALSE)</f>
        <v>10.731618231111112</v>
      </c>
      <c r="J982" s="374">
        <f>IF(D982=1,VLOOKUP(C982,'Capital Code Schedules'!A$15:F$300,2,FALSE),IF(D982=2,VLOOKUP(C982,'Capital Code Schedules'!A$15:F$300,3,FALSE),0))</f>
        <v>0</v>
      </c>
      <c r="K982" s="374">
        <f>IF(D982=1,VLOOKUP(C982,'Capital Code Schedules'!E$15:G$300,2,FALSE),IF(D982=2,VLOOKUP(C982,'Capital Code Schedules'!E$15:G$300,3,FALSE),0))</f>
        <v>0</v>
      </c>
      <c r="L982" s="374">
        <f>VLOOKUP(LEFT(A982,10),'Streetlight Tariff Schedule'!B$11:H$260,7, FALSE)+I982</f>
        <v>81.642023999099663</v>
      </c>
      <c r="M982" s="161">
        <f t="shared" si="172"/>
        <v>81.642023999099663</v>
      </c>
      <c r="N982" s="405">
        <f t="shared" si="173"/>
        <v>85.0439346772541</v>
      </c>
      <c r="O982" s="405">
        <v>48.439831015603986</v>
      </c>
      <c r="P982" s="406">
        <v>48.439831015603986</v>
      </c>
      <c r="Q982" s="406">
        <v>50.810421235198667</v>
      </c>
      <c r="R982" s="406">
        <v>50.810421235198667</v>
      </c>
      <c r="S982" s="405">
        <f t="shared" si="174"/>
        <v>89.205888085324517</v>
      </c>
      <c r="T982" s="406">
        <v>52.897265449436247</v>
      </c>
      <c r="U982" s="406">
        <v>53.090514561977969</v>
      </c>
      <c r="V982" s="405">
        <f t="shared" si="175"/>
        <v>93.208959604673908</v>
      </c>
      <c r="W982" s="406">
        <v>54.822869104809975</v>
      </c>
      <c r="X982" s="406">
        <v>55.514453241168226</v>
      </c>
      <c r="Y982" s="405">
        <f t="shared" si="176"/>
        <v>97.464574836451263</v>
      </c>
      <c r="Z982" s="406">
        <v>56.406461079130061</v>
      </c>
      <c r="AA982" s="406">
        <v>57.327040708565775</v>
      </c>
      <c r="AB982" s="442">
        <f t="shared" si="177"/>
        <v>99.580213169068656</v>
      </c>
      <c r="AC982" s="438">
        <f t="shared" si="178"/>
        <v>102.55756806204305</v>
      </c>
      <c r="AD982" s="410"/>
      <c r="AE982" s="411"/>
      <c r="AF982" s="411"/>
      <c r="AG982" s="411"/>
    </row>
    <row r="983" spans="1:33" s="301" customFormat="1" x14ac:dyDescent="0.2">
      <c r="A983" t="s">
        <v>1903</v>
      </c>
      <c r="B983" s="23" t="str">
        <f>VLOOKUP(LEFT(A983,7),'[7]Tariff Schedule Lookup Table'!$A$8:$G$186,2,FALSE)</f>
        <v>High Pressure Sodium 150</v>
      </c>
      <c r="C983" s="375">
        <f t="shared" si="169"/>
        <v>310</v>
      </c>
      <c r="D983" s="23">
        <f t="shared" si="170"/>
        <v>2</v>
      </c>
      <c r="E983" s="23" t="str">
        <f>VLOOKUP(C983,'[7]Tariff Schedule Lookup Table'!I$7:L$287,2,FALSE)</f>
        <v>HIGH PRESSURE SODIUM 150W</v>
      </c>
      <c r="F983" s="23" t="str">
        <f>IF(E983 = "BULKHEADS ETC", "SHARED OR NO POLE", VLOOKUP(C983,'[7]Tariff Schedule Lookup Table'!I$7:L$287,3,FALSE))</f>
        <v>STEEL POLE</v>
      </c>
      <c r="G983" s="23">
        <f>IF(E983 = "NO CAPITAL", 1, VLOOKUP(C983,'[7]Tariff Schedule Lookup Table'!I$7:L$287,4,FALSE))</f>
        <v>1</v>
      </c>
      <c r="H983" s="23" t="str">
        <f t="shared" si="171"/>
        <v>2-Unmetered, Funded by Others, CE Maintained</v>
      </c>
      <c r="I983" s="374">
        <f>VLOOKUP(F983,'Maintenance Model'!$A$57:$B$61,2,FALSE)</f>
        <v>9.9616182311111103</v>
      </c>
      <c r="J983" s="374">
        <f>IF(D983=1,VLOOKUP(C983,'Capital Code Schedules'!A$15:F$300,2,FALSE),IF(D983=2,VLOOKUP(C983,'Capital Code Schedules'!A$15:F$300,3,FALSE),0))</f>
        <v>0</v>
      </c>
      <c r="K983" s="374">
        <f>IF(D983=1,VLOOKUP(C983,'Capital Code Schedules'!E$15:G$300,2,FALSE),IF(D983=2,VLOOKUP(C983,'Capital Code Schedules'!E$15:G$300,3,FALSE),0))</f>
        <v>0</v>
      </c>
      <c r="L983" s="374">
        <f>VLOOKUP(LEFT(A983,10),'Streetlight Tariff Schedule'!B$11:H$260,7, FALSE)+I983</f>
        <v>80.872023999099667</v>
      </c>
      <c r="M983" s="161">
        <f t="shared" si="172"/>
        <v>80.872023999099667</v>
      </c>
      <c r="N983" s="405">
        <f t="shared" si="173"/>
        <v>84.241849837929095</v>
      </c>
      <c r="O983" s="405">
        <v>47.637746176278981</v>
      </c>
      <c r="P983" s="406">
        <v>47.637746176278981</v>
      </c>
      <c r="Q983" s="406">
        <v>49.969083276374207</v>
      </c>
      <c r="R983" s="406">
        <v>49.969083276374207</v>
      </c>
      <c r="S983" s="405">
        <f t="shared" si="174"/>
        <v>88.364550126500049</v>
      </c>
      <c r="T983" s="406">
        <v>52.021372743595144</v>
      </c>
      <c r="U983" s="406">
        <v>52.21142196505275</v>
      </c>
      <c r="V983" s="405">
        <f t="shared" si="175"/>
        <v>92.329867007748689</v>
      </c>
      <c r="W983" s="406">
        <v>53.915091533432765</v>
      </c>
      <c r="X983" s="406">
        <v>54.595224160996281</v>
      </c>
      <c r="Y983" s="405">
        <f t="shared" si="176"/>
        <v>96.545345756279332</v>
      </c>
      <c r="Z983" s="406">
        <v>55.47246179955016</v>
      </c>
      <c r="AA983" s="406">
        <v>56.377798127168333</v>
      </c>
      <c r="AB983" s="442">
        <f t="shared" si="177"/>
        <v>98.641030620862495</v>
      </c>
      <c r="AC983" s="438">
        <f t="shared" si="178"/>
        <v>101.59030483730179</v>
      </c>
      <c r="AD983" s="410"/>
      <c r="AE983" s="411"/>
      <c r="AF983" s="411"/>
      <c r="AG983" s="411"/>
    </row>
    <row r="984" spans="1:33" s="301" customFormat="1" x14ac:dyDescent="0.2">
      <c r="A984" t="s">
        <v>1904</v>
      </c>
      <c r="B984" s="23" t="str">
        <f>VLOOKUP(LEFT(A984,7),'[7]Tariff Schedule Lookup Table'!$A$8:$G$186,2,FALSE)</f>
        <v>High Pressure Sodium 150</v>
      </c>
      <c r="C984" s="375">
        <f t="shared" si="169"/>
        <v>690</v>
      </c>
      <c r="D984" s="23">
        <f t="shared" si="170"/>
        <v>1</v>
      </c>
      <c r="E984" s="23" t="str">
        <f>VLOOKUP(C984,'[7]Tariff Schedule Lookup Table'!I$7:L$287,2,FALSE)</f>
        <v>HIGH PRESSURE SODIUM 150W</v>
      </c>
      <c r="F984" s="23" t="str">
        <f>IF(E984 = "BULKHEADS ETC", "SHARED OR NO POLE", VLOOKUP(C984,'[7]Tariff Schedule Lookup Table'!I$7:L$287,3,FALSE))</f>
        <v>STEEL POLE</v>
      </c>
      <c r="G984" s="23">
        <f>IF(E984 = "NO CAPITAL", 1, VLOOKUP(C984,'[7]Tariff Schedule Lookup Table'!I$7:L$287,4,FALSE))</f>
        <v>2</v>
      </c>
      <c r="H984" s="23" t="str">
        <f t="shared" si="171"/>
        <v>1-Unmetered, CE Funded, CE Maintained</v>
      </c>
      <c r="I984" s="374">
        <f>VLOOKUP(F984,'Maintenance Model'!$A$57:$B$61,2,FALSE)</f>
        <v>9.9616182311111103</v>
      </c>
      <c r="J984" s="374">
        <f>IF(D984=1,VLOOKUP(C984,'Capital Code Schedules'!A$15:F$300,2,FALSE),IF(D984=2,VLOOKUP(C984,'Capital Code Schedules'!A$15:F$300,3,FALSE),0))</f>
        <v>104.79944174971051</v>
      </c>
      <c r="K984" s="374">
        <f>IF(D984=1,VLOOKUP(C984,'Capital Code Schedules'!E$15:G$300,2,FALSE),IF(D984=2,VLOOKUP(C984,'Capital Code Schedules'!E$15:G$300,3,FALSE),0))</f>
        <v>132.93502930314577</v>
      </c>
      <c r="L984" s="374">
        <f>VLOOKUP(LEFT(A984,10),'Streetlight Tariff Schedule'!B$11:H$260,7, FALSE)+I984</f>
        <v>80.872023999099667</v>
      </c>
      <c r="M984" s="161">
        <f t="shared" si="172"/>
        <v>213.80705330224544</v>
      </c>
      <c r="N984" s="405">
        <f t="shared" si="173"/>
        <v>191.63507777094497</v>
      </c>
      <c r="O984" s="405">
        <v>189.89370026165452</v>
      </c>
      <c r="P984" s="406">
        <v>183.86291745467761</v>
      </c>
      <c r="Q984" s="406">
        <v>189.5658275439132</v>
      </c>
      <c r="R984" s="406">
        <v>195.74587222536277</v>
      </c>
      <c r="S984" s="405">
        <f t="shared" si="174"/>
        <v>198.41576045085807</v>
      </c>
      <c r="T984" s="406">
        <v>195.07313643175576</v>
      </c>
      <c r="U984" s="406">
        <v>202.14284939908751</v>
      </c>
      <c r="V984" s="405">
        <f t="shared" si="175"/>
        <v>205.51753682635089</v>
      </c>
      <c r="W984" s="406">
        <v>200.50738637287535</v>
      </c>
      <c r="X984" s="406">
        <v>209.60932698504479</v>
      </c>
      <c r="Y984" s="405">
        <f t="shared" si="176"/>
        <v>213.57007758173214</v>
      </c>
      <c r="Z984" s="406">
        <v>205.69291593626892</v>
      </c>
      <c r="AA984" s="406">
        <v>215.80980288170224</v>
      </c>
      <c r="AB984" s="442">
        <f t="shared" si="177"/>
        <v>217.72539772644328</v>
      </c>
      <c r="AC984" s="438">
        <f t="shared" si="178"/>
        <v>224.140027025655</v>
      </c>
      <c r="AD984" s="410"/>
      <c r="AE984" s="411"/>
      <c r="AF984" s="411"/>
      <c r="AG984" s="411"/>
    </row>
    <row r="985" spans="1:33" s="301" customFormat="1" x14ac:dyDescent="0.2">
      <c r="A985" t="s">
        <v>1905</v>
      </c>
      <c r="B985" s="23" t="str">
        <f>VLOOKUP(LEFT(A985,7),'[7]Tariff Schedule Lookup Table'!$A$8:$G$186,2,FALSE)</f>
        <v>High Pressure Sodium 150</v>
      </c>
      <c r="C985" s="375">
        <f t="shared" si="169"/>
        <v>1010</v>
      </c>
      <c r="D985" s="23">
        <f t="shared" si="170"/>
        <v>1</v>
      </c>
      <c r="E985" s="23" t="str">
        <f>VLOOKUP(C985,'[7]Tariff Schedule Lookup Table'!I$7:L$287,2,FALSE)</f>
        <v>HIGH PRESSURE SODIUM 150W</v>
      </c>
      <c r="F985" s="23" t="str">
        <f>IF(E985 = "BULKHEADS ETC", "SHARED OR NO POLE", VLOOKUP(C985,'[7]Tariff Schedule Lookup Table'!I$7:L$287,3,FALSE))</f>
        <v>SHARED OR NO POLE</v>
      </c>
      <c r="G985" s="23">
        <f>IF(E985 = "NO CAPITAL", 1, VLOOKUP(C985,'[7]Tariff Schedule Lookup Table'!I$7:L$287,4,FALSE))</f>
        <v>2</v>
      </c>
      <c r="H985" s="23" t="str">
        <f t="shared" si="171"/>
        <v>1-Unmetered, CE Funded, CE Maintained</v>
      </c>
      <c r="I985" s="374">
        <f>VLOOKUP(F985,'Maintenance Model'!$A$57:$B$61,2,FALSE)</f>
        <v>0</v>
      </c>
      <c r="J985" s="374">
        <f>IF(D985=1,VLOOKUP(C985,'Capital Code Schedules'!A$15:F$300,2,FALSE),IF(D985=2,VLOOKUP(C985,'Capital Code Schedules'!A$15:F$300,3,FALSE),0))</f>
        <v>44.61505821420414</v>
      </c>
      <c r="K985" s="374">
        <f>IF(D985=1,VLOOKUP(C985,'Capital Code Schedules'!E$15:G$300,2,FALSE),IF(D985=2,VLOOKUP(C985,'Capital Code Schedules'!E$15:G$300,3,FALSE),0))</f>
        <v>56.592897557902937</v>
      </c>
      <c r="L985" s="374">
        <f>VLOOKUP(LEFT(A985,10),'Streetlight Tariff Schedule'!B$11:H$260,7, FALSE)+I985</f>
        <v>70.91040576798855</v>
      </c>
      <c r="M985" s="161">
        <f t="shared" si="172"/>
        <v>127.50330332589149</v>
      </c>
      <c r="N985" s="405">
        <f t="shared" si="173"/>
        <v>119.58442560226239</v>
      </c>
      <c r="O985" s="405">
        <v>98.604618354539909</v>
      </c>
      <c r="P985" s="406">
        <v>96.037202712640863</v>
      </c>
      <c r="Q985" s="406">
        <v>99.334355629736734</v>
      </c>
      <c r="R985" s="406">
        <v>101.96531480877279</v>
      </c>
      <c r="S985" s="405">
        <f t="shared" si="174"/>
        <v>124.33085394929228</v>
      </c>
      <c r="T985" s="406">
        <v>102.44418505151513</v>
      </c>
      <c r="U985" s="406">
        <v>105.52475880397579</v>
      </c>
      <c r="V985" s="405">
        <f t="shared" si="175"/>
        <v>129.14298153356495</v>
      </c>
      <c r="W985" s="406">
        <v>105.46378343143289</v>
      </c>
      <c r="X985" s="406">
        <v>109.59225838594796</v>
      </c>
      <c r="Y985" s="405">
        <f t="shared" si="176"/>
        <v>134.47271608899493</v>
      </c>
      <c r="Z985" s="406">
        <v>108.25207790514301</v>
      </c>
      <c r="AA985" s="406">
        <v>112.89660916129462</v>
      </c>
      <c r="AB985" s="442">
        <f t="shared" si="177"/>
        <v>137.18708439914286</v>
      </c>
      <c r="AC985" s="438">
        <f t="shared" si="178"/>
        <v>141.24833989783841</v>
      </c>
      <c r="AD985" s="410"/>
      <c r="AE985" s="411"/>
      <c r="AF985" s="411"/>
      <c r="AG985" s="411"/>
    </row>
    <row r="986" spans="1:33" s="301" customFormat="1" x14ac:dyDescent="0.2">
      <c r="A986" t="s">
        <v>1906</v>
      </c>
      <c r="B986" s="23" t="str">
        <f>VLOOKUP(LEFT(A986,7),'[7]Tariff Schedule Lookup Table'!$A$8:$G$186,2,FALSE)</f>
        <v>High Pressure Sodium 150</v>
      </c>
      <c r="C986" s="375">
        <f t="shared" si="169"/>
        <v>1370</v>
      </c>
      <c r="D986" s="23">
        <f t="shared" si="170"/>
        <v>1</v>
      </c>
      <c r="E986" s="23" t="str">
        <f>VLOOKUP(C986,'[7]Tariff Schedule Lookup Table'!I$7:L$287,2,FALSE)</f>
        <v>HIGH PRESSURE SODIUM 150W</v>
      </c>
      <c r="F986" s="23" t="str">
        <f>IF(E986 = "BULKHEADS ETC", "SHARED OR NO POLE", VLOOKUP(C986,'[7]Tariff Schedule Lookup Table'!I$7:L$287,3,FALSE))</f>
        <v>R/BOUT COLUMN</v>
      </c>
      <c r="G986" s="23">
        <f>IF(E986 = "NO CAPITAL", 1, VLOOKUP(C986,'[7]Tariff Schedule Lookup Table'!I$7:L$287,4,FALSE))</f>
        <v>4</v>
      </c>
      <c r="H986" s="23" t="str">
        <f t="shared" si="171"/>
        <v>1-Unmetered, CE Funded, CE Maintained</v>
      </c>
      <c r="I986" s="374">
        <f>VLOOKUP(F986,'Maintenance Model'!$A$57:$B$61,2,FALSE)</f>
        <v>9.9616182311111103</v>
      </c>
      <c r="J986" s="374">
        <f>IF(D986=1,VLOOKUP(C986,'Capital Code Schedules'!A$15:F$300,2,FALSE),IF(D986=2,VLOOKUP(C986,'Capital Code Schedules'!A$15:F$300,3,FALSE),0))</f>
        <v>190.01017177679068</v>
      </c>
      <c r="K986" s="374" t="e">
        <f>IF(D986=1,VLOOKUP(C986,'Capital Code Schedules'!E$15:G$300,2,FALSE),IF(D986=2,VLOOKUP(C986,'Capital Code Schedules'!E$15:G$300,3,FALSE),0))</f>
        <v>#N/A</v>
      </c>
      <c r="L986" s="374">
        <f>VLOOKUP(LEFT(A986,10),'Streetlight Tariff Schedule'!B$11:H$260,7, FALSE)+I986</f>
        <v>80.872023999099667</v>
      </c>
      <c r="M986" s="161" t="e">
        <f t="shared" si="172"/>
        <v>#N/A</v>
      </c>
      <c r="N986" s="405">
        <f t="shared" si="173"/>
        <v>278.95477336619535</v>
      </c>
      <c r="O986" s="405">
        <v>305.55971427787068</v>
      </c>
      <c r="P986" s="406" t="e">
        <v>#N/A</v>
      </c>
      <c r="Q986" s="406" t="e">
        <v>#N/A</v>
      </c>
      <c r="R986" s="406">
        <v>314.27462008848033</v>
      </c>
      <c r="S986" s="405">
        <f t="shared" si="174"/>
        <v>287.89661851209092</v>
      </c>
      <c r="T986" s="406" t="e">
        <v>#N/A</v>
      </c>
      <c r="U986" s="406">
        <v>324.04966657630388</v>
      </c>
      <c r="V986" s="405">
        <f t="shared" si="175"/>
        <v>297.54859934232888</v>
      </c>
      <c r="W986" s="406" t="e">
        <v>#N/A</v>
      </c>
      <c r="X986" s="406">
        <v>335.6487852645688</v>
      </c>
      <c r="Y986" s="405">
        <f t="shared" si="176"/>
        <v>308.7209931170018</v>
      </c>
      <c r="Z986" s="406" t="e">
        <v>#N/A</v>
      </c>
      <c r="AA986" s="406">
        <v>345.44138572219271</v>
      </c>
      <c r="AB986" s="442">
        <f t="shared" si="177"/>
        <v>314.55096937513372</v>
      </c>
      <c r="AC986" s="438">
        <f t="shared" si="178"/>
        <v>323.7832228093223</v>
      </c>
      <c r="AD986" s="410"/>
      <c r="AE986" s="411"/>
      <c r="AF986" s="411"/>
      <c r="AG986" s="411"/>
    </row>
    <row r="987" spans="1:33" s="301" customFormat="1" x14ac:dyDescent="0.2">
      <c r="A987" t="s">
        <v>1907</v>
      </c>
      <c r="B987" s="23" t="str">
        <f>VLOOKUP(LEFT(A987,7),'[7]Tariff Schedule Lookup Table'!$A$8:$G$186,2,FALSE)</f>
        <v>High Pressure Sodium 220</v>
      </c>
      <c r="C987" s="375">
        <f t="shared" si="169"/>
        <v>230</v>
      </c>
      <c r="D987" s="23">
        <f t="shared" si="170"/>
        <v>1</v>
      </c>
      <c r="E987" s="23" t="str">
        <f>VLOOKUP(C987,'[7]Tariff Schedule Lookup Table'!I$7:L$287,2,FALSE)</f>
        <v>HIGH PRESSURE SODIUM 250W (210/220)</v>
      </c>
      <c r="F987" s="23" t="str">
        <f>IF(E987 = "BULKHEADS ETC", "SHARED OR NO POLE", VLOOKUP(C987,'[7]Tariff Schedule Lookup Table'!I$7:L$287,3,FALSE))</f>
        <v>WOOD POLE</v>
      </c>
      <c r="G987" s="23">
        <f>IF(E987 = "NO CAPITAL", 1, VLOOKUP(C987,'[7]Tariff Schedule Lookup Table'!I$7:L$287,4,FALSE))</f>
        <v>1</v>
      </c>
      <c r="H987" s="23" t="str">
        <f t="shared" si="171"/>
        <v>1-Unmetered, CE Funded, CE Maintained</v>
      </c>
      <c r="I987" s="374">
        <f>VLOOKUP(F987,'Maintenance Model'!$A$57:$B$61,2,FALSE)</f>
        <v>10.731618231111112</v>
      </c>
      <c r="J987" s="374">
        <f>IF(D987=1,VLOOKUP(C987,'Capital Code Schedules'!A$15:F$300,2,FALSE),IF(D987=2,VLOOKUP(C987,'Capital Code Schedules'!A$15:F$300,3,FALSE),0))</f>
        <v>66.039248498405314</v>
      </c>
      <c r="K987" s="374">
        <f>IF(D987=1,VLOOKUP(C987,'Capital Code Schedules'!E$15:G$300,2,FALSE),IF(D987=2,VLOOKUP(C987,'Capital Code Schedules'!E$15:G$300,3,FALSE),0))</f>
        <v>83.768856853834222</v>
      </c>
      <c r="L987" s="374">
        <f>VLOOKUP(LEFT(A987,10),'Streetlight Tariff Schedule'!B$11:H$260,7, FALSE)+I987</f>
        <v>76.557319305969273</v>
      </c>
      <c r="M987" s="161">
        <f t="shared" si="172"/>
        <v>160.32617615980348</v>
      </c>
      <c r="N987" s="405">
        <f t="shared" si="173"/>
        <v>147.42107724248251</v>
      </c>
      <c r="O987" s="405">
        <v>143.47212169627312</v>
      </c>
      <c r="P987" s="406">
        <v>139.67183079986714</v>
      </c>
      <c r="Q987" s="406">
        <v>144.43078768550606</v>
      </c>
      <c r="R987" s="406">
        <v>148.32513578159811</v>
      </c>
      <c r="S987" s="405">
        <f t="shared" si="174"/>
        <v>152.99874674929498</v>
      </c>
      <c r="T987" s="406">
        <v>148.92701003372375</v>
      </c>
      <c r="U987" s="406">
        <v>153.47697408061725</v>
      </c>
      <c r="V987" s="405">
        <f t="shared" si="175"/>
        <v>158.72894140796015</v>
      </c>
      <c r="W987" s="406">
        <v>153.29793582622585</v>
      </c>
      <c r="X987" s="406">
        <v>159.37346469219258</v>
      </c>
      <c r="Y987" s="405">
        <f t="shared" si="176"/>
        <v>165.13743510761682</v>
      </c>
      <c r="Z987" s="406">
        <v>157.34401333013051</v>
      </c>
      <c r="AA987" s="406">
        <v>164.17167326434301</v>
      </c>
      <c r="AB987" s="442">
        <f t="shared" si="177"/>
        <v>168.41918728178487</v>
      </c>
      <c r="AC987" s="438">
        <f t="shared" si="178"/>
        <v>173.39480062044356</v>
      </c>
      <c r="AD987" s="410"/>
      <c r="AE987" s="411"/>
      <c r="AF987" s="411"/>
      <c r="AG987" s="411"/>
    </row>
    <row r="988" spans="1:33" s="301" customFormat="1" x14ac:dyDescent="0.2">
      <c r="A988" t="s">
        <v>1908</v>
      </c>
      <c r="B988" s="23" t="str">
        <f>VLOOKUP(LEFT(A988,7),'[7]Tariff Schedule Lookup Table'!$A$8:$G$186,2,FALSE)</f>
        <v>High Pressure Sodium 220</v>
      </c>
      <c r="C988" s="375">
        <f t="shared" si="169"/>
        <v>610</v>
      </c>
      <c r="D988" s="23">
        <f t="shared" si="170"/>
        <v>1</v>
      </c>
      <c r="E988" s="23" t="str">
        <f>VLOOKUP(C988,'[7]Tariff Schedule Lookup Table'!I$7:L$287,2,FALSE)</f>
        <v>METAL HALIDE/HPS 250W FLOOD (210/220)</v>
      </c>
      <c r="F988" s="23" t="str">
        <f>IF(E988 = "BULKHEADS ETC", "SHARED OR NO POLE", VLOOKUP(C988,'[7]Tariff Schedule Lookup Table'!I$7:L$287,3,FALSE))</f>
        <v>SHARED OR NO POLE</v>
      </c>
      <c r="G988" s="23">
        <f>IF(E988 = "NO CAPITAL", 1, VLOOKUP(C988,'[7]Tariff Schedule Lookup Table'!I$7:L$287,4,FALSE))</f>
        <v>1</v>
      </c>
      <c r="H988" s="23" t="str">
        <f t="shared" si="171"/>
        <v>1-Unmetered, CE Funded, CE Maintained</v>
      </c>
      <c r="I988" s="374">
        <f>VLOOKUP(F988,'Maintenance Model'!$A$57:$B$61,2,FALSE)</f>
        <v>0</v>
      </c>
      <c r="J988" s="374">
        <f>IF(D988=1,VLOOKUP(C988,'Capital Code Schedules'!A$15:F$300,2,FALSE),IF(D988=2,VLOOKUP(C988,'Capital Code Schedules'!A$15:F$300,3,FALSE),0))</f>
        <v>37.215587737644988</v>
      </c>
      <c r="K988" s="374">
        <f>IF(D988=1,VLOOKUP(C988,'Capital Code Schedules'!E$15:G$300,2,FALSE),IF(D988=2,VLOOKUP(C988,'Capital Code Schedules'!E$15:G$300,3,FALSE),0))</f>
        <v>47.206885493274058</v>
      </c>
      <c r="L988" s="374">
        <f>VLOOKUP(LEFT(A988,10),'Streetlight Tariff Schedule'!B$11:H$260,7, FALSE)+I988</f>
        <v>65.825701074858159</v>
      </c>
      <c r="M988" s="161">
        <f t="shared" si="172"/>
        <v>113.03258656813222</v>
      </c>
      <c r="N988" s="405">
        <f t="shared" si="173"/>
        <v>106.70524089789599</v>
      </c>
      <c r="O988" s="405">
        <v>93.950356700876597</v>
      </c>
      <c r="P988" s="406">
        <v>91.808750572708945</v>
      </c>
      <c r="Q988" s="406">
        <v>95.131623970725244</v>
      </c>
      <c r="R988" s="406">
        <v>97.326234850565058</v>
      </c>
      <c r="S988" s="405">
        <f t="shared" si="174"/>
        <v>111.00479124374542</v>
      </c>
      <c r="T988" s="406">
        <v>98.229709848278105</v>
      </c>
      <c r="U988" s="406">
        <v>100.84604067462661</v>
      </c>
      <c r="V988" s="405">
        <f t="shared" si="175"/>
        <v>115.34615270830268</v>
      </c>
      <c r="W988" s="406">
        <v>101.213585925583</v>
      </c>
      <c r="X988" s="406">
        <v>104.82438266671703</v>
      </c>
      <c r="Y988" s="405">
        <f t="shared" si="176"/>
        <v>120.13992585130417</v>
      </c>
      <c r="Z988" s="406">
        <v>103.9219156392529</v>
      </c>
      <c r="AA988" s="406">
        <v>108.01848826246432</v>
      </c>
      <c r="AB988" s="442">
        <f t="shared" si="177"/>
        <v>122.57710855404686</v>
      </c>
      <c r="AC988" s="438">
        <f t="shared" si="178"/>
        <v>126.20825805465434</v>
      </c>
      <c r="AD988" s="410"/>
      <c r="AE988" s="411"/>
      <c r="AF988" s="411"/>
      <c r="AG988" s="411"/>
    </row>
    <row r="989" spans="1:33" s="301" customFormat="1" x14ac:dyDescent="0.2">
      <c r="A989" t="s">
        <v>1909</v>
      </c>
      <c r="B989" s="23" t="str">
        <f>VLOOKUP(LEFT(A989,7),'[7]Tariff Schedule Lookup Table'!$A$8:$G$186,2,FALSE)</f>
        <v>High Pressure Sodium 220</v>
      </c>
      <c r="C989" s="375">
        <f t="shared" si="169"/>
        <v>610</v>
      </c>
      <c r="D989" s="23">
        <f t="shared" si="170"/>
        <v>2</v>
      </c>
      <c r="E989" s="23" t="str">
        <f>VLOOKUP(C989,'[7]Tariff Schedule Lookup Table'!I$7:L$287,2,FALSE)</f>
        <v>METAL HALIDE/HPS 250W FLOOD (210/220)</v>
      </c>
      <c r="F989" s="23" t="str">
        <f>IF(E989 = "BULKHEADS ETC", "SHARED OR NO POLE", VLOOKUP(C989,'[7]Tariff Schedule Lookup Table'!I$7:L$287,3,FALSE))</f>
        <v>SHARED OR NO POLE</v>
      </c>
      <c r="G989" s="23">
        <f>IF(E989 = "NO CAPITAL", 1, VLOOKUP(C989,'[7]Tariff Schedule Lookup Table'!I$7:L$287,4,FALSE))</f>
        <v>1</v>
      </c>
      <c r="H989" s="23" t="str">
        <f t="shared" si="171"/>
        <v>2-Unmetered, Funded by Others, CE Maintained</v>
      </c>
      <c r="I989" s="374">
        <f>VLOOKUP(F989,'Maintenance Model'!$A$57:$B$61,2,FALSE)</f>
        <v>0</v>
      </c>
      <c r="J989" s="374">
        <f>IF(D989=1,VLOOKUP(C989,'Capital Code Schedules'!A$15:F$300,2,FALSE),IF(D989=2,VLOOKUP(C989,'Capital Code Schedules'!A$15:F$300,3,FALSE),0))</f>
        <v>0</v>
      </c>
      <c r="K989" s="374">
        <f>IF(D989=1,VLOOKUP(C989,'Capital Code Schedules'!E$15:G$300,2,FALSE),IF(D989=2,VLOOKUP(C989,'Capital Code Schedules'!E$15:G$300,3,FALSE),0))</f>
        <v>0</v>
      </c>
      <c r="L989" s="374">
        <f>VLOOKUP(LEFT(A989,10),'Streetlight Tariff Schedule'!B$11:H$260,7, FALSE)+I989</f>
        <v>65.825701074858159</v>
      </c>
      <c r="M989" s="161">
        <f t="shared" si="172"/>
        <v>65.825701074858159</v>
      </c>
      <c r="N989" s="405">
        <f t="shared" si="173"/>
        <v>68.568567363744279</v>
      </c>
      <c r="O989" s="405">
        <v>43.433494663476345</v>
      </c>
      <c r="P989" s="406">
        <v>43.433494663476345</v>
      </c>
      <c r="Q989" s="406">
        <v>45.559080477739151</v>
      </c>
      <c r="R989" s="406">
        <v>45.559080477739151</v>
      </c>
      <c r="S989" s="405">
        <f t="shared" si="174"/>
        <v>71.92423503962344</v>
      </c>
      <c r="T989" s="406">
        <v>47.430245903840586</v>
      </c>
      <c r="U989" s="406">
        <v>47.603522402175159</v>
      </c>
      <c r="V989" s="405">
        <f t="shared" si="175"/>
        <v>75.151800652363235</v>
      </c>
      <c r="W989" s="406">
        <v>49.156835248520665</v>
      </c>
      <c r="X989" s="406">
        <v>49.776943024829478</v>
      </c>
      <c r="Y989" s="405">
        <f t="shared" si="176"/>
        <v>78.582985260668394</v>
      </c>
      <c r="Z989" s="406">
        <v>50.576760382933273</v>
      </c>
      <c r="AA989" s="406">
        <v>51.402196590782978</v>
      </c>
      <c r="AB989" s="442">
        <f t="shared" si="177"/>
        <v>80.288765809015871</v>
      </c>
      <c r="AC989" s="438">
        <f t="shared" si="178"/>
        <v>82.689324535742955</v>
      </c>
      <c r="AD989" s="410"/>
      <c r="AE989" s="411"/>
      <c r="AF989" s="411"/>
      <c r="AG989" s="411"/>
    </row>
    <row r="990" spans="1:33" s="301" customFormat="1" x14ac:dyDescent="0.2">
      <c r="A990" t="s">
        <v>1910</v>
      </c>
      <c r="B990" s="23" t="str">
        <f>VLOOKUP(LEFT(A990,7),'[7]Tariff Schedule Lookup Table'!$A$8:$G$186,2,FALSE)</f>
        <v>High Pressure Sodium 220</v>
      </c>
      <c r="C990" s="375">
        <f t="shared" ref="C990:C1053" si="179">1*MID(A990,12,4)</f>
        <v>760</v>
      </c>
      <c r="D990" s="23">
        <f t="shared" ref="D990:D1053" si="180">1*(MID(A990,17,3))</f>
        <v>1</v>
      </c>
      <c r="E990" s="23" t="str">
        <f>VLOOKUP(C990,'[7]Tariff Schedule Lookup Table'!I$7:L$287,2,FALSE)</f>
        <v>HIGH PRESSURE SODIUM 250W (210/220)</v>
      </c>
      <c r="F990" s="23" t="str">
        <f>IF(E990 = "BULKHEADS ETC", "SHARED OR NO POLE", VLOOKUP(C990,'[7]Tariff Schedule Lookup Table'!I$7:L$287,3,FALSE))</f>
        <v>WOOD POLE</v>
      </c>
      <c r="G990" s="23">
        <f>IF(E990 = "NO CAPITAL", 1, VLOOKUP(C990,'[7]Tariff Schedule Lookup Table'!I$7:L$287,4,FALSE))</f>
        <v>2</v>
      </c>
      <c r="H990" s="23" t="str">
        <f t="shared" ref="H990:H1053" si="181">VLOOKUP(D990,A$11:B$15, 2, FALSE)</f>
        <v>1-Unmetered, CE Funded, CE Maintained</v>
      </c>
      <c r="I990" s="374">
        <f>VLOOKUP(F990,'Maintenance Model'!$A$57:$B$61,2,FALSE)</f>
        <v>10.731618231111112</v>
      </c>
      <c r="J990" s="374">
        <f>IF(D990=1,VLOOKUP(C990,'Capital Code Schedules'!A$15:F$300,2,FALSE),IF(D990=2,VLOOKUP(C990,'Capital Code Schedules'!A$15:F$300,3,FALSE),0))</f>
        <v>78.772854852678023</v>
      </c>
      <c r="K990" s="374">
        <f>IF(D990=1,VLOOKUP(C990,'Capital Code Schedules'!E$15:G$300,2,FALSE),IF(D990=2,VLOOKUP(C990,'Capital Code Schedules'!E$15:G$300,3,FALSE),0))</f>
        <v>99.921064399774139</v>
      </c>
      <c r="L990" s="374">
        <f>VLOOKUP(LEFT(A990,10),'Streetlight Tariff Schedule'!B$11:H$260,7, FALSE)+I990</f>
        <v>76.557319305969273</v>
      </c>
      <c r="M990" s="161">
        <f t="shared" si="172"/>
        <v>176.4783837057434</v>
      </c>
      <c r="N990" s="405">
        <f t="shared" si="173"/>
        <v>160.46984035402349</v>
      </c>
      <c r="O990" s="405">
        <v>160.75686377725535</v>
      </c>
      <c r="P990" s="406">
        <v>156.22380548256908</v>
      </c>
      <c r="Q990" s="406">
        <v>161.39242374160486</v>
      </c>
      <c r="R990" s="406">
        <v>166.03767522908464</v>
      </c>
      <c r="S990" s="405">
        <f t="shared" si="174"/>
        <v>166.37046674784659</v>
      </c>
      <c r="T990" s="406">
        <v>166.30844658221099</v>
      </c>
      <c r="U990" s="406">
        <v>171.69432090235713</v>
      </c>
      <c r="V990" s="405">
        <f t="shared" si="175"/>
        <v>172.48175542647047</v>
      </c>
      <c r="W990" s="406">
        <v>171.10956292928816</v>
      </c>
      <c r="X990" s="406">
        <v>178.20837957118943</v>
      </c>
      <c r="Y990" s="405">
        <f t="shared" si="176"/>
        <v>179.35646952135465</v>
      </c>
      <c r="Z990" s="406">
        <v>175.5964782039936</v>
      </c>
      <c r="AA990" s="406">
        <v>183.54338321739129</v>
      </c>
      <c r="AB990" s="442">
        <f t="shared" si="177"/>
        <v>182.8884767012045</v>
      </c>
      <c r="AC990" s="438">
        <f t="shared" si="178"/>
        <v>188.28514636196829</v>
      </c>
      <c r="AD990" s="410"/>
      <c r="AE990" s="411"/>
      <c r="AF990" s="411"/>
      <c r="AG990" s="411"/>
    </row>
    <row r="991" spans="1:33" s="301" customFormat="1" x14ac:dyDescent="0.2">
      <c r="A991" t="s">
        <v>1911</v>
      </c>
      <c r="B991" s="23" t="str">
        <f>VLOOKUP(LEFT(A991,7),'[7]Tariff Schedule Lookup Table'!$A$8:$G$186,2,FALSE)</f>
        <v>High Pressure Sodium 220</v>
      </c>
      <c r="C991" s="375">
        <f t="shared" si="179"/>
        <v>930</v>
      </c>
      <c r="D991" s="23">
        <f t="shared" si="180"/>
        <v>2</v>
      </c>
      <c r="E991" s="23" t="str">
        <f>VLOOKUP(C991,'[7]Tariff Schedule Lookup Table'!I$7:L$287,2,FALSE)</f>
        <v>HIGH PRESSURE SODIUM 250W (210/220)</v>
      </c>
      <c r="F991" s="23" t="str">
        <f>IF(E991 = "BULKHEADS ETC", "SHARED OR NO POLE", VLOOKUP(C991,'[7]Tariff Schedule Lookup Table'!I$7:L$287,3,FALSE))</f>
        <v>WOOD POLE</v>
      </c>
      <c r="G991" s="23">
        <f>IF(E991 = "NO CAPITAL", 1, VLOOKUP(C991,'[7]Tariff Schedule Lookup Table'!I$7:L$287,4,FALSE))</f>
        <v>3</v>
      </c>
      <c r="H991" s="23" t="str">
        <f t="shared" si="181"/>
        <v>2-Unmetered, Funded by Others, CE Maintained</v>
      </c>
      <c r="I991" s="374">
        <f>VLOOKUP(F991,'Maintenance Model'!$A$57:$B$61,2,FALSE)</f>
        <v>10.731618231111112</v>
      </c>
      <c r="J991" s="374">
        <f>IF(D991=1,VLOOKUP(C991,'Capital Code Schedules'!A$15:F$300,2,FALSE),IF(D991=2,VLOOKUP(C991,'Capital Code Schedules'!A$15:F$300,3,FALSE),0))</f>
        <v>0</v>
      </c>
      <c r="K991" s="374">
        <f>IF(D991=1,VLOOKUP(C991,'Capital Code Schedules'!E$15:G$300,2,FALSE),IF(D991=2,VLOOKUP(C991,'Capital Code Schedules'!E$15:G$300,3,FALSE),0))</f>
        <v>0</v>
      </c>
      <c r="L991" s="374">
        <f>VLOOKUP(LEFT(A991,10),'Streetlight Tariff Schedule'!B$11:H$260,7, FALSE)+I991</f>
        <v>76.557319305969273</v>
      </c>
      <c r="M991" s="161">
        <f t="shared" si="172"/>
        <v>76.557319305969273</v>
      </c>
      <c r="N991" s="405">
        <f t="shared" si="173"/>
        <v>79.747357343741669</v>
      </c>
      <c r="O991" s="405">
        <v>53.829694738900514</v>
      </c>
      <c r="P991" s="406">
        <v>53.829694738900514</v>
      </c>
      <c r="Q991" s="406">
        <v>56.464058757030521</v>
      </c>
      <c r="R991" s="406">
        <v>56.464058757030521</v>
      </c>
      <c r="S991" s="405">
        <f t="shared" si="174"/>
        <v>83.650102283060278</v>
      </c>
      <c r="T991" s="406">
        <v>58.783104564268442</v>
      </c>
      <c r="U991" s="406">
        <v>58.997856360849504</v>
      </c>
      <c r="V991" s="405">
        <f t="shared" si="175"/>
        <v>87.4038605744378</v>
      </c>
      <c r="W991" s="406">
        <v>60.922968696401526</v>
      </c>
      <c r="X991" s="406">
        <v>61.691504881724683</v>
      </c>
      <c r="Y991" s="405">
        <f t="shared" si="176"/>
        <v>91.394434033838039</v>
      </c>
      <c r="Z991" s="406">
        <v>62.682765763843051</v>
      </c>
      <c r="AA991" s="406">
        <v>63.705777599276821</v>
      </c>
      <c r="AB991" s="442">
        <f t="shared" si="177"/>
        <v>93.378309389107585</v>
      </c>
      <c r="AC991" s="438">
        <f t="shared" si="178"/>
        <v>96.170233181089344</v>
      </c>
      <c r="AD991" s="410"/>
      <c r="AE991" s="411"/>
      <c r="AF991" s="411"/>
      <c r="AG991" s="411"/>
    </row>
    <row r="992" spans="1:33" s="301" customFormat="1" x14ac:dyDescent="0.2">
      <c r="A992" t="s">
        <v>1912</v>
      </c>
      <c r="B992" s="23" t="str">
        <f>VLOOKUP(LEFT(A992,7),'[7]Tariff Schedule Lookup Table'!$A$8:$G$186,2,FALSE)</f>
        <v>High Pressure Sodium 220</v>
      </c>
      <c r="C992" s="375">
        <f t="shared" si="179"/>
        <v>1020</v>
      </c>
      <c r="D992" s="23">
        <f t="shared" si="180"/>
        <v>2</v>
      </c>
      <c r="E992" s="23" t="str">
        <f>VLOOKUP(C992,'[7]Tariff Schedule Lookup Table'!I$7:L$287,2,FALSE)</f>
        <v>HIGH PRESSURE SODIUM 250W (210/220)</v>
      </c>
      <c r="F992" s="23" t="str">
        <f>IF(E992 = "BULKHEADS ETC", "SHARED OR NO POLE", VLOOKUP(C992,'[7]Tariff Schedule Lookup Table'!I$7:L$287,3,FALSE))</f>
        <v>SHARED OR NO POLE</v>
      </c>
      <c r="G992" s="23">
        <f>IF(E992 = "NO CAPITAL", 1, VLOOKUP(C992,'[7]Tariff Schedule Lookup Table'!I$7:L$287,4,FALSE))</f>
        <v>3</v>
      </c>
      <c r="H992" s="23" t="str">
        <f t="shared" si="181"/>
        <v>2-Unmetered, Funded by Others, CE Maintained</v>
      </c>
      <c r="I992" s="374">
        <f>VLOOKUP(F992,'Maintenance Model'!$A$57:$B$61,2,FALSE)</f>
        <v>0</v>
      </c>
      <c r="J992" s="374">
        <f>IF(D992=1,VLOOKUP(C992,'Capital Code Schedules'!A$15:F$300,2,FALSE),IF(D992=2,VLOOKUP(C992,'Capital Code Schedules'!A$15:F$300,3,FALSE),0))</f>
        <v>0</v>
      </c>
      <c r="K992" s="374">
        <f>IF(D992=1,VLOOKUP(C992,'Capital Code Schedules'!E$15:G$300,2,FALSE),IF(D992=2,VLOOKUP(C992,'Capital Code Schedules'!E$15:G$300,3,FALSE),0))</f>
        <v>0</v>
      </c>
      <c r="L992" s="374">
        <f>VLOOKUP(LEFT(A992,10),'Streetlight Tariff Schedule'!B$11:H$260,7, FALSE)+I992</f>
        <v>65.825701074858159</v>
      </c>
      <c r="M992" s="161">
        <f t="shared" si="172"/>
        <v>65.825701074858159</v>
      </c>
      <c r="N992" s="405">
        <f t="shared" si="173"/>
        <v>68.568567363744279</v>
      </c>
      <c r="O992" s="405">
        <v>43.433494663476345</v>
      </c>
      <c r="P992" s="406">
        <v>43.433494663476345</v>
      </c>
      <c r="Q992" s="406">
        <v>45.559080477739151</v>
      </c>
      <c r="R992" s="406">
        <v>45.559080477739151</v>
      </c>
      <c r="S992" s="405">
        <f t="shared" si="174"/>
        <v>71.92423503962344</v>
      </c>
      <c r="T992" s="406">
        <v>47.430245903840586</v>
      </c>
      <c r="U992" s="406">
        <v>47.603522402175159</v>
      </c>
      <c r="V992" s="405">
        <f t="shared" si="175"/>
        <v>75.151800652363235</v>
      </c>
      <c r="W992" s="406">
        <v>49.156835248520665</v>
      </c>
      <c r="X992" s="406">
        <v>49.776943024829478</v>
      </c>
      <c r="Y992" s="405">
        <f t="shared" si="176"/>
        <v>78.582985260668394</v>
      </c>
      <c r="Z992" s="406">
        <v>50.576760382933273</v>
      </c>
      <c r="AA992" s="406">
        <v>51.402196590782978</v>
      </c>
      <c r="AB992" s="442">
        <f t="shared" si="177"/>
        <v>80.288765809015871</v>
      </c>
      <c r="AC992" s="438">
        <f t="shared" si="178"/>
        <v>82.689324535742955</v>
      </c>
      <c r="AD992" s="410"/>
      <c r="AE992" s="411"/>
      <c r="AF992" s="411"/>
      <c r="AG992" s="411"/>
    </row>
    <row r="993" spans="1:33" s="301" customFormat="1" x14ac:dyDescent="0.2">
      <c r="A993" t="s">
        <v>1913</v>
      </c>
      <c r="B993" s="23" t="str">
        <f>VLOOKUP(LEFT(A993,7),'[7]Tariff Schedule Lookup Table'!$A$8:$G$186,2,FALSE)</f>
        <v>High Pressure Sodium 220</v>
      </c>
      <c r="C993" s="375">
        <f t="shared" si="179"/>
        <v>1070</v>
      </c>
      <c r="D993" s="23">
        <f t="shared" si="180"/>
        <v>1</v>
      </c>
      <c r="E993" s="23" t="str">
        <f>VLOOKUP(C993,'[7]Tariff Schedule Lookup Table'!I$7:L$287,2,FALSE)</f>
        <v>METAL HALIDE/HPS 250W FLOOD (210/220)</v>
      </c>
      <c r="F993" s="23" t="str">
        <f>IF(E993 = "BULKHEADS ETC", "SHARED OR NO POLE", VLOOKUP(C993,'[7]Tariff Schedule Lookup Table'!I$7:L$287,3,FALSE))</f>
        <v>WOOD POLE</v>
      </c>
      <c r="G993" s="23">
        <f>IF(E993 = "NO CAPITAL", 1, VLOOKUP(C993,'[7]Tariff Schedule Lookup Table'!I$7:L$287,4,FALSE))</f>
        <v>1</v>
      </c>
      <c r="H993" s="23" t="str">
        <f t="shared" si="181"/>
        <v>1-Unmetered, CE Funded, CE Maintained</v>
      </c>
      <c r="I993" s="374">
        <f>VLOOKUP(F993,'Maintenance Model'!$A$57:$B$61,2,FALSE)</f>
        <v>10.731618231111112</v>
      </c>
      <c r="J993" s="374">
        <f>IF(D993=1,VLOOKUP(C993,'Capital Code Schedules'!A$15:F$300,2,FALSE),IF(D993=2,VLOOKUP(C993,'Capital Code Schedules'!A$15:F$300,3,FALSE),0))</f>
        <v>71.116706099521267</v>
      </c>
      <c r="K993" s="374">
        <f>IF(D993=1,VLOOKUP(C993,'Capital Code Schedules'!E$15:G$300,2,FALSE),IF(D993=2,VLOOKUP(C993,'Capital Code Schedules'!E$15:G$300,3,FALSE),0))</f>
        <v>90.209463442196068</v>
      </c>
      <c r="L993" s="374">
        <f>VLOOKUP(LEFT(A993,10),'Streetlight Tariff Schedule'!B$11:H$260,7, FALSE)+I993</f>
        <v>76.557319305969273</v>
      </c>
      <c r="M993" s="161">
        <f t="shared" si="172"/>
        <v>166.76678274816533</v>
      </c>
      <c r="N993" s="405">
        <f t="shared" si="173"/>
        <v>152.6242019192261</v>
      </c>
      <c r="O993" s="405">
        <v>150.36432038851274</v>
      </c>
      <c r="P993" s="406">
        <v>146.27184240129094</v>
      </c>
      <c r="Q993" s="406">
        <v>151.19414957406511</v>
      </c>
      <c r="R993" s="406">
        <v>155.38791639147064</v>
      </c>
      <c r="S993" s="405">
        <f t="shared" si="174"/>
        <v>158.33064876178796</v>
      </c>
      <c r="T993" s="406">
        <v>155.85776512902461</v>
      </c>
      <c r="U993" s="406">
        <v>160.74104393787113</v>
      </c>
      <c r="V993" s="405">
        <f t="shared" si="175"/>
        <v>164.21280262780917</v>
      </c>
      <c r="W993" s="406">
        <v>160.40022711013543</v>
      </c>
      <c r="X993" s="406">
        <v>166.88378651760738</v>
      </c>
      <c r="Y993" s="405">
        <f t="shared" si="176"/>
        <v>170.80719922281875</v>
      </c>
      <c r="Z993" s="406">
        <v>164.62208632331684</v>
      </c>
      <c r="AA993" s="406">
        <v>171.89603926178214</v>
      </c>
      <c r="AB993" s="442">
        <f t="shared" si="177"/>
        <v>174.18873924541435</v>
      </c>
      <c r="AC993" s="438">
        <f t="shared" si="178"/>
        <v>179.33224654621463</v>
      </c>
      <c r="AD993" s="410"/>
      <c r="AE993" s="411"/>
      <c r="AF993" s="411"/>
      <c r="AG993" s="411"/>
    </row>
    <row r="994" spans="1:33" s="301" customFormat="1" x14ac:dyDescent="0.2">
      <c r="A994" t="s">
        <v>1914</v>
      </c>
      <c r="B994" s="23" t="str">
        <f>VLOOKUP(LEFT(A994,7),'[7]Tariff Schedule Lookup Table'!$A$8:$G$186,2,FALSE)</f>
        <v>High Pressure Sodium 220</v>
      </c>
      <c r="C994" s="375">
        <f t="shared" si="179"/>
        <v>1070</v>
      </c>
      <c r="D994" s="23">
        <f t="shared" si="180"/>
        <v>2</v>
      </c>
      <c r="E994" s="23" t="str">
        <f>VLOOKUP(C994,'[7]Tariff Schedule Lookup Table'!I$7:L$287,2,FALSE)</f>
        <v>METAL HALIDE/HPS 250W FLOOD (210/220)</v>
      </c>
      <c r="F994" s="23" t="str">
        <f>IF(E994 = "BULKHEADS ETC", "SHARED OR NO POLE", VLOOKUP(C994,'[7]Tariff Schedule Lookup Table'!I$7:L$287,3,FALSE))</f>
        <v>WOOD POLE</v>
      </c>
      <c r="G994" s="23">
        <f>IF(E994 = "NO CAPITAL", 1, VLOOKUP(C994,'[7]Tariff Schedule Lookup Table'!I$7:L$287,4,FALSE))</f>
        <v>1</v>
      </c>
      <c r="H994" s="23" t="str">
        <f t="shared" si="181"/>
        <v>2-Unmetered, Funded by Others, CE Maintained</v>
      </c>
      <c r="I994" s="374">
        <f>VLOOKUP(F994,'Maintenance Model'!$A$57:$B$61,2,FALSE)</f>
        <v>10.731618231111112</v>
      </c>
      <c r="J994" s="374">
        <f>IF(D994=1,VLOOKUP(C994,'Capital Code Schedules'!A$15:F$300,2,FALSE),IF(D994=2,VLOOKUP(C994,'Capital Code Schedules'!A$15:F$300,3,FALSE),0))</f>
        <v>0</v>
      </c>
      <c r="K994" s="374">
        <f>IF(D994=1,VLOOKUP(C994,'Capital Code Schedules'!E$15:G$300,2,FALSE),IF(D994=2,VLOOKUP(C994,'Capital Code Schedules'!E$15:G$300,3,FALSE),0))</f>
        <v>0</v>
      </c>
      <c r="L994" s="374">
        <f>VLOOKUP(LEFT(A994,10),'Streetlight Tariff Schedule'!B$11:H$260,7, FALSE)+I994</f>
        <v>76.557319305969273</v>
      </c>
      <c r="M994" s="161">
        <f t="shared" si="172"/>
        <v>76.557319305969273</v>
      </c>
      <c r="N994" s="405">
        <f t="shared" si="173"/>
        <v>79.747357343741669</v>
      </c>
      <c r="O994" s="405">
        <v>53.829694738900514</v>
      </c>
      <c r="P994" s="406">
        <v>53.829694738900514</v>
      </c>
      <c r="Q994" s="406">
        <v>56.464058757030521</v>
      </c>
      <c r="R994" s="406">
        <v>56.464058757030521</v>
      </c>
      <c r="S994" s="405">
        <f t="shared" si="174"/>
        <v>83.650102283060278</v>
      </c>
      <c r="T994" s="406">
        <v>58.783104564268442</v>
      </c>
      <c r="U994" s="406">
        <v>58.997856360849504</v>
      </c>
      <c r="V994" s="405">
        <f t="shared" si="175"/>
        <v>87.4038605744378</v>
      </c>
      <c r="W994" s="406">
        <v>60.922968696401526</v>
      </c>
      <c r="X994" s="406">
        <v>61.691504881724683</v>
      </c>
      <c r="Y994" s="405">
        <f t="shared" si="176"/>
        <v>91.394434033838039</v>
      </c>
      <c r="Z994" s="406">
        <v>62.682765763843051</v>
      </c>
      <c r="AA994" s="406">
        <v>63.705777599276821</v>
      </c>
      <c r="AB994" s="442">
        <f t="shared" si="177"/>
        <v>93.378309389107585</v>
      </c>
      <c r="AC994" s="438">
        <f t="shared" si="178"/>
        <v>96.170233181089344</v>
      </c>
      <c r="AD994" s="410"/>
      <c r="AE994" s="411"/>
      <c r="AF994" s="411"/>
      <c r="AG994" s="411"/>
    </row>
    <row r="995" spans="1:33" s="301" customFormat="1" x14ac:dyDescent="0.2">
      <c r="A995" t="s">
        <v>1915</v>
      </c>
      <c r="B995" s="23" t="str">
        <f>VLOOKUP(LEFT(A995,7),'[7]Tariff Schedule Lookup Table'!$A$8:$G$186,2,FALSE)</f>
        <v>High Pressure Sodium 220</v>
      </c>
      <c r="C995" s="375">
        <f t="shared" si="179"/>
        <v>1120</v>
      </c>
      <c r="D995" s="23">
        <f t="shared" si="180"/>
        <v>2</v>
      </c>
      <c r="E995" s="23" t="str">
        <f>VLOOKUP(C995,'[7]Tariff Schedule Lookup Table'!I$7:L$287,2,FALSE)</f>
        <v>METAL HALIDE/HPS 250W FLOOD (210/220)</v>
      </c>
      <c r="F995" s="23" t="str">
        <f>IF(E995 = "BULKHEADS ETC", "SHARED OR NO POLE", VLOOKUP(C995,'[7]Tariff Schedule Lookup Table'!I$7:L$287,3,FALSE))</f>
        <v>STEEL POLE</v>
      </c>
      <c r="G995" s="23">
        <f>IF(E995 = "NO CAPITAL", 1, VLOOKUP(C995,'[7]Tariff Schedule Lookup Table'!I$7:L$287,4,FALSE))</f>
        <v>1</v>
      </c>
      <c r="H995" s="23" t="str">
        <f t="shared" si="181"/>
        <v>2-Unmetered, Funded by Others, CE Maintained</v>
      </c>
      <c r="I995" s="374">
        <f>VLOOKUP(F995,'Maintenance Model'!$A$57:$B$61,2,FALSE)</f>
        <v>9.9616182311111103</v>
      </c>
      <c r="J995" s="374">
        <f>IF(D995=1,VLOOKUP(C995,'Capital Code Schedules'!A$15:F$300,2,FALSE),IF(D995=2,VLOOKUP(C995,'Capital Code Schedules'!A$15:F$300,3,FALSE),0))</f>
        <v>0</v>
      </c>
      <c r="K995" s="374">
        <f>IF(D995=1,VLOOKUP(C995,'Capital Code Schedules'!E$15:G$300,2,FALSE),IF(D995=2,VLOOKUP(C995,'Capital Code Schedules'!E$15:G$300,3,FALSE),0))</f>
        <v>0</v>
      </c>
      <c r="L995" s="374">
        <f>VLOOKUP(LEFT(A995,10),'Streetlight Tariff Schedule'!B$11:H$260,7, FALSE)+I995</f>
        <v>75.787319305969277</v>
      </c>
      <c r="M995" s="161">
        <f t="shared" si="172"/>
        <v>75.787319305969277</v>
      </c>
      <c r="N995" s="405">
        <f t="shared" si="173"/>
        <v>78.945272504416678</v>
      </c>
      <c r="O995" s="405">
        <v>53.027609899575509</v>
      </c>
      <c r="P995" s="406">
        <v>53.027609899575509</v>
      </c>
      <c r="Q995" s="406">
        <v>55.622720798206068</v>
      </c>
      <c r="R995" s="406">
        <v>55.622720798206068</v>
      </c>
      <c r="S995" s="405">
        <f t="shared" si="174"/>
        <v>82.808764324235824</v>
      </c>
      <c r="T995" s="406">
        <v>57.907211858427338</v>
      </c>
      <c r="U995" s="406">
        <v>58.118763763924292</v>
      </c>
      <c r="V995" s="405">
        <f t="shared" si="175"/>
        <v>86.524767977512582</v>
      </c>
      <c r="W995" s="406">
        <v>60.015191125024316</v>
      </c>
      <c r="X995" s="406">
        <v>60.772275801552745</v>
      </c>
      <c r="Y995" s="405">
        <f t="shared" si="176"/>
        <v>90.475204953666108</v>
      </c>
      <c r="Z995" s="406">
        <v>61.74876648426315</v>
      </c>
      <c r="AA995" s="406">
        <v>62.756535017879372</v>
      </c>
      <c r="AB995" s="442">
        <f t="shared" si="177"/>
        <v>92.439126840901437</v>
      </c>
      <c r="AC995" s="438">
        <f t="shared" si="178"/>
        <v>95.202969956348085</v>
      </c>
      <c r="AD995" s="410"/>
      <c r="AE995" s="411"/>
      <c r="AF995" s="411"/>
      <c r="AG995" s="411"/>
    </row>
    <row r="996" spans="1:33" s="301" customFormat="1" x14ac:dyDescent="0.2">
      <c r="A996" t="s">
        <v>1916</v>
      </c>
      <c r="B996" s="23" t="str">
        <f>VLOOKUP(LEFT(A996,7),'[7]Tariff Schedule Lookup Table'!$A$8:$G$186,2,FALSE)</f>
        <v>High Pressure Sodium 220</v>
      </c>
      <c r="C996" s="375">
        <f t="shared" si="179"/>
        <v>1160</v>
      </c>
      <c r="D996" s="23">
        <f t="shared" si="180"/>
        <v>2</v>
      </c>
      <c r="E996" s="23" t="str">
        <f>VLOOKUP(C996,'[7]Tariff Schedule Lookup Table'!I$7:L$287,2,FALSE)</f>
        <v>METAL HALIDE/HPS 250W FLOOD (210/220)</v>
      </c>
      <c r="F996" s="23" t="str">
        <f>IF(E996 = "BULKHEADS ETC", "SHARED OR NO POLE", VLOOKUP(C996,'[7]Tariff Schedule Lookup Table'!I$7:L$287,3,FALSE))</f>
        <v>WOOD POLE</v>
      </c>
      <c r="G996" s="23">
        <f>IF(E996 = "NO CAPITAL", 1, VLOOKUP(C996,'[7]Tariff Schedule Lookup Table'!I$7:L$287,4,FALSE))</f>
        <v>2</v>
      </c>
      <c r="H996" s="23" t="str">
        <f t="shared" si="181"/>
        <v>2-Unmetered, Funded by Others, CE Maintained</v>
      </c>
      <c r="I996" s="374">
        <f>VLOOKUP(F996,'Maintenance Model'!$A$57:$B$61,2,FALSE)</f>
        <v>10.731618231111112</v>
      </c>
      <c r="J996" s="374">
        <f>IF(D996=1,VLOOKUP(C996,'Capital Code Schedules'!A$15:F$300,2,FALSE),IF(D996=2,VLOOKUP(C996,'Capital Code Schedules'!A$15:F$300,3,FALSE),0))</f>
        <v>0</v>
      </c>
      <c r="K996" s="374">
        <f>IF(D996=1,VLOOKUP(C996,'Capital Code Schedules'!E$15:G$300,2,FALSE),IF(D996=2,VLOOKUP(C996,'Capital Code Schedules'!E$15:G$300,3,FALSE),0))</f>
        <v>0</v>
      </c>
      <c r="L996" s="374">
        <f>VLOOKUP(LEFT(A996,10),'Streetlight Tariff Schedule'!B$11:H$260,7, FALSE)+I996</f>
        <v>76.557319305969273</v>
      </c>
      <c r="M996" s="161">
        <f t="shared" si="172"/>
        <v>76.557319305969273</v>
      </c>
      <c r="N996" s="405">
        <f t="shared" si="173"/>
        <v>79.747357343741669</v>
      </c>
      <c r="O996" s="405">
        <v>53.829694738900514</v>
      </c>
      <c r="P996" s="406">
        <v>53.829694738900514</v>
      </c>
      <c r="Q996" s="406">
        <v>56.464058757030521</v>
      </c>
      <c r="R996" s="406">
        <v>56.464058757030521</v>
      </c>
      <c r="S996" s="405">
        <f t="shared" si="174"/>
        <v>83.650102283060278</v>
      </c>
      <c r="T996" s="406">
        <v>58.783104564268442</v>
      </c>
      <c r="U996" s="406">
        <v>58.997856360849504</v>
      </c>
      <c r="V996" s="405">
        <f t="shared" si="175"/>
        <v>87.4038605744378</v>
      </c>
      <c r="W996" s="406">
        <v>60.922968696401526</v>
      </c>
      <c r="X996" s="406">
        <v>61.691504881724683</v>
      </c>
      <c r="Y996" s="405">
        <f t="shared" si="176"/>
        <v>91.394434033838039</v>
      </c>
      <c r="Z996" s="406">
        <v>62.682765763843051</v>
      </c>
      <c r="AA996" s="406">
        <v>63.705777599276821</v>
      </c>
      <c r="AB996" s="442">
        <f t="shared" si="177"/>
        <v>93.378309389107585</v>
      </c>
      <c r="AC996" s="438">
        <f t="shared" si="178"/>
        <v>96.170233181089344</v>
      </c>
      <c r="AD996" s="410"/>
      <c r="AE996" s="411"/>
      <c r="AF996" s="411"/>
      <c r="AG996" s="411"/>
    </row>
    <row r="997" spans="1:33" s="301" customFormat="1" x14ac:dyDescent="0.2">
      <c r="A997" t="s">
        <v>1917</v>
      </c>
      <c r="B997" s="23" t="str">
        <f>VLOOKUP(LEFT(A997,7),'[7]Tariff Schedule Lookup Table'!$A$8:$G$186,2,FALSE)</f>
        <v>High Pressure Sodium 250</v>
      </c>
      <c r="C997" s="375">
        <f t="shared" si="179"/>
        <v>510</v>
      </c>
      <c r="D997" s="23">
        <f t="shared" si="180"/>
        <v>2</v>
      </c>
      <c r="E997" s="23" t="str">
        <f>VLOOKUP(C997,'[7]Tariff Schedule Lookup Table'!I$7:L$287,2,FALSE)</f>
        <v>HIGH PRESSURE SODIUM 250W (210/220)</v>
      </c>
      <c r="F997" s="23" t="str">
        <f>IF(E997 = "BULKHEADS ETC", "SHARED OR NO POLE", VLOOKUP(C997,'[7]Tariff Schedule Lookup Table'!I$7:L$287,3,FALSE))</f>
        <v>R/BOUT COLUMN</v>
      </c>
      <c r="G997" s="23">
        <f>IF(E997 = "NO CAPITAL", 1, VLOOKUP(C997,'[7]Tariff Schedule Lookup Table'!I$7:L$287,4,FALSE))</f>
        <v>2</v>
      </c>
      <c r="H997" s="23" t="str">
        <f t="shared" si="181"/>
        <v>2-Unmetered, Funded by Others, CE Maintained</v>
      </c>
      <c r="I997" s="374">
        <f>VLOOKUP(F997,'Maintenance Model'!$A$57:$B$61,2,FALSE)</f>
        <v>9.9616182311111103</v>
      </c>
      <c r="J997" s="374">
        <f>IF(D997=1,VLOOKUP(C997,'Capital Code Schedules'!A$15:F$300,2,FALSE),IF(D997=2,VLOOKUP(C997,'Capital Code Schedules'!A$15:F$300,3,FALSE),0))</f>
        <v>0</v>
      </c>
      <c r="K997" s="374">
        <f>IF(D997=1,VLOOKUP(C997,'Capital Code Schedules'!E$15:G$300,2,FALSE),IF(D997=2,VLOOKUP(C997,'Capital Code Schedules'!E$15:G$300,3,FALSE),0))</f>
        <v>0</v>
      </c>
      <c r="L997" s="374">
        <f>VLOOKUP(LEFT(A997,10),'Streetlight Tariff Schedule'!B$11:H$260,7, FALSE)+I997</f>
        <v>75.787319305969277</v>
      </c>
      <c r="M997" s="161">
        <f t="shared" si="172"/>
        <v>75.787319305969277</v>
      </c>
      <c r="N997" s="405">
        <f t="shared" si="173"/>
        <v>78.945272504416678</v>
      </c>
      <c r="O997" s="405">
        <v>45.722567835524657</v>
      </c>
      <c r="P997" s="406">
        <v>45.722567835524657</v>
      </c>
      <c r="Q997" s="406">
        <v>47.960178286534159</v>
      </c>
      <c r="R997" s="406">
        <v>47.960178286534159</v>
      </c>
      <c r="S997" s="405">
        <f t="shared" si="174"/>
        <v>82.808764324235824</v>
      </c>
      <c r="T997" s="406">
        <v>49.929959645121336</v>
      </c>
      <c r="U997" s="406">
        <v>50.112368325583027</v>
      </c>
      <c r="V997" s="405">
        <f t="shared" si="175"/>
        <v>86.524767977512582</v>
      </c>
      <c r="W997" s="406">
        <v>51.747545336714637</v>
      </c>
      <c r="X997" s="406">
        <v>52.400334620360709</v>
      </c>
      <c r="Y997" s="405">
        <f t="shared" si="176"/>
        <v>90.475204953666108</v>
      </c>
      <c r="Z997" s="406">
        <v>53.242304710386243</v>
      </c>
      <c r="AA997" s="406">
        <v>54.111243839040881</v>
      </c>
      <c r="AB997" s="442">
        <f t="shared" si="177"/>
        <v>92.439126840901437</v>
      </c>
      <c r="AC997" s="438">
        <f t="shared" si="178"/>
        <v>95.202969956348085</v>
      </c>
      <c r="AD997" s="410"/>
      <c r="AE997" s="411"/>
      <c r="AF997" s="411"/>
      <c r="AG997" s="411"/>
    </row>
    <row r="998" spans="1:33" s="301" customFormat="1" x14ac:dyDescent="0.2">
      <c r="A998" t="s">
        <v>1918</v>
      </c>
      <c r="B998" s="23" t="str">
        <f>VLOOKUP(LEFT(A998,7),'[7]Tariff Schedule Lookup Table'!$A$8:$G$186,2,FALSE)</f>
        <v>High Pressure Sodium 250</v>
      </c>
      <c r="C998" s="375">
        <f t="shared" si="179"/>
        <v>930</v>
      </c>
      <c r="D998" s="23">
        <f t="shared" si="180"/>
        <v>1</v>
      </c>
      <c r="E998" s="23" t="str">
        <f>VLOOKUP(C998,'[7]Tariff Schedule Lookup Table'!I$7:L$287,2,FALSE)</f>
        <v>HIGH PRESSURE SODIUM 250W (210/220)</v>
      </c>
      <c r="F998" s="23" t="str">
        <f>IF(E998 = "BULKHEADS ETC", "SHARED OR NO POLE", VLOOKUP(C998,'[7]Tariff Schedule Lookup Table'!I$7:L$287,3,FALSE))</f>
        <v>WOOD POLE</v>
      </c>
      <c r="G998" s="23">
        <f>IF(E998 = "NO CAPITAL", 1, VLOOKUP(C998,'[7]Tariff Schedule Lookup Table'!I$7:L$287,4,FALSE))</f>
        <v>3</v>
      </c>
      <c r="H998" s="23" t="str">
        <f t="shared" si="181"/>
        <v>1-Unmetered, CE Funded, CE Maintained</v>
      </c>
      <c r="I998" s="374">
        <f>VLOOKUP(F998,'Maintenance Model'!$A$57:$B$61,2,FALSE)</f>
        <v>10.731618231111112</v>
      </c>
      <c r="J998" s="374">
        <f>IF(D998=1,VLOOKUP(C998,'Capital Code Schedules'!A$15:F$300,2,FALSE),IF(D998=2,VLOOKUP(C998,'Capital Code Schedules'!A$15:F$300,3,FALSE),0))</f>
        <v>91.506461206950704</v>
      </c>
      <c r="K998" s="374" t="e">
        <f>IF(D998=1,VLOOKUP(C998,'Capital Code Schedules'!E$15:G$300,2,FALSE),IF(D998=2,VLOOKUP(C998,'Capital Code Schedules'!E$15:G$300,3,FALSE),0))</f>
        <v>#N/A</v>
      </c>
      <c r="L998" s="374">
        <f>VLOOKUP(LEFT(A998,10),'Streetlight Tariff Schedule'!B$11:H$260,7, FALSE)+I998</f>
        <v>76.557319305969273</v>
      </c>
      <c r="M998" s="161" t="e">
        <f t="shared" si="172"/>
        <v>#N/A</v>
      </c>
      <c r="N998" s="405">
        <f t="shared" si="173"/>
        <v>173.51860346556441</v>
      </c>
      <c r="O998" s="405">
        <v>170.73656379418665</v>
      </c>
      <c r="P998" s="406" t="e">
        <v>#N/A</v>
      </c>
      <c r="Q998" s="406" t="e">
        <v>#N/A</v>
      </c>
      <c r="R998" s="406">
        <v>176.0876721648992</v>
      </c>
      <c r="S998" s="405">
        <f t="shared" si="174"/>
        <v>179.74218674639815</v>
      </c>
      <c r="T998" s="406" t="e">
        <v>#N/A</v>
      </c>
      <c r="U998" s="406">
        <v>181.90527228575573</v>
      </c>
      <c r="V998" s="405">
        <f t="shared" si="175"/>
        <v>186.23456944498076</v>
      </c>
      <c r="W998" s="406" t="e">
        <v>#N/A</v>
      </c>
      <c r="X998" s="406">
        <v>188.67135326899421</v>
      </c>
      <c r="Y998" s="405">
        <f t="shared" si="176"/>
        <v>193.57550393509243</v>
      </c>
      <c r="Z998" s="406" t="e">
        <v>#N/A</v>
      </c>
      <c r="AA998" s="406">
        <v>194.26980199160104</v>
      </c>
      <c r="AB998" s="442">
        <f t="shared" si="177"/>
        <v>197.35776612062406</v>
      </c>
      <c r="AC998" s="438">
        <f t="shared" si="178"/>
        <v>203.17549210349296</v>
      </c>
      <c r="AD998" s="410"/>
      <c r="AE998" s="411"/>
      <c r="AF998" s="411"/>
      <c r="AG998" s="411"/>
    </row>
    <row r="999" spans="1:33" s="301" customFormat="1" x14ac:dyDescent="0.2">
      <c r="A999" t="s">
        <v>1919</v>
      </c>
      <c r="B999" s="23" t="str">
        <f>VLOOKUP(LEFT(A999,7),'[7]Tariff Schedule Lookup Table'!$A$8:$G$186,2,FALSE)</f>
        <v>High Pressure Sodium 250</v>
      </c>
      <c r="C999" s="375">
        <f t="shared" si="179"/>
        <v>1020</v>
      </c>
      <c r="D999" s="23">
        <f t="shared" si="180"/>
        <v>2</v>
      </c>
      <c r="E999" s="23" t="str">
        <f>VLOOKUP(C999,'[7]Tariff Schedule Lookup Table'!I$7:L$287,2,FALSE)</f>
        <v>HIGH PRESSURE SODIUM 250W (210/220)</v>
      </c>
      <c r="F999" s="23" t="str">
        <f>IF(E999 = "BULKHEADS ETC", "SHARED OR NO POLE", VLOOKUP(C999,'[7]Tariff Schedule Lookup Table'!I$7:L$287,3,FALSE))</f>
        <v>SHARED OR NO POLE</v>
      </c>
      <c r="G999" s="23">
        <f>IF(E999 = "NO CAPITAL", 1, VLOOKUP(C999,'[7]Tariff Schedule Lookup Table'!I$7:L$287,4,FALSE))</f>
        <v>3</v>
      </c>
      <c r="H999" s="23" t="str">
        <f t="shared" si="181"/>
        <v>2-Unmetered, Funded by Others, CE Maintained</v>
      </c>
      <c r="I999" s="374">
        <f>VLOOKUP(F999,'Maintenance Model'!$A$57:$B$61,2,FALSE)</f>
        <v>0</v>
      </c>
      <c r="J999" s="374">
        <f>IF(D999=1,VLOOKUP(C999,'Capital Code Schedules'!A$15:F$300,2,FALSE),IF(D999=2,VLOOKUP(C999,'Capital Code Schedules'!A$15:F$300,3,FALSE),0))</f>
        <v>0</v>
      </c>
      <c r="K999" s="374">
        <f>IF(D999=1,VLOOKUP(C999,'Capital Code Schedules'!E$15:G$300,2,FALSE),IF(D999=2,VLOOKUP(C999,'Capital Code Schedules'!E$15:G$300,3,FALSE),0))</f>
        <v>0</v>
      </c>
      <c r="L999" s="374">
        <f>VLOOKUP(LEFT(A999,10),'Streetlight Tariff Schedule'!B$11:H$260,7, FALSE)+I999</f>
        <v>65.825701074858159</v>
      </c>
      <c r="M999" s="161">
        <f t="shared" si="172"/>
        <v>65.825701074858159</v>
      </c>
      <c r="N999" s="405">
        <f t="shared" si="173"/>
        <v>68.568567363744279</v>
      </c>
      <c r="O999" s="405">
        <v>36.128452599425493</v>
      </c>
      <c r="P999" s="406">
        <v>36.128452599425493</v>
      </c>
      <c r="Q999" s="406">
        <v>37.896537966067243</v>
      </c>
      <c r="R999" s="406">
        <v>37.896537966067243</v>
      </c>
      <c r="S999" s="405">
        <f t="shared" si="174"/>
        <v>71.92423503962344</v>
      </c>
      <c r="T999" s="406">
        <v>39.452993690534583</v>
      </c>
      <c r="U999" s="406">
        <v>39.597126963833894</v>
      </c>
      <c r="V999" s="405">
        <f t="shared" si="175"/>
        <v>75.151800652363235</v>
      </c>
      <c r="W999" s="406">
        <v>40.889189460210986</v>
      </c>
      <c r="X999" s="406">
        <v>41.405001843637443</v>
      </c>
      <c r="Y999" s="405">
        <f t="shared" si="176"/>
        <v>78.582985260668394</v>
      </c>
      <c r="Z999" s="406">
        <v>42.070298609056358</v>
      </c>
      <c r="AA999" s="406">
        <v>42.75690541194448</v>
      </c>
      <c r="AB999" s="442">
        <f t="shared" si="177"/>
        <v>80.288765809015871</v>
      </c>
      <c r="AC999" s="438">
        <f t="shared" si="178"/>
        <v>82.689324535742955</v>
      </c>
      <c r="AD999" s="410"/>
      <c r="AE999" s="411"/>
      <c r="AF999" s="411"/>
      <c r="AG999" s="411"/>
    </row>
    <row r="1000" spans="1:33" s="301" customFormat="1" x14ac:dyDescent="0.2">
      <c r="A1000" t="s">
        <v>1920</v>
      </c>
      <c r="B1000" s="23" t="str">
        <f>VLOOKUP(LEFT(A1000,7),'[7]Tariff Schedule Lookup Table'!$A$8:$G$186,2,FALSE)</f>
        <v>High Pressure Sodium 250</v>
      </c>
      <c r="C1000" s="375">
        <f t="shared" si="179"/>
        <v>1140</v>
      </c>
      <c r="D1000" s="23">
        <f t="shared" si="180"/>
        <v>2</v>
      </c>
      <c r="E1000" s="23" t="str">
        <f>VLOOKUP(C1000,'[7]Tariff Schedule Lookup Table'!I$7:L$287,2,FALSE)</f>
        <v>METAL HALIDE/HPS 250W FLOOD (210/220)</v>
      </c>
      <c r="F1000" s="23" t="str">
        <f>IF(E1000 = "BULKHEADS ETC", "SHARED OR NO POLE", VLOOKUP(C1000,'[7]Tariff Schedule Lookup Table'!I$7:L$287,3,FALSE))</f>
        <v>STEEL POLE</v>
      </c>
      <c r="G1000" s="23">
        <f>IF(E1000 = "NO CAPITAL", 1, VLOOKUP(C1000,'[7]Tariff Schedule Lookup Table'!I$7:L$287,4,FALSE))</f>
        <v>2</v>
      </c>
      <c r="H1000" s="23" t="str">
        <f t="shared" si="181"/>
        <v>2-Unmetered, Funded by Others, CE Maintained</v>
      </c>
      <c r="I1000" s="374">
        <f>VLOOKUP(F1000,'Maintenance Model'!$A$57:$B$61,2,FALSE)</f>
        <v>9.9616182311111103</v>
      </c>
      <c r="J1000" s="374">
        <f>IF(D1000=1,VLOOKUP(C1000,'Capital Code Schedules'!A$15:F$300,2,FALSE),IF(D1000=2,VLOOKUP(C1000,'Capital Code Schedules'!A$15:F$300,3,FALSE),0))</f>
        <v>0</v>
      </c>
      <c r="K1000" s="374">
        <f>IF(D1000=1,VLOOKUP(C1000,'Capital Code Schedules'!E$15:G$300,2,FALSE),IF(D1000=2,VLOOKUP(C1000,'Capital Code Schedules'!E$15:G$300,3,FALSE),0))</f>
        <v>0</v>
      </c>
      <c r="L1000" s="374">
        <f>VLOOKUP(LEFT(A1000,10),'Streetlight Tariff Schedule'!B$11:H$260,7, FALSE)+I1000</f>
        <v>75.787319305969277</v>
      </c>
      <c r="M1000" s="161">
        <f t="shared" si="172"/>
        <v>75.787319305969277</v>
      </c>
      <c r="N1000" s="405">
        <f t="shared" si="173"/>
        <v>78.945272504416678</v>
      </c>
      <c r="O1000" s="405">
        <v>45.722567835524657</v>
      </c>
      <c r="P1000" s="406">
        <v>45.722567835524657</v>
      </c>
      <c r="Q1000" s="406">
        <v>47.960178286534159</v>
      </c>
      <c r="R1000" s="406">
        <v>47.960178286534159</v>
      </c>
      <c r="S1000" s="405">
        <f t="shared" si="174"/>
        <v>82.808764324235824</v>
      </c>
      <c r="T1000" s="406">
        <v>49.929959645121336</v>
      </c>
      <c r="U1000" s="406">
        <v>50.112368325583027</v>
      </c>
      <c r="V1000" s="405">
        <f t="shared" si="175"/>
        <v>86.524767977512582</v>
      </c>
      <c r="W1000" s="406">
        <v>51.747545336714637</v>
      </c>
      <c r="X1000" s="406">
        <v>52.400334620360709</v>
      </c>
      <c r="Y1000" s="405">
        <f t="shared" si="176"/>
        <v>90.475204953666108</v>
      </c>
      <c r="Z1000" s="406">
        <v>53.242304710386243</v>
      </c>
      <c r="AA1000" s="406">
        <v>54.111243839040881</v>
      </c>
      <c r="AB1000" s="442">
        <f t="shared" si="177"/>
        <v>92.439126840901437</v>
      </c>
      <c r="AC1000" s="438">
        <f t="shared" si="178"/>
        <v>95.202969956348085</v>
      </c>
      <c r="AD1000" s="410"/>
      <c r="AE1000" s="411"/>
      <c r="AF1000" s="411"/>
      <c r="AG1000" s="411"/>
    </row>
    <row r="1001" spans="1:33" s="301" customFormat="1" x14ac:dyDescent="0.2">
      <c r="A1001" t="s">
        <v>1921</v>
      </c>
      <c r="B1001" s="23" t="str">
        <f>VLOOKUP(LEFT(A1001,7),'[7]Tariff Schedule Lookup Table'!$A$8:$G$186,2,FALSE)</f>
        <v>High Pressure Sodium 250</v>
      </c>
      <c r="C1001" s="375">
        <f t="shared" si="179"/>
        <v>1160</v>
      </c>
      <c r="D1001" s="23">
        <f t="shared" si="180"/>
        <v>2</v>
      </c>
      <c r="E1001" s="23" t="str">
        <f>VLOOKUP(C1001,'[7]Tariff Schedule Lookup Table'!I$7:L$287,2,FALSE)</f>
        <v>METAL HALIDE/HPS 250W FLOOD (210/220)</v>
      </c>
      <c r="F1001" s="23" t="str">
        <f>IF(E1001 = "BULKHEADS ETC", "SHARED OR NO POLE", VLOOKUP(C1001,'[7]Tariff Schedule Lookup Table'!I$7:L$287,3,FALSE))</f>
        <v>WOOD POLE</v>
      </c>
      <c r="G1001" s="23">
        <f>IF(E1001 = "NO CAPITAL", 1, VLOOKUP(C1001,'[7]Tariff Schedule Lookup Table'!I$7:L$287,4,FALSE))</f>
        <v>2</v>
      </c>
      <c r="H1001" s="23" t="str">
        <f t="shared" si="181"/>
        <v>2-Unmetered, Funded by Others, CE Maintained</v>
      </c>
      <c r="I1001" s="374">
        <f>VLOOKUP(F1001,'Maintenance Model'!$A$57:$B$61,2,FALSE)</f>
        <v>10.731618231111112</v>
      </c>
      <c r="J1001" s="374">
        <f>IF(D1001=1,VLOOKUP(C1001,'Capital Code Schedules'!A$15:F$300,2,FALSE),IF(D1001=2,VLOOKUP(C1001,'Capital Code Schedules'!A$15:F$300,3,FALSE),0))</f>
        <v>0</v>
      </c>
      <c r="K1001" s="374">
        <f>IF(D1001=1,VLOOKUP(C1001,'Capital Code Schedules'!E$15:G$300,2,FALSE),IF(D1001=2,VLOOKUP(C1001,'Capital Code Schedules'!E$15:G$300,3,FALSE),0))</f>
        <v>0</v>
      </c>
      <c r="L1001" s="374">
        <f>VLOOKUP(LEFT(A1001,10),'Streetlight Tariff Schedule'!B$11:H$260,7, FALSE)+I1001</f>
        <v>76.557319305969273</v>
      </c>
      <c r="M1001" s="161">
        <f t="shared" si="172"/>
        <v>76.557319305969273</v>
      </c>
      <c r="N1001" s="405">
        <f t="shared" si="173"/>
        <v>79.747357343741669</v>
      </c>
      <c r="O1001" s="405">
        <v>46.524652674849662</v>
      </c>
      <c r="P1001" s="406">
        <v>46.524652674849662</v>
      </c>
      <c r="Q1001" s="406">
        <v>48.80151624535862</v>
      </c>
      <c r="R1001" s="406">
        <v>48.80151624535862</v>
      </c>
      <c r="S1001" s="405">
        <f t="shared" si="174"/>
        <v>83.650102283060278</v>
      </c>
      <c r="T1001" s="406">
        <v>50.805852350962439</v>
      </c>
      <c r="U1001" s="406">
        <v>50.991460922508246</v>
      </c>
      <c r="V1001" s="405">
        <f t="shared" si="175"/>
        <v>87.4038605744378</v>
      </c>
      <c r="W1001" s="406">
        <v>52.65532290809184</v>
      </c>
      <c r="X1001" s="406">
        <v>53.319563700532647</v>
      </c>
      <c r="Y1001" s="405">
        <f t="shared" si="176"/>
        <v>91.394434033838039</v>
      </c>
      <c r="Z1001" s="406">
        <v>54.176303989966136</v>
      </c>
      <c r="AA1001" s="406">
        <v>55.060486420438323</v>
      </c>
      <c r="AB1001" s="442">
        <f t="shared" si="177"/>
        <v>93.378309389107585</v>
      </c>
      <c r="AC1001" s="438">
        <f t="shared" si="178"/>
        <v>96.170233181089344</v>
      </c>
      <c r="AD1001" s="410"/>
      <c r="AE1001" s="411"/>
      <c r="AF1001" s="411"/>
      <c r="AG1001" s="411"/>
    </row>
    <row r="1002" spans="1:33" s="301" customFormat="1" x14ac:dyDescent="0.2">
      <c r="A1002" t="s">
        <v>1922</v>
      </c>
      <c r="B1002" s="23" t="str">
        <f>VLOOKUP(LEFT(A1002,7),'[7]Tariff Schedule Lookup Table'!$A$8:$G$186,2,FALSE)</f>
        <v>High Pressure Sodium 250</v>
      </c>
      <c r="C1002" s="375">
        <f t="shared" si="179"/>
        <v>1450</v>
      </c>
      <c r="D1002" s="23">
        <f t="shared" si="180"/>
        <v>1</v>
      </c>
      <c r="E1002" s="23" t="str">
        <f>VLOOKUP(C1002,'[7]Tariff Schedule Lookup Table'!I$7:L$287,2,FALSE)</f>
        <v>METAL HALIDE/HPS 250W FLOOD (210/220)</v>
      </c>
      <c r="F1002" s="23" t="str">
        <f>IF(E1002 = "BULKHEADS ETC", "SHARED OR NO POLE", VLOOKUP(C1002,'[7]Tariff Schedule Lookup Table'!I$7:L$287,3,FALSE))</f>
        <v>R/BOUT COLUMN</v>
      </c>
      <c r="G1002" s="23">
        <f>IF(E1002 = "NO CAPITAL", 1, VLOOKUP(C1002,'[7]Tariff Schedule Lookup Table'!I$7:L$287,4,FALSE))</f>
        <v>4</v>
      </c>
      <c r="H1002" s="23" t="str">
        <f t="shared" si="181"/>
        <v>1-Unmetered, CE Funded, CE Maintained</v>
      </c>
      <c r="I1002" s="374">
        <f>VLOOKUP(F1002,'Maintenance Model'!$A$57:$B$61,2,FALSE)</f>
        <v>9.9616182311111103</v>
      </c>
      <c r="J1002" s="374">
        <f>IF(D1002=1,VLOOKUP(C1002,'Capital Code Schedules'!A$15:F$300,2,FALSE),IF(D1002=2,VLOOKUP(C1002,'Capital Code Schedules'!A$15:F$300,3,FALSE),0))</f>
        <v>210.83335873444966</v>
      </c>
      <c r="K1002" s="374" t="e">
        <f>IF(D1002=1,VLOOKUP(C1002,'Capital Code Schedules'!E$15:G$300,2,FALSE),IF(D1002=2,VLOOKUP(C1002,'Capital Code Schedules'!E$15:G$300,3,FALSE),0))</f>
        <v>#N/A</v>
      </c>
      <c r="L1002" s="374">
        <f>VLOOKUP(LEFT(A1002,10),'Streetlight Tariff Schedule'!B$11:H$260,7, FALSE)+I1002</f>
        <v>75.787319305969277</v>
      </c>
      <c r="M1002" s="161" t="e">
        <f t="shared" si="172"/>
        <v>#N/A</v>
      </c>
      <c r="N1002" s="405">
        <f t="shared" si="173"/>
        <v>294.99675686754398</v>
      </c>
      <c r="O1002" s="405">
        <v>331.91016672964025</v>
      </c>
      <c r="P1002" s="406" t="e">
        <v>#N/A</v>
      </c>
      <c r="Q1002" s="406" t="e">
        <v>#N/A</v>
      </c>
      <c r="R1002" s="406">
        <v>341.23092025327912</v>
      </c>
      <c r="S1002" s="405">
        <f t="shared" si="174"/>
        <v>304.20752292535059</v>
      </c>
      <c r="T1002" s="406" t="e">
        <v>#N/A</v>
      </c>
      <c r="U1002" s="406">
        <v>351.74132643838021</v>
      </c>
      <c r="V1002" s="405">
        <f t="shared" si="175"/>
        <v>314.23339119875902</v>
      </c>
      <c r="W1002" s="406" t="e">
        <v>#N/A</v>
      </c>
      <c r="X1002" s="406">
        <v>364.25451441318171</v>
      </c>
      <c r="Y1002" s="405">
        <f t="shared" si="176"/>
        <v>325.90315050211285</v>
      </c>
      <c r="Z1002" s="406" t="e">
        <v>#N/A</v>
      </c>
      <c r="AA1002" s="406">
        <v>374.85326775595735</v>
      </c>
      <c r="AB1002" s="442">
        <f t="shared" si="177"/>
        <v>332.01060423100085</v>
      </c>
      <c r="AC1002" s="438">
        <f t="shared" si="178"/>
        <v>341.74597733849942</v>
      </c>
      <c r="AD1002" s="410"/>
      <c r="AE1002" s="411"/>
      <c r="AF1002" s="411"/>
      <c r="AG1002" s="411"/>
    </row>
    <row r="1003" spans="1:33" s="301" customFormat="1" x14ac:dyDescent="0.2">
      <c r="A1003" t="s">
        <v>1923</v>
      </c>
      <c r="B1003" s="23" t="str">
        <f>VLOOKUP(LEFT(A1003,7),'[7]Tariff Schedule Lookup Table'!$A$8:$G$186,2,FALSE)</f>
        <v>High Pressure Sodium 250</v>
      </c>
      <c r="C1003" s="375">
        <f t="shared" si="179"/>
        <v>230</v>
      </c>
      <c r="D1003" s="23">
        <f t="shared" si="180"/>
        <v>2</v>
      </c>
      <c r="E1003" s="23" t="str">
        <f>VLOOKUP(C1003,'[7]Tariff Schedule Lookup Table'!I$7:L$287,2,FALSE)</f>
        <v>HIGH PRESSURE SODIUM 250W (210/220)</v>
      </c>
      <c r="F1003" s="23" t="str">
        <f>IF(E1003 = "BULKHEADS ETC", "SHARED OR NO POLE", VLOOKUP(C1003,'[7]Tariff Schedule Lookup Table'!I$7:L$287,3,FALSE))</f>
        <v>WOOD POLE</v>
      </c>
      <c r="G1003" s="23">
        <f>IF(E1003 = "NO CAPITAL", 1, VLOOKUP(C1003,'[7]Tariff Schedule Lookup Table'!I$7:L$287,4,FALSE))</f>
        <v>1</v>
      </c>
      <c r="H1003" s="23" t="str">
        <f t="shared" si="181"/>
        <v>2-Unmetered, Funded by Others, CE Maintained</v>
      </c>
      <c r="I1003" s="374">
        <f>VLOOKUP(F1003,'Maintenance Model'!$A$57:$B$61,2,FALSE)</f>
        <v>10.731618231111112</v>
      </c>
      <c r="J1003" s="374">
        <f>IF(D1003=1,VLOOKUP(C1003,'Capital Code Schedules'!A$15:F$300,2,FALSE),IF(D1003=2,VLOOKUP(C1003,'Capital Code Schedules'!A$15:F$300,3,FALSE),0))</f>
        <v>0</v>
      </c>
      <c r="K1003" s="374">
        <f>IF(D1003=1,VLOOKUP(C1003,'Capital Code Schedules'!E$15:G$300,2,FALSE),IF(D1003=2,VLOOKUP(C1003,'Capital Code Schedules'!E$15:G$300,3,FALSE),0))</f>
        <v>0</v>
      </c>
      <c r="L1003" s="374">
        <f>VLOOKUP(LEFT(A1003,10),'Streetlight Tariff Schedule'!B$11:H$260,7, FALSE)+I1003</f>
        <v>79.596593414933011</v>
      </c>
      <c r="M1003" s="161">
        <f t="shared" si="172"/>
        <v>79.596593414933011</v>
      </c>
      <c r="N1003" s="405">
        <f t="shared" si="173"/>
        <v>82.913273818225846</v>
      </c>
      <c r="O1003" s="405">
        <v>44.651272572678344</v>
      </c>
      <c r="P1003" s="406">
        <v>44.651272572678344</v>
      </c>
      <c r="Q1003" s="406">
        <v>46.836455052343688</v>
      </c>
      <c r="R1003" s="406">
        <v>46.836455052343688</v>
      </c>
      <c r="S1003" s="405">
        <f t="shared" si="174"/>
        <v>86.970955107922052</v>
      </c>
      <c r="T1003" s="406">
        <v>48.760083766007497</v>
      </c>
      <c r="U1003" s="406">
        <v>48.938218549255382</v>
      </c>
      <c r="V1003" s="405">
        <f t="shared" si="175"/>
        <v>90.873735079913757</v>
      </c>
      <c r="W1003" s="406">
        <v>50.535082808744477</v>
      </c>
      <c r="X1003" s="406">
        <v>51.172577018200435</v>
      </c>
      <c r="Y1003" s="405">
        <f t="shared" si="176"/>
        <v>95.022731622894042</v>
      </c>
      <c r="Z1003" s="406">
        <v>51.99481946361626</v>
      </c>
      <c r="AA1003" s="406">
        <v>52.843399053944474</v>
      </c>
      <c r="AB1003" s="442">
        <f t="shared" si="177"/>
        <v>97.085365496060277</v>
      </c>
      <c r="AC1003" s="438">
        <f t="shared" si="178"/>
        <v>99.988126785646372</v>
      </c>
      <c r="AD1003" s="410"/>
      <c r="AE1003" s="411"/>
      <c r="AF1003" s="411"/>
      <c r="AG1003" s="411"/>
    </row>
    <row r="1004" spans="1:33" s="301" customFormat="1" x14ac:dyDescent="0.2">
      <c r="A1004" t="s">
        <v>1924</v>
      </c>
      <c r="B1004" s="23" t="str">
        <f>VLOOKUP(LEFT(A1004,7),'[7]Tariff Schedule Lookup Table'!$A$8:$G$186,2,FALSE)</f>
        <v>High Pressure Sodium 250</v>
      </c>
      <c r="C1004" s="375">
        <f t="shared" si="179"/>
        <v>1070</v>
      </c>
      <c r="D1004" s="23">
        <f t="shared" si="180"/>
        <v>2</v>
      </c>
      <c r="E1004" s="23" t="str">
        <f>VLOOKUP(C1004,'[7]Tariff Schedule Lookup Table'!I$7:L$287,2,FALSE)</f>
        <v>METAL HALIDE/HPS 250W FLOOD (210/220)</v>
      </c>
      <c r="F1004" s="23" t="str">
        <f>IF(E1004 = "BULKHEADS ETC", "SHARED OR NO POLE", VLOOKUP(C1004,'[7]Tariff Schedule Lookup Table'!I$7:L$287,3,FALSE))</f>
        <v>WOOD POLE</v>
      </c>
      <c r="G1004" s="23">
        <f>IF(E1004 = "NO CAPITAL", 1, VLOOKUP(C1004,'[7]Tariff Schedule Lookup Table'!I$7:L$287,4,FALSE))</f>
        <v>1</v>
      </c>
      <c r="H1004" s="23" t="str">
        <f t="shared" si="181"/>
        <v>2-Unmetered, Funded by Others, CE Maintained</v>
      </c>
      <c r="I1004" s="374">
        <f>VLOOKUP(F1004,'Maintenance Model'!$A$57:$B$61,2,FALSE)</f>
        <v>10.731618231111112</v>
      </c>
      <c r="J1004" s="374">
        <f>IF(D1004=1,VLOOKUP(C1004,'Capital Code Schedules'!A$15:F$300,2,FALSE),IF(D1004=2,VLOOKUP(C1004,'Capital Code Schedules'!A$15:F$300,3,FALSE),0))</f>
        <v>0</v>
      </c>
      <c r="K1004" s="374">
        <f>IF(D1004=1,VLOOKUP(C1004,'Capital Code Schedules'!E$15:G$300,2,FALSE),IF(D1004=2,VLOOKUP(C1004,'Capital Code Schedules'!E$15:G$300,3,FALSE),0))</f>
        <v>0</v>
      </c>
      <c r="L1004" s="374">
        <f>VLOOKUP(LEFT(A1004,10),'Streetlight Tariff Schedule'!B$11:H$260,7, FALSE)+I1004</f>
        <v>79.596593414933011</v>
      </c>
      <c r="M1004" s="161">
        <f t="shared" si="172"/>
        <v>79.596593414933011</v>
      </c>
      <c r="N1004" s="405">
        <f t="shared" si="173"/>
        <v>82.913273818225846</v>
      </c>
      <c r="O1004" s="405">
        <v>44.651272572678344</v>
      </c>
      <c r="P1004" s="406">
        <v>44.651272572678344</v>
      </c>
      <c r="Q1004" s="406">
        <v>46.836455052343688</v>
      </c>
      <c r="R1004" s="406">
        <v>46.836455052343688</v>
      </c>
      <c r="S1004" s="405">
        <f t="shared" si="174"/>
        <v>86.970955107922052</v>
      </c>
      <c r="T1004" s="406">
        <v>48.760083766007497</v>
      </c>
      <c r="U1004" s="406">
        <v>48.938218549255382</v>
      </c>
      <c r="V1004" s="405">
        <f t="shared" si="175"/>
        <v>90.873735079913757</v>
      </c>
      <c r="W1004" s="406">
        <v>50.535082808744477</v>
      </c>
      <c r="X1004" s="406">
        <v>51.172577018200435</v>
      </c>
      <c r="Y1004" s="405">
        <f t="shared" si="176"/>
        <v>95.022731622894042</v>
      </c>
      <c r="Z1004" s="406">
        <v>51.99481946361626</v>
      </c>
      <c r="AA1004" s="406">
        <v>52.843399053944474</v>
      </c>
      <c r="AB1004" s="442">
        <f t="shared" si="177"/>
        <v>97.085365496060277</v>
      </c>
      <c r="AC1004" s="438">
        <f t="shared" si="178"/>
        <v>99.988126785646372</v>
      </c>
      <c r="AD1004" s="410"/>
      <c r="AE1004" s="411"/>
      <c r="AF1004" s="411"/>
      <c r="AG1004" s="411"/>
    </row>
    <row r="1005" spans="1:33" s="301" customFormat="1" x14ac:dyDescent="0.2">
      <c r="A1005" t="s">
        <v>1925</v>
      </c>
      <c r="B1005" s="23" t="str">
        <f>VLOOKUP(LEFT(A1005,7),'[7]Tariff Schedule Lookup Table'!$A$8:$G$186,2,FALSE)</f>
        <v>High Pressure Sodium 250</v>
      </c>
      <c r="C1005" s="375">
        <f t="shared" si="179"/>
        <v>1120</v>
      </c>
      <c r="D1005" s="23">
        <f t="shared" si="180"/>
        <v>1</v>
      </c>
      <c r="E1005" s="23" t="str">
        <f>VLOOKUP(C1005,'[7]Tariff Schedule Lookup Table'!I$7:L$287,2,FALSE)</f>
        <v>METAL HALIDE/HPS 250W FLOOD (210/220)</v>
      </c>
      <c r="F1005" s="23" t="str">
        <f>IF(E1005 = "BULKHEADS ETC", "SHARED OR NO POLE", VLOOKUP(C1005,'[7]Tariff Schedule Lookup Table'!I$7:L$287,3,FALSE))</f>
        <v>STEEL POLE</v>
      </c>
      <c r="G1005" s="23">
        <f>IF(E1005 = "NO CAPITAL", 1, VLOOKUP(C1005,'[7]Tariff Schedule Lookup Table'!I$7:L$287,4,FALSE))</f>
        <v>1</v>
      </c>
      <c r="H1005" s="23" t="str">
        <f t="shared" si="181"/>
        <v>1-Unmetered, CE Funded, CE Maintained</v>
      </c>
      <c r="I1005" s="374">
        <f>VLOOKUP(F1005,'Maintenance Model'!$A$57:$B$61,2,FALSE)</f>
        <v>9.9616182311111103</v>
      </c>
      <c r="J1005" s="374">
        <f>IF(D1005=1,VLOOKUP(C1005,'Capital Code Schedules'!A$15:F$300,2,FALSE),IF(D1005=2,VLOOKUP(C1005,'Capital Code Schedules'!A$15:F$300,3,FALSE),0))</f>
        <v>97.399971273151337</v>
      </c>
      <c r="K1005" s="374">
        <f>IF(D1005=1,VLOOKUP(C1005,'Capital Code Schedules'!E$15:G$300,2,FALSE),IF(D1005=2,VLOOKUP(C1005,'Capital Code Schedules'!E$15:G$300,3,FALSE),0))</f>
        <v>123.5490172385169</v>
      </c>
      <c r="L1005" s="374">
        <f>VLOOKUP(LEFT(A1005,10),'Streetlight Tariff Schedule'!B$11:H$260,7, FALSE)+I1005</f>
        <v>78.826593414933001</v>
      </c>
      <c r="M1005" s="161">
        <f t="shared" si="172"/>
        <v>202.37561065344988</v>
      </c>
      <c r="N1005" s="405">
        <f t="shared" si="173"/>
        <v>181.92180954106269</v>
      </c>
      <c r="O1005" s="405">
        <v>176.06101644176903</v>
      </c>
      <c r="P1005" s="406">
        <v>170.45604314852352</v>
      </c>
      <c r="Q1005" s="406">
        <v>175.73549218021492</v>
      </c>
      <c r="R1005" s="406">
        <v>181.47918856246824</v>
      </c>
      <c r="S1005" s="405">
        <f t="shared" si="174"/>
        <v>188.41055057017294</v>
      </c>
      <c r="T1005" s="406">
        <v>180.83564043025777</v>
      </c>
      <c r="U1005" s="406">
        <v>187.4044934581442</v>
      </c>
      <c r="V1005" s="405">
        <f t="shared" si="175"/>
        <v>195.19058250656454</v>
      </c>
      <c r="W1005" s="406">
        <v>185.86930297936843</v>
      </c>
      <c r="X1005" s="406">
        <v>194.32252340228959</v>
      </c>
      <c r="Y1005" s="405">
        <f t="shared" si="176"/>
        <v>202.86558493309732</v>
      </c>
      <c r="Z1005" s="406">
        <v>190.67480737015202</v>
      </c>
      <c r="AA1005" s="406">
        <v>200.06930343753962</v>
      </c>
      <c r="AB1005" s="442">
        <f t="shared" si="177"/>
        <v>206.82247798829994</v>
      </c>
      <c r="AC1005" s="438">
        <f t="shared" si="178"/>
        <v>212.9178387870279</v>
      </c>
      <c r="AD1005" s="410"/>
      <c r="AE1005" s="411"/>
      <c r="AF1005" s="411"/>
      <c r="AG1005" s="411"/>
    </row>
    <row r="1006" spans="1:33" s="301" customFormat="1" x14ac:dyDescent="0.2">
      <c r="A1006" t="s">
        <v>1926</v>
      </c>
      <c r="B1006" s="23" t="str">
        <f>VLOOKUP(LEFT(A1006,7),'[7]Tariff Schedule Lookup Table'!$A$8:$G$186,2,FALSE)</f>
        <v>High Pressure Sodium 250</v>
      </c>
      <c r="C1006" s="375">
        <f t="shared" si="179"/>
        <v>1450</v>
      </c>
      <c r="D1006" s="23">
        <f t="shared" si="180"/>
        <v>1</v>
      </c>
      <c r="E1006" s="23" t="str">
        <f>VLOOKUP(C1006,'[7]Tariff Schedule Lookup Table'!I$7:L$287,2,FALSE)</f>
        <v>METAL HALIDE/HPS 250W FLOOD (210/220)</v>
      </c>
      <c r="F1006" s="23" t="str">
        <f>IF(E1006 = "BULKHEADS ETC", "SHARED OR NO POLE", VLOOKUP(C1006,'[7]Tariff Schedule Lookup Table'!I$7:L$287,3,FALSE))</f>
        <v>R/BOUT COLUMN</v>
      </c>
      <c r="G1006" s="23">
        <f>IF(E1006 = "NO CAPITAL", 1, VLOOKUP(C1006,'[7]Tariff Schedule Lookup Table'!I$7:L$287,4,FALSE))</f>
        <v>4</v>
      </c>
      <c r="H1006" s="23" t="str">
        <f t="shared" si="181"/>
        <v>1-Unmetered, CE Funded, CE Maintained</v>
      </c>
      <c r="I1006" s="374">
        <f>VLOOKUP(F1006,'Maintenance Model'!$A$57:$B$61,2,FALSE)</f>
        <v>9.9616182311111103</v>
      </c>
      <c r="J1006" s="374">
        <f>IF(D1006=1,VLOOKUP(C1006,'Capital Code Schedules'!A$15:F$300,2,FALSE),IF(D1006=2,VLOOKUP(C1006,'Capital Code Schedules'!A$15:F$300,3,FALSE),0))</f>
        <v>210.83335873444966</v>
      </c>
      <c r="K1006" s="374" t="e">
        <f>IF(D1006=1,VLOOKUP(C1006,'Capital Code Schedules'!E$15:G$300,2,FALSE),IF(D1006=2,VLOOKUP(C1006,'Capital Code Schedules'!E$15:G$300,3,FALSE),0))</f>
        <v>#N/A</v>
      </c>
      <c r="L1006" s="374">
        <f>VLOOKUP(LEFT(A1006,10),'Streetlight Tariff Schedule'!B$11:H$260,7, FALSE)+I1006</f>
        <v>78.826593414933001</v>
      </c>
      <c r="M1006" s="161" t="e">
        <f t="shared" si="172"/>
        <v>#N/A</v>
      </c>
      <c r="N1006" s="405">
        <f t="shared" si="173"/>
        <v>298.16267334202814</v>
      </c>
      <c r="O1006" s="405">
        <v>330.03678662746893</v>
      </c>
      <c r="P1006" s="406" t="e">
        <v>#N/A</v>
      </c>
      <c r="Q1006" s="406" t="e">
        <v>#N/A</v>
      </c>
      <c r="R1006" s="406">
        <v>339.26585906026423</v>
      </c>
      <c r="S1006" s="405">
        <f t="shared" si="174"/>
        <v>307.52837575021226</v>
      </c>
      <c r="T1006" s="406" t="e">
        <v>#N/A</v>
      </c>
      <c r="U1006" s="406">
        <v>349.68808406512738</v>
      </c>
      <c r="V1006" s="405">
        <f t="shared" si="175"/>
        <v>317.70326570423498</v>
      </c>
      <c r="W1006" s="406" t="e">
        <v>#N/A</v>
      </c>
      <c r="X1006" s="406">
        <v>362.10752773084948</v>
      </c>
      <c r="Y1006" s="405">
        <f t="shared" si="176"/>
        <v>329.53144809116878</v>
      </c>
      <c r="Z1006" s="406" t="e">
        <v>#N/A</v>
      </c>
      <c r="AA1006" s="406">
        <v>372.63618038946345</v>
      </c>
      <c r="AB1006" s="442">
        <f t="shared" si="177"/>
        <v>335.71766033795353</v>
      </c>
      <c r="AC1006" s="438">
        <f t="shared" si="178"/>
        <v>345.56387094305643</v>
      </c>
      <c r="AD1006" s="410"/>
      <c r="AE1006" s="411"/>
      <c r="AF1006" s="411"/>
      <c r="AG1006" s="411"/>
    </row>
    <row r="1007" spans="1:33" s="301" customFormat="1" ht="22.5" x14ac:dyDescent="0.2">
      <c r="A1007" t="s">
        <v>1927</v>
      </c>
      <c r="B1007" s="23" t="str">
        <f>VLOOKUP(LEFT(A1007,7),'[7]Tariff Schedule Lookup Table'!$A$8:$G$186,2,FALSE)</f>
        <v>High Pressure Sodium 2x250</v>
      </c>
      <c r="C1007" s="375">
        <f t="shared" si="179"/>
        <v>1490</v>
      </c>
      <c r="D1007" s="23">
        <f t="shared" si="180"/>
        <v>2</v>
      </c>
      <c r="E1007" s="23" t="str">
        <f>VLOOKUP(C1007,'[7]Tariff Schedule Lookup Table'!I$7:L$287,2,FALSE)</f>
        <v>HIGH PRESSURE SODIUM 2X250 W OR 2X400 W FLOOD</v>
      </c>
      <c r="F1007" s="23" t="str">
        <f>IF(E1007 = "BULKHEADS ETC", "SHARED OR NO POLE", VLOOKUP(C1007,'[7]Tariff Schedule Lookup Table'!I$7:L$287,3,FALSE))</f>
        <v>R/BOUT COLUMN</v>
      </c>
      <c r="G1007" s="23">
        <f>IF(E1007 = "NO CAPITAL", 1, VLOOKUP(C1007,'[7]Tariff Schedule Lookup Table'!I$7:L$287,4,FALSE))</f>
        <v>2</v>
      </c>
      <c r="H1007" s="23" t="str">
        <f t="shared" si="181"/>
        <v>2-Unmetered, Funded by Others, CE Maintained</v>
      </c>
      <c r="I1007" s="374">
        <f>VLOOKUP(F1007,'Maintenance Model'!$A$57:$B$61,2,FALSE)</f>
        <v>9.9616182311111103</v>
      </c>
      <c r="J1007" s="374">
        <f>IF(D1007=1,VLOOKUP(C1007,'Capital Code Schedules'!A$15:F$300,2,FALSE),IF(D1007=2,VLOOKUP(C1007,'Capital Code Schedules'!A$15:F$300,3,FALSE),0))</f>
        <v>0</v>
      </c>
      <c r="K1007" s="374">
        <f>IF(D1007=1,VLOOKUP(C1007,'Capital Code Schedules'!E$15:G$300,2,FALSE),IF(D1007=2,VLOOKUP(C1007,'Capital Code Schedules'!E$15:G$300,3,FALSE),0))</f>
        <v>0</v>
      </c>
      <c r="L1007" s="374">
        <f>VLOOKUP(LEFT(A1007,10),'Streetlight Tariff Schedule'!B$11:H$260,7, FALSE)+I1007</f>
        <v>93.337767025102579</v>
      </c>
      <c r="M1007" s="161">
        <f t="shared" si="172"/>
        <v>93.337767025102579</v>
      </c>
      <c r="N1007" s="405">
        <f t="shared" si="173"/>
        <v>97.227023204264526</v>
      </c>
      <c r="O1007" s="405">
        <v>60.54013478401945</v>
      </c>
      <c r="P1007" s="406">
        <v>60.54013478401945</v>
      </c>
      <c r="Q1007" s="406">
        <v>63.502900103446557</v>
      </c>
      <c r="R1007" s="406">
        <v>63.502900103446557</v>
      </c>
      <c r="S1007" s="405">
        <f t="shared" si="174"/>
        <v>101.98520310406825</v>
      </c>
      <c r="T1007" s="406">
        <v>66.111039466329487</v>
      </c>
      <c r="U1007" s="406">
        <v>66.352562342749081</v>
      </c>
      <c r="V1007" s="405">
        <f t="shared" si="175"/>
        <v>106.56174026662042</v>
      </c>
      <c r="W1007" s="406">
        <v>68.517660265633523</v>
      </c>
      <c r="X1007" s="406">
        <v>69.382002604402871</v>
      </c>
      <c r="Y1007" s="405">
        <f t="shared" si="176"/>
        <v>111.42699964647721</v>
      </c>
      <c r="Z1007" s="406">
        <v>70.4968346260343</v>
      </c>
      <c r="AA1007" s="406">
        <v>71.647375692693018</v>
      </c>
      <c r="AB1007" s="442">
        <f t="shared" si="177"/>
        <v>113.84571672533598</v>
      </c>
      <c r="AC1007" s="438">
        <f t="shared" si="178"/>
        <v>117.249596782922</v>
      </c>
      <c r="AD1007" s="410"/>
      <c r="AE1007" s="411"/>
      <c r="AF1007" s="411"/>
      <c r="AG1007" s="411"/>
    </row>
    <row r="1008" spans="1:33" s="301" customFormat="1" x14ac:dyDescent="0.2">
      <c r="A1008" t="s">
        <v>1928</v>
      </c>
      <c r="B1008" s="23" t="str">
        <f>VLOOKUP(LEFT(A1008,7),'[7]Tariff Schedule Lookup Table'!$A$8:$G$186,2,FALSE)</f>
        <v>High Pressure Sodium 310 (Retrofit)</v>
      </c>
      <c r="C1008" s="375">
        <f t="shared" si="179"/>
        <v>240</v>
      </c>
      <c r="D1008" s="23">
        <f t="shared" si="180"/>
        <v>1</v>
      </c>
      <c r="E1008" s="23" t="str">
        <f>VLOOKUP(C1008,'[7]Tariff Schedule Lookup Table'!I$7:L$287,2,FALSE)</f>
        <v>HIGH PRESSURE SODIUM 400W (310/360)</v>
      </c>
      <c r="F1008" s="23" t="str">
        <f>IF(E1008 = "BULKHEADS ETC", "SHARED OR NO POLE", VLOOKUP(C1008,'[7]Tariff Schedule Lookup Table'!I$7:L$287,3,FALSE))</f>
        <v>WOOD POLE</v>
      </c>
      <c r="G1008" s="23">
        <f>IF(E1008 = "NO CAPITAL", 1, VLOOKUP(C1008,'[7]Tariff Schedule Lookup Table'!I$7:L$287,4,FALSE))</f>
        <v>1</v>
      </c>
      <c r="H1008" s="23" t="str">
        <f t="shared" si="181"/>
        <v>1-Unmetered, CE Funded, CE Maintained</v>
      </c>
      <c r="I1008" s="374">
        <f>VLOOKUP(F1008,'Maintenance Model'!$A$57:$B$61,2,FALSE)</f>
        <v>10.731618231111112</v>
      </c>
      <c r="J1008" s="374">
        <f>IF(D1008=1,VLOOKUP(C1008,'Capital Code Schedules'!A$15:F$300,2,FALSE),IF(D1008=2,VLOOKUP(C1008,'Capital Code Schedules'!A$15:F$300,3,FALSE),0))</f>
        <v>69.685165796959865</v>
      </c>
      <c r="K1008" s="374">
        <f>IF(D1008=1,VLOOKUP(C1008,'Capital Code Schedules'!E$15:G$300,2,FALSE),IF(D1008=2,VLOOKUP(C1008,'Capital Code Schedules'!E$15:G$300,3,FALSE),0))</f>
        <v>88.393596402330274</v>
      </c>
      <c r="L1008" s="374">
        <f>VLOOKUP(LEFT(A1008,10),'Streetlight Tariff Schedule'!B$11:H$260,7, FALSE)+I1008</f>
        <v>76.557319305969273</v>
      </c>
      <c r="M1008" s="161">
        <f t="shared" si="172"/>
        <v>164.95091570829953</v>
      </c>
      <c r="N1008" s="405">
        <f t="shared" si="173"/>
        <v>151.1572309941763</v>
      </c>
      <c r="O1008" s="405">
        <v>147.44727808597744</v>
      </c>
      <c r="P1008" s="406">
        <v>143.43717943685175</v>
      </c>
      <c r="Q1008" s="406">
        <v>148.2657722999362</v>
      </c>
      <c r="R1008" s="406">
        <v>152.37512089062773</v>
      </c>
      <c r="S1008" s="405">
        <f t="shared" si="174"/>
        <v>156.8273703063432</v>
      </c>
      <c r="T1008" s="406">
        <v>152.84023822305858</v>
      </c>
      <c r="U1008" s="406">
        <v>157.62565698739544</v>
      </c>
      <c r="V1008" s="405">
        <f t="shared" si="175"/>
        <v>162.66668073638425</v>
      </c>
      <c r="W1008" s="406">
        <v>157.2956241414187</v>
      </c>
      <c r="X1008" s="406">
        <v>163.65023938817052</v>
      </c>
      <c r="Y1008" s="405">
        <f t="shared" si="176"/>
        <v>169.20866379927449</v>
      </c>
      <c r="Z1008" s="406">
        <v>161.43608624410371</v>
      </c>
      <c r="AA1008" s="406">
        <v>168.56570347421794</v>
      </c>
      <c r="AB1008" s="442">
        <f t="shared" si="177"/>
        <v>172.56206959841572</v>
      </c>
      <c r="AC1008" s="438">
        <f t="shared" si="178"/>
        <v>177.65824081248834</v>
      </c>
      <c r="AD1008" s="410"/>
      <c r="AE1008" s="411"/>
      <c r="AF1008" s="411"/>
      <c r="AG1008" s="411"/>
    </row>
    <row r="1009" spans="1:33" s="301" customFormat="1" x14ac:dyDescent="0.2">
      <c r="A1009" t="s">
        <v>1929</v>
      </c>
      <c r="B1009" s="23" t="str">
        <f>VLOOKUP(LEFT(A1009,7),'[7]Tariff Schedule Lookup Table'!$A$8:$G$186,2,FALSE)</f>
        <v>High Pressure Sodium 310 (Retrofit)</v>
      </c>
      <c r="C1009" s="375">
        <f t="shared" si="179"/>
        <v>400</v>
      </c>
      <c r="D1009" s="23">
        <f t="shared" si="180"/>
        <v>1</v>
      </c>
      <c r="E1009" s="23" t="str">
        <f>VLOOKUP(C1009,'[7]Tariff Schedule Lookup Table'!I$7:L$287,2,FALSE)</f>
        <v>HIGH PRESSURE SODIUM 400W (310/360)</v>
      </c>
      <c r="F1009" s="23" t="str">
        <f>IF(E1009 = "BULKHEADS ETC", "SHARED OR NO POLE", VLOOKUP(C1009,'[7]Tariff Schedule Lookup Table'!I$7:L$287,3,FALSE))</f>
        <v>STEEL POLE</v>
      </c>
      <c r="G1009" s="23">
        <f>IF(E1009 = "NO CAPITAL", 1, VLOOKUP(C1009,'[7]Tariff Schedule Lookup Table'!I$7:L$287,4,FALSE))</f>
        <v>2</v>
      </c>
      <c r="H1009" s="23" t="str">
        <f t="shared" si="181"/>
        <v>1-Unmetered, CE Funded, CE Maintained</v>
      </c>
      <c r="I1009" s="374">
        <f>VLOOKUP(F1009,'Maintenance Model'!$A$57:$B$61,2,FALSE)</f>
        <v>9.9616182311111103</v>
      </c>
      <c r="J1009" s="374">
        <f>IF(D1009=1,VLOOKUP(C1009,'Capital Code Schedules'!A$15:F$300,2,FALSE),IF(D1009=2,VLOOKUP(C1009,'Capital Code Schedules'!A$15:F$300,3,FALSE),0))</f>
        <v>112.34795462341719</v>
      </c>
      <c r="K1009" s="374">
        <f>IF(D1009=1,VLOOKUP(C1009,'Capital Code Schedules'!E$15:G$300,2,FALSE),IF(D1009=2,VLOOKUP(C1009,'Capital Code Schedules'!E$15:G$300,3,FALSE),0))</f>
        <v>142.51009729308706</v>
      </c>
      <c r="L1009" s="374">
        <f>VLOOKUP(LEFT(A1009,10),'Streetlight Tariff Schedule'!B$11:H$260,7, FALSE)+I1009</f>
        <v>75.787319305969277</v>
      </c>
      <c r="M1009" s="161">
        <f t="shared" si="172"/>
        <v>218.29741659905633</v>
      </c>
      <c r="N1009" s="405">
        <f t="shared" si="173"/>
        <v>194.07383900476344</v>
      </c>
      <c r="O1009" s="405">
        <v>204.55614799147909</v>
      </c>
      <c r="P1009" s="406">
        <v>198.09097888532978</v>
      </c>
      <c r="Q1009" s="406">
        <v>204.25285176503783</v>
      </c>
      <c r="R1009" s="406">
        <v>210.87803380656433</v>
      </c>
      <c r="S1009" s="405">
        <f t="shared" si="174"/>
        <v>200.78676284546617</v>
      </c>
      <c r="T1009" s="406">
        <v>210.19926627238578</v>
      </c>
      <c r="U1009" s="406">
        <v>217.782126415162</v>
      </c>
      <c r="V1009" s="405">
        <f t="shared" si="175"/>
        <v>207.865139456598</v>
      </c>
      <c r="W1009" s="406">
        <v>216.06408161390021</v>
      </c>
      <c r="X1009" s="406">
        <v>225.83567788532741</v>
      </c>
      <c r="Y1009" s="405">
        <f t="shared" si="176"/>
        <v>215.92901502589254</v>
      </c>
      <c r="Z1009" s="406">
        <v>221.65530882571804</v>
      </c>
      <c r="AA1009" s="406">
        <v>232.51961149610321</v>
      </c>
      <c r="AB1009" s="442">
        <f t="shared" si="177"/>
        <v>220.10092397039904</v>
      </c>
      <c r="AC1009" s="438">
        <f t="shared" si="178"/>
        <v>226.57972538231408</v>
      </c>
      <c r="AD1009" s="410"/>
      <c r="AE1009" s="411"/>
      <c r="AF1009" s="411"/>
      <c r="AG1009" s="411"/>
    </row>
    <row r="1010" spans="1:33" s="301" customFormat="1" x14ac:dyDescent="0.2">
      <c r="A1010" t="s">
        <v>1930</v>
      </c>
      <c r="B1010" s="23" t="str">
        <f>VLOOKUP(LEFT(A1010,7),'[7]Tariff Schedule Lookup Table'!$A$8:$G$186,2,FALSE)</f>
        <v>High Pressure Sodium 360</v>
      </c>
      <c r="C1010" s="375">
        <f t="shared" si="179"/>
        <v>400</v>
      </c>
      <c r="D1010" s="23">
        <f t="shared" si="180"/>
        <v>2</v>
      </c>
      <c r="E1010" s="23" t="str">
        <f>VLOOKUP(C1010,'[7]Tariff Schedule Lookup Table'!I$7:L$287,2,FALSE)</f>
        <v>HIGH PRESSURE SODIUM 400W (310/360)</v>
      </c>
      <c r="F1010" s="23" t="str">
        <f>IF(E1010 = "BULKHEADS ETC", "SHARED OR NO POLE", VLOOKUP(C1010,'[7]Tariff Schedule Lookup Table'!I$7:L$287,3,FALSE))</f>
        <v>STEEL POLE</v>
      </c>
      <c r="G1010" s="23">
        <f>IF(E1010 = "NO CAPITAL", 1, VLOOKUP(C1010,'[7]Tariff Schedule Lookup Table'!I$7:L$287,4,FALSE))</f>
        <v>2</v>
      </c>
      <c r="H1010" s="23" t="str">
        <f t="shared" si="181"/>
        <v>2-Unmetered, Funded by Others, CE Maintained</v>
      </c>
      <c r="I1010" s="374">
        <f>VLOOKUP(F1010,'Maintenance Model'!$A$57:$B$61,2,FALSE)</f>
        <v>9.9616182311111103</v>
      </c>
      <c r="J1010" s="374">
        <f>IF(D1010=1,VLOOKUP(C1010,'Capital Code Schedules'!A$15:F$300,2,FALSE),IF(D1010=2,VLOOKUP(C1010,'Capital Code Schedules'!A$15:F$300,3,FALSE),0))</f>
        <v>0</v>
      </c>
      <c r="K1010" s="374">
        <f>IF(D1010=1,VLOOKUP(C1010,'Capital Code Schedules'!E$15:G$300,2,FALSE),IF(D1010=2,VLOOKUP(C1010,'Capital Code Schedules'!E$15:G$300,3,FALSE),0))</f>
        <v>0</v>
      </c>
      <c r="L1010" s="374">
        <f>VLOOKUP(LEFT(A1010,10),'Streetlight Tariff Schedule'!B$11:H$260,7, FALSE)+I1010</f>
        <v>80.378834365485943</v>
      </c>
      <c r="M1010" s="161">
        <f t="shared" si="172"/>
        <v>80.378834365485943</v>
      </c>
      <c r="N1010" s="405">
        <f t="shared" si="173"/>
        <v>83.72810967165141</v>
      </c>
      <c r="O1010" s="405">
        <v>56.3929537801111</v>
      </c>
      <c r="P1010" s="406">
        <v>56.3929537801111</v>
      </c>
      <c r="Q1010" s="406">
        <v>59.152760779481568</v>
      </c>
      <c r="R1010" s="406">
        <v>59.152760779481568</v>
      </c>
      <c r="S1010" s="405">
        <f t="shared" si="174"/>
        <v>87.825668100970248</v>
      </c>
      <c r="T1010" s="406">
        <v>61.582234765092345</v>
      </c>
      <c r="U1010" s="406">
        <v>61.807212599306965</v>
      </c>
      <c r="V1010" s="405">
        <f t="shared" si="175"/>
        <v>91.76680290932002</v>
      </c>
      <c r="W1010" s="406">
        <v>63.823994813787046</v>
      </c>
      <c r="X1010" s="406">
        <v>64.629127107170675</v>
      </c>
      <c r="Y1010" s="405">
        <f t="shared" si="176"/>
        <v>95.956573998802611</v>
      </c>
      <c r="Z1010" s="406">
        <v>65.66758978804738</v>
      </c>
      <c r="AA1010" s="406">
        <v>66.739315337150899</v>
      </c>
      <c r="AB1010" s="442">
        <f t="shared" si="177"/>
        <v>98.039478547036268</v>
      </c>
      <c r="AC1010" s="438">
        <f t="shared" si="178"/>
        <v>100.9707669211743</v>
      </c>
      <c r="AD1010" s="410"/>
      <c r="AE1010" s="411"/>
      <c r="AF1010" s="411"/>
      <c r="AG1010" s="411"/>
    </row>
    <row r="1011" spans="1:33" s="301" customFormat="1" x14ac:dyDescent="0.2">
      <c r="A1011" t="s">
        <v>1931</v>
      </c>
      <c r="B1011" s="23" t="str">
        <f>VLOOKUP(LEFT(A1011,7),'[7]Tariff Schedule Lookup Table'!$A$8:$G$186,2,FALSE)</f>
        <v>High Pressure Sodium 360</v>
      </c>
      <c r="C1011" s="375">
        <f t="shared" si="179"/>
        <v>620</v>
      </c>
      <c r="D1011" s="23">
        <f t="shared" si="180"/>
        <v>1</v>
      </c>
      <c r="E1011" s="23" t="str">
        <f>VLOOKUP(C1011,'[7]Tariff Schedule Lookup Table'!I$7:L$287,2,FALSE)</f>
        <v>METAL HALIDE/HPS 400W FLOOD (310/360)</v>
      </c>
      <c r="F1011" s="23" t="str">
        <f>IF(E1011 = "BULKHEADS ETC", "SHARED OR NO POLE", VLOOKUP(C1011,'[7]Tariff Schedule Lookup Table'!I$7:L$287,3,FALSE))</f>
        <v>SHARED OR NO POLE</v>
      </c>
      <c r="G1011" s="23">
        <f>IF(E1011 = "NO CAPITAL", 1, VLOOKUP(C1011,'[7]Tariff Schedule Lookup Table'!I$7:L$287,4,FALSE))</f>
        <v>1</v>
      </c>
      <c r="H1011" s="23" t="str">
        <f t="shared" si="181"/>
        <v>1-Unmetered, CE Funded, CE Maintained</v>
      </c>
      <c r="I1011" s="374">
        <f>VLOOKUP(F1011,'Maintenance Model'!$A$57:$B$61,2,FALSE)</f>
        <v>0</v>
      </c>
      <c r="J1011" s="374">
        <f>IF(D1011=1,VLOOKUP(C1011,'Capital Code Schedules'!A$15:F$300,2,FALSE),IF(D1011=2,VLOOKUP(C1011,'Capital Code Schedules'!A$15:F$300,3,FALSE),0))</f>
        <v>34.455205908772193</v>
      </c>
      <c r="K1011" s="374">
        <f>IF(D1011=1,VLOOKUP(C1011,'Capital Code Schedules'!E$15:G$300,2,FALSE),IF(D1011=2,VLOOKUP(C1011,'Capital Code Schedules'!E$15:G$300,3,FALSE),0))</f>
        <v>43.705421810047042</v>
      </c>
      <c r="L1011" s="374">
        <f>VLOOKUP(LEFT(A1011,10),'Streetlight Tariff Schedule'!B$11:H$260,7, FALSE)+I1011</f>
        <v>70.417216134374826</v>
      </c>
      <c r="M1011" s="161">
        <f t="shared" si="172"/>
        <v>114.12263794442187</v>
      </c>
      <c r="N1011" s="405">
        <f t="shared" si="173"/>
        <v>108.65937678599332</v>
      </c>
      <c r="O1011" s="405">
        <v>93.568726893860855</v>
      </c>
      <c r="P1011" s="406">
        <v>91.585969543857644</v>
      </c>
      <c r="Q1011" s="406">
        <v>94.984732951106537</v>
      </c>
      <c r="R1011" s="406">
        <v>97.016563545522345</v>
      </c>
      <c r="S1011" s="405">
        <f t="shared" si="174"/>
        <v>113.12298338468379</v>
      </c>
      <c r="T1011" s="406">
        <v>98.136797711776751</v>
      </c>
      <c r="U1011" s="406">
        <v>100.58534645203099</v>
      </c>
      <c r="V1011" s="405">
        <f t="shared" si="175"/>
        <v>117.60686272269388</v>
      </c>
      <c r="W1011" s="406">
        <v>101.16119817886103</v>
      </c>
      <c r="X1011" s="406">
        <v>104.59821496469121</v>
      </c>
      <c r="Y1011" s="405">
        <f t="shared" si="176"/>
        <v>122.538903064324</v>
      </c>
      <c r="Z1011" s="406">
        <v>103.88398301952415</v>
      </c>
      <c r="AA1011" s="406">
        <v>107.80188353237426</v>
      </c>
      <c r="AB1011" s="442">
        <f t="shared" si="177"/>
        <v>125.04081833181979</v>
      </c>
      <c r="AC1011" s="438">
        <f t="shared" si="178"/>
        <v>128.74813681100332</v>
      </c>
      <c r="AD1011" s="410"/>
      <c r="AE1011" s="411"/>
      <c r="AF1011" s="411"/>
      <c r="AG1011" s="411"/>
    </row>
    <row r="1012" spans="1:33" s="301" customFormat="1" x14ac:dyDescent="0.2">
      <c r="A1012" t="s">
        <v>1932</v>
      </c>
      <c r="B1012" s="23" t="str">
        <f>VLOOKUP(LEFT(A1012,7),'[7]Tariff Schedule Lookup Table'!$A$8:$G$186,2,FALSE)</f>
        <v>High Pressure Sodium 360</v>
      </c>
      <c r="C1012" s="375">
        <f t="shared" si="179"/>
        <v>620</v>
      </c>
      <c r="D1012" s="23">
        <f t="shared" si="180"/>
        <v>2</v>
      </c>
      <c r="E1012" s="23" t="str">
        <f>VLOOKUP(C1012,'[7]Tariff Schedule Lookup Table'!I$7:L$287,2,FALSE)</f>
        <v>METAL HALIDE/HPS 400W FLOOD (310/360)</v>
      </c>
      <c r="F1012" s="23" t="str">
        <f>IF(E1012 = "BULKHEADS ETC", "SHARED OR NO POLE", VLOOKUP(C1012,'[7]Tariff Schedule Lookup Table'!I$7:L$287,3,FALSE))</f>
        <v>SHARED OR NO POLE</v>
      </c>
      <c r="G1012" s="23">
        <f>IF(E1012 = "NO CAPITAL", 1, VLOOKUP(C1012,'[7]Tariff Schedule Lookup Table'!I$7:L$287,4,FALSE))</f>
        <v>1</v>
      </c>
      <c r="H1012" s="23" t="str">
        <f t="shared" si="181"/>
        <v>2-Unmetered, Funded by Others, CE Maintained</v>
      </c>
      <c r="I1012" s="374">
        <f>VLOOKUP(F1012,'Maintenance Model'!$A$57:$B$61,2,FALSE)</f>
        <v>0</v>
      </c>
      <c r="J1012" s="374">
        <f>IF(D1012=1,VLOOKUP(C1012,'Capital Code Schedules'!A$15:F$300,2,FALSE),IF(D1012=2,VLOOKUP(C1012,'Capital Code Schedules'!A$15:F$300,3,FALSE),0))</f>
        <v>0</v>
      </c>
      <c r="K1012" s="374">
        <f>IF(D1012=1,VLOOKUP(C1012,'Capital Code Schedules'!E$15:G$300,2,FALSE),IF(D1012=2,VLOOKUP(C1012,'Capital Code Schedules'!E$15:G$300,3,FALSE),0))</f>
        <v>0</v>
      </c>
      <c r="L1012" s="374">
        <f>VLOOKUP(LEFT(A1012,10),'Streetlight Tariff Schedule'!B$11:H$260,7, FALSE)+I1012</f>
        <v>70.417216134374826</v>
      </c>
      <c r="M1012" s="161">
        <f t="shared" si="172"/>
        <v>70.417216134374826</v>
      </c>
      <c r="N1012" s="405">
        <f t="shared" si="173"/>
        <v>73.351404530979011</v>
      </c>
      <c r="O1012" s="405">
        <v>46.798838544011929</v>
      </c>
      <c r="P1012" s="406">
        <v>46.798838544011929</v>
      </c>
      <c r="Q1012" s="406">
        <v>49.089120459014651</v>
      </c>
      <c r="R1012" s="406">
        <v>49.089120459014651</v>
      </c>
      <c r="S1012" s="405">
        <f t="shared" si="174"/>
        <v>76.941138816357864</v>
      </c>
      <c r="T1012" s="406">
        <v>51.105268810505599</v>
      </c>
      <c r="U1012" s="406">
        <v>51.291971237557831</v>
      </c>
      <c r="V1012" s="405">
        <f t="shared" si="175"/>
        <v>80.393835584170674</v>
      </c>
      <c r="W1012" s="406">
        <v>52.965638937283387</v>
      </c>
      <c r="X1012" s="406">
        <v>53.633794330447408</v>
      </c>
      <c r="Y1012" s="405">
        <f t="shared" si="176"/>
        <v>84.064354305804869</v>
      </c>
      <c r="Z1012" s="406">
        <v>54.495583686717495</v>
      </c>
      <c r="AA1012" s="406">
        <v>55.384976910054512</v>
      </c>
      <c r="AB1012" s="442">
        <f t="shared" si="177"/>
        <v>85.889117515150701</v>
      </c>
      <c r="AC1012" s="438">
        <f t="shared" si="178"/>
        <v>88.457121500569158</v>
      </c>
      <c r="AD1012" s="410"/>
      <c r="AE1012" s="411"/>
      <c r="AF1012" s="411"/>
      <c r="AG1012" s="411"/>
    </row>
    <row r="1013" spans="1:33" s="301" customFormat="1" x14ac:dyDescent="0.2">
      <c r="A1013" t="s">
        <v>1933</v>
      </c>
      <c r="B1013" s="23" t="str">
        <f>VLOOKUP(LEFT(A1013,7),'[7]Tariff Schedule Lookup Table'!$A$8:$G$186,2,FALSE)</f>
        <v>High Pressure Sodium 360</v>
      </c>
      <c r="C1013" s="375">
        <f t="shared" si="179"/>
        <v>770</v>
      </c>
      <c r="D1013" s="23">
        <f t="shared" si="180"/>
        <v>1</v>
      </c>
      <c r="E1013" s="23" t="str">
        <f>VLOOKUP(C1013,'[7]Tariff Schedule Lookup Table'!I$7:L$287,2,FALSE)</f>
        <v>HIGH PRESSURE SODIUM 400W (310/360)</v>
      </c>
      <c r="F1013" s="23" t="str">
        <f>IF(E1013 = "BULKHEADS ETC", "SHARED OR NO POLE", VLOOKUP(C1013,'[7]Tariff Schedule Lookup Table'!I$7:L$287,3,FALSE))</f>
        <v>WOOD POLE</v>
      </c>
      <c r="G1013" s="23">
        <f>IF(E1013 = "NO CAPITAL", 1, VLOOKUP(C1013,'[7]Tariff Schedule Lookup Table'!I$7:L$287,4,FALSE))</f>
        <v>2</v>
      </c>
      <c r="H1013" s="23" t="str">
        <f t="shared" si="181"/>
        <v>1-Unmetered, CE Funded, CE Maintained</v>
      </c>
      <c r="I1013" s="374">
        <f>VLOOKUP(F1013,'Maintenance Model'!$A$57:$B$61,2,FALSE)</f>
        <v>10.731618231111112</v>
      </c>
      <c r="J1013" s="374">
        <f>IF(D1013=1,VLOOKUP(C1013,'Capital Code Schedules'!A$15:F$300,2,FALSE),IF(D1013=2,VLOOKUP(C1013,'Capital Code Schedules'!A$15:F$300,3,FALSE),0))</f>
        <v>86.06468944978711</v>
      </c>
      <c r="K1013" s="374" t="e">
        <f>IF(D1013=1,VLOOKUP(C1013,'Capital Code Schedules'!E$15:G$300,2,FALSE),IF(D1013=2,VLOOKUP(C1013,'Capital Code Schedules'!E$15:G$300,3,FALSE),0))</f>
        <v>#N/A</v>
      </c>
      <c r="L1013" s="374">
        <f>VLOOKUP(LEFT(A1013,10),'Streetlight Tariff Schedule'!B$11:H$260,7, FALSE)+I1013</f>
        <v>81.148834365485939</v>
      </c>
      <c r="M1013" s="161" t="e">
        <f t="shared" si="172"/>
        <v>#N/A</v>
      </c>
      <c r="N1013" s="405">
        <f t="shared" si="173"/>
        <v>172.72498502464575</v>
      </c>
      <c r="O1013" s="405">
        <v>174.02022686787291</v>
      </c>
      <c r="P1013" s="406" t="e">
        <v>#N/A</v>
      </c>
      <c r="Q1013" s="406" t="e">
        <v>#N/A</v>
      </c>
      <c r="R1013" s="406">
        <v>179.71071039589168</v>
      </c>
      <c r="S1013" s="405">
        <f t="shared" si="174"/>
        <v>179.04461763867738</v>
      </c>
      <c r="T1013" s="406" t="e">
        <v>#N/A</v>
      </c>
      <c r="U1013" s="406">
        <v>185.814840286059</v>
      </c>
      <c r="V1013" s="405">
        <f t="shared" si="175"/>
        <v>185.59926901512603</v>
      </c>
      <c r="W1013" s="406" t="e">
        <v>#N/A</v>
      </c>
      <c r="X1013" s="406">
        <v>192.85094861671456</v>
      </c>
      <c r="Y1013" s="405">
        <f t="shared" si="176"/>
        <v>192.98029594980639</v>
      </c>
      <c r="Z1013" s="406" t="e">
        <v>#N/A</v>
      </c>
      <c r="AA1013" s="406">
        <v>198.61927423215741</v>
      </c>
      <c r="AB1013" s="442">
        <f t="shared" si="177"/>
        <v>196.77459304060093</v>
      </c>
      <c r="AC1013" s="438">
        <f t="shared" si="178"/>
        <v>202.579823710884</v>
      </c>
      <c r="AD1013" s="410"/>
      <c r="AE1013" s="411"/>
      <c r="AF1013" s="411"/>
      <c r="AG1013" s="411"/>
    </row>
    <row r="1014" spans="1:33" s="409" customFormat="1" x14ac:dyDescent="0.2">
      <c r="A1014" s="409" t="s">
        <v>1934</v>
      </c>
      <c r="B1014" s="23" t="str">
        <f>VLOOKUP(LEFT(A1014,7),'[7]Tariff Schedule Lookup Table'!$A$8:$G$186,2,FALSE)</f>
        <v>High Pressure Sodium 360</v>
      </c>
      <c r="C1014" s="375">
        <f t="shared" si="179"/>
        <v>1130</v>
      </c>
      <c r="D1014" s="23">
        <f t="shared" si="180"/>
        <v>2</v>
      </c>
      <c r="E1014" s="23" t="str">
        <f>VLOOKUP(C1014,'[7]Tariff Schedule Lookup Table'!I$7:L$287,2,FALSE)</f>
        <v>METAL HALIDE/HPS 400W FLOOD (310/360)</v>
      </c>
      <c r="F1014" s="23" t="str">
        <f>IF(E1014 = "BULKHEADS ETC", "SHARED OR NO POLE", VLOOKUP(C1014,'[7]Tariff Schedule Lookup Table'!I$7:L$287,3,FALSE))</f>
        <v>STEEL POLE</v>
      </c>
      <c r="G1014" s="23">
        <f>IF(E1014 = "NO CAPITAL", 1, VLOOKUP(C1014,'[7]Tariff Schedule Lookup Table'!I$7:L$287,4,FALSE))</f>
        <v>2</v>
      </c>
      <c r="H1014" s="23" t="str">
        <f t="shared" si="181"/>
        <v>2-Unmetered, Funded by Others, CE Maintained</v>
      </c>
      <c r="I1014" s="374">
        <f>VLOOKUP(F1014,'Maintenance Model'!$A$57:$B$61,2,FALSE)</f>
        <v>9.9616182311111103</v>
      </c>
      <c r="J1014" s="374">
        <f>IF(D1014=1,VLOOKUP(C1014,'Capital Code Schedules'!A$15:F$300,2,FALSE),IF(D1014=2,VLOOKUP(C1014,'Capital Code Schedules'!A$15:F$300,3,FALSE),0))</f>
        <v>0</v>
      </c>
      <c r="K1014" s="374">
        <f>IF(D1014=1,VLOOKUP(C1014,'Capital Code Schedules'!E$15:G$300,2,FALSE),IF(D1014=2,VLOOKUP(C1014,'Capital Code Schedules'!E$15:G$300,3,FALSE),0))</f>
        <v>0</v>
      </c>
      <c r="L1014" s="374">
        <f>VLOOKUP(LEFT(A1014,10),'Streetlight Tariff Schedule'!B$11:H$260,7, FALSE)+I1014</f>
        <v>80.378834365485943</v>
      </c>
      <c r="M1014" s="410">
        <f t="shared" si="172"/>
        <v>80.378834365485943</v>
      </c>
      <c r="N1014" s="411">
        <f t="shared" si="173"/>
        <v>83.72810967165141</v>
      </c>
      <c r="O1014" s="411">
        <v>56.3929537801111</v>
      </c>
      <c r="P1014" s="411">
        <v>56.3929537801111</v>
      </c>
      <c r="Q1014" s="411">
        <v>59.152760779481568</v>
      </c>
      <c r="R1014" s="411">
        <v>59.152760779481568</v>
      </c>
      <c r="S1014" s="411">
        <f t="shared" si="174"/>
        <v>87.825668100970248</v>
      </c>
      <c r="T1014" s="411">
        <v>61.582234765092345</v>
      </c>
      <c r="U1014" s="411">
        <v>61.807212599306965</v>
      </c>
      <c r="V1014" s="411">
        <f t="shared" si="175"/>
        <v>91.76680290932002</v>
      </c>
      <c r="W1014" s="411">
        <v>63.823994813787046</v>
      </c>
      <c r="X1014" s="411">
        <v>64.629127107170675</v>
      </c>
      <c r="Y1014" s="411">
        <f t="shared" si="176"/>
        <v>95.956573998802611</v>
      </c>
      <c r="Z1014" s="411">
        <v>65.66758978804738</v>
      </c>
      <c r="AA1014" s="411">
        <v>66.739315337150899</v>
      </c>
      <c r="AB1014" s="441">
        <f t="shared" si="177"/>
        <v>98.039478547036268</v>
      </c>
      <c r="AC1014" s="438">
        <f t="shared" si="178"/>
        <v>100.9707669211743</v>
      </c>
      <c r="AD1014" s="410"/>
      <c r="AE1014" s="411"/>
      <c r="AF1014" s="411"/>
      <c r="AG1014" s="411"/>
    </row>
    <row r="1015" spans="1:33" s="409" customFormat="1" x14ac:dyDescent="0.2">
      <c r="A1015" s="409" t="s">
        <v>1935</v>
      </c>
      <c r="B1015" s="23" t="str">
        <f>VLOOKUP(LEFT(A1015,7),'[7]Tariff Schedule Lookup Table'!$A$8:$G$186,2,FALSE)</f>
        <v>High Pressure Sodium 360</v>
      </c>
      <c r="C1015" s="375">
        <f t="shared" si="179"/>
        <v>1170</v>
      </c>
      <c r="D1015" s="23">
        <f t="shared" si="180"/>
        <v>2</v>
      </c>
      <c r="E1015" s="23" t="str">
        <f>VLOOKUP(C1015,'[7]Tariff Schedule Lookup Table'!I$7:L$287,2,FALSE)</f>
        <v>METAL HALIDE/HPS 400W FLOOD (310/360)</v>
      </c>
      <c r="F1015" s="23" t="str">
        <f>IF(E1015 = "BULKHEADS ETC", "SHARED OR NO POLE", VLOOKUP(C1015,'[7]Tariff Schedule Lookup Table'!I$7:L$287,3,FALSE))</f>
        <v>STEEL POLE</v>
      </c>
      <c r="G1015" s="23">
        <f>IF(E1015 = "NO CAPITAL", 1, VLOOKUP(C1015,'[7]Tariff Schedule Lookup Table'!I$7:L$287,4,FALSE))</f>
        <v>1</v>
      </c>
      <c r="H1015" s="23" t="str">
        <f t="shared" si="181"/>
        <v>2-Unmetered, Funded by Others, CE Maintained</v>
      </c>
      <c r="I1015" s="374">
        <f>VLOOKUP(F1015,'Maintenance Model'!$A$57:$B$61,2,FALSE)</f>
        <v>9.9616182311111103</v>
      </c>
      <c r="J1015" s="374">
        <f>IF(D1015=1,VLOOKUP(C1015,'Capital Code Schedules'!A$15:F$300,2,FALSE),IF(D1015=2,VLOOKUP(C1015,'Capital Code Schedules'!A$15:F$300,3,FALSE),0))</f>
        <v>0</v>
      </c>
      <c r="K1015" s="374">
        <f>IF(D1015=1,VLOOKUP(C1015,'Capital Code Schedules'!E$15:G$300,2,FALSE),IF(D1015=2,VLOOKUP(C1015,'Capital Code Schedules'!E$15:G$300,3,FALSE),0))</f>
        <v>0</v>
      </c>
      <c r="L1015" s="374">
        <f>VLOOKUP(LEFT(A1015,10),'Streetlight Tariff Schedule'!B$11:H$260,7, FALSE)+I1015</f>
        <v>80.378834365485943</v>
      </c>
      <c r="M1015" s="410">
        <f t="shared" si="172"/>
        <v>80.378834365485943</v>
      </c>
      <c r="N1015" s="411">
        <f t="shared" si="173"/>
        <v>83.72810967165141</v>
      </c>
      <c r="O1015" s="411">
        <v>56.3929537801111</v>
      </c>
      <c r="P1015" s="411">
        <v>56.3929537801111</v>
      </c>
      <c r="Q1015" s="411">
        <v>59.152760779481568</v>
      </c>
      <c r="R1015" s="411">
        <v>59.152760779481568</v>
      </c>
      <c r="S1015" s="411">
        <f t="shared" si="174"/>
        <v>87.825668100970248</v>
      </c>
      <c r="T1015" s="411">
        <v>61.582234765092345</v>
      </c>
      <c r="U1015" s="411">
        <v>61.807212599306965</v>
      </c>
      <c r="V1015" s="411">
        <f t="shared" si="175"/>
        <v>91.76680290932002</v>
      </c>
      <c r="W1015" s="411">
        <v>63.823994813787046</v>
      </c>
      <c r="X1015" s="411">
        <v>64.629127107170675</v>
      </c>
      <c r="Y1015" s="411">
        <f t="shared" si="176"/>
        <v>95.956573998802611</v>
      </c>
      <c r="Z1015" s="411">
        <v>65.66758978804738</v>
      </c>
      <c r="AA1015" s="411">
        <v>66.739315337150899</v>
      </c>
      <c r="AB1015" s="441">
        <f t="shared" si="177"/>
        <v>98.039478547036268</v>
      </c>
      <c r="AC1015" s="438">
        <f t="shared" si="178"/>
        <v>100.9707669211743</v>
      </c>
      <c r="AD1015" s="410"/>
      <c r="AE1015" s="411"/>
      <c r="AF1015" s="411"/>
      <c r="AG1015" s="411"/>
    </row>
    <row r="1016" spans="1:33" s="409" customFormat="1" x14ac:dyDescent="0.2">
      <c r="A1016" s="409" t="s">
        <v>1936</v>
      </c>
      <c r="B1016" s="23" t="str">
        <f>VLOOKUP(LEFT(A1016,7),'[7]Tariff Schedule Lookup Table'!$A$8:$G$186,2,FALSE)</f>
        <v>High Pressure Sodium 400</v>
      </c>
      <c r="C1016" s="375">
        <f t="shared" si="179"/>
        <v>480</v>
      </c>
      <c r="D1016" s="23">
        <f t="shared" si="180"/>
        <v>1</v>
      </c>
      <c r="E1016" s="23" t="str">
        <f>VLOOKUP(C1016,'[7]Tariff Schedule Lookup Table'!I$7:L$287,2,FALSE)</f>
        <v>HIGH PRESSURE SODIUM 400W (310/360)</v>
      </c>
      <c r="F1016" s="23" t="str">
        <f>IF(E1016 = "BULKHEADS ETC", "SHARED OR NO POLE", VLOOKUP(C1016,'[7]Tariff Schedule Lookup Table'!I$7:L$287,3,FALSE))</f>
        <v>STEEL POLE</v>
      </c>
      <c r="G1016" s="23">
        <f>IF(E1016 = "NO CAPITAL", 1, VLOOKUP(C1016,'[7]Tariff Schedule Lookup Table'!I$7:L$287,4,FALSE))</f>
        <v>4</v>
      </c>
      <c r="H1016" s="23" t="str">
        <f t="shared" si="181"/>
        <v>1-Unmetered, CE Funded, CE Maintained</v>
      </c>
      <c r="I1016" s="374">
        <f>VLOOKUP(F1016,'Maintenance Model'!$A$57:$B$61,2,FALSE)</f>
        <v>9.9616182311111103</v>
      </c>
      <c r="J1016" s="374">
        <f>IF(D1016=1,VLOOKUP(C1016,'Capital Code Schedules'!A$15:F$300,2,FALSE),IF(D1016=2,VLOOKUP(C1016,'Capital Code Schedules'!A$15:F$300,3,FALSE),0))</f>
        <v>145.10700192907169</v>
      </c>
      <c r="K1016" s="374" t="e">
        <f>IF(D1016=1,VLOOKUP(C1016,'Capital Code Schedules'!E$15:G$300,2,FALSE),IF(D1016=2,VLOOKUP(C1016,'Capital Code Schedules'!E$15:G$300,3,FALSE),0))</f>
        <v>#N/A</v>
      </c>
      <c r="L1016" s="374">
        <f>VLOOKUP(LEFT(A1016,10),'Streetlight Tariff Schedule'!B$11:H$260,7, FALSE)+I1016</f>
        <v>80.378834365485943</v>
      </c>
      <c r="M1016" s="410" t="e">
        <f t="shared" si="172"/>
        <v>#N/A</v>
      </c>
      <c r="N1016" s="411">
        <f t="shared" si="173"/>
        <v>232.4265098984676</v>
      </c>
      <c r="O1016" s="411">
        <v>246.36162627797859</v>
      </c>
      <c r="P1016" s="411" t="e">
        <v>#N/A</v>
      </c>
      <c r="Q1016" s="411" t="e">
        <v>#N/A</v>
      </c>
      <c r="R1016" s="411">
        <v>253.6538063224385</v>
      </c>
      <c r="S1016" s="411">
        <f t="shared" si="174"/>
        <v>240.20435373340018</v>
      </c>
      <c r="T1016" s="411" t="e">
        <v>#N/A</v>
      </c>
      <c r="U1016" s="411">
        <v>261.73128584646844</v>
      </c>
      <c r="V1016" s="411">
        <f t="shared" si="175"/>
        <v>248.48828108227417</v>
      </c>
      <c r="W1016" s="411" t="e">
        <v>#N/A</v>
      </c>
      <c r="X1016" s="411">
        <v>271.24041236344709</v>
      </c>
      <c r="Y1016" s="411">
        <f t="shared" si="176"/>
        <v>257.99091028181988</v>
      </c>
      <c r="Z1016" s="411" t="e">
        <v>#N/A</v>
      </c>
      <c r="AA1016" s="411">
        <v>279.20571780333188</v>
      </c>
      <c r="AB1016" s="441">
        <f t="shared" si="177"/>
        <v>262.92561914863467</v>
      </c>
      <c r="AC1016" s="438">
        <f t="shared" si="178"/>
        <v>270.65509421427925</v>
      </c>
      <c r="AD1016" s="410"/>
      <c r="AE1016" s="411"/>
      <c r="AF1016" s="411"/>
      <c r="AG1016" s="411"/>
    </row>
    <row r="1017" spans="1:33" s="409" customFormat="1" x14ac:dyDescent="0.2">
      <c r="A1017" s="409" t="s">
        <v>1937</v>
      </c>
      <c r="B1017" s="23" t="str">
        <f>VLOOKUP(LEFT(A1017,7),'[7]Tariff Schedule Lookup Table'!$A$8:$G$186,2,FALSE)</f>
        <v>High Pressure Sodium 400</v>
      </c>
      <c r="C1017" s="375">
        <f t="shared" si="179"/>
        <v>560</v>
      </c>
      <c r="D1017" s="23">
        <f t="shared" si="180"/>
        <v>1</v>
      </c>
      <c r="E1017" s="23" t="str">
        <f>VLOOKUP(C1017,'[7]Tariff Schedule Lookup Table'!I$7:L$287,2,FALSE)</f>
        <v>HIGH PRESSURE SODIUM 400W (310/360)</v>
      </c>
      <c r="F1017" s="23" t="str">
        <f>IF(E1017 = "BULKHEADS ETC", "SHARED OR NO POLE", VLOOKUP(C1017,'[7]Tariff Schedule Lookup Table'!I$7:L$287,3,FALSE))</f>
        <v>R/BOUT COLUMN</v>
      </c>
      <c r="G1017" s="23">
        <f>IF(E1017 = "NO CAPITAL", 1, VLOOKUP(C1017,'[7]Tariff Schedule Lookup Table'!I$7:L$287,4,FALSE))</f>
        <v>3</v>
      </c>
      <c r="H1017" s="23" t="str">
        <f t="shared" si="181"/>
        <v>1-Unmetered, CE Funded, CE Maintained</v>
      </c>
      <c r="I1017" s="374">
        <f>VLOOKUP(F1017,'Maintenance Model'!$A$57:$B$61,2,FALSE)</f>
        <v>9.9616182311111103</v>
      </c>
      <c r="J1017" s="374">
        <f>IF(D1017=1,VLOOKUP(C1017,'Capital Code Schedules'!A$15:F$300,2,FALSE),IF(D1017=2,VLOOKUP(C1017,'Capital Code Schedules'!A$15:F$300,3,FALSE),0))</f>
        <v>188.72767387137682</v>
      </c>
      <c r="K1017" s="374" t="e">
        <f>IF(D1017=1,VLOOKUP(C1017,'Capital Code Schedules'!E$15:G$300,2,FALSE),IF(D1017=2,VLOOKUP(C1017,'Capital Code Schedules'!E$15:G$300,3,FALSE),0))</f>
        <v>#N/A</v>
      </c>
      <c r="L1017" s="374">
        <f>VLOOKUP(LEFT(A1017,10),'Streetlight Tariff Schedule'!B$11:H$260,7, FALSE)+I1017</f>
        <v>80.378834365485943</v>
      </c>
      <c r="M1017" s="410" t="e">
        <f t="shared" si="172"/>
        <v>#N/A</v>
      </c>
      <c r="N1017" s="411">
        <f t="shared" si="173"/>
        <v>277.1267934713448</v>
      </c>
      <c r="O1017" s="411">
        <v>305.57282245799001</v>
      </c>
      <c r="P1017" s="411" t="e">
        <v>#N/A</v>
      </c>
      <c r="Q1017" s="411" t="e">
        <v>#N/A</v>
      </c>
      <c r="R1017" s="411">
        <v>314.3304796079052</v>
      </c>
      <c r="S1017" s="411">
        <f t="shared" si="174"/>
        <v>286.01096932470602</v>
      </c>
      <c r="T1017" s="411" t="e">
        <v>#N/A</v>
      </c>
      <c r="U1017" s="411">
        <v>324.13724432057097</v>
      </c>
      <c r="V1017" s="411">
        <f t="shared" si="175"/>
        <v>295.60038521793223</v>
      </c>
      <c r="W1017" s="411" t="e">
        <v>#N/A</v>
      </c>
      <c r="X1017" s="411">
        <v>335.7619328298216</v>
      </c>
      <c r="Y1017" s="411">
        <f t="shared" si="176"/>
        <v>306.70011474767682</v>
      </c>
      <c r="Z1017" s="411" t="e">
        <v>#N/A</v>
      </c>
      <c r="AA1017" s="411">
        <v>345.56610160299817</v>
      </c>
      <c r="AB1017" s="441">
        <f t="shared" si="177"/>
        <v>312.4921056130907</v>
      </c>
      <c r="AC1017" s="438">
        <f t="shared" si="178"/>
        <v>321.66396543485092</v>
      </c>
      <c r="AD1017" s="410"/>
      <c r="AE1017" s="411"/>
      <c r="AF1017" s="411"/>
      <c r="AG1017" s="411"/>
    </row>
    <row r="1018" spans="1:33" s="409" customFormat="1" x14ac:dyDescent="0.2">
      <c r="A1018" s="409" t="s">
        <v>1938</v>
      </c>
      <c r="B1018" s="23" t="str">
        <f>VLOOKUP(LEFT(A1018,7),'[7]Tariff Schedule Lookup Table'!$A$8:$G$186,2,FALSE)</f>
        <v>High Pressure Sodium 400</v>
      </c>
      <c r="C1018" s="375">
        <f t="shared" si="179"/>
        <v>600</v>
      </c>
      <c r="D1018" s="23">
        <f t="shared" si="180"/>
        <v>1</v>
      </c>
      <c r="E1018" s="23" t="str">
        <f>VLOOKUP(C1018,'[7]Tariff Schedule Lookup Table'!I$7:L$287,2,FALSE)</f>
        <v>HIGH PRESSURE SODIUM 400W (310/360)</v>
      </c>
      <c r="F1018" s="23" t="str">
        <f>IF(E1018 = "BULKHEADS ETC", "SHARED OR NO POLE", VLOOKUP(C1018,'[7]Tariff Schedule Lookup Table'!I$7:L$287,3,FALSE))</f>
        <v>R/BOUT COLUMN</v>
      </c>
      <c r="G1018" s="23">
        <f>IF(E1018 = "NO CAPITAL", 1, VLOOKUP(C1018,'[7]Tariff Schedule Lookup Table'!I$7:L$287,4,FALSE))</f>
        <v>4</v>
      </c>
      <c r="H1018" s="23" t="str">
        <f t="shared" si="181"/>
        <v>1-Unmetered, CE Funded, CE Maintained</v>
      </c>
      <c r="I1018" s="374">
        <f>VLOOKUP(F1018,'Maintenance Model'!$A$57:$B$61,2,FALSE)</f>
        <v>9.9616182311111103</v>
      </c>
      <c r="J1018" s="374">
        <f>IF(D1018=1,VLOOKUP(C1018,'Capital Code Schedules'!A$15:F$300,2,FALSE),IF(D1018=2,VLOOKUP(C1018,'Capital Code Schedules'!A$15:F$300,3,FALSE),0))</f>
        <v>205.10719752420403</v>
      </c>
      <c r="K1018" s="374" t="e">
        <f>IF(D1018=1,VLOOKUP(C1018,'Capital Code Schedules'!E$15:G$300,2,FALSE),IF(D1018=2,VLOOKUP(C1018,'Capital Code Schedules'!E$15:G$300,3,FALSE),0))</f>
        <v>#N/A</v>
      </c>
      <c r="L1018" s="374">
        <f>VLOOKUP(LEFT(A1018,10),'Streetlight Tariff Schedule'!B$11:H$260,7, FALSE)+I1018</f>
        <v>80.378834365485943</v>
      </c>
      <c r="M1018" s="410" t="e">
        <f t="shared" si="172"/>
        <v>#N/A</v>
      </c>
      <c r="N1018" s="411">
        <f t="shared" si="173"/>
        <v>293.91171033457948</v>
      </c>
      <c r="O1018" s="411">
        <v>327.80657414401321</v>
      </c>
      <c r="P1018" s="411" t="e">
        <v>#N/A</v>
      </c>
      <c r="Q1018" s="411" t="e">
        <v>#N/A</v>
      </c>
      <c r="R1018" s="411">
        <v>337.11451664815746</v>
      </c>
      <c r="S1018" s="411">
        <f t="shared" si="174"/>
        <v>303.2113128803058</v>
      </c>
      <c r="T1018" s="411" t="e">
        <v>#N/A</v>
      </c>
      <c r="U1018" s="411">
        <v>347.57062641647036</v>
      </c>
      <c r="V1018" s="411">
        <f t="shared" si="175"/>
        <v>313.29093856486662</v>
      </c>
      <c r="W1018" s="411" t="e">
        <v>#N/A</v>
      </c>
      <c r="X1018" s="411">
        <v>359.98970657877203</v>
      </c>
      <c r="Y1018" s="411">
        <f t="shared" si="176"/>
        <v>324.99037785307223</v>
      </c>
      <c r="Z1018" s="411" t="e">
        <v>#N/A</v>
      </c>
      <c r="AA1018" s="411">
        <v>370.48436690379367</v>
      </c>
      <c r="AB1018" s="441">
        <f t="shared" si="177"/>
        <v>331.10427734914111</v>
      </c>
      <c r="AC1018" s="438">
        <f t="shared" si="178"/>
        <v>340.81775136842037</v>
      </c>
      <c r="AD1018" s="410"/>
      <c r="AE1018" s="411"/>
      <c r="AF1018" s="411"/>
      <c r="AG1018" s="411"/>
    </row>
    <row r="1019" spans="1:33" s="409" customFormat="1" x14ac:dyDescent="0.2">
      <c r="A1019" s="409" t="s">
        <v>1939</v>
      </c>
      <c r="B1019" s="23" t="str">
        <f>VLOOKUP(LEFT(A1019,7),'[7]Tariff Schedule Lookup Table'!$A$8:$G$186,2,FALSE)</f>
        <v>High Pressure Sodium 400</v>
      </c>
      <c r="C1019" s="375">
        <f t="shared" si="179"/>
        <v>770</v>
      </c>
      <c r="D1019" s="23">
        <f t="shared" si="180"/>
        <v>1</v>
      </c>
      <c r="E1019" s="23" t="str">
        <f>VLOOKUP(C1019,'[7]Tariff Schedule Lookup Table'!I$7:L$287,2,FALSE)</f>
        <v>HIGH PRESSURE SODIUM 400W (310/360)</v>
      </c>
      <c r="F1019" s="23" t="str">
        <f>IF(E1019 = "BULKHEADS ETC", "SHARED OR NO POLE", VLOOKUP(C1019,'[7]Tariff Schedule Lookup Table'!I$7:L$287,3,FALSE))</f>
        <v>WOOD POLE</v>
      </c>
      <c r="G1019" s="23">
        <f>IF(E1019 = "NO CAPITAL", 1, VLOOKUP(C1019,'[7]Tariff Schedule Lookup Table'!I$7:L$287,4,FALSE))</f>
        <v>2</v>
      </c>
      <c r="H1019" s="23" t="str">
        <f t="shared" si="181"/>
        <v>1-Unmetered, CE Funded, CE Maintained</v>
      </c>
      <c r="I1019" s="374">
        <f>VLOOKUP(F1019,'Maintenance Model'!$A$57:$B$61,2,FALSE)</f>
        <v>10.731618231111112</v>
      </c>
      <c r="J1019" s="374">
        <f>IF(D1019=1,VLOOKUP(C1019,'Capital Code Schedules'!A$15:F$300,2,FALSE),IF(D1019=2,VLOOKUP(C1019,'Capital Code Schedules'!A$15:F$300,3,FALSE),0))</f>
        <v>86.06468944978711</v>
      </c>
      <c r="K1019" s="374" t="e">
        <f>IF(D1019=1,VLOOKUP(C1019,'Capital Code Schedules'!E$15:G$300,2,FALSE),IF(D1019=2,VLOOKUP(C1019,'Capital Code Schedules'!E$15:G$300,3,FALSE),0))</f>
        <v>#N/A</v>
      </c>
      <c r="L1019" s="374">
        <f>VLOOKUP(LEFT(A1019,10),'Streetlight Tariff Schedule'!B$11:H$260,7, FALSE)+I1019</f>
        <v>81.148834365485939</v>
      </c>
      <c r="M1019" s="410" t="e">
        <f t="shared" si="172"/>
        <v>#N/A</v>
      </c>
      <c r="N1019" s="411">
        <f t="shared" si="173"/>
        <v>172.72498502464575</v>
      </c>
      <c r="O1019" s="411">
        <v>167.01900468645374</v>
      </c>
      <c r="P1019" s="411" t="e">
        <v>#N/A</v>
      </c>
      <c r="Q1019" s="411" t="e">
        <v>#N/A</v>
      </c>
      <c r="R1019" s="411">
        <v>172.36685636624961</v>
      </c>
      <c r="S1019" s="411">
        <f t="shared" si="174"/>
        <v>179.04461763867738</v>
      </c>
      <c r="T1019" s="411" t="e">
        <v>#N/A</v>
      </c>
      <c r="U1019" s="411">
        <v>178.14143432280238</v>
      </c>
      <c r="V1019" s="411">
        <f t="shared" si="175"/>
        <v>185.59926901512603</v>
      </c>
      <c r="W1019" s="411" t="e">
        <v>#N/A</v>
      </c>
      <c r="X1019" s="411">
        <v>184.82720011733971</v>
      </c>
      <c r="Y1019" s="411">
        <f t="shared" si="176"/>
        <v>192.98029594980639</v>
      </c>
      <c r="Z1019" s="411" t="e">
        <v>#N/A</v>
      </c>
      <c r="AA1019" s="411">
        <v>190.33354448065106</v>
      </c>
      <c r="AB1019" s="441">
        <f t="shared" si="177"/>
        <v>196.77459304060093</v>
      </c>
      <c r="AC1019" s="438">
        <f t="shared" si="178"/>
        <v>202.579823710884</v>
      </c>
      <c r="AD1019" s="410"/>
      <c r="AE1019" s="411"/>
      <c r="AF1019" s="411"/>
      <c r="AG1019" s="411"/>
    </row>
    <row r="1020" spans="1:33" s="409" customFormat="1" x14ac:dyDescent="0.2">
      <c r="A1020" s="409" t="s">
        <v>1940</v>
      </c>
      <c r="B1020" s="23" t="str">
        <f>VLOOKUP(LEFT(A1020,7),'[7]Tariff Schedule Lookup Table'!$A$8:$G$186,2,FALSE)</f>
        <v>High Pressure Sodium 400</v>
      </c>
      <c r="C1020" s="375">
        <f t="shared" si="179"/>
        <v>900</v>
      </c>
      <c r="D1020" s="23">
        <f t="shared" si="180"/>
        <v>1</v>
      </c>
      <c r="E1020" s="23" t="str">
        <f>VLOOKUP(C1020,'[7]Tariff Schedule Lookup Table'!I$7:L$287,2,FALSE)</f>
        <v>METAL HALIDE/HPS 400W FLOOD (310/360)</v>
      </c>
      <c r="F1020" s="23" t="str">
        <f>IF(E1020 = "BULKHEADS ETC", "SHARED OR NO POLE", VLOOKUP(C1020,'[7]Tariff Schedule Lookup Table'!I$7:L$287,3,FALSE))</f>
        <v>WOOD POLE</v>
      </c>
      <c r="G1020" s="23">
        <f>IF(E1020 = "NO CAPITAL", 1, VLOOKUP(C1020,'[7]Tariff Schedule Lookup Table'!I$7:L$287,4,FALSE))</f>
        <v>2</v>
      </c>
      <c r="H1020" s="23" t="str">
        <f t="shared" si="181"/>
        <v>1-Unmetered, CE Funded, CE Maintained</v>
      </c>
      <c r="I1020" s="374">
        <f>VLOOKUP(F1020,'Maintenance Model'!$A$57:$B$61,2,FALSE)</f>
        <v>10.731618231111112</v>
      </c>
      <c r="J1020" s="374">
        <f>IF(D1020=1,VLOOKUP(C1020,'Capital Code Schedules'!A$15:F$300,2,FALSE),IF(D1020=2,VLOOKUP(C1020,'Capital Code Schedules'!A$15:F$300,3,FALSE),0))</f>
        <v>93.749408307796699</v>
      </c>
      <c r="K1020" s="374" t="e">
        <f>IF(D1020=1,VLOOKUP(C1020,'Capital Code Schedules'!E$15:G$300,2,FALSE),IF(D1020=2,VLOOKUP(C1020,'Capital Code Schedules'!E$15:G$300,3,FALSE),0))</f>
        <v>#N/A</v>
      </c>
      <c r="L1020" s="374">
        <f>VLOOKUP(LEFT(A1020,10),'Streetlight Tariff Schedule'!B$11:H$260,7, FALSE)+I1020</f>
        <v>81.148834365485939</v>
      </c>
      <c r="M1020" s="410" t="e">
        <f t="shared" si="172"/>
        <v>#N/A</v>
      </c>
      <c r="N1020" s="411">
        <f t="shared" si="173"/>
        <v>180.59990067439108</v>
      </c>
      <c r="O1020" s="411">
        <v>177.45032946044333</v>
      </c>
      <c r="P1020" s="411" t="e">
        <v>#N/A</v>
      </c>
      <c r="Q1020" s="411" t="e">
        <v>#N/A</v>
      </c>
      <c r="R1020" s="411">
        <v>183.05635642839542</v>
      </c>
      <c r="S1020" s="411">
        <f t="shared" si="174"/>
        <v>187.11443745075391</v>
      </c>
      <c r="T1020" s="411" t="e">
        <v>#N/A</v>
      </c>
      <c r="U1020" s="411">
        <v>189.13558513671936</v>
      </c>
      <c r="V1020" s="411">
        <f t="shared" si="175"/>
        <v>193.89907869184677</v>
      </c>
      <c r="W1020" s="411" t="e">
        <v>#N/A</v>
      </c>
      <c r="X1020" s="411">
        <v>196.19405264384847</v>
      </c>
      <c r="Y1020" s="411">
        <f t="shared" si="176"/>
        <v>201.56146917456795</v>
      </c>
      <c r="Z1020" s="411" t="e">
        <v>#N/A</v>
      </c>
      <c r="AA1020" s="411">
        <v>202.02435230416532</v>
      </c>
      <c r="AB1020" s="441">
        <f t="shared" si="177"/>
        <v>205.50679491411827</v>
      </c>
      <c r="AC1020" s="438">
        <f t="shared" si="178"/>
        <v>211.56613265892071</v>
      </c>
      <c r="AD1020" s="410"/>
      <c r="AE1020" s="411"/>
      <c r="AF1020" s="411"/>
      <c r="AG1020" s="411"/>
    </row>
    <row r="1021" spans="1:33" s="409" customFormat="1" x14ac:dyDescent="0.2">
      <c r="A1021" s="409" t="s">
        <v>1941</v>
      </c>
      <c r="B1021" s="23" t="str">
        <f>VLOOKUP(LEFT(A1021,7),'[7]Tariff Schedule Lookup Table'!$A$8:$G$186,2,FALSE)</f>
        <v>High Pressure Sodium 400</v>
      </c>
      <c r="C1021" s="375">
        <f t="shared" si="179"/>
        <v>1060</v>
      </c>
      <c r="D1021" s="23">
        <f t="shared" si="180"/>
        <v>2</v>
      </c>
      <c r="E1021" s="23" t="str">
        <f>VLOOKUP(C1021,'[7]Tariff Schedule Lookup Table'!I$7:L$287,2,FALSE)</f>
        <v>HIGH PRESSURE SODIUM 400W (310/360)</v>
      </c>
      <c r="F1021" s="23" t="str">
        <f>IF(E1021 = "BULKHEADS ETC", "SHARED OR NO POLE", VLOOKUP(C1021,'[7]Tariff Schedule Lookup Table'!I$7:L$287,3,FALSE))</f>
        <v>WOOD POLE</v>
      </c>
      <c r="G1021" s="23">
        <f>IF(E1021 = "NO CAPITAL", 1, VLOOKUP(C1021,'[7]Tariff Schedule Lookup Table'!I$7:L$287,4,FALSE))</f>
        <v>4</v>
      </c>
      <c r="H1021" s="23" t="str">
        <f t="shared" si="181"/>
        <v>2-Unmetered, Funded by Others, CE Maintained</v>
      </c>
      <c r="I1021" s="374">
        <f>VLOOKUP(F1021,'Maintenance Model'!$A$57:$B$61,2,FALSE)</f>
        <v>10.731618231111112</v>
      </c>
      <c r="J1021" s="374">
        <f>IF(D1021=1,VLOOKUP(C1021,'Capital Code Schedules'!A$15:F$300,2,FALSE),IF(D1021=2,VLOOKUP(C1021,'Capital Code Schedules'!A$15:F$300,3,FALSE),0))</f>
        <v>0</v>
      </c>
      <c r="K1021" s="374">
        <f>IF(D1021=1,VLOOKUP(C1021,'Capital Code Schedules'!E$15:G$300,2,FALSE),IF(D1021=2,VLOOKUP(C1021,'Capital Code Schedules'!E$15:G$300,3,FALSE),0))</f>
        <v>0</v>
      </c>
      <c r="L1021" s="374">
        <f>VLOOKUP(LEFT(A1021,10),'Streetlight Tariff Schedule'!B$11:H$260,7, FALSE)+I1021</f>
        <v>81.148834365485939</v>
      </c>
      <c r="M1021" s="410">
        <f t="shared" si="172"/>
        <v>81.148834365485939</v>
      </c>
      <c r="N1021" s="411">
        <f t="shared" si="173"/>
        <v>84.530194510976401</v>
      </c>
      <c r="O1021" s="411">
        <v>50.193816438016945</v>
      </c>
      <c r="P1021" s="411">
        <v>50.193816438016945</v>
      </c>
      <c r="Q1021" s="411">
        <v>52.650244708663969</v>
      </c>
      <c r="R1021" s="411">
        <v>52.650244708663969</v>
      </c>
      <c r="S1021" s="411">
        <f t="shared" si="174"/>
        <v>88.667006059794701</v>
      </c>
      <c r="T1021" s="411">
        <v>54.812652653283685</v>
      </c>
      <c r="U1021" s="411">
        <v>55.012899232975592</v>
      </c>
      <c r="V1021" s="411">
        <f t="shared" si="175"/>
        <v>92.645895506245225</v>
      </c>
      <c r="W1021" s="411">
        <v>56.807981587834846</v>
      </c>
      <c r="X1021" s="411">
        <v>57.524607687967773</v>
      </c>
      <c r="Y1021" s="411">
        <f t="shared" si="176"/>
        <v>96.875803078974542</v>
      </c>
      <c r="Z1021" s="411">
        <v>58.448914745634958</v>
      </c>
      <c r="AA1021" s="411">
        <v>59.402828167042003</v>
      </c>
      <c r="AB1021" s="441">
        <f t="shared" si="177"/>
        <v>98.978661095242416</v>
      </c>
      <c r="AC1021" s="438">
        <f t="shared" si="178"/>
        <v>101.93803014591556</v>
      </c>
      <c r="AD1021" s="410"/>
      <c r="AE1021" s="411"/>
      <c r="AF1021" s="411"/>
      <c r="AG1021" s="411"/>
    </row>
    <row r="1022" spans="1:33" s="409" customFormat="1" x14ac:dyDescent="0.2">
      <c r="A1022" s="409" t="s">
        <v>1942</v>
      </c>
      <c r="B1022" s="23" t="str">
        <f>VLOOKUP(LEFT(A1022,7),'[7]Tariff Schedule Lookup Table'!$A$8:$G$186,2,FALSE)</f>
        <v>High Pressure Sodium 400</v>
      </c>
      <c r="C1022" s="375">
        <f t="shared" si="179"/>
        <v>1080</v>
      </c>
      <c r="D1022" s="23">
        <f t="shared" si="180"/>
        <v>1</v>
      </c>
      <c r="E1022" s="23" t="str">
        <f>VLOOKUP(C1022,'[7]Tariff Schedule Lookup Table'!I$7:L$287,2,FALSE)</f>
        <v>HIGH PRESSURE SODIUM 70W TWIN ARC</v>
      </c>
      <c r="F1022" s="23" t="str">
        <f>IF(E1022 = "BULKHEADS ETC", "SHARED OR NO POLE", VLOOKUP(C1022,'[7]Tariff Schedule Lookup Table'!I$7:L$287,3,FALSE))</f>
        <v>SHARED OR NO POLE</v>
      </c>
      <c r="G1022" s="23">
        <f>IF(E1022 = "NO CAPITAL", 1, VLOOKUP(C1022,'[7]Tariff Schedule Lookup Table'!I$7:L$287,4,FALSE))</f>
        <v>2</v>
      </c>
      <c r="H1022" s="23" t="str">
        <f t="shared" si="181"/>
        <v>1-Unmetered, CE Funded, CE Maintained</v>
      </c>
      <c r="I1022" s="374">
        <f>VLOOKUP(F1022,'Maintenance Model'!$A$57:$B$61,2,FALSE)</f>
        <v>0</v>
      </c>
      <c r="J1022" s="374">
        <f>IF(D1022=1,VLOOKUP(C1022,'Capital Code Schedules'!A$15:F$300,2,FALSE),IF(D1022=2,VLOOKUP(C1022,'Capital Code Schedules'!A$15:F$300,3,FALSE),0))</f>
        <v>73.527525225964666</v>
      </c>
      <c r="K1022" s="374" t="e">
        <f>IF(D1022=1,VLOOKUP(C1022,'Capital Code Schedules'!E$15:G$300,2,FALSE),IF(D1022=2,VLOOKUP(C1022,'Capital Code Schedules'!E$15:G$300,3,FALSE),0))</f>
        <v>#N/A</v>
      </c>
      <c r="L1022" s="374">
        <f>VLOOKUP(LEFT(A1022,10),'Streetlight Tariff Schedule'!B$11:H$260,7, FALSE)+I1022</f>
        <v>70.417216134374826</v>
      </c>
      <c r="M1022" s="410" t="e">
        <f t="shared" si="172"/>
        <v>#N/A</v>
      </c>
      <c r="N1022" s="411">
        <f t="shared" si="173"/>
        <v>148.69873600628631</v>
      </c>
      <c r="O1022" s="411">
        <v>139.60471531200119</v>
      </c>
      <c r="P1022" s="411" t="e">
        <v>#N/A</v>
      </c>
      <c r="Q1022" s="411" t="e">
        <v>#N/A</v>
      </c>
      <c r="R1022" s="411">
        <v>144.02259107777888</v>
      </c>
      <c r="S1022" s="411">
        <f t="shared" si="174"/>
        <v>154.15331674567904</v>
      </c>
      <c r="T1022" s="411" t="e">
        <v>#N/A</v>
      </c>
      <c r="U1022" s="411">
        <v>148.81079367518711</v>
      </c>
      <c r="V1022" s="411">
        <f t="shared" si="175"/>
        <v>159.80656058447747</v>
      </c>
      <c r="W1022" s="411" t="e">
        <v>#N/A</v>
      </c>
      <c r="X1022" s="411">
        <v>154.36829077474843</v>
      </c>
      <c r="Y1022" s="411">
        <f t="shared" si="176"/>
        <v>166.16917068362207</v>
      </c>
      <c r="Z1022" s="411" t="e">
        <v>#N/A</v>
      </c>
      <c r="AA1022" s="411">
        <v>158.95710208311883</v>
      </c>
      <c r="AB1022" s="441">
        <f t="shared" si="177"/>
        <v>169.4389786612175</v>
      </c>
      <c r="AC1022" s="438">
        <f t="shared" si="178"/>
        <v>174.43828360598653</v>
      </c>
      <c r="AD1022" s="410"/>
      <c r="AE1022" s="411"/>
      <c r="AF1022" s="411"/>
      <c r="AG1022" s="411"/>
    </row>
    <row r="1023" spans="1:33" s="409" customFormat="1" x14ac:dyDescent="0.2">
      <c r="A1023" s="409" t="s">
        <v>1943</v>
      </c>
      <c r="B1023" s="23" t="str">
        <f>VLOOKUP(LEFT(A1023,7),'[7]Tariff Schedule Lookup Table'!$A$8:$G$186,2,FALSE)</f>
        <v>High Pressure Sodium 400</v>
      </c>
      <c r="C1023" s="375">
        <f t="shared" si="179"/>
        <v>1080</v>
      </c>
      <c r="D1023" s="23">
        <f t="shared" si="180"/>
        <v>2</v>
      </c>
      <c r="E1023" s="23" t="str">
        <f>VLOOKUP(C1023,'[7]Tariff Schedule Lookup Table'!I$7:L$287,2,FALSE)</f>
        <v>HIGH PRESSURE SODIUM 70W TWIN ARC</v>
      </c>
      <c r="F1023" s="23" t="str">
        <f>IF(E1023 = "BULKHEADS ETC", "SHARED OR NO POLE", VLOOKUP(C1023,'[7]Tariff Schedule Lookup Table'!I$7:L$287,3,FALSE))</f>
        <v>SHARED OR NO POLE</v>
      </c>
      <c r="G1023" s="23">
        <f>IF(E1023 = "NO CAPITAL", 1, VLOOKUP(C1023,'[7]Tariff Schedule Lookup Table'!I$7:L$287,4,FALSE))</f>
        <v>2</v>
      </c>
      <c r="H1023" s="23" t="str">
        <f t="shared" si="181"/>
        <v>2-Unmetered, Funded by Others, CE Maintained</v>
      </c>
      <c r="I1023" s="374">
        <f>VLOOKUP(F1023,'Maintenance Model'!$A$57:$B$61,2,FALSE)</f>
        <v>0</v>
      </c>
      <c r="J1023" s="374">
        <f>IF(D1023=1,VLOOKUP(C1023,'Capital Code Schedules'!A$15:F$300,2,FALSE),IF(D1023=2,VLOOKUP(C1023,'Capital Code Schedules'!A$15:F$300,3,FALSE),0))</f>
        <v>0</v>
      </c>
      <c r="K1023" s="374">
        <f>IF(D1023=1,VLOOKUP(C1023,'Capital Code Schedules'!E$15:G$300,2,FALSE),IF(D1023=2,VLOOKUP(C1023,'Capital Code Schedules'!E$15:G$300,3,FALSE),0))</f>
        <v>0</v>
      </c>
      <c r="L1023" s="374">
        <f>VLOOKUP(LEFT(A1023,10),'Streetlight Tariff Schedule'!B$11:H$260,7, FALSE)+I1023</f>
        <v>70.417216134374826</v>
      </c>
      <c r="M1023" s="410">
        <f t="shared" si="172"/>
        <v>70.417216134374826</v>
      </c>
      <c r="N1023" s="411">
        <f t="shared" si="173"/>
        <v>73.351404530979011</v>
      </c>
      <c r="O1023" s="411">
        <v>39.797616362592777</v>
      </c>
      <c r="P1023" s="411">
        <v>39.797616362592777</v>
      </c>
      <c r="Q1023" s="411">
        <v>41.745266429372592</v>
      </c>
      <c r="R1023" s="411">
        <v>41.745266429372592</v>
      </c>
      <c r="S1023" s="411">
        <f t="shared" si="174"/>
        <v>76.941138816357864</v>
      </c>
      <c r="T1023" s="411">
        <v>43.459793992855836</v>
      </c>
      <c r="U1023" s="411">
        <v>43.618565274301254</v>
      </c>
      <c r="V1023" s="411">
        <f t="shared" si="175"/>
        <v>80.393835584170674</v>
      </c>
      <c r="W1023" s="411">
        <v>45.041848139953977</v>
      </c>
      <c r="X1023" s="411">
        <v>45.610045831072576</v>
      </c>
      <c r="Y1023" s="411">
        <f t="shared" si="176"/>
        <v>84.064354305804869</v>
      </c>
      <c r="Z1023" s="411">
        <v>46.34290936472518</v>
      </c>
      <c r="AA1023" s="411">
        <v>47.099247158548174</v>
      </c>
      <c r="AB1023" s="441">
        <f t="shared" si="177"/>
        <v>85.889117515150701</v>
      </c>
      <c r="AC1023" s="438">
        <f t="shared" si="178"/>
        <v>88.457121500569158</v>
      </c>
      <c r="AD1023" s="410"/>
      <c r="AE1023" s="411"/>
      <c r="AF1023" s="411"/>
      <c r="AG1023" s="411"/>
    </row>
    <row r="1024" spans="1:33" s="409" customFormat="1" x14ac:dyDescent="0.2">
      <c r="A1024" s="409" t="s">
        <v>1944</v>
      </c>
      <c r="B1024" s="23" t="str">
        <f>VLOOKUP(LEFT(A1024,7),'[7]Tariff Schedule Lookup Table'!$A$8:$G$186,2,FALSE)</f>
        <v>High Pressure Sodium 400</v>
      </c>
      <c r="C1024" s="375">
        <f t="shared" si="179"/>
        <v>1130</v>
      </c>
      <c r="D1024" s="23">
        <f t="shared" si="180"/>
        <v>2</v>
      </c>
      <c r="E1024" s="23" t="str">
        <f>VLOOKUP(C1024,'[7]Tariff Schedule Lookup Table'!I$7:L$287,2,FALSE)</f>
        <v>METAL HALIDE/HPS 400W FLOOD (310/360)</v>
      </c>
      <c r="F1024" s="23" t="str">
        <f>IF(E1024 = "BULKHEADS ETC", "SHARED OR NO POLE", VLOOKUP(C1024,'[7]Tariff Schedule Lookup Table'!I$7:L$287,3,FALSE))</f>
        <v>STEEL POLE</v>
      </c>
      <c r="G1024" s="23">
        <f>IF(E1024 = "NO CAPITAL", 1, VLOOKUP(C1024,'[7]Tariff Schedule Lookup Table'!I$7:L$287,4,FALSE))</f>
        <v>2</v>
      </c>
      <c r="H1024" s="23" t="str">
        <f t="shared" si="181"/>
        <v>2-Unmetered, Funded by Others, CE Maintained</v>
      </c>
      <c r="I1024" s="374">
        <f>VLOOKUP(F1024,'Maintenance Model'!$A$57:$B$61,2,FALSE)</f>
        <v>9.9616182311111103</v>
      </c>
      <c r="J1024" s="374">
        <f>IF(D1024=1,VLOOKUP(C1024,'Capital Code Schedules'!A$15:F$300,2,FALSE),IF(D1024=2,VLOOKUP(C1024,'Capital Code Schedules'!A$15:F$300,3,FALSE),0))</f>
        <v>0</v>
      </c>
      <c r="K1024" s="374">
        <f>IF(D1024=1,VLOOKUP(C1024,'Capital Code Schedules'!E$15:G$300,2,FALSE),IF(D1024=2,VLOOKUP(C1024,'Capital Code Schedules'!E$15:G$300,3,FALSE),0))</f>
        <v>0</v>
      </c>
      <c r="L1024" s="374">
        <f>VLOOKUP(LEFT(A1024,10),'Streetlight Tariff Schedule'!B$11:H$260,7, FALSE)+I1024</f>
        <v>80.378834365485943</v>
      </c>
      <c r="M1024" s="410">
        <f t="shared" si="172"/>
        <v>80.378834365485943</v>
      </c>
      <c r="N1024" s="411">
        <f t="shared" si="173"/>
        <v>83.72810967165141</v>
      </c>
      <c r="O1024" s="411">
        <v>49.391731598691941</v>
      </c>
      <c r="P1024" s="411">
        <v>49.391731598691941</v>
      </c>
      <c r="Q1024" s="411">
        <v>51.808906749839515</v>
      </c>
      <c r="R1024" s="411">
        <v>51.808906749839515</v>
      </c>
      <c r="S1024" s="411">
        <f t="shared" si="174"/>
        <v>87.825668100970248</v>
      </c>
      <c r="T1024" s="411">
        <v>53.936759947442589</v>
      </c>
      <c r="U1024" s="411">
        <v>54.13380663605038</v>
      </c>
      <c r="V1024" s="411">
        <f t="shared" si="175"/>
        <v>91.76680290932002</v>
      </c>
      <c r="W1024" s="411">
        <v>55.900204016457636</v>
      </c>
      <c r="X1024" s="411">
        <v>56.605378607795835</v>
      </c>
      <c r="Y1024" s="411">
        <f t="shared" si="176"/>
        <v>95.956573998802611</v>
      </c>
      <c r="Z1024" s="411">
        <v>57.514915466055065</v>
      </c>
      <c r="AA1024" s="411">
        <v>58.453585585644561</v>
      </c>
      <c r="AB1024" s="441">
        <f t="shared" si="177"/>
        <v>98.039478547036268</v>
      </c>
      <c r="AC1024" s="438">
        <f t="shared" si="178"/>
        <v>100.9707669211743</v>
      </c>
      <c r="AD1024" s="410"/>
      <c r="AE1024" s="411"/>
      <c r="AF1024" s="411"/>
      <c r="AG1024" s="411"/>
    </row>
    <row r="1025" spans="1:33" s="409" customFormat="1" x14ac:dyDescent="0.2">
      <c r="A1025" s="409" t="s">
        <v>1945</v>
      </c>
      <c r="B1025" s="23" t="str">
        <f>VLOOKUP(LEFT(A1025,7),'[7]Tariff Schedule Lookup Table'!$A$8:$G$186,2,FALSE)</f>
        <v>High Pressure Sodium 400</v>
      </c>
      <c r="C1025" s="375">
        <f t="shared" si="179"/>
        <v>240</v>
      </c>
      <c r="D1025" s="23">
        <f t="shared" si="180"/>
        <v>1</v>
      </c>
      <c r="E1025" s="23" t="str">
        <f>VLOOKUP(C1025,'[7]Tariff Schedule Lookup Table'!I$7:L$287,2,FALSE)</f>
        <v>HIGH PRESSURE SODIUM 400W (310/360)</v>
      </c>
      <c r="F1025" s="23" t="str">
        <f>IF(E1025 = "BULKHEADS ETC", "SHARED OR NO POLE", VLOOKUP(C1025,'[7]Tariff Schedule Lookup Table'!I$7:L$287,3,FALSE))</f>
        <v>WOOD POLE</v>
      </c>
      <c r="G1025" s="23">
        <f>IF(E1025 = "NO CAPITAL", 1, VLOOKUP(C1025,'[7]Tariff Schedule Lookup Table'!I$7:L$287,4,FALSE))</f>
        <v>1</v>
      </c>
      <c r="H1025" s="23" t="str">
        <f t="shared" si="181"/>
        <v>1-Unmetered, CE Funded, CE Maintained</v>
      </c>
      <c r="I1025" s="374">
        <f>VLOOKUP(F1025,'Maintenance Model'!$A$57:$B$61,2,FALSE)</f>
        <v>10.731618231111112</v>
      </c>
      <c r="J1025" s="374">
        <f>IF(D1025=1,VLOOKUP(C1025,'Capital Code Schedules'!A$15:F$300,2,FALSE),IF(D1025=2,VLOOKUP(C1025,'Capital Code Schedules'!A$15:F$300,3,FALSE),0))</f>
        <v>69.685165796959865</v>
      </c>
      <c r="K1025" s="374">
        <f>IF(D1025=1,VLOOKUP(C1025,'Capital Code Schedules'!E$15:G$300,2,FALSE),IF(D1025=2,VLOOKUP(C1025,'Capital Code Schedules'!E$15:G$300,3,FALSE),0))</f>
        <v>88.393596402330274</v>
      </c>
      <c r="L1025" s="374">
        <f>VLOOKUP(LEFT(A1025,10),'Streetlight Tariff Schedule'!B$11:H$260,7, FALSE)+I1025</f>
        <v>90.215173096599656</v>
      </c>
      <c r="M1025" s="410">
        <f t="shared" si="172"/>
        <v>178.60876949892992</v>
      </c>
      <c r="N1025" s="411">
        <f t="shared" si="173"/>
        <v>165.38418873856867</v>
      </c>
      <c r="O1025" s="411">
        <v>146.52146139540156</v>
      </c>
      <c r="P1025" s="411">
        <v>142.51136274627589</v>
      </c>
      <c r="Q1025" s="411">
        <v>147.29464719383114</v>
      </c>
      <c r="R1025" s="411">
        <v>151.40399578452266</v>
      </c>
      <c r="S1025" s="411">
        <f t="shared" si="174"/>
        <v>171.75057917664427</v>
      </c>
      <c r="T1025" s="411">
        <v>151.8292278579907</v>
      </c>
      <c r="U1025" s="411">
        <v>156.61095310709268</v>
      </c>
      <c r="V1025" s="411">
        <f t="shared" si="175"/>
        <v>178.2595614600597</v>
      </c>
      <c r="W1025" s="411">
        <v>156.24781026225506</v>
      </c>
      <c r="X1025" s="411">
        <v>162.58920745842838</v>
      </c>
      <c r="Y1025" s="411">
        <f t="shared" si="176"/>
        <v>185.5134642889939</v>
      </c>
      <c r="Z1025" s="411">
        <v>160.35800562267141</v>
      </c>
      <c r="AA1025" s="411">
        <v>167.47002807658458</v>
      </c>
      <c r="AB1025" s="441">
        <f t="shared" si="177"/>
        <v>189.22079417778116</v>
      </c>
      <c r="AC1025" s="438">
        <f t="shared" si="178"/>
        <v>194.81504561842326</v>
      </c>
      <c r="AD1025" s="410"/>
      <c r="AE1025" s="411"/>
      <c r="AF1025" s="411"/>
      <c r="AG1025" s="411"/>
    </row>
    <row r="1026" spans="1:33" s="409" customFormat="1" x14ac:dyDescent="0.2">
      <c r="A1026" s="409" t="s">
        <v>1946</v>
      </c>
      <c r="B1026" s="23" t="str">
        <f>VLOOKUP(LEFT(A1026,7),'[7]Tariff Schedule Lookup Table'!$A$8:$G$186,2,FALSE)</f>
        <v>High Pressure Sodium 400</v>
      </c>
      <c r="C1026" s="375">
        <f t="shared" si="179"/>
        <v>330</v>
      </c>
      <c r="D1026" s="23">
        <f t="shared" si="180"/>
        <v>1</v>
      </c>
      <c r="E1026" s="23" t="str">
        <f>VLOOKUP(C1026,'[7]Tariff Schedule Lookup Table'!I$7:L$287,2,FALSE)</f>
        <v>HIGH PRESSURE SODIUM 400W (310/360)</v>
      </c>
      <c r="F1026" s="23" t="str">
        <f>IF(E1026 = "BULKHEADS ETC", "SHARED OR NO POLE", VLOOKUP(C1026,'[7]Tariff Schedule Lookup Table'!I$7:L$287,3,FALSE))</f>
        <v>STEEL POLE</v>
      </c>
      <c r="G1026" s="23">
        <f>IF(E1026 = "NO CAPITAL", 1, VLOOKUP(C1026,'[7]Tariff Schedule Lookup Table'!I$7:L$287,4,FALSE))</f>
        <v>1</v>
      </c>
      <c r="H1026" s="23" t="str">
        <f t="shared" si="181"/>
        <v>1-Unmetered, CE Funded, CE Maintained</v>
      </c>
      <c r="I1026" s="374">
        <f>VLOOKUP(F1026,'Maintenance Model'!$A$57:$B$61,2,FALSE)</f>
        <v>9.9616182311111103</v>
      </c>
      <c r="J1026" s="374">
        <f>IF(D1026=1,VLOOKUP(C1026,'Capital Code Schedules'!A$15:F$300,2,FALSE),IF(D1026=2,VLOOKUP(C1026,'Capital Code Schedules'!A$15:F$300,3,FALSE),0))</f>
        <v>95.968430970589921</v>
      </c>
      <c r="K1026" s="374">
        <f>IF(D1026=1,VLOOKUP(C1026,'Capital Code Schedules'!E$15:G$300,2,FALSE),IF(D1026=2,VLOOKUP(C1026,'Capital Code Schedules'!E$15:G$300,3,FALSE),0))</f>
        <v>121.73315019865107</v>
      </c>
      <c r="L1026" s="374">
        <f>VLOOKUP(LEFT(A1026,10),'Streetlight Tariff Schedule'!B$11:H$260,7, FALSE)+I1026</f>
        <v>89.44517309659966</v>
      </c>
      <c r="M1026" s="410">
        <f t="shared" si="172"/>
        <v>211.17832329525072</v>
      </c>
      <c r="N1026" s="411">
        <f t="shared" si="173"/>
        <v>191.51587988592104</v>
      </c>
      <c r="O1026" s="411">
        <v>181.39657961488001</v>
      </c>
      <c r="P1026" s="411">
        <v>175.87398565973061</v>
      </c>
      <c r="Q1026" s="411">
        <v>181.4635935046677</v>
      </c>
      <c r="R1026" s="411">
        <v>187.12287166020704</v>
      </c>
      <c r="S1026" s="411">
        <f t="shared" si="174"/>
        <v>198.50962816016747</v>
      </c>
      <c r="T1026" s="411">
        <v>186.83012395748474</v>
      </c>
      <c r="U1026" s="411">
        <v>193.33404043895985</v>
      </c>
      <c r="V1026" s="411">
        <f t="shared" si="175"/>
        <v>205.76746683333903</v>
      </c>
      <c r="W1026" s="411">
        <v>192.10477201914506</v>
      </c>
      <c r="X1026" s="411">
        <v>200.54687220663487</v>
      </c>
      <c r="Y1026" s="411">
        <f t="shared" si="176"/>
        <v>213.94355241021645</v>
      </c>
      <c r="Z1026" s="411">
        <v>197.09867296973334</v>
      </c>
      <c r="AA1026" s="411">
        <v>206.50567079767436</v>
      </c>
      <c r="AB1026" s="441">
        <f t="shared" si="177"/>
        <v>218.14747681371404</v>
      </c>
      <c r="AC1026" s="438">
        <f t="shared" si="178"/>
        <v>224.58274425467948</v>
      </c>
      <c r="AD1026" s="410"/>
      <c r="AE1026" s="411"/>
      <c r="AF1026" s="411"/>
      <c r="AG1026" s="411"/>
    </row>
    <row r="1027" spans="1:33" s="409" customFormat="1" x14ac:dyDescent="0.2">
      <c r="A1027" s="409" t="s">
        <v>1947</v>
      </c>
      <c r="B1027" s="23" t="str">
        <f>VLOOKUP(LEFT(A1027,7),'[7]Tariff Schedule Lookup Table'!$A$8:$G$186,2,FALSE)</f>
        <v>High Pressure Sodium 400</v>
      </c>
      <c r="C1027" s="375">
        <f t="shared" si="179"/>
        <v>400</v>
      </c>
      <c r="D1027" s="23">
        <f t="shared" si="180"/>
        <v>1</v>
      </c>
      <c r="E1027" s="23" t="str">
        <f>VLOOKUP(C1027,'[7]Tariff Schedule Lookup Table'!I$7:L$287,2,FALSE)</f>
        <v>HIGH PRESSURE SODIUM 400W (310/360)</v>
      </c>
      <c r="F1027" s="23" t="str">
        <f>IF(E1027 = "BULKHEADS ETC", "SHARED OR NO POLE", VLOOKUP(C1027,'[7]Tariff Schedule Lookup Table'!I$7:L$287,3,FALSE))</f>
        <v>STEEL POLE</v>
      </c>
      <c r="G1027" s="23">
        <f>IF(E1027 = "NO CAPITAL", 1, VLOOKUP(C1027,'[7]Tariff Schedule Lookup Table'!I$7:L$287,4,FALSE))</f>
        <v>2</v>
      </c>
      <c r="H1027" s="23" t="str">
        <f t="shared" si="181"/>
        <v>1-Unmetered, CE Funded, CE Maintained</v>
      </c>
      <c r="I1027" s="374">
        <f>VLOOKUP(F1027,'Maintenance Model'!$A$57:$B$61,2,FALSE)</f>
        <v>9.9616182311111103</v>
      </c>
      <c r="J1027" s="374">
        <f>IF(D1027=1,VLOOKUP(C1027,'Capital Code Schedules'!A$15:F$300,2,FALSE),IF(D1027=2,VLOOKUP(C1027,'Capital Code Schedules'!A$15:F$300,3,FALSE),0))</f>
        <v>112.34795462341719</v>
      </c>
      <c r="K1027" s="374">
        <f>IF(D1027=1,VLOOKUP(C1027,'Capital Code Schedules'!E$15:G$300,2,FALSE),IF(D1027=2,VLOOKUP(C1027,'Capital Code Schedules'!E$15:G$300,3,FALSE),0))</f>
        <v>142.51009729308706</v>
      </c>
      <c r="L1027" s="374">
        <f>VLOOKUP(LEFT(A1027,10),'Streetlight Tariff Schedule'!B$11:H$260,7, FALSE)+I1027</f>
        <v>89.44517309659966</v>
      </c>
      <c r="M1027" s="410">
        <f t="shared" si="172"/>
        <v>231.95527038968672</v>
      </c>
      <c r="N1027" s="411">
        <f t="shared" si="173"/>
        <v>208.30079674915581</v>
      </c>
      <c r="O1027" s="411">
        <v>203.63033130090318</v>
      </c>
      <c r="P1027" s="411">
        <v>197.16516219475389</v>
      </c>
      <c r="Q1027" s="411">
        <v>203.2817266589328</v>
      </c>
      <c r="R1027" s="411">
        <v>209.9069087004593</v>
      </c>
      <c r="S1027" s="411">
        <f t="shared" si="174"/>
        <v>215.70997171576727</v>
      </c>
      <c r="T1027" s="411">
        <v>209.18825590731791</v>
      </c>
      <c r="U1027" s="411">
        <v>216.76742253485929</v>
      </c>
      <c r="V1027" s="411">
        <f t="shared" si="175"/>
        <v>223.45802018027345</v>
      </c>
      <c r="W1027" s="411">
        <v>215.01626773473657</v>
      </c>
      <c r="X1027" s="411">
        <v>224.7746459555853</v>
      </c>
      <c r="Y1027" s="411">
        <f t="shared" si="176"/>
        <v>232.23381551561195</v>
      </c>
      <c r="Z1027" s="411">
        <v>220.57722820428575</v>
      </c>
      <c r="AA1027" s="411">
        <v>231.42393609846985</v>
      </c>
      <c r="AB1027" s="441">
        <f t="shared" si="177"/>
        <v>236.75964854976451</v>
      </c>
      <c r="AC1027" s="438">
        <f t="shared" si="178"/>
        <v>243.73653018824899</v>
      </c>
      <c r="AD1027" s="410"/>
      <c r="AE1027" s="411"/>
      <c r="AF1027" s="411"/>
      <c r="AG1027" s="411"/>
    </row>
    <row r="1028" spans="1:33" s="409" customFormat="1" x14ac:dyDescent="0.2">
      <c r="A1028" s="409" t="s">
        <v>1948</v>
      </c>
      <c r="B1028" s="23" t="str">
        <f>VLOOKUP(LEFT(A1028,7),'[7]Tariff Schedule Lookup Table'!$A$8:$G$186,2,FALSE)</f>
        <v>High Pressure Sodium 400</v>
      </c>
      <c r="C1028" s="375">
        <f t="shared" si="179"/>
        <v>600</v>
      </c>
      <c r="D1028" s="23">
        <f t="shared" si="180"/>
        <v>2</v>
      </c>
      <c r="E1028" s="23" t="str">
        <f>VLOOKUP(C1028,'[7]Tariff Schedule Lookup Table'!I$7:L$287,2,FALSE)</f>
        <v>HIGH PRESSURE SODIUM 400W (310/360)</v>
      </c>
      <c r="F1028" s="23" t="str">
        <f>IF(E1028 = "BULKHEADS ETC", "SHARED OR NO POLE", VLOOKUP(C1028,'[7]Tariff Schedule Lookup Table'!I$7:L$287,3,FALSE))</f>
        <v>R/BOUT COLUMN</v>
      </c>
      <c r="G1028" s="23">
        <f>IF(E1028 = "NO CAPITAL", 1, VLOOKUP(C1028,'[7]Tariff Schedule Lookup Table'!I$7:L$287,4,FALSE))</f>
        <v>4</v>
      </c>
      <c r="H1028" s="23" t="str">
        <f t="shared" si="181"/>
        <v>2-Unmetered, Funded by Others, CE Maintained</v>
      </c>
      <c r="I1028" s="374">
        <f>VLOOKUP(F1028,'Maintenance Model'!$A$57:$B$61,2,FALSE)</f>
        <v>9.9616182311111103</v>
      </c>
      <c r="J1028" s="374">
        <f>IF(D1028=1,VLOOKUP(C1028,'Capital Code Schedules'!A$15:F$300,2,FALSE),IF(D1028=2,VLOOKUP(C1028,'Capital Code Schedules'!A$15:F$300,3,FALSE),0))</f>
        <v>0</v>
      </c>
      <c r="K1028" s="374">
        <f>IF(D1028=1,VLOOKUP(C1028,'Capital Code Schedules'!E$15:G$300,2,FALSE),IF(D1028=2,VLOOKUP(C1028,'Capital Code Schedules'!E$15:G$300,3,FALSE),0))</f>
        <v>0</v>
      </c>
      <c r="L1028" s="374">
        <f>VLOOKUP(LEFT(A1028,10),'Streetlight Tariff Schedule'!B$11:H$260,7, FALSE)+I1028</f>
        <v>89.44517309659966</v>
      </c>
      <c r="M1028" s="410">
        <f t="shared" si="172"/>
        <v>89.44517309659966</v>
      </c>
      <c r="N1028" s="411">
        <f t="shared" si="173"/>
        <v>93.172230248809029</v>
      </c>
      <c r="O1028" s="411">
        <v>51.12793999366292</v>
      </c>
      <c r="P1028" s="411">
        <v>51.12793999366292</v>
      </c>
      <c r="Q1028" s="411">
        <v>53.630083208364844</v>
      </c>
      <c r="R1028" s="411">
        <v>53.630083208364844</v>
      </c>
      <c r="S1028" s="411">
        <f t="shared" si="174"/>
        <v>97.73197319453692</v>
      </c>
      <c r="T1028" s="411">
        <v>55.832734281348387</v>
      </c>
      <c r="U1028" s="411">
        <v>56.036707516240114</v>
      </c>
      <c r="V1028" s="411">
        <f t="shared" si="175"/>
        <v>102.11764870118805</v>
      </c>
      <c r="W1028" s="411">
        <v>57.865196948524314</v>
      </c>
      <c r="X1028" s="411">
        <v>58.595159697834966</v>
      </c>
      <c r="Y1028" s="411">
        <f t="shared" si="176"/>
        <v>106.78000544338553</v>
      </c>
      <c r="Z1028" s="411">
        <v>59.536668416114736</v>
      </c>
      <c r="AA1028" s="411">
        <v>60.508334482373634</v>
      </c>
      <c r="AB1028" s="441">
        <f t="shared" si="177"/>
        <v>109.09785142026688</v>
      </c>
      <c r="AC1028" s="438">
        <f t="shared" si="178"/>
        <v>112.35977476228301</v>
      </c>
      <c r="AD1028" s="410"/>
      <c r="AE1028" s="411"/>
      <c r="AF1028" s="411"/>
      <c r="AG1028" s="411"/>
    </row>
    <row r="1029" spans="1:33" s="409" customFormat="1" x14ac:dyDescent="0.2">
      <c r="A1029" s="409" t="s">
        <v>1949</v>
      </c>
      <c r="B1029" s="23" t="str">
        <f>VLOOKUP(LEFT(A1029,7),'[7]Tariff Schedule Lookup Table'!$A$8:$G$186,2,FALSE)</f>
        <v>High Pressure Sodium 400</v>
      </c>
      <c r="C1029" s="375">
        <f t="shared" si="179"/>
        <v>1080</v>
      </c>
      <c r="D1029" s="23">
        <f t="shared" si="180"/>
        <v>1</v>
      </c>
      <c r="E1029" s="23" t="str">
        <f>VLOOKUP(C1029,'[7]Tariff Schedule Lookup Table'!I$7:L$287,2,FALSE)</f>
        <v>HIGH PRESSURE SODIUM 70W TWIN ARC</v>
      </c>
      <c r="F1029" s="23" t="str">
        <f>IF(E1029 = "BULKHEADS ETC", "SHARED OR NO POLE", VLOOKUP(C1029,'[7]Tariff Schedule Lookup Table'!I$7:L$287,3,FALSE))</f>
        <v>SHARED OR NO POLE</v>
      </c>
      <c r="G1029" s="23">
        <f>IF(E1029 = "NO CAPITAL", 1, VLOOKUP(C1029,'[7]Tariff Schedule Lookup Table'!I$7:L$287,4,FALSE))</f>
        <v>2</v>
      </c>
      <c r="H1029" s="23" t="str">
        <f t="shared" si="181"/>
        <v>1-Unmetered, CE Funded, CE Maintained</v>
      </c>
      <c r="I1029" s="374">
        <f>VLOOKUP(F1029,'Maintenance Model'!$A$57:$B$61,2,FALSE)</f>
        <v>0</v>
      </c>
      <c r="J1029" s="374">
        <f>IF(D1029=1,VLOOKUP(C1029,'Capital Code Schedules'!A$15:F$300,2,FALSE),IF(D1029=2,VLOOKUP(C1029,'Capital Code Schedules'!A$15:F$300,3,FALSE),0))</f>
        <v>73.527525225964666</v>
      </c>
      <c r="K1029" s="374" t="e">
        <f>IF(D1029=1,VLOOKUP(C1029,'Capital Code Schedules'!E$15:G$300,2,FALSE),IF(D1029=2,VLOOKUP(C1029,'Capital Code Schedules'!E$15:G$300,3,FALSE),0))</f>
        <v>#N/A</v>
      </c>
      <c r="L1029" s="374">
        <f>VLOOKUP(LEFT(A1029,10),'Streetlight Tariff Schedule'!B$11:H$260,7, FALSE)+I1029</f>
        <v>79.483554865488543</v>
      </c>
      <c r="M1029" s="410" t="e">
        <f t="shared" si="172"/>
        <v>#N/A</v>
      </c>
      <c r="N1029" s="411">
        <f t="shared" si="173"/>
        <v>158.14285658344394</v>
      </c>
      <c r="O1029" s="411">
        <v>141.34092370697221</v>
      </c>
      <c r="P1029" s="411" t="e">
        <v>#N/A</v>
      </c>
      <c r="Q1029" s="411" t="e">
        <v>#N/A</v>
      </c>
      <c r="R1029" s="411">
        <v>145.84376753630423</v>
      </c>
      <c r="S1029" s="411">
        <f t="shared" si="174"/>
        <v>164.05962183924569</v>
      </c>
      <c r="T1029" s="411" t="e">
        <v>#N/A</v>
      </c>
      <c r="U1029" s="411">
        <v>150.71369455537683</v>
      </c>
      <c r="V1029" s="411">
        <f t="shared" si="175"/>
        <v>170.15740637634548</v>
      </c>
      <c r="W1029" s="411" t="e">
        <v>#N/A</v>
      </c>
      <c r="X1029" s="411">
        <v>156.3580718647876</v>
      </c>
      <c r="Y1029" s="411">
        <f t="shared" si="176"/>
        <v>176.99260212820499</v>
      </c>
      <c r="Z1029" s="411" t="e">
        <v>#N/A</v>
      </c>
      <c r="AA1029" s="411">
        <v>161.01185097984791</v>
      </c>
      <c r="AB1029" s="441">
        <f t="shared" si="177"/>
        <v>180.49735153444811</v>
      </c>
      <c r="AC1029" s="438">
        <f t="shared" si="178"/>
        <v>185.82729144709521</v>
      </c>
      <c r="AD1029" s="410"/>
      <c r="AE1029" s="411"/>
      <c r="AF1029" s="411"/>
      <c r="AG1029" s="411"/>
    </row>
    <row r="1030" spans="1:33" s="409" customFormat="1" ht="22.5" x14ac:dyDescent="0.2">
      <c r="A1030" s="409" t="s">
        <v>1950</v>
      </c>
      <c r="B1030" s="23" t="str">
        <f>VLOOKUP(LEFT(A1030,7),'[7]Tariff Schedule Lookup Table'!$A$8:$G$186,2,FALSE)</f>
        <v>High Pressure Sodium 2x400</v>
      </c>
      <c r="C1030" s="375">
        <f t="shared" si="179"/>
        <v>1490</v>
      </c>
      <c r="D1030" s="23">
        <f t="shared" si="180"/>
        <v>1</v>
      </c>
      <c r="E1030" s="23" t="str">
        <f>VLOOKUP(C1030,'[7]Tariff Schedule Lookup Table'!I$7:L$287,2,FALSE)</f>
        <v>HIGH PRESSURE SODIUM 2X250 W OR 2X400 W FLOOD</v>
      </c>
      <c r="F1030" s="23" t="str">
        <f>IF(E1030 = "BULKHEADS ETC", "SHARED OR NO POLE", VLOOKUP(C1030,'[7]Tariff Schedule Lookup Table'!I$7:L$287,3,FALSE))</f>
        <v>R/BOUT COLUMN</v>
      </c>
      <c r="G1030" s="23">
        <f>IF(E1030 = "NO CAPITAL", 1, VLOOKUP(C1030,'[7]Tariff Schedule Lookup Table'!I$7:L$287,4,FALSE))</f>
        <v>2</v>
      </c>
      <c r="H1030" s="23" t="str">
        <f t="shared" si="181"/>
        <v>1-Unmetered, CE Funded, CE Maintained</v>
      </c>
      <c r="I1030" s="374">
        <f>VLOOKUP(F1030,'Maintenance Model'!$A$57:$B$61,2,FALSE)</f>
        <v>9.9616182311111103</v>
      </c>
      <c r="J1030" s="374">
        <f>IF(D1030=1,VLOOKUP(C1030,'Capital Code Schedules'!A$15:F$300,2,FALSE),IF(D1030=2,VLOOKUP(C1030,'Capital Code Schedules'!A$15:F$300,3,FALSE),0))</f>
        <v>180.03286907655911</v>
      </c>
      <c r="K1030" s="374" t="e">
        <f>IF(D1030=1,VLOOKUP(C1030,'Capital Code Schedules'!E$15:G$300,2,FALSE),IF(D1030=2,VLOOKUP(C1030,'Capital Code Schedules'!E$15:G$300,3,FALSE),0))</f>
        <v>#N/A</v>
      </c>
      <c r="L1030" s="374">
        <f>VLOOKUP(LEFT(A1030,10),'Streetlight Tariff Schedule'!B$11:H$260,7, FALSE)+I1030</f>
        <v>102.52079714413594</v>
      </c>
      <c r="M1030" s="410" t="e">
        <f t="shared" si="172"/>
        <v>#N/A</v>
      </c>
      <c r="N1030" s="411">
        <f t="shared" si="173"/>
        <v>291.28138012493798</v>
      </c>
      <c r="O1030" s="411">
        <v>312.25712625761844</v>
      </c>
      <c r="P1030" s="411" t="e">
        <v>#N/A</v>
      </c>
      <c r="Q1030" s="411" t="e">
        <v>#N/A</v>
      </c>
      <c r="R1030" s="411">
        <v>321.62739291001645</v>
      </c>
      <c r="S1030" s="411">
        <f t="shared" si="174"/>
        <v>301.07378813774966</v>
      </c>
      <c r="T1030" s="411" t="e">
        <v>#N/A</v>
      </c>
      <c r="U1030" s="411">
        <v>331.95964536622182</v>
      </c>
      <c r="V1030" s="411">
        <f t="shared" si="175"/>
        <v>311.48864876863388</v>
      </c>
      <c r="W1030" s="411" t="e">
        <v>#N/A</v>
      </c>
      <c r="X1030" s="411">
        <v>344.08772357885715</v>
      </c>
      <c r="Y1030" s="411">
        <f t="shared" si="176"/>
        <v>323.42418860499049</v>
      </c>
      <c r="Z1030" s="411" t="e">
        <v>#N/A</v>
      </c>
      <c r="AA1030" s="411">
        <v>354.21711772597263</v>
      </c>
      <c r="AB1030" s="441">
        <f t="shared" si="177"/>
        <v>329.61907734112697</v>
      </c>
      <c r="AC1030" s="438">
        <f t="shared" si="178"/>
        <v>339.31091224071821</v>
      </c>
      <c r="AD1030" s="410"/>
      <c r="AE1030" s="411"/>
      <c r="AF1030" s="411"/>
      <c r="AG1030" s="411"/>
    </row>
    <row r="1031" spans="1:33" s="409" customFormat="1" ht="22.5" x14ac:dyDescent="0.2">
      <c r="A1031" s="409" t="s">
        <v>1951</v>
      </c>
      <c r="B1031" s="23" t="str">
        <f>VLOOKUP(LEFT(A1031,7),'[7]Tariff Schedule Lookup Table'!$A$8:$G$186,2,FALSE)</f>
        <v>High Pressure Sodium 3x400</v>
      </c>
      <c r="C1031" s="375">
        <f t="shared" si="179"/>
        <v>1470</v>
      </c>
      <c r="D1031" s="23">
        <f t="shared" si="180"/>
        <v>1</v>
      </c>
      <c r="E1031" s="23" t="str">
        <f>VLOOKUP(C1031,'[7]Tariff Schedule Lookup Table'!I$7:L$287,2,FALSE)</f>
        <v>HIGH PRESSURE SODIUM 3X400 W POST TOP</v>
      </c>
      <c r="F1031" s="23" t="str">
        <f>IF(E1031 = "BULKHEADS ETC", "SHARED OR NO POLE", VLOOKUP(C1031,'[7]Tariff Schedule Lookup Table'!I$7:L$287,3,FALSE))</f>
        <v>R/BOUT COLUMN</v>
      </c>
      <c r="G1031" s="23">
        <f>IF(E1031 = "NO CAPITAL", 1, VLOOKUP(C1031,'[7]Tariff Schedule Lookup Table'!I$7:L$287,4,FALSE))</f>
        <v>1</v>
      </c>
      <c r="H1031" s="23" t="str">
        <f t="shared" si="181"/>
        <v>1-Unmetered, CE Funded, CE Maintained</v>
      </c>
      <c r="I1031" s="374">
        <f>VLOOKUP(F1031,'Maintenance Model'!$A$57:$B$61,2,FALSE)</f>
        <v>9.9616182311111103</v>
      </c>
      <c r="J1031" s="374">
        <f>IF(D1031=1,VLOOKUP(C1031,'Capital Code Schedules'!A$15:F$300,2,FALSE),IF(D1031=2,VLOOKUP(C1031,'Capital Code Schedules'!A$15:F$300,3,FALSE),0))</f>
        <v>213.81041197104136</v>
      </c>
      <c r="K1031" s="374" t="e">
        <f>IF(D1031=1,VLOOKUP(C1031,'Capital Code Schedules'!E$15:G$300,2,FALSE),IF(D1031=2,VLOOKUP(C1031,'Capital Code Schedules'!E$15:G$300,3,FALSE),0))</f>
        <v>#N/A</v>
      </c>
      <c r="L1031" s="374">
        <f>VLOOKUP(LEFT(A1031,10),'Streetlight Tariff Schedule'!B$11:H$260,7, FALSE)+I1031</f>
        <v>124.66275992278594</v>
      </c>
      <c r="M1031" s="410" t="e">
        <f t="shared" si="172"/>
        <v>#N/A</v>
      </c>
      <c r="N1031" s="411">
        <f t="shared" si="173"/>
        <v>348.95950507314126</v>
      </c>
      <c r="O1031" s="411">
        <v>376.59387783666301</v>
      </c>
      <c r="P1031" s="411" t="e">
        <v>#N/A</v>
      </c>
      <c r="Q1031" s="411" t="e">
        <v>#N/A</v>
      </c>
      <c r="R1031" s="411">
        <v>388.00365207408447</v>
      </c>
      <c r="S1031" s="411">
        <f t="shared" si="174"/>
        <v>360.73735281819495</v>
      </c>
      <c r="T1031" s="411" t="e">
        <v>#N/A</v>
      </c>
      <c r="U1031" s="411">
        <v>400.54515363089519</v>
      </c>
      <c r="V1031" s="411">
        <f t="shared" si="175"/>
        <v>373.24877944395809</v>
      </c>
      <c r="W1031" s="411" t="e">
        <v>#N/A</v>
      </c>
      <c r="X1031" s="411">
        <v>415.23649088164012</v>
      </c>
      <c r="Y1031" s="411">
        <f t="shared" si="176"/>
        <v>387.57518588245148</v>
      </c>
      <c r="Z1031" s="411" t="e">
        <v>#N/A</v>
      </c>
      <c r="AA1031" s="411">
        <v>427.48156523447631</v>
      </c>
      <c r="AB1031" s="441">
        <f t="shared" si="177"/>
        <v>395.00768634150518</v>
      </c>
      <c r="AC1031" s="438">
        <f t="shared" si="178"/>
        <v>406.62390996355271</v>
      </c>
      <c r="AD1031" s="410"/>
      <c r="AE1031" s="411"/>
      <c r="AF1031" s="411"/>
      <c r="AG1031" s="411"/>
    </row>
    <row r="1032" spans="1:33" s="409" customFormat="1" ht="22.5" x14ac:dyDescent="0.2">
      <c r="A1032" s="409" t="s">
        <v>1952</v>
      </c>
      <c r="B1032" s="23" t="str">
        <f>VLOOKUP(LEFT(A1032,7),'[7]Tariff Schedule Lookup Table'!$A$8:$G$186,2,FALSE)</f>
        <v>High Pressure Sodium 3x400</v>
      </c>
      <c r="C1032" s="375">
        <f t="shared" si="179"/>
        <v>1470</v>
      </c>
      <c r="D1032" s="23">
        <f t="shared" si="180"/>
        <v>2</v>
      </c>
      <c r="E1032" s="23" t="str">
        <f>VLOOKUP(C1032,'[7]Tariff Schedule Lookup Table'!I$7:L$287,2,FALSE)</f>
        <v>HIGH PRESSURE SODIUM 3X400 W POST TOP</v>
      </c>
      <c r="F1032" s="23" t="str">
        <f>IF(E1032 = "BULKHEADS ETC", "SHARED OR NO POLE", VLOOKUP(C1032,'[7]Tariff Schedule Lookup Table'!I$7:L$287,3,FALSE))</f>
        <v>R/BOUT COLUMN</v>
      </c>
      <c r="G1032" s="23">
        <f>IF(E1032 = "NO CAPITAL", 1, VLOOKUP(C1032,'[7]Tariff Schedule Lookup Table'!I$7:L$287,4,FALSE))</f>
        <v>1</v>
      </c>
      <c r="H1032" s="23" t="str">
        <f t="shared" si="181"/>
        <v>2-Unmetered, Funded by Others, CE Maintained</v>
      </c>
      <c r="I1032" s="374">
        <f>VLOOKUP(F1032,'Maintenance Model'!$A$57:$B$61,2,FALSE)</f>
        <v>9.9616182311111103</v>
      </c>
      <c r="J1032" s="374">
        <f>IF(D1032=1,VLOOKUP(C1032,'Capital Code Schedules'!A$15:F$300,2,FALSE),IF(D1032=2,VLOOKUP(C1032,'Capital Code Schedules'!A$15:F$300,3,FALSE),0))</f>
        <v>0</v>
      </c>
      <c r="K1032" s="374">
        <f>IF(D1032=1,VLOOKUP(C1032,'Capital Code Schedules'!E$15:G$300,2,FALSE),IF(D1032=2,VLOOKUP(C1032,'Capital Code Schedules'!E$15:G$300,3,FALSE),0))</f>
        <v>0</v>
      </c>
      <c r="L1032" s="374">
        <f>VLOOKUP(LEFT(A1032,10),'Streetlight Tariff Schedule'!B$11:H$260,7, FALSE)+I1032</f>
        <v>124.66275992278594</v>
      </c>
      <c r="M1032" s="410">
        <f t="shared" si="172"/>
        <v>124.66275992278594</v>
      </c>
      <c r="N1032" s="411">
        <f t="shared" si="173"/>
        <v>129.85728540581664</v>
      </c>
      <c r="O1032" s="411">
        <v>86.365193022016115</v>
      </c>
      <c r="P1032" s="411">
        <v>86.365193022016115</v>
      </c>
      <c r="Q1032" s="411">
        <v>90.591807310275016</v>
      </c>
      <c r="R1032" s="411">
        <v>90.591807310275016</v>
      </c>
      <c r="S1032" s="411">
        <f t="shared" si="174"/>
        <v>136.21235321410401</v>
      </c>
      <c r="T1032" s="411">
        <v>94.312520194501388</v>
      </c>
      <c r="U1032" s="411">
        <v>94.657071291317195</v>
      </c>
      <c r="V1032" s="411">
        <f t="shared" si="175"/>
        <v>142.32481735115061</v>
      </c>
      <c r="W1032" s="411">
        <v>97.745751233781419</v>
      </c>
      <c r="X1032" s="411">
        <v>98.978802550750387</v>
      </c>
      <c r="Y1032" s="411">
        <f t="shared" si="176"/>
        <v>148.82290147469786</v>
      </c>
      <c r="Z1032" s="411">
        <v>100.56919680868883</v>
      </c>
      <c r="AA1032" s="411">
        <v>102.21053278615622</v>
      </c>
      <c r="AB1032" s="441">
        <f t="shared" si="177"/>
        <v>152.05336172817508</v>
      </c>
      <c r="AC1032" s="438">
        <f t="shared" si="178"/>
        <v>156.59961450397464</v>
      </c>
      <c r="AD1032" s="410"/>
      <c r="AE1032" s="411"/>
      <c r="AF1032" s="411"/>
      <c r="AG1032" s="411"/>
    </row>
    <row r="1033" spans="1:33" s="409" customFormat="1" x14ac:dyDescent="0.2">
      <c r="A1033" s="409" t="s">
        <v>1953</v>
      </c>
      <c r="B1033" s="23" t="str">
        <f>VLOOKUP(LEFT(A1033,7),'[7]Tariff Schedule Lookup Table'!$A$8:$G$186,2,FALSE)</f>
        <v>High Pressure Sodium 600 (Internal Ignitor)</v>
      </c>
      <c r="C1033" s="375">
        <f t="shared" si="179"/>
        <v>190</v>
      </c>
      <c r="D1033" s="23">
        <f t="shared" si="180"/>
        <v>1</v>
      </c>
      <c r="E1033" s="23" t="str">
        <f>VLOOKUP(C1033,'[7]Tariff Schedule Lookup Table'!I$7:L$287,2,FALSE)</f>
        <v>HIGH PRESSURE SODIUM 600W HIGH MAST</v>
      </c>
      <c r="F1033" s="23" t="str">
        <f>IF(E1033 = "BULKHEADS ETC", "SHARED OR NO POLE", VLOOKUP(C1033,'[7]Tariff Schedule Lookup Table'!I$7:L$287,3,FALSE))</f>
        <v>SHARED OR NO POLE</v>
      </c>
      <c r="G1033" s="23">
        <f>IF(E1033 = "NO CAPITAL", 1, VLOOKUP(C1033,'[7]Tariff Schedule Lookup Table'!I$7:L$287,4,FALSE))</f>
        <v>1</v>
      </c>
      <c r="H1033" s="23" t="str">
        <f t="shared" si="181"/>
        <v>1-Unmetered, CE Funded, CE Maintained</v>
      </c>
      <c r="I1033" s="374">
        <f>VLOOKUP(F1033,'Maintenance Model'!$A$57:$B$61,2,FALSE)</f>
        <v>0</v>
      </c>
      <c r="J1033" s="374">
        <f>IF(D1033=1,VLOOKUP(C1033,'Capital Code Schedules'!A$15:F$300,2,FALSE),IF(D1033=2,VLOOKUP(C1033,'Capital Code Schedules'!A$15:F$300,3,FALSE),0))</f>
        <v>137.96112170810926</v>
      </c>
      <c r="K1033" s="374">
        <f>IF(D1033=1,VLOOKUP(C1033,'Capital Code Schedules'!E$15:G$300,2,FALSE),IF(D1033=2,VLOOKUP(C1033,'Capital Code Schedules'!E$15:G$300,3,FALSE),0))</f>
        <v>174.99965124588107</v>
      </c>
      <c r="L1033" s="374">
        <f>VLOOKUP(LEFT(A1033,10),'Streetlight Tariff Schedule'!B$11:H$260,7, FALSE)+I1033</f>
        <v>113.69657406354146</v>
      </c>
      <c r="M1033" s="410">
        <f t="shared" si="172"/>
        <v>288.69622530942252</v>
      </c>
      <c r="N1033" s="411">
        <f t="shared" si="173"/>
        <v>259.8098131581234</v>
      </c>
      <c r="O1033" s="411">
        <v>273.27697095479982</v>
      </c>
      <c r="P1033" s="411">
        <v>265.33786796973249</v>
      </c>
      <c r="Q1033" s="411">
        <v>273.98539108514126</v>
      </c>
      <c r="R1033" s="411">
        <v>282.12098686908899</v>
      </c>
      <c r="S1033" s="411">
        <f t="shared" si="174"/>
        <v>269.10489346819088</v>
      </c>
      <c r="T1033" s="411">
        <v>282.23896250810293</v>
      </c>
      <c r="U1033" s="411">
        <v>291.63867976688516</v>
      </c>
      <c r="V1033" s="411">
        <f t="shared" si="175"/>
        <v>278.80859275794063</v>
      </c>
      <c r="W1033" s="411">
        <v>290.31881467864082</v>
      </c>
      <c r="X1033" s="411">
        <v>302.63347174882438</v>
      </c>
      <c r="Y1033" s="411">
        <f t="shared" si="176"/>
        <v>289.78628438866366</v>
      </c>
      <c r="Z1033" s="411">
        <v>297.90676691135837</v>
      </c>
      <c r="AA1033" s="411">
        <v>311.66765603509572</v>
      </c>
      <c r="AB1033" s="441">
        <f t="shared" si="177"/>
        <v>295.44393687123323</v>
      </c>
      <c r="AC1033" s="438">
        <f t="shared" si="178"/>
        <v>304.152167420193</v>
      </c>
      <c r="AD1033" s="410"/>
      <c r="AE1033" s="411"/>
      <c r="AF1033" s="411"/>
      <c r="AG1033" s="411"/>
    </row>
    <row r="1034" spans="1:33" s="409" customFormat="1" x14ac:dyDescent="0.2">
      <c r="A1034" s="409" t="s">
        <v>1954</v>
      </c>
      <c r="B1034" s="23" t="str">
        <f>VLOOKUP(LEFT(A1034,7),'[7]Tariff Schedule Lookup Table'!$A$8:$G$186,2,FALSE)</f>
        <v>Incandescent 30</v>
      </c>
      <c r="C1034" s="375">
        <f t="shared" si="179"/>
        <v>990</v>
      </c>
      <c r="D1034" s="23">
        <f t="shared" si="180"/>
        <v>2</v>
      </c>
      <c r="E1034" s="23" t="str">
        <f>VLOOKUP(C1034,'[7]Tariff Schedule Lookup Table'!I$7:L$287,2,FALSE)</f>
        <v>MERCURY VAPOUR 80W</v>
      </c>
      <c r="F1034" s="23" t="str">
        <f>IF(E1034 = "BULKHEADS ETC", "SHARED OR NO POLE", VLOOKUP(C1034,'[7]Tariff Schedule Lookup Table'!I$7:L$287,3,FALSE))</f>
        <v>STEEL POLE</v>
      </c>
      <c r="G1034" s="23">
        <f>IF(E1034 = "NO CAPITAL", 1, VLOOKUP(C1034,'[7]Tariff Schedule Lookup Table'!I$7:L$287,4,FALSE))</f>
        <v>1</v>
      </c>
      <c r="H1034" s="23" t="str">
        <f t="shared" si="181"/>
        <v>2-Unmetered, Funded by Others, CE Maintained</v>
      </c>
      <c r="I1034" s="374">
        <f>VLOOKUP(F1034,'Maintenance Model'!$A$57:$B$61,2,FALSE)</f>
        <v>9.9616182311111103</v>
      </c>
      <c r="J1034" s="374">
        <f>IF(D1034=1,VLOOKUP(C1034,'Capital Code Schedules'!A$15:F$300,2,FALSE),IF(D1034=2,VLOOKUP(C1034,'Capital Code Schedules'!A$15:F$300,3,FALSE),0))</f>
        <v>0</v>
      </c>
      <c r="K1034" s="374">
        <f>IF(D1034=1,VLOOKUP(C1034,'Capital Code Schedules'!E$15:G$300,2,FALSE),IF(D1034=2,VLOOKUP(C1034,'Capital Code Schedules'!E$15:G$300,3,FALSE),0))</f>
        <v>0</v>
      </c>
      <c r="L1034" s="374">
        <f>VLOOKUP(LEFT(A1034,10),'Streetlight Tariff Schedule'!B$11:H$260,7, FALSE)+I1034</f>
        <v>28.114623444461895</v>
      </c>
      <c r="M1034" s="410">
        <f t="shared" si="172"/>
        <v>28.114623444461895</v>
      </c>
      <c r="N1034" s="411">
        <f t="shared" si="173"/>
        <v>29.286121075498826</v>
      </c>
      <c r="O1034" s="411">
        <v>72.882605346752399</v>
      </c>
      <c r="P1034" s="411">
        <v>72.882605346752399</v>
      </c>
      <c r="Q1034" s="411">
        <v>76.449397133411068</v>
      </c>
      <c r="R1034" s="411">
        <v>76.449397133411068</v>
      </c>
      <c r="S1034" s="411">
        <f t="shared" si="174"/>
        <v>30.719350521924422</v>
      </c>
      <c r="T1034" s="411">
        <v>79.589264471871374</v>
      </c>
      <c r="U1034" s="411">
        <v>79.880027228629359</v>
      </c>
      <c r="V1034" s="411">
        <f t="shared" si="175"/>
        <v>32.097866669307038</v>
      </c>
      <c r="W1034" s="411">
        <v>82.486529146961971</v>
      </c>
      <c r="X1034" s="411">
        <v>83.52708714680378</v>
      </c>
      <c r="Y1034" s="411">
        <f t="shared" si="176"/>
        <v>33.563349932770187</v>
      </c>
      <c r="Z1034" s="411">
        <v>84.869202795379024</v>
      </c>
      <c r="AA1034" s="411">
        <v>86.254307582404607</v>
      </c>
      <c r="AB1034" s="441">
        <f t="shared" si="177"/>
        <v>34.291900894060205</v>
      </c>
      <c r="AC1034" s="438">
        <f t="shared" si="178"/>
        <v>35.317196539320356</v>
      </c>
      <c r="AD1034" s="410"/>
      <c r="AE1034" s="411"/>
      <c r="AF1034" s="411"/>
      <c r="AG1034" s="411"/>
    </row>
    <row r="1035" spans="1:33" s="409" customFormat="1" x14ac:dyDescent="0.2">
      <c r="A1035" s="409" t="s">
        <v>1955</v>
      </c>
      <c r="B1035" s="23" t="str">
        <f>VLOOKUP(LEFT(A1035,7),'[7]Tariff Schedule Lookup Table'!$A$8:$G$186,2,FALSE)</f>
        <v>Incandescent 60</v>
      </c>
      <c r="C1035" s="375">
        <f t="shared" si="179"/>
        <v>810</v>
      </c>
      <c r="D1035" s="23">
        <f t="shared" si="180"/>
        <v>2</v>
      </c>
      <c r="E1035" s="23" t="str">
        <f>VLOOKUP(C1035,'[7]Tariff Schedule Lookup Table'!I$7:L$287,2,FALSE)</f>
        <v>MERCURY VAPOUR 80W</v>
      </c>
      <c r="F1035" s="23" t="str">
        <f>IF(E1035 = "BULKHEADS ETC", "SHARED OR NO POLE", VLOOKUP(C1035,'[7]Tariff Schedule Lookup Table'!I$7:L$287,3,FALSE))</f>
        <v>WOOD POLE</v>
      </c>
      <c r="G1035" s="23">
        <f>IF(E1035 = "NO CAPITAL", 1, VLOOKUP(C1035,'[7]Tariff Schedule Lookup Table'!I$7:L$287,4,FALSE))</f>
        <v>1</v>
      </c>
      <c r="H1035" s="23" t="str">
        <f t="shared" si="181"/>
        <v>2-Unmetered, Funded by Others, CE Maintained</v>
      </c>
      <c r="I1035" s="374">
        <f>VLOOKUP(F1035,'Maintenance Model'!$A$57:$B$61,2,FALSE)</f>
        <v>10.731618231111112</v>
      </c>
      <c r="J1035" s="374">
        <f>IF(D1035=1,VLOOKUP(C1035,'Capital Code Schedules'!A$15:F$300,2,FALSE),IF(D1035=2,VLOOKUP(C1035,'Capital Code Schedules'!A$15:F$300,3,FALSE),0))</f>
        <v>0</v>
      </c>
      <c r="K1035" s="374">
        <f>IF(D1035=1,VLOOKUP(C1035,'Capital Code Schedules'!E$15:G$300,2,FALSE),IF(D1035=2,VLOOKUP(C1035,'Capital Code Schedules'!E$15:G$300,3,FALSE),0))</f>
        <v>0</v>
      </c>
      <c r="L1035" s="374">
        <f>VLOOKUP(LEFT(A1035,10),'Streetlight Tariff Schedule'!B$11:H$260,7, FALSE)+I1035</f>
        <v>28.884623444461894</v>
      </c>
      <c r="M1035" s="410">
        <f t="shared" si="172"/>
        <v>28.884623444461894</v>
      </c>
      <c r="N1035" s="411">
        <f t="shared" si="173"/>
        <v>30.088205914823828</v>
      </c>
      <c r="O1035" s="411">
        <v>73.68469018607739</v>
      </c>
      <c r="P1035" s="411">
        <v>73.68469018607739</v>
      </c>
      <c r="Q1035" s="411">
        <v>77.290735092235536</v>
      </c>
      <c r="R1035" s="411">
        <v>77.290735092235536</v>
      </c>
      <c r="S1035" s="411">
        <f t="shared" si="174"/>
        <v>31.560688480748883</v>
      </c>
      <c r="T1035" s="411">
        <v>80.465157177712456</v>
      </c>
      <c r="U1035" s="411">
        <v>80.759119825554578</v>
      </c>
      <c r="V1035" s="411">
        <f t="shared" si="175"/>
        <v>32.976959266232249</v>
      </c>
      <c r="W1035" s="411">
        <v>83.394306718339166</v>
      </c>
      <c r="X1035" s="411">
        <v>84.446316226975711</v>
      </c>
      <c r="Y1035" s="411">
        <f t="shared" si="176"/>
        <v>34.482579012942118</v>
      </c>
      <c r="Z1035" s="411">
        <v>85.803202074958918</v>
      </c>
      <c r="AA1035" s="411">
        <v>87.203550163802035</v>
      </c>
      <c r="AB1035" s="441">
        <f t="shared" si="177"/>
        <v>35.231083442266367</v>
      </c>
      <c r="AC1035" s="438">
        <f t="shared" si="178"/>
        <v>36.284459764061623</v>
      </c>
      <c r="AD1035" s="410"/>
      <c r="AE1035" s="411"/>
      <c r="AF1035" s="411"/>
      <c r="AG1035" s="411"/>
    </row>
    <row r="1036" spans="1:33" s="409" customFormat="1" x14ac:dyDescent="0.2">
      <c r="A1036" s="409" t="s">
        <v>1956</v>
      </c>
      <c r="B1036" s="23" t="str">
        <f>VLOOKUP(LEFT(A1036,7),'[7]Tariff Schedule Lookup Table'!$A$8:$G$186,2,FALSE)</f>
        <v>Incandescent 60</v>
      </c>
      <c r="C1036" s="375">
        <f t="shared" si="179"/>
        <v>820</v>
      </c>
      <c r="D1036" s="23">
        <f t="shared" si="180"/>
        <v>2</v>
      </c>
      <c r="E1036" s="23" t="str">
        <f>VLOOKUP(C1036,'[7]Tariff Schedule Lookup Table'!I$7:L$287,2,FALSE)</f>
        <v>MERCURY VAPOUR 80W</v>
      </c>
      <c r="F1036" s="23" t="str">
        <f>IF(E1036 = "BULKHEADS ETC", "SHARED OR NO POLE", VLOOKUP(C1036,'[7]Tariff Schedule Lookup Table'!I$7:L$287,3,FALSE))</f>
        <v>SHARED OR NO POLE</v>
      </c>
      <c r="G1036" s="23">
        <f>IF(E1036 = "NO CAPITAL", 1, VLOOKUP(C1036,'[7]Tariff Schedule Lookup Table'!I$7:L$287,4,FALSE))</f>
        <v>3</v>
      </c>
      <c r="H1036" s="23" t="str">
        <f t="shared" si="181"/>
        <v>2-Unmetered, Funded by Others, CE Maintained</v>
      </c>
      <c r="I1036" s="374">
        <f>VLOOKUP(F1036,'Maintenance Model'!$A$57:$B$61,2,FALSE)</f>
        <v>0</v>
      </c>
      <c r="J1036" s="374">
        <f>IF(D1036=1,VLOOKUP(C1036,'Capital Code Schedules'!A$15:F$300,2,FALSE),IF(D1036=2,VLOOKUP(C1036,'Capital Code Schedules'!A$15:F$300,3,FALSE),0))</f>
        <v>0</v>
      </c>
      <c r="K1036" s="374">
        <f>IF(D1036=1,VLOOKUP(C1036,'Capital Code Schedules'!E$15:G$300,2,FALSE),IF(D1036=2,VLOOKUP(C1036,'Capital Code Schedules'!E$15:G$300,3,FALSE),0))</f>
        <v>0</v>
      </c>
      <c r="L1036" s="374">
        <f>VLOOKUP(LEFT(A1036,10),'Streetlight Tariff Schedule'!B$11:H$260,7, FALSE)+I1036</f>
        <v>18.153005213350784</v>
      </c>
      <c r="M1036" s="410">
        <f t="shared" si="172"/>
        <v>18.153005213350784</v>
      </c>
      <c r="N1036" s="411">
        <f t="shared" si="173"/>
        <v>18.909415934826431</v>
      </c>
      <c r="O1036" s="411">
        <v>63.288490110653221</v>
      </c>
      <c r="P1036" s="411">
        <v>63.288490110653221</v>
      </c>
      <c r="Q1036" s="411">
        <v>66.385756812944152</v>
      </c>
      <c r="R1036" s="411">
        <v>66.385756812944152</v>
      </c>
      <c r="S1036" s="411">
        <f t="shared" si="174"/>
        <v>19.834821237312056</v>
      </c>
      <c r="T1036" s="411">
        <v>69.112298517284614</v>
      </c>
      <c r="U1036" s="411">
        <v>69.364785866880226</v>
      </c>
      <c r="V1036" s="411">
        <f t="shared" si="175"/>
        <v>20.724899344157702</v>
      </c>
      <c r="W1036" s="411">
        <v>71.628173270458291</v>
      </c>
      <c r="X1036" s="411">
        <v>72.53175437008052</v>
      </c>
      <c r="Y1036" s="411">
        <f t="shared" si="176"/>
        <v>21.671130239772459</v>
      </c>
      <c r="Z1036" s="411">
        <v>73.69719669404914</v>
      </c>
      <c r="AA1036" s="411">
        <v>74.899969155308199</v>
      </c>
      <c r="AB1036" s="441">
        <f t="shared" si="177"/>
        <v>22.141539862174664</v>
      </c>
      <c r="AC1036" s="438">
        <f t="shared" si="178"/>
        <v>22.803551118715241</v>
      </c>
      <c r="AD1036" s="410"/>
      <c r="AE1036" s="411"/>
      <c r="AF1036" s="411"/>
      <c r="AG1036" s="411"/>
    </row>
    <row r="1037" spans="1:33" s="409" customFormat="1" x14ac:dyDescent="0.2">
      <c r="A1037" s="409" t="s">
        <v>1957</v>
      </c>
      <c r="B1037" s="23" t="str">
        <f>VLOOKUP(LEFT(A1037,7),'[7]Tariff Schedule Lookup Table'!$A$8:$G$186,2,FALSE)</f>
        <v>Incandescent 60</v>
      </c>
      <c r="C1037" s="375">
        <f t="shared" si="179"/>
        <v>990</v>
      </c>
      <c r="D1037" s="23">
        <f t="shared" si="180"/>
        <v>2</v>
      </c>
      <c r="E1037" s="23" t="str">
        <f>VLOOKUP(C1037,'[7]Tariff Schedule Lookup Table'!I$7:L$287,2,FALSE)</f>
        <v>MERCURY VAPOUR 80W</v>
      </c>
      <c r="F1037" s="23" t="str">
        <f>IF(E1037 = "BULKHEADS ETC", "SHARED OR NO POLE", VLOOKUP(C1037,'[7]Tariff Schedule Lookup Table'!I$7:L$287,3,FALSE))</f>
        <v>STEEL POLE</v>
      </c>
      <c r="G1037" s="23">
        <f>IF(E1037 = "NO CAPITAL", 1, VLOOKUP(C1037,'[7]Tariff Schedule Lookup Table'!I$7:L$287,4,FALSE))</f>
        <v>1</v>
      </c>
      <c r="H1037" s="23" t="str">
        <f t="shared" si="181"/>
        <v>2-Unmetered, Funded by Others, CE Maintained</v>
      </c>
      <c r="I1037" s="374">
        <f>VLOOKUP(F1037,'Maintenance Model'!$A$57:$B$61,2,FALSE)</f>
        <v>9.9616182311111103</v>
      </c>
      <c r="J1037" s="374">
        <f>IF(D1037=1,VLOOKUP(C1037,'Capital Code Schedules'!A$15:F$300,2,FALSE),IF(D1037=2,VLOOKUP(C1037,'Capital Code Schedules'!A$15:F$300,3,FALSE),0))</f>
        <v>0</v>
      </c>
      <c r="K1037" s="374">
        <f>IF(D1037=1,VLOOKUP(C1037,'Capital Code Schedules'!E$15:G$300,2,FALSE),IF(D1037=2,VLOOKUP(C1037,'Capital Code Schedules'!E$15:G$300,3,FALSE),0))</f>
        <v>0</v>
      </c>
      <c r="L1037" s="374">
        <f>VLOOKUP(LEFT(A1037,10),'Streetlight Tariff Schedule'!B$11:H$260,7, FALSE)+I1037</f>
        <v>28.114623444461895</v>
      </c>
      <c r="M1037" s="410">
        <f t="shared" si="172"/>
        <v>28.114623444461895</v>
      </c>
      <c r="N1037" s="411">
        <f t="shared" si="173"/>
        <v>29.286121075498826</v>
      </c>
      <c r="O1037" s="411">
        <v>72.882605346752399</v>
      </c>
      <c r="P1037" s="411">
        <v>72.882605346752399</v>
      </c>
      <c r="Q1037" s="411">
        <v>76.449397133411068</v>
      </c>
      <c r="R1037" s="411">
        <v>76.449397133411068</v>
      </c>
      <c r="S1037" s="411">
        <f t="shared" si="174"/>
        <v>30.719350521924422</v>
      </c>
      <c r="T1037" s="411">
        <v>79.589264471871374</v>
      </c>
      <c r="U1037" s="411">
        <v>79.880027228629359</v>
      </c>
      <c r="V1037" s="411">
        <f t="shared" si="175"/>
        <v>32.097866669307038</v>
      </c>
      <c r="W1037" s="411">
        <v>82.486529146961971</v>
      </c>
      <c r="X1037" s="411">
        <v>83.52708714680378</v>
      </c>
      <c r="Y1037" s="411">
        <f t="shared" si="176"/>
        <v>33.563349932770187</v>
      </c>
      <c r="Z1037" s="411">
        <v>84.869202795379024</v>
      </c>
      <c r="AA1037" s="411">
        <v>86.254307582404607</v>
      </c>
      <c r="AB1037" s="441">
        <f t="shared" si="177"/>
        <v>34.291900894060205</v>
      </c>
      <c r="AC1037" s="438">
        <f t="shared" si="178"/>
        <v>35.317196539320356</v>
      </c>
      <c r="AD1037" s="410"/>
      <c r="AE1037" s="411"/>
      <c r="AF1037" s="411"/>
      <c r="AG1037" s="411"/>
    </row>
    <row r="1038" spans="1:33" s="409" customFormat="1" x14ac:dyDescent="0.2">
      <c r="A1038" s="409" t="s">
        <v>1958</v>
      </c>
      <c r="B1038" s="23" t="str">
        <f>VLOOKUP(LEFT(A1038,7),'[7]Tariff Schedule Lookup Table'!$A$8:$G$186,2,FALSE)</f>
        <v>Incandescent 100</v>
      </c>
      <c r="C1038" s="375">
        <f t="shared" si="179"/>
        <v>810</v>
      </c>
      <c r="D1038" s="23">
        <f t="shared" si="180"/>
        <v>2</v>
      </c>
      <c r="E1038" s="23" t="str">
        <f>VLOOKUP(C1038,'[7]Tariff Schedule Lookup Table'!I$7:L$287,2,FALSE)</f>
        <v>MERCURY VAPOUR 80W</v>
      </c>
      <c r="F1038" s="23" t="str">
        <f>IF(E1038 = "BULKHEADS ETC", "SHARED OR NO POLE", VLOOKUP(C1038,'[7]Tariff Schedule Lookup Table'!I$7:L$287,3,FALSE))</f>
        <v>WOOD POLE</v>
      </c>
      <c r="G1038" s="23">
        <f>IF(E1038 = "NO CAPITAL", 1, VLOOKUP(C1038,'[7]Tariff Schedule Lookup Table'!I$7:L$287,4,FALSE))</f>
        <v>1</v>
      </c>
      <c r="H1038" s="23" t="str">
        <f t="shared" si="181"/>
        <v>2-Unmetered, Funded by Others, CE Maintained</v>
      </c>
      <c r="I1038" s="374">
        <f>VLOOKUP(F1038,'Maintenance Model'!$A$57:$B$61,2,FALSE)</f>
        <v>10.731618231111112</v>
      </c>
      <c r="J1038" s="374">
        <f>IF(D1038=1,VLOOKUP(C1038,'Capital Code Schedules'!A$15:F$300,2,FALSE),IF(D1038=2,VLOOKUP(C1038,'Capital Code Schedules'!A$15:F$300,3,FALSE),0))</f>
        <v>0</v>
      </c>
      <c r="K1038" s="374">
        <f>IF(D1038=1,VLOOKUP(C1038,'Capital Code Schedules'!E$15:G$300,2,FALSE),IF(D1038=2,VLOOKUP(C1038,'Capital Code Schedules'!E$15:G$300,3,FALSE),0))</f>
        <v>0</v>
      </c>
      <c r="L1038" s="374">
        <f>VLOOKUP(LEFT(A1038,10),'Streetlight Tariff Schedule'!B$11:H$260,7, FALSE)+I1038</f>
        <v>28.884623444461894</v>
      </c>
      <c r="M1038" s="410">
        <f t="shared" si="172"/>
        <v>28.884623444461894</v>
      </c>
      <c r="N1038" s="411">
        <f t="shared" si="173"/>
        <v>30.088205914823828</v>
      </c>
      <c r="O1038" s="411">
        <v>73.68469018607739</v>
      </c>
      <c r="P1038" s="411">
        <v>73.68469018607739</v>
      </c>
      <c r="Q1038" s="411">
        <v>77.290735092235536</v>
      </c>
      <c r="R1038" s="411">
        <v>77.290735092235536</v>
      </c>
      <c r="S1038" s="411">
        <f t="shared" si="174"/>
        <v>31.560688480748883</v>
      </c>
      <c r="T1038" s="411">
        <v>80.465157177712456</v>
      </c>
      <c r="U1038" s="411">
        <v>80.759119825554578</v>
      </c>
      <c r="V1038" s="411">
        <f t="shared" si="175"/>
        <v>32.976959266232249</v>
      </c>
      <c r="W1038" s="411">
        <v>83.394306718339166</v>
      </c>
      <c r="X1038" s="411">
        <v>84.446316226975711</v>
      </c>
      <c r="Y1038" s="411">
        <f t="shared" si="176"/>
        <v>34.482579012942118</v>
      </c>
      <c r="Z1038" s="411">
        <v>85.803202074958918</v>
      </c>
      <c r="AA1038" s="411">
        <v>87.203550163802035</v>
      </c>
      <c r="AB1038" s="441">
        <f t="shared" si="177"/>
        <v>35.231083442266367</v>
      </c>
      <c r="AC1038" s="438">
        <f t="shared" si="178"/>
        <v>36.284459764061623</v>
      </c>
      <c r="AD1038" s="410"/>
      <c r="AE1038" s="411"/>
      <c r="AF1038" s="411"/>
      <c r="AG1038" s="411"/>
    </row>
    <row r="1039" spans="1:33" s="409" customFormat="1" x14ac:dyDescent="0.2">
      <c r="A1039" s="409" t="s">
        <v>1959</v>
      </c>
      <c r="B1039" s="23" t="str">
        <f>VLOOKUP(LEFT(A1039,7),'[7]Tariff Schedule Lookup Table'!$A$8:$G$186,2,FALSE)</f>
        <v>Incandescent 100</v>
      </c>
      <c r="C1039" s="375">
        <f t="shared" si="179"/>
        <v>990</v>
      </c>
      <c r="D1039" s="23">
        <f t="shared" si="180"/>
        <v>2</v>
      </c>
      <c r="E1039" s="23" t="str">
        <f>VLOOKUP(C1039,'[7]Tariff Schedule Lookup Table'!I$7:L$287,2,FALSE)</f>
        <v>MERCURY VAPOUR 80W</v>
      </c>
      <c r="F1039" s="23" t="str">
        <f>IF(E1039 = "BULKHEADS ETC", "SHARED OR NO POLE", VLOOKUP(C1039,'[7]Tariff Schedule Lookup Table'!I$7:L$287,3,FALSE))</f>
        <v>STEEL POLE</v>
      </c>
      <c r="G1039" s="23">
        <f>IF(E1039 = "NO CAPITAL", 1, VLOOKUP(C1039,'[7]Tariff Schedule Lookup Table'!I$7:L$287,4,FALSE))</f>
        <v>1</v>
      </c>
      <c r="H1039" s="23" t="str">
        <f t="shared" si="181"/>
        <v>2-Unmetered, Funded by Others, CE Maintained</v>
      </c>
      <c r="I1039" s="374">
        <f>VLOOKUP(F1039,'Maintenance Model'!$A$57:$B$61,2,FALSE)</f>
        <v>9.9616182311111103</v>
      </c>
      <c r="J1039" s="374">
        <f>IF(D1039=1,VLOOKUP(C1039,'Capital Code Schedules'!A$15:F$300,2,FALSE),IF(D1039=2,VLOOKUP(C1039,'Capital Code Schedules'!A$15:F$300,3,FALSE),0))</f>
        <v>0</v>
      </c>
      <c r="K1039" s="374">
        <f>IF(D1039=1,VLOOKUP(C1039,'Capital Code Schedules'!E$15:G$300,2,FALSE),IF(D1039=2,VLOOKUP(C1039,'Capital Code Schedules'!E$15:G$300,3,FALSE),0))</f>
        <v>0</v>
      </c>
      <c r="L1039" s="374">
        <f>VLOOKUP(LEFT(A1039,10),'Streetlight Tariff Schedule'!B$11:H$260,7, FALSE)+I1039</f>
        <v>28.114623444461895</v>
      </c>
      <c r="M1039" s="410">
        <f t="shared" si="172"/>
        <v>28.114623444461895</v>
      </c>
      <c r="N1039" s="411">
        <f t="shared" si="173"/>
        <v>29.286121075498826</v>
      </c>
      <c r="O1039" s="411">
        <v>72.882605346752399</v>
      </c>
      <c r="P1039" s="411">
        <v>72.882605346752399</v>
      </c>
      <c r="Q1039" s="411">
        <v>76.449397133411068</v>
      </c>
      <c r="R1039" s="411">
        <v>76.449397133411068</v>
      </c>
      <c r="S1039" s="411">
        <f t="shared" si="174"/>
        <v>30.719350521924422</v>
      </c>
      <c r="T1039" s="411">
        <v>79.589264471871374</v>
      </c>
      <c r="U1039" s="411">
        <v>79.880027228629359</v>
      </c>
      <c r="V1039" s="411">
        <f t="shared" si="175"/>
        <v>32.097866669307038</v>
      </c>
      <c r="W1039" s="411">
        <v>82.486529146961971</v>
      </c>
      <c r="X1039" s="411">
        <v>83.52708714680378</v>
      </c>
      <c r="Y1039" s="411">
        <f t="shared" si="176"/>
        <v>33.563349932770187</v>
      </c>
      <c r="Z1039" s="411">
        <v>84.869202795379024</v>
      </c>
      <c r="AA1039" s="411">
        <v>86.254307582404607</v>
      </c>
      <c r="AB1039" s="441">
        <f t="shared" si="177"/>
        <v>34.291900894060205</v>
      </c>
      <c r="AC1039" s="438">
        <f t="shared" si="178"/>
        <v>35.317196539320356</v>
      </c>
      <c r="AD1039" s="410"/>
      <c r="AE1039" s="411"/>
      <c r="AF1039" s="411"/>
      <c r="AG1039" s="411"/>
    </row>
    <row r="1040" spans="1:33" s="409" customFormat="1" x14ac:dyDescent="0.2">
      <c r="A1040" s="409" t="s">
        <v>1960</v>
      </c>
      <c r="B1040" s="23" t="str">
        <f>VLOOKUP(LEFT(A1040,7),'[7]Tariff Schedule Lookup Table'!$A$8:$G$186,2,FALSE)</f>
        <v>Incandescent 150</v>
      </c>
      <c r="C1040" s="375">
        <f t="shared" si="179"/>
        <v>820</v>
      </c>
      <c r="D1040" s="23">
        <f t="shared" si="180"/>
        <v>2</v>
      </c>
      <c r="E1040" s="23" t="str">
        <f>VLOOKUP(C1040,'[7]Tariff Schedule Lookup Table'!I$7:L$287,2,FALSE)</f>
        <v>MERCURY VAPOUR 80W</v>
      </c>
      <c r="F1040" s="23" t="str">
        <f>IF(E1040 = "BULKHEADS ETC", "SHARED OR NO POLE", VLOOKUP(C1040,'[7]Tariff Schedule Lookup Table'!I$7:L$287,3,FALSE))</f>
        <v>SHARED OR NO POLE</v>
      </c>
      <c r="G1040" s="23">
        <f>IF(E1040 = "NO CAPITAL", 1, VLOOKUP(C1040,'[7]Tariff Schedule Lookup Table'!I$7:L$287,4,FALSE))</f>
        <v>3</v>
      </c>
      <c r="H1040" s="23" t="str">
        <f t="shared" si="181"/>
        <v>2-Unmetered, Funded by Others, CE Maintained</v>
      </c>
      <c r="I1040" s="374">
        <f>VLOOKUP(F1040,'Maintenance Model'!$A$57:$B$61,2,FALSE)</f>
        <v>0</v>
      </c>
      <c r="J1040" s="374">
        <f>IF(D1040=1,VLOOKUP(C1040,'Capital Code Schedules'!A$15:F$300,2,FALSE),IF(D1040=2,VLOOKUP(C1040,'Capital Code Schedules'!A$15:F$300,3,FALSE),0))</f>
        <v>0</v>
      </c>
      <c r="K1040" s="374">
        <f>IF(D1040=1,VLOOKUP(C1040,'Capital Code Schedules'!E$15:G$300,2,FALSE),IF(D1040=2,VLOOKUP(C1040,'Capital Code Schedules'!E$15:G$300,3,FALSE),0))</f>
        <v>0</v>
      </c>
      <c r="L1040" s="374">
        <f>VLOOKUP(LEFT(A1040,10),'Streetlight Tariff Schedule'!B$11:H$260,7, FALSE)+I1040</f>
        <v>20.903227435573008</v>
      </c>
      <c r="M1040" s="410">
        <f t="shared" si="172"/>
        <v>20.903227435573008</v>
      </c>
      <c r="N1040" s="411">
        <f t="shared" si="173"/>
        <v>21.774236128617545</v>
      </c>
      <c r="O1040" s="411">
        <v>66.153310304444332</v>
      </c>
      <c r="P1040" s="411">
        <v>66.153310304444332</v>
      </c>
      <c r="Q1040" s="411">
        <v>69.390778047694937</v>
      </c>
      <c r="R1040" s="411">
        <v>69.390778047694937</v>
      </c>
      <c r="S1040" s="411">
        <f t="shared" si="174"/>
        <v>22.839842472062848</v>
      </c>
      <c r="T1040" s="411">
        <v>72.240739535319094</v>
      </c>
      <c r="U1040" s="411">
        <v>72.504655990847439</v>
      </c>
      <c r="V1040" s="411">
        <f t="shared" si="175"/>
        <v>23.864769468124923</v>
      </c>
      <c r="W1040" s="411">
        <v>74.870498010245953</v>
      </c>
      <c r="X1040" s="411">
        <v>75.814980660472401</v>
      </c>
      <c r="Y1040" s="411">
        <f t="shared" si="176"/>
        <v>24.954356530164343</v>
      </c>
      <c r="Z1040" s="411">
        <v>77.033177959296111</v>
      </c>
      <c r="AA1040" s="411">
        <v>78.290395183410567</v>
      </c>
      <c r="AB1040" s="441">
        <f t="shared" si="177"/>
        <v>25.496034296979694</v>
      </c>
      <c r="AC1040" s="438">
        <f t="shared" si="178"/>
        <v>26.258341788094153</v>
      </c>
      <c r="AD1040" s="410"/>
      <c r="AE1040" s="411"/>
      <c r="AF1040" s="411"/>
      <c r="AG1040" s="411"/>
    </row>
    <row r="1041" spans="1:33" s="409" customFormat="1" x14ac:dyDescent="0.2">
      <c r="A1041" s="409" t="s">
        <v>1961</v>
      </c>
      <c r="B1041" s="23" t="str">
        <f>VLOOKUP(LEFT(A1041,7),'[7]Tariff Schedule Lookup Table'!$A$8:$G$186,2,FALSE)</f>
        <v>Incandescent 150</v>
      </c>
      <c r="C1041" s="375">
        <f t="shared" si="179"/>
        <v>1000</v>
      </c>
      <c r="D1041" s="23">
        <f t="shared" si="180"/>
        <v>2</v>
      </c>
      <c r="E1041" s="23" t="str">
        <f>VLOOKUP(C1041,'[7]Tariff Schedule Lookup Table'!I$7:L$287,2,FALSE)</f>
        <v>MERCURY VAPOUR 80W</v>
      </c>
      <c r="F1041" s="23" t="str">
        <f>IF(E1041 = "BULKHEADS ETC", "SHARED OR NO POLE", VLOOKUP(C1041,'[7]Tariff Schedule Lookup Table'!I$7:L$287,3,FALSE))</f>
        <v>STEEL POLE</v>
      </c>
      <c r="G1041" s="23">
        <f>IF(E1041 = "NO CAPITAL", 1, VLOOKUP(C1041,'[7]Tariff Schedule Lookup Table'!I$7:L$287,4,FALSE))</f>
        <v>2</v>
      </c>
      <c r="H1041" s="23" t="str">
        <f t="shared" si="181"/>
        <v>2-Unmetered, Funded by Others, CE Maintained</v>
      </c>
      <c r="I1041" s="374">
        <f>VLOOKUP(F1041,'Maintenance Model'!$A$57:$B$61,2,FALSE)</f>
        <v>9.9616182311111103</v>
      </c>
      <c r="J1041" s="374">
        <f>IF(D1041=1,VLOOKUP(C1041,'Capital Code Schedules'!A$15:F$300,2,FALSE),IF(D1041=2,VLOOKUP(C1041,'Capital Code Schedules'!A$15:F$300,3,FALSE),0))</f>
        <v>0</v>
      </c>
      <c r="K1041" s="374">
        <f>IF(D1041=1,VLOOKUP(C1041,'Capital Code Schedules'!E$15:G$300,2,FALSE),IF(D1041=2,VLOOKUP(C1041,'Capital Code Schedules'!E$15:G$300,3,FALSE),0))</f>
        <v>0</v>
      </c>
      <c r="L1041" s="374">
        <f>VLOOKUP(LEFT(A1041,10),'Streetlight Tariff Schedule'!B$11:H$260,7, FALSE)+I1041</f>
        <v>30.864845666684118</v>
      </c>
      <c r="M1041" s="410">
        <f t="shared" si="172"/>
        <v>30.864845666684118</v>
      </c>
      <c r="N1041" s="411">
        <f t="shared" si="173"/>
        <v>32.150941269289937</v>
      </c>
      <c r="O1041" s="411">
        <v>75.747425540543503</v>
      </c>
      <c r="P1041" s="411">
        <v>75.747425540543503</v>
      </c>
      <c r="Q1041" s="411">
        <v>79.454418368161853</v>
      </c>
      <c r="R1041" s="411">
        <v>79.454418368161853</v>
      </c>
      <c r="S1041" s="411">
        <f t="shared" si="174"/>
        <v>33.724371756675211</v>
      </c>
      <c r="T1041" s="411">
        <v>82.717705489905839</v>
      </c>
      <c r="U1041" s="411">
        <v>83.019897352596573</v>
      </c>
      <c r="V1041" s="411">
        <f t="shared" si="175"/>
        <v>35.237736793274259</v>
      </c>
      <c r="W1041" s="411">
        <v>85.728853886749633</v>
      </c>
      <c r="X1041" s="411">
        <v>86.810313437195674</v>
      </c>
      <c r="Y1041" s="411">
        <f t="shared" si="176"/>
        <v>36.846576223162067</v>
      </c>
      <c r="Z1041" s="411">
        <v>88.205184060625996</v>
      </c>
      <c r="AA1041" s="411">
        <v>89.644733610506961</v>
      </c>
      <c r="AB1041" s="441">
        <f t="shared" si="177"/>
        <v>37.646395328865239</v>
      </c>
      <c r="AC1041" s="438">
        <f t="shared" si="178"/>
        <v>38.771987208699279</v>
      </c>
      <c r="AD1041" s="410"/>
      <c r="AE1041" s="411"/>
      <c r="AF1041" s="411"/>
      <c r="AG1041" s="411"/>
    </row>
    <row r="1042" spans="1:33" s="409" customFormat="1" x14ac:dyDescent="0.2">
      <c r="A1042" s="409" t="s">
        <v>1962</v>
      </c>
      <c r="B1042" s="23" t="str">
        <f>VLOOKUP(LEFT(A1042,7),'[7]Tariff Schedule Lookup Table'!$A$8:$G$186,2,FALSE)</f>
        <v>Incandescent 300</v>
      </c>
      <c r="C1042" s="375">
        <f t="shared" si="179"/>
        <v>740</v>
      </c>
      <c r="D1042" s="23">
        <f t="shared" si="180"/>
        <v>2</v>
      </c>
      <c r="E1042" s="23" t="str">
        <f>VLOOKUP(C1042,'[7]Tariff Schedule Lookup Table'!I$7:L$287,2,FALSE)</f>
        <v>MERCURY VAPOUR 80W</v>
      </c>
      <c r="F1042" s="23" t="str">
        <f>IF(E1042 = "BULKHEADS ETC", "SHARED OR NO POLE", VLOOKUP(C1042,'[7]Tariff Schedule Lookup Table'!I$7:L$287,3,FALSE))</f>
        <v>SHARED OR NO POLE</v>
      </c>
      <c r="G1042" s="23">
        <f>IF(E1042 = "NO CAPITAL", 1, VLOOKUP(C1042,'[7]Tariff Schedule Lookup Table'!I$7:L$287,4,FALSE))</f>
        <v>2</v>
      </c>
      <c r="H1042" s="23" t="str">
        <f t="shared" si="181"/>
        <v>2-Unmetered, Funded by Others, CE Maintained</v>
      </c>
      <c r="I1042" s="374">
        <f>VLOOKUP(F1042,'Maintenance Model'!$A$57:$B$61,2,FALSE)</f>
        <v>0</v>
      </c>
      <c r="J1042" s="374">
        <f>IF(D1042=1,VLOOKUP(C1042,'Capital Code Schedules'!A$15:F$300,2,FALSE),IF(D1042=2,VLOOKUP(C1042,'Capital Code Schedules'!A$15:F$300,3,FALSE),0))</f>
        <v>0</v>
      </c>
      <c r="K1042" s="374">
        <f>IF(D1042=1,VLOOKUP(C1042,'Capital Code Schedules'!E$15:G$300,2,FALSE),IF(D1042=2,VLOOKUP(C1042,'Capital Code Schedules'!E$15:G$300,3,FALSE),0))</f>
        <v>0</v>
      </c>
      <c r="L1042" s="374">
        <f>VLOOKUP(LEFT(A1042,10),'Streetlight Tariff Schedule'!B$11:H$260,7, FALSE)+I1042</f>
        <v>20.903227435573008</v>
      </c>
      <c r="M1042" s="410">
        <f t="shared" si="172"/>
        <v>20.903227435573008</v>
      </c>
      <c r="N1042" s="411">
        <f t="shared" si="173"/>
        <v>21.774236128617545</v>
      </c>
      <c r="O1042" s="411">
        <v>66.153310304444332</v>
      </c>
      <c r="P1042" s="411">
        <v>66.153310304444332</v>
      </c>
      <c r="Q1042" s="411">
        <v>69.390778047694937</v>
      </c>
      <c r="R1042" s="411">
        <v>69.390778047694937</v>
      </c>
      <c r="S1042" s="411">
        <f t="shared" si="174"/>
        <v>22.839842472062848</v>
      </c>
      <c r="T1042" s="411">
        <v>72.240739535319094</v>
      </c>
      <c r="U1042" s="411">
        <v>72.504655990847439</v>
      </c>
      <c r="V1042" s="411">
        <f t="shared" si="175"/>
        <v>23.864769468124923</v>
      </c>
      <c r="W1042" s="411">
        <v>74.870498010245953</v>
      </c>
      <c r="X1042" s="411">
        <v>75.814980660472401</v>
      </c>
      <c r="Y1042" s="411">
        <f t="shared" si="176"/>
        <v>24.954356530164343</v>
      </c>
      <c r="Z1042" s="411">
        <v>77.033177959296111</v>
      </c>
      <c r="AA1042" s="411">
        <v>78.290395183410567</v>
      </c>
      <c r="AB1042" s="441">
        <f t="shared" si="177"/>
        <v>25.496034296979694</v>
      </c>
      <c r="AC1042" s="438">
        <f t="shared" si="178"/>
        <v>26.258341788094153</v>
      </c>
      <c r="AD1042" s="410"/>
      <c r="AE1042" s="411"/>
      <c r="AF1042" s="411"/>
      <c r="AG1042" s="411"/>
    </row>
    <row r="1043" spans="1:33" s="409" customFormat="1" x14ac:dyDescent="0.2">
      <c r="A1043" s="409" t="s">
        <v>1963</v>
      </c>
      <c r="B1043" s="23" t="str">
        <f>VLOOKUP(LEFT(A1043,7),'[7]Tariff Schedule Lookup Table'!$A$8:$G$186,2,FALSE)</f>
        <v>Incandescent 1500</v>
      </c>
      <c r="C1043" s="375">
        <f t="shared" si="179"/>
        <v>620</v>
      </c>
      <c r="D1043" s="23">
        <f t="shared" si="180"/>
        <v>1</v>
      </c>
      <c r="E1043" s="23" t="str">
        <f>VLOOKUP(C1043,'[7]Tariff Schedule Lookup Table'!I$7:L$287,2,FALSE)</f>
        <v>METAL HALIDE/HPS 400W FLOOD (310/360)</v>
      </c>
      <c r="F1043" s="23" t="str">
        <f>IF(E1043 = "BULKHEADS ETC", "SHARED OR NO POLE", VLOOKUP(C1043,'[7]Tariff Schedule Lookup Table'!I$7:L$287,3,FALSE))</f>
        <v>SHARED OR NO POLE</v>
      </c>
      <c r="G1043" s="23">
        <f>IF(E1043 = "NO CAPITAL", 1, VLOOKUP(C1043,'[7]Tariff Schedule Lookup Table'!I$7:L$287,4,FALSE))</f>
        <v>1</v>
      </c>
      <c r="H1043" s="23" t="str">
        <f t="shared" si="181"/>
        <v>1-Unmetered, CE Funded, CE Maintained</v>
      </c>
      <c r="I1043" s="374">
        <f>VLOOKUP(F1043,'Maintenance Model'!$A$57:$B$61,2,FALSE)</f>
        <v>0</v>
      </c>
      <c r="J1043" s="374">
        <f>IF(D1043=1,VLOOKUP(C1043,'Capital Code Schedules'!A$15:F$300,2,FALSE),IF(D1043=2,VLOOKUP(C1043,'Capital Code Schedules'!A$15:F$300,3,FALSE),0))</f>
        <v>34.455205908772193</v>
      </c>
      <c r="K1043" s="374">
        <f>IF(D1043=1,VLOOKUP(C1043,'Capital Code Schedules'!E$15:G$300,2,FALSE),IF(D1043=2,VLOOKUP(C1043,'Capital Code Schedules'!E$15:G$300,3,FALSE),0))</f>
        <v>43.705421810047042</v>
      </c>
      <c r="L1043" s="374">
        <f>VLOOKUP(LEFT(A1043,10),'Streetlight Tariff Schedule'!B$11:H$260,7, FALSE)+I1043</f>
        <v>20.903227435573008</v>
      </c>
      <c r="M1043" s="410">
        <f t="shared" ref="M1043:M1106" si="182">IF(VLOOKUP(D1043,A$11:D$15,3,FALSE)="Y",IF(VLOOKUP(D1043,A$11:D$15,4,FALSE)="Y",K1043+L1043,K1043),IF(VLOOKUP(D1043,A$11:D$15,4,FALSE)="Y",L1043,0))</f>
        <v>64.608649245620057</v>
      </c>
      <c r="N1043" s="411">
        <f t="shared" ref="N1043:N1106" si="183">($J1043+$L1043+$L1043*$M$10*$M$14)*(1+$M$12)</f>
        <v>57.082208383631851</v>
      </c>
      <c r="O1043" s="411">
        <v>112.92319865429324</v>
      </c>
      <c r="P1043" s="411">
        <v>110.94044130429005</v>
      </c>
      <c r="Q1043" s="411">
        <v>115.28639053978682</v>
      </c>
      <c r="R1043" s="411">
        <v>117.3182211342026</v>
      </c>
      <c r="S1043" s="411">
        <f t="shared" ref="S1043:S1106" si="184">($J1043+$L1043+$L1043*$N$10*$N$14)*(1+$N$12)</f>
        <v>59.021687040388755</v>
      </c>
      <c r="T1043" s="411">
        <v>119.27226843659025</v>
      </c>
      <c r="U1043" s="411">
        <v>121.79803120532058</v>
      </c>
      <c r="V1043" s="411">
        <f t="shared" ref="V1043:V1106" si="185">($J1043+$L1043+$L1043*$O$10*$O$14)*(1+$O$12)</f>
        <v>61.077796606648121</v>
      </c>
      <c r="W1043" s="411">
        <v>123.06605725182358</v>
      </c>
      <c r="X1043" s="411">
        <v>126.77940129471617</v>
      </c>
      <c r="Y1043" s="411">
        <f t="shared" ref="Y1043:Y1106" si="186">($J1043+$L1043+$L1043*$P$10*$P$14)*(1+$P$12)</f>
        <v>63.428905288683474</v>
      </c>
      <c r="Z1043" s="411">
        <v>126.42157729210277</v>
      </c>
      <c r="AA1043" s="411">
        <v>130.70730180573031</v>
      </c>
      <c r="AB1043" s="441">
        <f t="shared" ref="AB1043:AB1106" si="187">($J1043+$L1043+$L1043*$Q$10*$Q$14)*(1+$Q$12)</f>
        <v>64.647735113648764</v>
      </c>
      <c r="AC1043" s="438">
        <f t="shared" ref="AC1043:AC1106" si="188">($J1043+$L1043+$L1043*$R$10*$R$14)*(1+$R$12)</f>
        <v>66.54935709852829</v>
      </c>
      <c r="AD1043" s="410"/>
      <c r="AE1043" s="411"/>
      <c r="AF1043" s="411"/>
      <c r="AG1043" s="411"/>
    </row>
    <row r="1044" spans="1:33" s="409" customFormat="1" x14ac:dyDescent="0.2">
      <c r="A1044" s="409" t="s">
        <v>1964</v>
      </c>
      <c r="B1044" s="23" t="str">
        <f>VLOOKUP(LEFT(A1044,7),'[7]Tariff Schedule Lookup Table'!$A$8:$G$186,2,FALSE)</f>
        <v>Incandescent 1500</v>
      </c>
      <c r="C1044" s="375">
        <f t="shared" si="179"/>
        <v>620</v>
      </c>
      <c r="D1044" s="23">
        <f t="shared" si="180"/>
        <v>2</v>
      </c>
      <c r="E1044" s="23" t="str">
        <f>VLOOKUP(C1044,'[7]Tariff Schedule Lookup Table'!I$7:L$287,2,FALSE)</f>
        <v>METAL HALIDE/HPS 400W FLOOD (310/360)</v>
      </c>
      <c r="F1044" s="23" t="str">
        <f>IF(E1044 = "BULKHEADS ETC", "SHARED OR NO POLE", VLOOKUP(C1044,'[7]Tariff Schedule Lookup Table'!I$7:L$287,3,FALSE))</f>
        <v>SHARED OR NO POLE</v>
      </c>
      <c r="G1044" s="23">
        <f>IF(E1044 = "NO CAPITAL", 1, VLOOKUP(C1044,'[7]Tariff Schedule Lookup Table'!I$7:L$287,4,FALSE))</f>
        <v>1</v>
      </c>
      <c r="H1044" s="23" t="str">
        <f t="shared" si="181"/>
        <v>2-Unmetered, Funded by Others, CE Maintained</v>
      </c>
      <c r="I1044" s="374">
        <f>VLOOKUP(F1044,'Maintenance Model'!$A$57:$B$61,2,FALSE)</f>
        <v>0</v>
      </c>
      <c r="J1044" s="374">
        <f>IF(D1044=1,VLOOKUP(C1044,'Capital Code Schedules'!A$15:F$300,2,FALSE),IF(D1044=2,VLOOKUP(C1044,'Capital Code Schedules'!A$15:F$300,3,FALSE),0))</f>
        <v>0</v>
      </c>
      <c r="K1044" s="374">
        <f>IF(D1044=1,VLOOKUP(C1044,'Capital Code Schedules'!E$15:G$300,2,FALSE),IF(D1044=2,VLOOKUP(C1044,'Capital Code Schedules'!E$15:G$300,3,FALSE),0))</f>
        <v>0</v>
      </c>
      <c r="L1044" s="374">
        <f>VLOOKUP(LEFT(A1044,10),'Streetlight Tariff Schedule'!B$11:H$260,7, FALSE)+I1044</f>
        <v>20.903227435573008</v>
      </c>
      <c r="M1044" s="410">
        <f t="shared" si="182"/>
        <v>20.903227435573008</v>
      </c>
      <c r="N1044" s="411">
        <f t="shared" si="183"/>
        <v>21.774236128617545</v>
      </c>
      <c r="O1044" s="411">
        <v>66.153310304444332</v>
      </c>
      <c r="P1044" s="411">
        <v>66.153310304444332</v>
      </c>
      <c r="Q1044" s="411">
        <v>69.390778047694937</v>
      </c>
      <c r="R1044" s="411">
        <v>69.390778047694937</v>
      </c>
      <c r="S1044" s="411">
        <f t="shared" si="184"/>
        <v>22.839842472062848</v>
      </c>
      <c r="T1044" s="411">
        <v>72.240739535319094</v>
      </c>
      <c r="U1044" s="411">
        <v>72.504655990847439</v>
      </c>
      <c r="V1044" s="411">
        <f t="shared" si="185"/>
        <v>23.864769468124923</v>
      </c>
      <c r="W1044" s="411">
        <v>74.870498010245953</v>
      </c>
      <c r="X1044" s="411">
        <v>75.814980660472401</v>
      </c>
      <c r="Y1044" s="411">
        <f t="shared" si="186"/>
        <v>24.954356530164343</v>
      </c>
      <c r="Z1044" s="411">
        <v>77.033177959296111</v>
      </c>
      <c r="AA1044" s="411">
        <v>78.290395183410567</v>
      </c>
      <c r="AB1044" s="441">
        <f t="shared" si="187"/>
        <v>25.496034296979694</v>
      </c>
      <c r="AC1044" s="438">
        <f t="shared" si="188"/>
        <v>26.258341788094153</v>
      </c>
      <c r="AD1044" s="410"/>
      <c r="AE1044" s="411"/>
      <c r="AF1044" s="411"/>
      <c r="AG1044" s="411"/>
    </row>
    <row r="1045" spans="1:33" s="409" customFormat="1" x14ac:dyDescent="0.2">
      <c r="A1045" s="409" t="s">
        <v>1965</v>
      </c>
      <c r="B1045" s="23" t="str">
        <f>VLOOKUP(LEFT(A1045,7),'[7]Tariff Schedule Lookup Table'!$A$8:$G$186,2,FALSE)</f>
        <v>Low Pressure Sodium 55</v>
      </c>
      <c r="C1045" s="375">
        <f t="shared" si="179"/>
        <v>350</v>
      </c>
      <c r="D1045" s="23">
        <f t="shared" si="180"/>
        <v>1</v>
      </c>
      <c r="E1045" s="23" t="str">
        <f>VLOOKUP(C1045,'[7]Tariff Schedule Lookup Table'!I$7:L$287,2,FALSE)</f>
        <v>HIGH PRESSURE SODIUM 70W (100)</v>
      </c>
      <c r="F1045" s="23" t="str">
        <f>IF(E1045 = "BULKHEADS ETC", "SHARED OR NO POLE", VLOOKUP(C1045,'[7]Tariff Schedule Lookup Table'!I$7:L$287,3,FALSE))</f>
        <v>WOOD POLE</v>
      </c>
      <c r="G1045" s="23">
        <f>IF(E1045 = "NO CAPITAL", 1, VLOOKUP(C1045,'[7]Tariff Schedule Lookup Table'!I$7:L$287,4,FALSE))</f>
        <v>1</v>
      </c>
      <c r="H1045" s="23" t="str">
        <f t="shared" si="181"/>
        <v>1-Unmetered, CE Funded, CE Maintained</v>
      </c>
      <c r="I1045" s="374">
        <f>VLOOKUP(F1045,'Maintenance Model'!$A$57:$B$61,2,FALSE)</f>
        <v>10.731618231111112</v>
      </c>
      <c r="J1045" s="374">
        <f>IF(D1045=1,VLOOKUP(C1045,'Capital Code Schedules'!A$15:F$300,2,FALSE),IF(D1045=2,VLOOKUP(C1045,'Capital Code Schedules'!A$15:F$300,3,FALSE),0))</f>
        <v>52.384640231006998</v>
      </c>
      <c r="K1045" s="374">
        <f>IF(D1045=1,VLOOKUP(C1045,'Capital Code Schedules'!E$15:G$300,2,FALSE),IF(D1045=2,VLOOKUP(C1045,'Capital Code Schedules'!E$15:G$300,3,FALSE),0))</f>
        <v>66.448385295553337</v>
      </c>
      <c r="L1045" s="374">
        <f>VLOOKUP(LEFT(A1045,10),'Streetlight Tariff Schedule'!B$11:H$260,7, FALSE)+I1045</f>
        <v>63.055344828862886</v>
      </c>
      <c r="M1045" s="410">
        <f t="shared" si="182"/>
        <v>129.50373012441622</v>
      </c>
      <c r="N1045" s="411">
        <f t="shared" si="183"/>
        <v>119.36393426586854</v>
      </c>
      <c r="O1045" s="411">
        <v>128.30775007738117</v>
      </c>
      <c r="P1045" s="411">
        <v>125.29322650377924</v>
      </c>
      <c r="Q1045" s="411">
        <v>129.77784267709026</v>
      </c>
      <c r="R1045" s="411">
        <v>132.86697570913884</v>
      </c>
      <c r="S1045" s="411">
        <f t="shared" si="184"/>
        <v>123.90698321886725</v>
      </c>
      <c r="T1045" s="411">
        <v>133.96910818231643</v>
      </c>
      <c r="U1045" s="411">
        <v>137.63614856205137</v>
      </c>
      <c r="V1045" s="411">
        <f t="shared" si="185"/>
        <v>128.56649114146239</v>
      </c>
      <c r="W1045" s="411">
        <v>138.01271610339464</v>
      </c>
      <c r="X1045" s="411">
        <v>143.03906631284028</v>
      </c>
      <c r="Y1045" s="411">
        <f t="shared" si="186"/>
        <v>133.77124894130421</v>
      </c>
      <c r="Z1045" s="411">
        <v>141.69626050549149</v>
      </c>
      <c r="AA1045" s="411">
        <v>147.3877780427656</v>
      </c>
      <c r="AB1045" s="441">
        <f t="shared" si="187"/>
        <v>136.43476085876884</v>
      </c>
      <c r="AC1045" s="438">
        <f t="shared" si="188"/>
        <v>140.46646797171783</v>
      </c>
      <c r="AD1045" s="410"/>
      <c r="AE1045" s="411"/>
      <c r="AF1045" s="411"/>
      <c r="AG1045" s="411"/>
    </row>
    <row r="1046" spans="1:33" s="409" customFormat="1" x14ac:dyDescent="0.2">
      <c r="A1046" s="409" t="s">
        <v>1966</v>
      </c>
      <c r="B1046" s="23" t="str">
        <f>VLOOKUP(LEFT(A1046,7),'[7]Tariff Schedule Lookup Table'!$A$8:$G$186,2,FALSE)</f>
        <v>Low Pressure Sodium 55</v>
      </c>
      <c r="C1046" s="375">
        <f t="shared" si="179"/>
        <v>350</v>
      </c>
      <c r="D1046" s="23">
        <f t="shared" si="180"/>
        <v>2</v>
      </c>
      <c r="E1046" s="23" t="str">
        <f>VLOOKUP(C1046,'[7]Tariff Schedule Lookup Table'!I$7:L$287,2,FALSE)</f>
        <v>HIGH PRESSURE SODIUM 70W (100)</v>
      </c>
      <c r="F1046" s="23" t="str">
        <f>IF(E1046 = "BULKHEADS ETC", "SHARED OR NO POLE", VLOOKUP(C1046,'[7]Tariff Schedule Lookup Table'!I$7:L$287,3,FALSE))</f>
        <v>WOOD POLE</v>
      </c>
      <c r="G1046" s="23">
        <f>IF(E1046 = "NO CAPITAL", 1, VLOOKUP(C1046,'[7]Tariff Schedule Lookup Table'!I$7:L$287,4,FALSE))</f>
        <v>1</v>
      </c>
      <c r="H1046" s="23" t="str">
        <f t="shared" si="181"/>
        <v>2-Unmetered, Funded by Others, CE Maintained</v>
      </c>
      <c r="I1046" s="374">
        <f>VLOOKUP(F1046,'Maintenance Model'!$A$57:$B$61,2,FALSE)</f>
        <v>10.731618231111112</v>
      </c>
      <c r="J1046" s="374">
        <f>IF(D1046=1,VLOOKUP(C1046,'Capital Code Schedules'!A$15:F$300,2,FALSE),IF(D1046=2,VLOOKUP(C1046,'Capital Code Schedules'!A$15:F$300,3,FALSE),0))</f>
        <v>0</v>
      </c>
      <c r="K1046" s="374">
        <f>IF(D1046=1,VLOOKUP(C1046,'Capital Code Schedules'!E$15:G$300,2,FALSE),IF(D1046=2,VLOOKUP(C1046,'Capital Code Schedules'!E$15:G$300,3,FALSE),0))</f>
        <v>0</v>
      </c>
      <c r="L1046" s="374">
        <f>VLOOKUP(LEFT(A1046,10),'Streetlight Tariff Schedule'!B$11:H$260,7, FALSE)+I1046</f>
        <v>63.055344828862886</v>
      </c>
      <c r="M1046" s="410">
        <f t="shared" si="182"/>
        <v>63.055344828862886</v>
      </c>
      <c r="N1046" s="411">
        <f t="shared" si="183"/>
        <v>65.682774189144112</v>
      </c>
      <c r="O1046" s="411">
        <v>57.200243672160944</v>
      </c>
      <c r="P1046" s="411">
        <v>57.200243672160944</v>
      </c>
      <c r="Q1046" s="411">
        <v>59.999558520389407</v>
      </c>
      <c r="R1046" s="411">
        <v>59.999558520389407</v>
      </c>
      <c r="S1046" s="411">
        <f t="shared" si="184"/>
        <v>68.897214430243906</v>
      </c>
      <c r="T1046" s="411">
        <v>62.463811492737236</v>
      </c>
      <c r="U1046" s="411">
        <v>62.692009983422608</v>
      </c>
      <c r="V1046" s="411">
        <f t="shared" si="185"/>
        <v>71.988943942363278</v>
      </c>
      <c r="W1046" s="411">
        <v>64.737663320748354</v>
      </c>
      <c r="X1046" s="411">
        <v>65.554321436395981</v>
      </c>
      <c r="Y1046" s="411">
        <f t="shared" si="186"/>
        <v>75.275722892155642</v>
      </c>
      <c r="Z1046" s="411">
        <v>66.607650166474713</v>
      </c>
      <c r="AA1046" s="411">
        <v>67.694717937342617</v>
      </c>
      <c r="AB1046" s="441">
        <f t="shared" si="187"/>
        <v>76.909713551155249</v>
      </c>
      <c r="AC1046" s="438">
        <f t="shared" si="188"/>
        <v>79.209241787452697</v>
      </c>
      <c r="AD1046" s="410"/>
      <c r="AE1046" s="411"/>
      <c r="AF1046" s="411"/>
      <c r="AG1046" s="411"/>
    </row>
    <row r="1047" spans="1:33" s="409" customFormat="1" x14ac:dyDescent="0.2">
      <c r="A1047" s="409" t="s">
        <v>1967</v>
      </c>
      <c r="B1047" s="23" t="str">
        <f>VLOOKUP(LEFT(A1047,7),'[7]Tariff Schedule Lookup Table'!$A$8:$G$186,2,FALSE)</f>
        <v>Low Pressure Sodium 55</v>
      </c>
      <c r="C1047" s="375">
        <f t="shared" si="179"/>
        <v>360</v>
      </c>
      <c r="D1047" s="23">
        <f t="shared" si="180"/>
        <v>2</v>
      </c>
      <c r="E1047" s="23" t="str">
        <f>VLOOKUP(C1047,'[7]Tariff Schedule Lookup Table'!I$7:L$287,2,FALSE)</f>
        <v>HIGH PRESSURE SODIUM 70W (100)</v>
      </c>
      <c r="F1047" s="23" t="str">
        <f>IF(E1047 = "BULKHEADS ETC", "SHARED OR NO POLE", VLOOKUP(C1047,'[7]Tariff Schedule Lookup Table'!I$7:L$287,3,FALSE))</f>
        <v>STEEL POLE</v>
      </c>
      <c r="G1047" s="23">
        <f>IF(E1047 = "NO CAPITAL", 1, VLOOKUP(C1047,'[7]Tariff Schedule Lookup Table'!I$7:L$287,4,FALSE))</f>
        <v>1</v>
      </c>
      <c r="H1047" s="23" t="str">
        <f t="shared" si="181"/>
        <v>2-Unmetered, Funded by Others, CE Maintained</v>
      </c>
      <c r="I1047" s="374">
        <f>VLOOKUP(F1047,'Maintenance Model'!$A$57:$B$61,2,FALSE)</f>
        <v>9.9616182311111103</v>
      </c>
      <c r="J1047" s="374">
        <f>IF(D1047=1,VLOOKUP(C1047,'Capital Code Schedules'!A$15:F$300,2,FALSE),IF(D1047=2,VLOOKUP(C1047,'Capital Code Schedules'!A$15:F$300,3,FALSE),0))</f>
        <v>0</v>
      </c>
      <c r="K1047" s="374">
        <f>IF(D1047=1,VLOOKUP(C1047,'Capital Code Schedules'!E$15:G$300,2,FALSE),IF(D1047=2,VLOOKUP(C1047,'Capital Code Schedules'!E$15:G$300,3,FALSE),0))</f>
        <v>0</v>
      </c>
      <c r="L1047" s="374">
        <f>VLOOKUP(LEFT(A1047,10),'Streetlight Tariff Schedule'!B$11:H$260,7, FALSE)+I1047</f>
        <v>62.285344828862883</v>
      </c>
      <c r="M1047" s="410">
        <f t="shared" si="182"/>
        <v>62.285344828862883</v>
      </c>
      <c r="N1047" s="411">
        <f t="shared" si="183"/>
        <v>64.880689349819093</v>
      </c>
      <c r="O1047" s="411">
        <v>56.398158832835939</v>
      </c>
      <c r="P1047" s="411">
        <v>56.398158832835939</v>
      </c>
      <c r="Q1047" s="411">
        <v>59.158220561564946</v>
      </c>
      <c r="R1047" s="411">
        <v>59.158220561564946</v>
      </c>
      <c r="S1047" s="411">
        <f t="shared" si="184"/>
        <v>68.055876471419438</v>
      </c>
      <c r="T1047" s="411">
        <v>61.587918786896132</v>
      </c>
      <c r="U1047" s="411">
        <v>61.812917386497389</v>
      </c>
      <c r="V1047" s="411">
        <f t="shared" si="185"/>
        <v>71.109851345438074</v>
      </c>
      <c r="W1047" s="411">
        <v>63.829885749371151</v>
      </c>
      <c r="X1047" s="411">
        <v>64.63509235622405</v>
      </c>
      <c r="Y1047" s="411">
        <f t="shared" si="186"/>
        <v>74.356493811983697</v>
      </c>
      <c r="Z1047" s="411">
        <v>65.673650886894819</v>
      </c>
      <c r="AA1047" s="411">
        <v>66.745475355945175</v>
      </c>
      <c r="AB1047" s="441">
        <f t="shared" si="187"/>
        <v>75.970531002949073</v>
      </c>
      <c r="AC1047" s="438">
        <f t="shared" si="188"/>
        <v>78.241978562711409</v>
      </c>
      <c r="AD1047" s="410"/>
      <c r="AE1047" s="411"/>
      <c r="AF1047" s="411"/>
      <c r="AG1047" s="411"/>
    </row>
    <row r="1048" spans="1:33" s="409" customFormat="1" x14ac:dyDescent="0.2">
      <c r="A1048" s="409" t="s">
        <v>1968</v>
      </c>
      <c r="B1048" s="23" t="str">
        <f>VLOOKUP(LEFT(A1048,7),'[7]Tariff Schedule Lookup Table'!$A$8:$G$186,2,FALSE)</f>
        <v>Low Pressure Sodium 55</v>
      </c>
      <c r="C1048" s="375">
        <f t="shared" si="179"/>
        <v>890</v>
      </c>
      <c r="D1048" s="23">
        <f t="shared" si="180"/>
        <v>1</v>
      </c>
      <c r="E1048" s="23" t="str">
        <f>VLOOKUP(C1048,'[7]Tariff Schedule Lookup Table'!I$7:L$287,2,FALSE)</f>
        <v>HIGH PRESSURE SODIUM 70W (100)</v>
      </c>
      <c r="F1048" s="23" t="str">
        <f>IF(E1048 = "BULKHEADS ETC", "SHARED OR NO POLE", VLOOKUP(C1048,'[7]Tariff Schedule Lookup Table'!I$7:L$287,3,FALSE))</f>
        <v>SHARED OR NO POLE</v>
      </c>
      <c r="G1048" s="23">
        <f>IF(E1048 = "NO CAPITAL", 1, VLOOKUP(C1048,'[7]Tariff Schedule Lookup Table'!I$7:L$287,4,FALSE))</f>
        <v>2</v>
      </c>
      <c r="H1048" s="23" t="str">
        <f t="shared" si="181"/>
        <v>1-Unmetered, CE Funded, CE Maintained</v>
      </c>
      <c r="I1048" s="374">
        <f>VLOOKUP(F1048,'Maintenance Model'!$A$57:$B$61,2,FALSE)</f>
        <v>0</v>
      </c>
      <c r="J1048" s="374">
        <f>IF(D1048=1,VLOOKUP(C1048,'Capital Code Schedules'!A$15:F$300,2,FALSE),IF(D1048=2,VLOOKUP(C1048,'Capital Code Schedules'!A$15:F$300,3,FALSE),0))</f>
        <v>26.376770440019968</v>
      </c>
      <c r="K1048" s="374">
        <f>IF(D1048=1,VLOOKUP(C1048,'Capital Code Schedules'!E$15:G$300,2,FALSE),IF(D1048=2,VLOOKUP(C1048,'Capital Code Schedules'!E$15:G$300,3,FALSE),0))</f>
        <v>33.458162494229981</v>
      </c>
      <c r="L1048" s="374">
        <f>VLOOKUP(LEFT(A1048,10),'Streetlight Tariff Schedule'!B$11:H$260,7, FALSE)+I1048</f>
        <v>52.323726597751772</v>
      </c>
      <c r="M1048" s="410">
        <f t="shared" si="182"/>
        <v>85.781889091981753</v>
      </c>
      <c r="N1048" s="411">
        <f t="shared" si="183"/>
        <v>81.53357971755716</v>
      </c>
      <c r="O1048" s="411">
        <v>82.608171767546764</v>
      </c>
      <c r="P1048" s="411">
        <v>81.090295612698938</v>
      </c>
      <c r="Q1048" s="411">
        <v>84.229416994455264</v>
      </c>
      <c r="R1048" s="411">
        <v>85.784860584135572</v>
      </c>
      <c r="S1048" s="411">
        <f t="shared" si="184"/>
        <v>84.8699251840507</v>
      </c>
      <c r="T1048" s="411">
        <v>87.115376795312216</v>
      </c>
      <c r="U1048" s="411">
        <v>89.033629357562376</v>
      </c>
      <c r="V1048" s="411">
        <f t="shared" si="185"/>
        <v>88.224871490453808</v>
      </c>
      <c r="W1048" s="411">
        <v>89.867063328954629</v>
      </c>
      <c r="X1048" s="411">
        <v>92.654961730297288</v>
      </c>
      <c r="Y1048" s="411">
        <f t="shared" si="186"/>
        <v>91.918004364389631</v>
      </c>
      <c r="Z1048" s="411">
        <v>92.310342694690235</v>
      </c>
      <c r="AA1048" s="411">
        <v>95.518272340943</v>
      </c>
      <c r="AB1048" s="441">
        <f t="shared" si="187"/>
        <v>93.792285868786294</v>
      </c>
      <c r="AC1048" s="438">
        <f t="shared" si="188"/>
        <v>96.572637612452795</v>
      </c>
      <c r="AD1048" s="410"/>
      <c r="AE1048" s="411"/>
      <c r="AF1048" s="411"/>
      <c r="AG1048" s="411"/>
    </row>
    <row r="1049" spans="1:33" s="409" customFormat="1" x14ac:dyDescent="0.2">
      <c r="A1049" s="409" t="s">
        <v>1969</v>
      </c>
      <c r="B1049" s="23" t="str">
        <f>VLOOKUP(LEFT(A1049,7),'[7]Tariff Schedule Lookup Table'!$A$8:$G$186,2,FALSE)</f>
        <v>Low Pressure Sodium 55</v>
      </c>
      <c r="C1049" s="375">
        <f t="shared" si="179"/>
        <v>890</v>
      </c>
      <c r="D1049" s="23">
        <f t="shared" si="180"/>
        <v>2</v>
      </c>
      <c r="E1049" s="23" t="str">
        <f>VLOOKUP(C1049,'[7]Tariff Schedule Lookup Table'!I$7:L$287,2,FALSE)</f>
        <v>HIGH PRESSURE SODIUM 70W (100)</v>
      </c>
      <c r="F1049" s="23" t="str">
        <f>IF(E1049 = "BULKHEADS ETC", "SHARED OR NO POLE", VLOOKUP(C1049,'[7]Tariff Schedule Lookup Table'!I$7:L$287,3,FALSE))</f>
        <v>SHARED OR NO POLE</v>
      </c>
      <c r="G1049" s="23">
        <f>IF(E1049 = "NO CAPITAL", 1, VLOOKUP(C1049,'[7]Tariff Schedule Lookup Table'!I$7:L$287,4,FALSE))</f>
        <v>2</v>
      </c>
      <c r="H1049" s="23" t="str">
        <f t="shared" si="181"/>
        <v>2-Unmetered, Funded by Others, CE Maintained</v>
      </c>
      <c r="I1049" s="374">
        <f>VLOOKUP(F1049,'Maintenance Model'!$A$57:$B$61,2,FALSE)</f>
        <v>0</v>
      </c>
      <c r="J1049" s="374">
        <f>IF(D1049=1,VLOOKUP(C1049,'Capital Code Schedules'!A$15:F$300,2,FALSE),IF(D1049=2,VLOOKUP(C1049,'Capital Code Schedules'!A$15:F$300,3,FALSE),0))</f>
        <v>0</v>
      </c>
      <c r="K1049" s="374">
        <f>IF(D1049=1,VLOOKUP(C1049,'Capital Code Schedules'!E$15:G$300,2,FALSE),IF(D1049=2,VLOOKUP(C1049,'Capital Code Schedules'!E$15:G$300,3,FALSE),0))</f>
        <v>0</v>
      </c>
      <c r="L1049" s="374">
        <f>VLOOKUP(LEFT(A1049,10),'Streetlight Tariff Schedule'!B$11:H$260,7, FALSE)+I1049</f>
        <v>52.323726597751772</v>
      </c>
      <c r="M1049" s="410">
        <f t="shared" si="182"/>
        <v>52.323726597751772</v>
      </c>
      <c r="N1049" s="411">
        <f t="shared" si="183"/>
        <v>54.503984209146701</v>
      </c>
      <c r="O1049" s="411">
        <v>46.804043596736783</v>
      </c>
      <c r="P1049" s="411">
        <v>46.804043596736783</v>
      </c>
      <c r="Q1049" s="411">
        <v>49.094580241098029</v>
      </c>
      <c r="R1049" s="411">
        <v>49.094580241098029</v>
      </c>
      <c r="S1049" s="411">
        <f t="shared" si="184"/>
        <v>57.171347186807076</v>
      </c>
      <c r="T1049" s="411">
        <v>51.11095283230938</v>
      </c>
      <c r="U1049" s="411">
        <v>51.297676024748256</v>
      </c>
      <c r="V1049" s="411">
        <f t="shared" si="185"/>
        <v>59.736884020288734</v>
      </c>
      <c r="W1049" s="411">
        <v>52.971529872867499</v>
      </c>
      <c r="X1049" s="411">
        <v>53.639759579500783</v>
      </c>
      <c r="Y1049" s="411">
        <f t="shared" si="186"/>
        <v>62.464274118985976</v>
      </c>
      <c r="Z1049" s="411">
        <v>54.501644785564942</v>
      </c>
      <c r="AA1049" s="411">
        <v>55.39113692884878</v>
      </c>
      <c r="AB1049" s="441">
        <f t="shared" si="187"/>
        <v>63.820169971063535</v>
      </c>
      <c r="AC1049" s="438">
        <f t="shared" si="188"/>
        <v>65.728333142106294</v>
      </c>
      <c r="AD1049" s="410"/>
      <c r="AE1049" s="411"/>
      <c r="AF1049" s="411"/>
      <c r="AG1049" s="411"/>
    </row>
    <row r="1050" spans="1:33" s="409" customFormat="1" x14ac:dyDescent="0.2">
      <c r="A1050" s="409" t="s">
        <v>1970</v>
      </c>
      <c r="B1050" s="23" t="str">
        <f>VLOOKUP(LEFT(A1050,7),'[7]Tariff Schedule Lookup Table'!$A$8:$G$186,2,FALSE)</f>
        <v>Low Pressure Sodium 90/100</v>
      </c>
      <c r="C1050" s="375">
        <f t="shared" si="179"/>
        <v>220</v>
      </c>
      <c r="D1050" s="23">
        <f t="shared" si="180"/>
        <v>2</v>
      </c>
      <c r="E1050" s="23" t="str">
        <f>VLOOKUP(C1050,'[7]Tariff Schedule Lookup Table'!I$7:L$287,2,FALSE)</f>
        <v>HIGH PRESSURE SODIUM 150W</v>
      </c>
      <c r="F1050" s="23" t="str">
        <f>IF(E1050 = "BULKHEADS ETC", "SHARED OR NO POLE", VLOOKUP(C1050,'[7]Tariff Schedule Lookup Table'!I$7:L$287,3,FALSE))</f>
        <v>WOOD POLE</v>
      </c>
      <c r="G1050" s="23">
        <f>IF(E1050 = "NO CAPITAL", 1, VLOOKUP(C1050,'[7]Tariff Schedule Lookup Table'!I$7:L$287,4,FALSE))</f>
        <v>1</v>
      </c>
      <c r="H1050" s="23" t="str">
        <f t="shared" si="181"/>
        <v>2-Unmetered, Funded by Others, CE Maintained</v>
      </c>
      <c r="I1050" s="374">
        <f>VLOOKUP(F1050,'Maintenance Model'!$A$57:$B$61,2,FALSE)</f>
        <v>10.731618231111112</v>
      </c>
      <c r="J1050" s="374">
        <f>IF(D1050=1,VLOOKUP(C1050,'Capital Code Schedules'!A$15:F$300,2,FALSE),IF(D1050=2,VLOOKUP(C1050,'Capital Code Schedules'!A$15:F$300,3,FALSE),0))</f>
        <v>0</v>
      </c>
      <c r="K1050" s="374">
        <f>IF(D1050=1,VLOOKUP(C1050,'Capital Code Schedules'!E$15:G$300,2,FALSE),IF(D1050=2,VLOOKUP(C1050,'Capital Code Schedules'!E$15:G$300,3,FALSE),0))</f>
        <v>0</v>
      </c>
      <c r="L1050" s="374">
        <f>VLOOKUP(LEFT(A1050,10),'Streetlight Tariff Schedule'!B$11:H$260,7, FALSE)+I1050</f>
        <v>65.219452082612875</v>
      </c>
      <c r="M1050" s="410">
        <f t="shared" si="182"/>
        <v>65.219452082612875</v>
      </c>
      <c r="N1050" s="411">
        <f t="shared" si="183"/>
        <v>67.937056811100106</v>
      </c>
      <c r="O1050" s="411">
        <v>59.408174250055282</v>
      </c>
      <c r="P1050" s="411">
        <v>59.408174250055282</v>
      </c>
      <c r="Q1050" s="411">
        <v>62.315542708788996</v>
      </c>
      <c r="R1050" s="411">
        <v>62.315542708788996</v>
      </c>
      <c r="S1050" s="411">
        <f t="shared" si="184"/>
        <v>71.261819079006528</v>
      </c>
      <c r="T1050" s="411">
        <v>64.874915896367</v>
      </c>
      <c r="U1050" s="411">
        <v>65.111922853469068</v>
      </c>
      <c r="V1050" s="411">
        <f t="shared" si="185"/>
        <v>74.459659092653879</v>
      </c>
      <c r="W1050" s="411">
        <v>67.236538451535168</v>
      </c>
      <c r="X1050" s="411">
        <v>68.084719587181795</v>
      </c>
      <c r="Y1050" s="411">
        <f t="shared" si="186"/>
        <v>77.859242788594628</v>
      </c>
      <c r="Z1050" s="411">
        <v>69.178706827826403</v>
      </c>
      <c r="AA1050" s="411">
        <v>70.307735436926023</v>
      </c>
      <c r="AB1050" s="441">
        <f t="shared" si="187"/>
        <v>79.549313246179068</v>
      </c>
      <c r="AC1050" s="438">
        <f t="shared" si="188"/>
        <v>81.927763035437351</v>
      </c>
      <c r="AD1050" s="410"/>
      <c r="AE1050" s="411"/>
      <c r="AF1050" s="411"/>
      <c r="AG1050" s="411"/>
    </row>
    <row r="1051" spans="1:33" s="409" customFormat="1" x14ac:dyDescent="0.2">
      <c r="A1051" s="409" t="s">
        <v>1971</v>
      </c>
      <c r="B1051" s="23" t="str">
        <f>VLOOKUP(LEFT(A1051,7),'[7]Tariff Schedule Lookup Table'!$A$8:$G$186,2,FALSE)</f>
        <v>Low Pressure Sodium 90/100</v>
      </c>
      <c r="C1051" s="375">
        <f t="shared" si="179"/>
        <v>310</v>
      </c>
      <c r="D1051" s="23">
        <f t="shared" si="180"/>
        <v>2</v>
      </c>
      <c r="E1051" s="23" t="str">
        <f>VLOOKUP(C1051,'[7]Tariff Schedule Lookup Table'!I$7:L$287,2,FALSE)</f>
        <v>HIGH PRESSURE SODIUM 150W</v>
      </c>
      <c r="F1051" s="23" t="str">
        <f>IF(E1051 = "BULKHEADS ETC", "SHARED OR NO POLE", VLOOKUP(C1051,'[7]Tariff Schedule Lookup Table'!I$7:L$287,3,FALSE))</f>
        <v>STEEL POLE</v>
      </c>
      <c r="G1051" s="23">
        <f>IF(E1051 = "NO CAPITAL", 1, VLOOKUP(C1051,'[7]Tariff Schedule Lookup Table'!I$7:L$287,4,FALSE))</f>
        <v>1</v>
      </c>
      <c r="H1051" s="23" t="str">
        <f t="shared" si="181"/>
        <v>2-Unmetered, Funded by Others, CE Maintained</v>
      </c>
      <c r="I1051" s="374">
        <f>VLOOKUP(F1051,'Maintenance Model'!$A$57:$B$61,2,FALSE)</f>
        <v>9.9616182311111103</v>
      </c>
      <c r="J1051" s="374">
        <f>IF(D1051=1,VLOOKUP(C1051,'Capital Code Schedules'!A$15:F$300,2,FALSE),IF(D1051=2,VLOOKUP(C1051,'Capital Code Schedules'!A$15:F$300,3,FALSE),0))</f>
        <v>0</v>
      </c>
      <c r="K1051" s="374">
        <f>IF(D1051=1,VLOOKUP(C1051,'Capital Code Schedules'!E$15:G$300,2,FALSE),IF(D1051=2,VLOOKUP(C1051,'Capital Code Schedules'!E$15:G$300,3,FALSE),0))</f>
        <v>0</v>
      </c>
      <c r="L1051" s="374">
        <f>VLOOKUP(LEFT(A1051,10),'Streetlight Tariff Schedule'!B$11:H$260,7, FALSE)+I1051</f>
        <v>64.449452082612879</v>
      </c>
      <c r="M1051" s="410">
        <f t="shared" si="182"/>
        <v>64.449452082612879</v>
      </c>
      <c r="N1051" s="411">
        <f t="shared" si="183"/>
        <v>67.134971971775116</v>
      </c>
      <c r="O1051" s="411">
        <v>58.606089410730277</v>
      </c>
      <c r="P1051" s="411">
        <v>58.606089410730277</v>
      </c>
      <c r="Q1051" s="411">
        <v>61.474204749964535</v>
      </c>
      <c r="R1051" s="411">
        <v>61.474204749964535</v>
      </c>
      <c r="S1051" s="411">
        <f t="shared" si="184"/>
        <v>70.420481120182075</v>
      </c>
      <c r="T1051" s="411">
        <v>63.99902319052589</v>
      </c>
      <c r="U1051" s="411">
        <v>64.232830256543849</v>
      </c>
      <c r="V1051" s="411">
        <f t="shared" si="185"/>
        <v>73.580566495728675</v>
      </c>
      <c r="W1051" s="411">
        <v>66.328760880157972</v>
      </c>
      <c r="X1051" s="411">
        <v>67.165490507009849</v>
      </c>
      <c r="Y1051" s="411">
        <f t="shared" si="186"/>
        <v>76.940013708422683</v>
      </c>
      <c r="Z1051" s="411">
        <v>68.24470754824651</v>
      </c>
      <c r="AA1051" s="411">
        <v>69.358492855528581</v>
      </c>
      <c r="AB1051" s="441">
        <f t="shared" si="187"/>
        <v>78.61013069797292</v>
      </c>
      <c r="AC1051" s="438">
        <f t="shared" si="188"/>
        <v>80.960499810696078</v>
      </c>
      <c r="AD1051" s="410"/>
      <c r="AE1051" s="411"/>
      <c r="AF1051" s="411"/>
      <c r="AG1051" s="411"/>
    </row>
    <row r="1052" spans="1:33" s="409" customFormat="1" x14ac:dyDescent="0.2">
      <c r="A1052" s="409" t="s">
        <v>1972</v>
      </c>
      <c r="B1052" s="23" t="str">
        <f>VLOOKUP(LEFT(A1052,7),'[7]Tariff Schedule Lookup Table'!$A$8:$G$186,2,FALSE)</f>
        <v>Low Pressure Sodium 135</v>
      </c>
      <c r="C1052" s="375">
        <f t="shared" si="179"/>
        <v>320</v>
      </c>
      <c r="D1052" s="23">
        <f t="shared" si="180"/>
        <v>2</v>
      </c>
      <c r="E1052" s="23" t="str">
        <f>VLOOKUP(C1052,'[7]Tariff Schedule Lookup Table'!I$7:L$287,2,FALSE)</f>
        <v>HIGH PRESSURE SODIUM 250W (210/220)</v>
      </c>
      <c r="F1052" s="23" t="str">
        <f>IF(E1052 = "BULKHEADS ETC", "SHARED OR NO POLE", VLOOKUP(C1052,'[7]Tariff Schedule Lookup Table'!I$7:L$287,3,FALSE))</f>
        <v>STEEL POLE</v>
      </c>
      <c r="G1052" s="23">
        <f>IF(E1052 = "NO CAPITAL", 1, VLOOKUP(C1052,'[7]Tariff Schedule Lookup Table'!I$7:L$287,4,FALSE))</f>
        <v>1</v>
      </c>
      <c r="H1052" s="23" t="str">
        <f t="shared" si="181"/>
        <v>2-Unmetered, Funded by Others, CE Maintained</v>
      </c>
      <c r="I1052" s="374">
        <f>VLOOKUP(F1052,'Maintenance Model'!$A$57:$B$61,2,FALSE)</f>
        <v>9.9616182311111103</v>
      </c>
      <c r="J1052" s="374">
        <f>IF(D1052=1,VLOOKUP(C1052,'Capital Code Schedules'!A$15:F$300,2,FALSE),IF(D1052=2,VLOOKUP(C1052,'Capital Code Schedules'!A$15:F$300,3,FALSE),0))</f>
        <v>0</v>
      </c>
      <c r="K1052" s="374">
        <f>IF(D1052=1,VLOOKUP(C1052,'Capital Code Schedules'!E$15:G$300,2,FALSE),IF(D1052=2,VLOOKUP(C1052,'Capital Code Schedules'!E$15:G$300,3,FALSE),0))</f>
        <v>0</v>
      </c>
      <c r="L1052" s="374">
        <f>VLOOKUP(LEFT(A1052,10),'Streetlight Tariff Schedule'!B$11:H$260,7, FALSE)+I1052</f>
        <v>67.075922303229547</v>
      </c>
      <c r="M1052" s="410">
        <f t="shared" si="182"/>
        <v>67.075922303229547</v>
      </c>
      <c r="N1052" s="411">
        <f t="shared" si="183"/>
        <v>69.870883588522148</v>
      </c>
      <c r="O1052" s="411">
        <v>61.298233883894021</v>
      </c>
      <c r="P1052" s="411">
        <v>61.298233883894021</v>
      </c>
      <c r="Q1052" s="411">
        <v>64.298099710774736</v>
      </c>
      <c r="R1052" s="411">
        <v>64.298099710774736</v>
      </c>
      <c r="S1052" s="411">
        <f t="shared" si="184"/>
        <v>73.290285138788377</v>
      </c>
      <c r="T1052" s="411">
        <v>66.938898863900988</v>
      </c>
      <c r="U1052" s="411">
        <v>67.183446151743951</v>
      </c>
      <c r="V1052" s="411">
        <f t="shared" si="185"/>
        <v>76.579151595713938</v>
      </c>
      <c r="W1052" s="411">
        <v>69.375655986293864</v>
      </c>
      <c r="X1052" s="411">
        <v>70.250821841583956</v>
      </c>
      <c r="Y1052" s="411">
        <f t="shared" si="186"/>
        <v>80.07550436426223</v>
      </c>
      <c r="Z1052" s="411">
        <v>71.379614075810323</v>
      </c>
      <c r="AA1052" s="411">
        <v>72.544562512887268</v>
      </c>
      <c r="AB1052" s="441">
        <f t="shared" si="187"/>
        <v>81.813682638994166</v>
      </c>
      <c r="AC1052" s="438">
        <f t="shared" si="188"/>
        <v>84.25983494742411</v>
      </c>
      <c r="AD1052" s="410"/>
      <c r="AE1052" s="411"/>
      <c r="AF1052" s="411"/>
      <c r="AG1052" s="411"/>
    </row>
    <row r="1053" spans="1:33" s="409" customFormat="1" x14ac:dyDescent="0.2">
      <c r="A1053" s="409" t="s">
        <v>1973</v>
      </c>
      <c r="B1053" s="23" t="str">
        <f>VLOOKUP(LEFT(A1053,7),'[7]Tariff Schedule Lookup Table'!$A$8:$G$186,2,FALSE)</f>
        <v>Low Pressure Sodium 150</v>
      </c>
      <c r="C1053" s="375">
        <f t="shared" si="179"/>
        <v>60</v>
      </c>
      <c r="D1053" s="23">
        <f t="shared" si="180"/>
        <v>1</v>
      </c>
      <c r="E1053" s="23" t="str">
        <f>VLOOKUP(C1053,'[7]Tariff Schedule Lookup Table'!I$7:L$287,2,FALSE)</f>
        <v>HIGH PRESSURE SODIUM 250W (210/220)</v>
      </c>
      <c r="F1053" s="23" t="str">
        <f>IF(E1053 = "BULKHEADS ETC", "SHARED OR NO POLE", VLOOKUP(C1053,'[7]Tariff Schedule Lookup Table'!I$7:L$287,3,FALSE))</f>
        <v>SHARED OR NO POLE</v>
      </c>
      <c r="G1053" s="23">
        <f>IF(E1053 = "NO CAPITAL", 1, VLOOKUP(C1053,'[7]Tariff Schedule Lookup Table'!I$7:L$287,4,FALSE))</f>
        <v>1</v>
      </c>
      <c r="H1053" s="23" t="str">
        <f t="shared" si="181"/>
        <v>1-Unmetered, CE Funded, CE Maintained</v>
      </c>
      <c r="I1053" s="374">
        <f>VLOOKUP(F1053,'Maintenance Model'!$A$57:$B$61,2,FALSE)</f>
        <v>0</v>
      </c>
      <c r="J1053" s="374">
        <f>IF(D1053=1,VLOOKUP(C1053,'Capital Code Schedules'!A$15:F$300,2,FALSE),IF(D1053=2,VLOOKUP(C1053,'Capital Code Schedules'!A$15:F$300,3,FALSE),0))</f>
        <v>32.138130136529035</v>
      </c>
      <c r="K1053" s="374">
        <f>IF(D1053=1,VLOOKUP(C1053,'Capital Code Schedules'!E$15:G$300,2,FALSE),IF(D1053=2,VLOOKUP(C1053,'Capital Code Schedules'!E$15:G$300,3,FALSE),0))</f>
        <v>40.766278904912198</v>
      </c>
      <c r="L1053" s="374">
        <f>VLOOKUP(LEFT(A1053,10),'Streetlight Tariff Schedule'!B$11:H$260,7, FALSE)+I1053</f>
        <v>62.261757494340657</v>
      </c>
      <c r="M1053" s="410">
        <f t="shared" si="182"/>
        <v>103.02803639925285</v>
      </c>
      <c r="N1053" s="411">
        <f t="shared" si="183"/>
        <v>97.789668020967014</v>
      </c>
      <c r="O1053" s="411">
        <v>99.086103862504629</v>
      </c>
      <c r="P1053" s="411">
        <v>97.236684825152736</v>
      </c>
      <c r="Q1053" s="411">
        <v>100.9848419218503</v>
      </c>
      <c r="R1053" s="411">
        <v>102.88003408037666</v>
      </c>
      <c r="S1053" s="411">
        <f t="shared" si="184"/>
        <v>101.7787580398263</v>
      </c>
      <c r="T1053" s="411">
        <v>104.4337124782576</v>
      </c>
      <c r="U1053" s="411">
        <v>106.76471363701091</v>
      </c>
      <c r="V1053" s="411">
        <f t="shared" si="185"/>
        <v>105.79341302417825</v>
      </c>
      <c r="W1053" s="411">
        <v>107.72419310397214</v>
      </c>
      <c r="X1053" s="411">
        <v>111.09868443911665</v>
      </c>
      <c r="Y1053" s="411">
        <f t="shared" si="186"/>
        <v>110.21551163311034</v>
      </c>
      <c r="Z1053" s="411">
        <v>110.64995797395684</v>
      </c>
      <c r="AA1053" s="411">
        <v>114.52882389689044</v>
      </c>
      <c r="AB1053" s="441">
        <f t="shared" si="187"/>
        <v>112.46055189741297</v>
      </c>
      <c r="AC1053" s="438">
        <f t="shared" si="188"/>
        <v>115.79383607630234</v>
      </c>
      <c r="AD1053" s="410"/>
      <c r="AE1053" s="411"/>
      <c r="AF1053" s="411"/>
      <c r="AG1053" s="411"/>
    </row>
    <row r="1054" spans="1:33" s="409" customFormat="1" x14ac:dyDescent="0.2">
      <c r="A1054" s="409" t="s">
        <v>1974</v>
      </c>
      <c r="B1054" s="23" t="str">
        <f>VLOOKUP(LEFT(A1054,7),'[7]Tariff Schedule Lookup Table'!$A$8:$G$186,2,FALSE)</f>
        <v>Low Pressure Sodium 150</v>
      </c>
      <c r="C1054" s="375">
        <f t="shared" ref="C1054:C1114" si="189">1*MID(A1054,12,4)</f>
        <v>230</v>
      </c>
      <c r="D1054" s="23">
        <f t="shared" ref="D1054:D1114" si="190">1*(MID(A1054,17,3))</f>
        <v>1</v>
      </c>
      <c r="E1054" s="23" t="str">
        <f>VLOOKUP(C1054,'[7]Tariff Schedule Lookup Table'!I$7:L$287,2,FALSE)</f>
        <v>HIGH PRESSURE SODIUM 250W (210/220)</v>
      </c>
      <c r="F1054" s="23" t="str">
        <f>IF(E1054 = "BULKHEADS ETC", "SHARED OR NO POLE", VLOOKUP(C1054,'[7]Tariff Schedule Lookup Table'!I$7:L$287,3,FALSE))</f>
        <v>WOOD POLE</v>
      </c>
      <c r="G1054" s="23">
        <f>IF(E1054 = "NO CAPITAL", 1, VLOOKUP(C1054,'[7]Tariff Schedule Lookup Table'!I$7:L$287,4,FALSE))</f>
        <v>1</v>
      </c>
      <c r="H1054" s="23" t="str">
        <f t="shared" ref="H1054:H1114" si="191">VLOOKUP(D1054,A$11:B$15, 2, FALSE)</f>
        <v>1-Unmetered, CE Funded, CE Maintained</v>
      </c>
      <c r="I1054" s="374">
        <f>VLOOKUP(F1054,'Maintenance Model'!$A$57:$B$61,2,FALSE)</f>
        <v>10.731618231111112</v>
      </c>
      <c r="J1054" s="374">
        <f>IF(D1054=1,VLOOKUP(C1054,'Capital Code Schedules'!A$15:F$300,2,FALSE),IF(D1054=2,VLOOKUP(C1054,'Capital Code Schedules'!A$15:F$300,3,FALSE),0))</f>
        <v>66.039248498405314</v>
      </c>
      <c r="K1054" s="374">
        <f>IF(D1054=1,VLOOKUP(C1054,'Capital Code Schedules'!E$15:G$300,2,FALSE),IF(D1054=2,VLOOKUP(C1054,'Capital Code Schedules'!E$15:G$300,3,FALSE),0))</f>
        <v>83.768856853834222</v>
      </c>
      <c r="L1054" s="374">
        <f>VLOOKUP(LEFT(A1054,10),'Streetlight Tariff Schedule'!B$11:H$260,7, FALSE)+I1054</f>
        <v>72.99337572545177</v>
      </c>
      <c r="M1054" s="410">
        <f t="shared" si="182"/>
        <v>156.76223257928598</v>
      </c>
      <c r="N1054" s="411">
        <f t="shared" si="183"/>
        <v>143.70862904229713</v>
      </c>
      <c r="O1054" s="411">
        <v>155.50006755014076</v>
      </c>
      <c r="P1054" s="411">
        <v>151.69977665373474</v>
      </c>
      <c r="Q1054" s="411">
        <v>157.0473675251902</v>
      </c>
      <c r="R1054" s="411">
        <v>160.94171562128224</v>
      </c>
      <c r="S1054" s="411">
        <f t="shared" si="184"/>
        <v>149.10461555786884</v>
      </c>
      <c r="T1054" s="411">
        <v>162.06176775900414</v>
      </c>
      <c r="U1054" s="411">
        <v>166.65971690025549</v>
      </c>
      <c r="V1054" s="411">
        <f t="shared" si="185"/>
        <v>154.66006294368475</v>
      </c>
      <c r="W1054" s="411">
        <v>166.9108342885246</v>
      </c>
      <c r="X1054" s="411">
        <v>173.15808829000696</v>
      </c>
      <c r="Y1054" s="411">
        <f t="shared" si="186"/>
        <v>160.88278500462491</v>
      </c>
      <c r="Z1054" s="411">
        <v>171.35012865802082</v>
      </c>
      <c r="AA1054" s="411">
        <v>178.40637489620829</v>
      </c>
      <c r="AB1054" s="441">
        <f t="shared" si="187"/>
        <v>164.07218258878046</v>
      </c>
      <c r="AC1054" s="438">
        <f t="shared" si="188"/>
        <v>168.91782456786262</v>
      </c>
      <c r="AD1054" s="410"/>
      <c r="AE1054" s="411"/>
      <c r="AF1054" s="411"/>
      <c r="AG1054" s="411"/>
    </row>
    <row r="1055" spans="1:33" s="409" customFormat="1" x14ac:dyDescent="0.2">
      <c r="A1055" s="409" t="s">
        <v>1975</v>
      </c>
      <c r="B1055" s="23" t="str">
        <f>VLOOKUP(LEFT(A1055,7),'[7]Tariff Schedule Lookup Table'!$A$8:$G$186,2,FALSE)</f>
        <v>Low Pressure Sodium 150</v>
      </c>
      <c r="C1055" s="375">
        <f t="shared" si="189"/>
        <v>320</v>
      </c>
      <c r="D1055" s="23">
        <f t="shared" si="190"/>
        <v>1</v>
      </c>
      <c r="E1055" s="23" t="str">
        <f>VLOOKUP(C1055,'[7]Tariff Schedule Lookup Table'!I$7:L$287,2,FALSE)</f>
        <v>HIGH PRESSURE SODIUM 250W (210/220)</v>
      </c>
      <c r="F1055" s="23" t="str">
        <f>IF(E1055 = "BULKHEADS ETC", "SHARED OR NO POLE", VLOOKUP(C1055,'[7]Tariff Schedule Lookup Table'!I$7:L$287,3,FALSE))</f>
        <v>STEEL POLE</v>
      </c>
      <c r="G1055" s="23">
        <f>IF(E1055 = "NO CAPITAL", 1, VLOOKUP(C1055,'[7]Tariff Schedule Lookup Table'!I$7:L$287,4,FALSE))</f>
        <v>1</v>
      </c>
      <c r="H1055" s="23" t="str">
        <f t="shared" si="191"/>
        <v>1-Unmetered, CE Funded, CE Maintained</v>
      </c>
      <c r="I1055" s="374">
        <f>VLOOKUP(F1055,'Maintenance Model'!$A$57:$B$61,2,FALSE)</f>
        <v>9.9616182311111103</v>
      </c>
      <c r="J1055" s="374">
        <f>IF(D1055=1,VLOOKUP(C1055,'Capital Code Schedules'!A$15:F$300,2,FALSE),IF(D1055=2,VLOOKUP(C1055,'Capital Code Schedules'!A$15:F$300,3,FALSE),0))</f>
        <v>92.322513672035399</v>
      </c>
      <c r="K1055" s="374">
        <f>IF(D1055=1,VLOOKUP(C1055,'Capital Code Schedules'!E$15:G$300,2,FALSE),IF(D1055=2,VLOOKUP(C1055,'Capital Code Schedules'!E$15:G$300,3,FALSE),0))</f>
        <v>117.10841065015505</v>
      </c>
      <c r="L1055" s="374">
        <f>VLOOKUP(LEFT(A1055,10),'Streetlight Tariff Schedule'!B$11:H$260,7, FALSE)+I1055</f>
        <v>72.223375725451774</v>
      </c>
      <c r="M1055" s="410">
        <f t="shared" si="182"/>
        <v>189.33178637560684</v>
      </c>
      <c r="N1055" s="411">
        <f t="shared" si="183"/>
        <v>169.84032018964956</v>
      </c>
      <c r="O1055" s="411">
        <v>190.37518576961926</v>
      </c>
      <c r="P1055" s="411">
        <v>185.06239956718954</v>
      </c>
      <c r="Q1055" s="411">
        <v>191.21631383602681</v>
      </c>
      <c r="R1055" s="411">
        <v>196.66059149696667</v>
      </c>
      <c r="S1055" s="411">
        <f t="shared" si="184"/>
        <v>175.8636645413921</v>
      </c>
      <c r="T1055" s="411">
        <v>197.06266385849827</v>
      </c>
      <c r="U1055" s="411">
        <v>203.38280423212265</v>
      </c>
      <c r="V1055" s="411">
        <f t="shared" si="185"/>
        <v>182.16796831696416</v>
      </c>
      <c r="W1055" s="411">
        <v>202.76779604541463</v>
      </c>
      <c r="X1055" s="411">
        <v>211.11575303821348</v>
      </c>
      <c r="Y1055" s="411">
        <f t="shared" si="186"/>
        <v>189.31287312584752</v>
      </c>
      <c r="Z1055" s="411">
        <v>208.09079600508278</v>
      </c>
      <c r="AA1055" s="411">
        <v>217.44201761729809</v>
      </c>
      <c r="AB1055" s="441">
        <f t="shared" si="187"/>
        <v>192.9988652247134</v>
      </c>
      <c r="AC1055" s="438">
        <f t="shared" si="188"/>
        <v>198.68552320411891</v>
      </c>
      <c r="AD1055" s="410"/>
      <c r="AE1055" s="411"/>
      <c r="AF1055" s="411"/>
      <c r="AG1055" s="411"/>
    </row>
    <row r="1056" spans="1:33" s="409" customFormat="1" x14ac:dyDescent="0.2">
      <c r="A1056" s="409" t="s">
        <v>1976</v>
      </c>
      <c r="B1056" s="23" t="str">
        <f>VLOOKUP(LEFT(A1056,7),'[7]Tariff Schedule Lookup Table'!$A$8:$G$186,2,FALSE)</f>
        <v>Low Pressure Sodium 150</v>
      </c>
      <c r="C1056" s="375">
        <f t="shared" si="189"/>
        <v>390</v>
      </c>
      <c r="D1056" s="23">
        <f t="shared" si="190"/>
        <v>2</v>
      </c>
      <c r="E1056" s="23" t="str">
        <f>VLOOKUP(C1056,'[7]Tariff Schedule Lookup Table'!I$7:L$287,2,FALSE)</f>
        <v>HIGH PRESSURE SODIUM 250W (210/220)</v>
      </c>
      <c r="F1056" s="23" t="str">
        <f>IF(E1056 = "BULKHEADS ETC", "SHARED OR NO POLE", VLOOKUP(C1056,'[7]Tariff Schedule Lookup Table'!I$7:L$287,3,FALSE))</f>
        <v>STEEL POLE</v>
      </c>
      <c r="G1056" s="23">
        <f>IF(E1056 = "NO CAPITAL", 1, VLOOKUP(C1056,'[7]Tariff Schedule Lookup Table'!I$7:L$287,4,FALSE))</f>
        <v>2</v>
      </c>
      <c r="H1056" s="23" t="str">
        <f t="shared" si="191"/>
        <v>2-Unmetered, Funded by Others, CE Maintained</v>
      </c>
      <c r="I1056" s="374">
        <f>VLOOKUP(F1056,'Maintenance Model'!$A$57:$B$61,2,FALSE)</f>
        <v>9.9616182311111103</v>
      </c>
      <c r="J1056" s="374">
        <f>IF(D1056=1,VLOOKUP(C1056,'Capital Code Schedules'!A$15:F$300,2,FALSE),IF(D1056=2,VLOOKUP(C1056,'Capital Code Schedules'!A$15:F$300,3,FALSE),0))</f>
        <v>0</v>
      </c>
      <c r="K1056" s="374">
        <f>IF(D1056=1,VLOOKUP(C1056,'Capital Code Schedules'!E$15:G$300,2,FALSE),IF(D1056=2,VLOOKUP(C1056,'Capital Code Schedules'!E$15:G$300,3,FALSE),0))</f>
        <v>0</v>
      </c>
      <c r="L1056" s="374">
        <f>VLOOKUP(LEFT(A1056,10),'Streetlight Tariff Schedule'!B$11:H$260,7, FALSE)+I1056</f>
        <v>72.223375725451774</v>
      </c>
      <c r="M1056" s="410">
        <f t="shared" si="182"/>
        <v>72.223375725451774</v>
      </c>
      <c r="N1056" s="411">
        <f t="shared" si="183"/>
        <v>75.232824304231286</v>
      </c>
      <c r="O1056" s="411">
        <v>65.055555753443116</v>
      </c>
      <c r="P1056" s="411">
        <v>65.055555753443116</v>
      </c>
      <c r="Q1056" s="411">
        <v>68.239300637890196</v>
      </c>
      <c r="R1056" s="411">
        <v>68.239300637890196</v>
      </c>
      <c r="S1056" s="411">
        <f t="shared" si="184"/>
        <v>78.914633132809684</v>
      </c>
      <c r="T1056" s="411">
        <v>71.04196958370774</v>
      </c>
      <c r="U1056" s="411">
        <v>71.301506583562485</v>
      </c>
      <c r="V1056" s="411">
        <f t="shared" si="185"/>
        <v>82.455889513237182</v>
      </c>
      <c r="W1056" s="411">
        <v>73.628089587323046</v>
      </c>
      <c r="X1056" s="411">
        <v>74.55689939936714</v>
      </c>
      <c r="Y1056" s="411">
        <f t="shared" si="186"/>
        <v>86.220554850674191</v>
      </c>
      <c r="Z1056" s="411">
        <v>75.754881812153471</v>
      </c>
      <c r="AA1056" s="411">
        <v>76.991236649744593</v>
      </c>
      <c r="AB1056" s="441">
        <f t="shared" si="187"/>
        <v>88.092122147897001</v>
      </c>
      <c r="AC1056" s="438">
        <f t="shared" si="188"/>
        <v>90.725993903767161</v>
      </c>
      <c r="AD1056" s="410"/>
      <c r="AE1056" s="411"/>
      <c r="AF1056" s="411"/>
      <c r="AG1056" s="411"/>
    </row>
    <row r="1057" spans="1:33" s="409" customFormat="1" x14ac:dyDescent="0.2">
      <c r="A1057" s="409" t="s">
        <v>1977</v>
      </c>
      <c r="B1057" s="23" t="str">
        <f>VLOOKUP(LEFT(A1057,7),'[7]Tariff Schedule Lookup Table'!$A$8:$G$186,2,FALSE)</f>
        <v>Low Pressure Sodium 150</v>
      </c>
      <c r="C1057" s="375">
        <f t="shared" si="189"/>
        <v>470</v>
      </c>
      <c r="D1057" s="23">
        <f t="shared" si="190"/>
        <v>2</v>
      </c>
      <c r="E1057" s="23" t="str">
        <f>VLOOKUP(C1057,'[7]Tariff Schedule Lookup Table'!I$7:L$287,2,FALSE)</f>
        <v>HIGH PRESSURE SODIUM 250W (210/220)</v>
      </c>
      <c r="F1057" s="23" t="str">
        <f>IF(E1057 = "BULKHEADS ETC", "SHARED OR NO POLE", VLOOKUP(C1057,'[7]Tariff Schedule Lookup Table'!I$7:L$287,3,FALSE))</f>
        <v>STEEL POLE</v>
      </c>
      <c r="G1057" s="23">
        <f>IF(E1057 = "NO CAPITAL", 1, VLOOKUP(C1057,'[7]Tariff Schedule Lookup Table'!I$7:L$287,4,FALSE))</f>
        <v>4</v>
      </c>
      <c r="H1057" s="23" t="str">
        <f t="shared" si="191"/>
        <v>2-Unmetered, Funded by Others, CE Maintained</v>
      </c>
      <c r="I1057" s="374">
        <f>VLOOKUP(F1057,'Maintenance Model'!$A$57:$B$61,2,FALSE)</f>
        <v>9.9616182311111103</v>
      </c>
      <c r="J1057" s="374">
        <f>IF(D1057=1,VLOOKUP(C1057,'Capital Code Schedules'!A$15:F$300,2,FALSE),IF(D1057=2,VLOOKUP(C1057,'Capital Code Schedules'!A$15:F$300,3,FALSE),0))</f>
        <v>0</v>
      </c>
      <c r="K1057" s="374">
        <f>IF(D1057=1,VLOOKUP(C1057,'Capital Code Schedules'!E$15:G$300,2,FALSE),IF(D1057=2,VLOOKUP(C1057,'Capital Code Schedules'!E$15:G$300,3,FALSE),0))</f>
        <v>0</v>
      </c>
      <c r="L1057" s="374">
        <f>VLOOKUP(LEFT(A1057,10),'Streetlight Tariff Schedule'!B$11:H$260,7, FALSE)+I1057</f>
        <v>72.223375725451774</v>
      </c>
      <c r="M1057" s="410">
        <f t="shared" si="182"/>
        <v>72.223375725451774</v>
      </c>
      <c r="N1057" s="411">
        <f t="shared" si="183"/>
        <v>75.232824304231286</v>
      </c>
      <c r="O1057" s="411">
        <v>65.055555753443116</v>
      </c>
      <c r="P1057" s="411">
        <v>65.055555753443116</v>
      </c>
      <c r="Q1057" s="411">
        <v>68.239300637890196</v>
      </c>
      <c r="R1057" s="411">
        <v>68.239300637890196</v>
      </c>
      <c r="S1057" s="411">
        <f t="shared" si="184"/>
        <v>78.914633132809684</v>
      </c>
      <c r="T1057" s="411">
        <v>71.04196958370774</v>
      </c>
      <c r="U1057" s="411">
        <v>71.301506583562485</v>
      </c>
      <c r="V1057" s="411">
        <f t="shared" si="185"/>
        <v>82.455889513237182</v>
      </c>
      <c r="W1057" s="411">
        <v>73.628089587323046</v>
      </c>
      <c r="X1057" s="411">
        <v>74.55689939936714</v>
      </c>
      <c r="Y1057" s="411">
        <f t="shared" si="186"/>
        <v>86.220554850674191</v>
      </c>
      <c r="Z1057" s="411">
        <v>75.754881812153471</v>
      </c>
      <c r="AA1057" s="411">
        <v>76.991236649744593</v>
      </c>
      <c r="AB1057" s="441">
        <f t="shared" si="187"/>
        <v>88.092122147897001</v>
      </c>
      <c r="AC1057" s="438">
        <f t="shared" si="188"/>
        <v>90.725993903767161</v>
      </c>
      <c r="AD1057" s="410"/>
      <c r="AE1057" s="411"/>
      <c r="AF1057" s="411"/>
      <c r="AG1057" s="411"/>
    </row>
    <row r="1058" spans="1:33" s="409" customFormat="1" x14ac:dyDescent="0.2">
      <c r="A1058" s="409" t="s">
        <v>1978</v>
      </c>
      <c r="B1058" s="23" t="str">
        <f>VLOOKUP(LEFT(A1058,7),'[7]Tariff Schedule Lookup Table'!$A$8:$G$186,2,FALSE)</f>
        <v>Low Pressure Sodium 150</v>
      </c>
      <c r="C1058" s="375">
        <f t="shared" si="189"/>
        <v>590</v>
      </c>
      <c r="D1058" s="23">
        <f t="shared" si="190"/>
        <v>2</v>
      </c>
      <c r="E1058" s="23" t="str">
        <f>VLOOKUP(C1058,'[7]Tariff Schedule Lookup Table'!I$7:L$287,2,FALSE)</f>
        <v>HIGH PRESSURE SODIUM 250W (210/220)</v>
      </c>
      <c r="F1058" s="23" t="str">
        <f>IF(E1058 = "BULKHEADS ETC", "SHARED OR NO POLE", VLOOKUP(C1058,'[7]Tariff Schedule Lookup Table'!I$7:L$287,3,FALSE))</f>
        <v>R/BOUT COLUMN</v>
      </c>
      <c r="G1058" s="23">
        <f>IF(E1058 = "NO CAPITAL", 1, VLOOKUP(C1058,'[7]Tariff Schedule Lookup Table'!I$7:L$287,4,FALSE))</f>
        <v>4</v>
      </c>
      <c r="H1058" s="23" t="str">
        <f t="shared" si="191"/>
        <v>2-Unmetered, Funded by Others, CE Maintained</v>
      </c>
      <c r="I1058" s="374">
        <f>VLOOKUP(F1058,'Maintenance Model'!$A$57:$B$61,2,FALSE)</f>
        <v>9.9616182311111103</v>
      </c>
      <c r="J1058" s="374">
        <f>IF(D1058=1,VLOOKUP(C1058,'Capital Code Schedules'!A$15:F$300,2,FALSE),IF(D1058=2,VLOOKUP(C1058,'Capital Code Schedules'!A$15:F$300,3,FALSE),0))</f>
        <v>0</v>
      </c>
      <c r="K1058" s="374">
        <f>IF(D1058=1,VLOOKUP(C1058,'Capital Code Schedules'!E$15:G$300,2,FALSE),IF(D1058=2,VLOOKUP(C1058,'Capital Code Schedules'!E$15:G$300,3,FALSE),0))</f>
        <v>0</v>
      </c>
      <c r="L1058" s="374">
        <f>VLOOKUP(LEFT(A1058,10),'Streetlight Tariff Schedule'!B$11:H$260,7, FALSE)+I1058</f>
        <v>72.223375725451774</v>
      </c>
      <c r="M1058" s="410">
        <f t="shared" si="182"/>
        <v>72.223375725451774</v>
      </c>
      <c r="N1058" s="411">
        <f t="shared" si="183"/>
        <v>75.232824304231286</v>
      </c>
      <c r="O1058" s="411">
        <v>65.055555753443116</v>
      </c>
      <c r="P1058" s="411">
        <v>65.055555753443116</v>
      </c>
      <c r="Q1058" s="411">
        <v>68.239300637890196</v>
      </c>
      <c r="R1058" s="411">
        <v>68.239300637890196</v>
      </c>
      <c r="S1058" s="411">
        <f t="shared" si="184"/>
        <v>78.914633132809684</v>
      </c>
      <c r="T1058" s="411">
        <v>71.04196958370774</v>
      </c>
      <c r="U1058" s="411">
        <v>71.301506583562485</v>
      </c>
      <c r="V1058" s="411">
        <f t="shared" si="185"/>
        <v>82.455889513237182</v>
      </c>
      <c r="W1058" s="411">
        <v>73.628089587323046</v>
      </c>
      <c r="X1058" s="411">
        <v>74.55689939936714</v>
      </c>
      <c r="Y1058" s="411">
        <f t="shared" si="186"/>
        <v>86.220554850674191</v>
      </c>
      <c r="Z1058" s="411">
        <v>75.754881812153471</v>
      </c>
      <c r="AA1058" s="411">
        <v>76.991236649744593</v>
      </c>
      <c r="AB1058" s="441">
        <f t="shared" si="187"/>
        <v>88.092122147897001</v>
      </c>
      <c r="AC1058" s="438">
        <f t="shared" si="188"/>
        <v>90.725993903767161</v>
      </c>
      <c r="AD1058" s="410"/>
      <c r="AE1058" s="411"/>
      <c r="AF1058" s="411"/>
      <c r="AG1058" s="411"/>
    </row>
    <row r="1059" spans="1:33" s="409" customFormat="1" x14ac:dyDescent="0.2">
      <c r="A1059" s="409" t="s">
        <v>1979</v>
      </c>
      <c r="B1059" s="23" t="str">
        <f>VLOOKUP(LEFT(A1059,7),'[7]Tariff Schedule Lookup Table'!$A$8:$G$186,2,FALSE)</f>
        <v>Low Pressure Sodium 150</v>
      </c>
      <c r="C1059" s="375">
        <f t="shared" si="189"/>
        <v>960</v>
      </c>
      <c r="D1059" s="23">
        <f t="shared" si="190"/>
        <v>2</v>
      </c>
      <c r="E1059" s="23" t="str">
        <f>VLOOKUP(C1059,'[7]Tariff Schedule Lookup Table'!I$7:L$287,2,FALSE)</f>
        <v>HIGH PRESSURE SODIUM 250W (210/220)</v>
      </c>
      <c r="F1059" s="23" t="str">
        <f>IF(E1059 = "BULKHEADS ETC", "SHARED OR NO POLE", VLOOKUP(C1059,'[7]Tariff Schedule Lookup Table'!I$7:L$287,3,FALSE))</f>
        <v>SHARED OR NO POLE</v>
      </c>
      <c r="G1059" s="23">
        <f>IF(E1059 = "NO CAPITAL", 1, VLOOKUP(C1059,'[7]Tariff Schedule Lookup Table'!I$7:L$287,4,FALSE))</f>
        <v>2</v>
      </c>
      <c r="H1059" s="23" t="str">
        <f t="shared" si="191"/>
        <v>2-Unmetered, Funded by Others, CE Maintained</v>
      </c>
      <c r="I1059" s="374">
        <f>VLOOKUP(F1059,'Maintenance Model'!$A$57:$B$61,2,FALSE)</f>
        <v>0</v>
      </c>
      <c r="J1059" s="374">
        <f>IF(D1059=1,VLOOKUP(C1059,'Capital Code Schedules'!A$15:F$300,2,FALSE),IF(D1059=2,VLOOKUP(C1059,'Capital Code Schedules'!A$15:F$300,3,FALSE),0))</f>
        <v>0</v>
      </c>
      <c r="K1059" s="374">
        <f>IF(D1059=1,VLOOKUP(C1059,'Capital Code Schedules'!E$15:G$300,2,FALSE),IF(D1059=2,VLOOKUP(C1059,'Capital Code Schedules'!E$15:G$300,3,FALSE),0))</f>
        <v>0</v>
      </c>
      <c r="L1059" s="374">
        <f>VLOOKUP(LEFT(A1059,10),'Streetlight Tariff Schedule'!B$11:H$260,7, FALSE)+I1059</f>
        <v>62.261757494340657</v>
      </c>
      <c r="M1059" s="410">
        <f t="shared" si="182"/>
        <v>62.261757494340657</v>
      </c>
      <c r="N1059" s="411">
        <f t="shared" si="183"/>
        <v>64.856119163558887</v>
      </c>
      <c r="O1059" s="411">
        <v>55.461440517343959</v>
      </c>
      <c r="P1059" s="411">
        <v>55.461440517343959</v>
      </c>
      <c r="Q1059" s="411">
        <v>58.175660317423272</v>
      </c>
      <c r="R1059" s="411">
        <v>58.175660317423272</v>
      </c>
      <c r="S1059" s="411">
        <f t="shared" si="184"/>
        <v>68.030103848197314</v>
      </c>
      <c r="T1059" s="411">
        <v>60.56500362912098</v>
      </c>
      <c r="U1059" s="411">
        <v>60.786265221813359</v>
      </c>
      <c r="V1059" s="411">
        <f t="shared" si="185"/>
        <v>71.082922188087835</v>
      </c>
      <c r="W1059" s="411">
        <v>62.769733710819388</v>
      </c>
      <c r="X1059" s="411">
        <v>63.56156662264388</v>
      </c>
      <c r="Y1059" s="411">
        <f t="shared" si="186"/>
        <v>74.328335157676463</v>
      </c>
      <c r="Z1059" s="411">
        <v>64.582875710823572</v>
      </c>
      <c r="AA1059" s="411">
        <v>65.636898222648199</v>
      </c>
      <c r="AB1059" s="441">
        <f t="shared" si="187"/>
        <v>75.941761116011449</v>
      </c>
      <c r="AC1059" s="438">
        <f t="shared" si="188"/>
        <v>78.212348483162046</v>
      </c>
      <c r="AD1059" s="410"/>
      <c r="AE1059" s="411"/>
      <c r="AF1059" s="411"/>
      <c r="AG1059" s="411"/>
    </row>
    <row r="1060" spans="1:33" s="409" customFormat="1" x14ac:dyDescent="0.2">
      <c r="A1060" s="409" t="s">
        <v>1980</v>
      </c>
      <c r="B1060" s="23" t="str">
        <f>VLOOKUP(LEFT(A1060,7),'[7]Tariff Schedule Lookup Table'!$A$8:$G$186,2,FALSE)</f>
        <v>Low Pressure Sodium 180</v>
      </c>
      <c r="C1060" s="375">
        <f t="shared" si="189"/>
        <v>60</v>
      </c>
      <c r="D1060" s="23">
        <f t="shared" si="190"/>
        <v>1</v>
      </c>
      <c r="E1060" s="23" t="str">
        <f>VLOOKUP(C1060,'[7]Tariff Schedule Lookup Table'!I$7:L$287,2,FALSE)</f>
        <v>HIGH PRESSURE SODIUM 250W (210/220)</v>
      </c>
      <c r="F1060" s="23" t="str">
        <f>IF(E1060 = "BULKHEADS ETC", "SHARED OR NO POLE", VLOOKUP(C1060,'[7]Tariff Schedule Lookup Table'!I$7:L$287,3,FALSE))</f>
        <v>SHARED OR NO POLE</v>
      </c>
      <c r="G1060" s="23">
        <f>IF(E1060 = "NO CAPITAL", 1, VLOOKUP(C1060,'[7]Tariff Schedule Lookup Table'!I$7:L$287,4,FALSE))</f>
        <v>1</v>
      </c>
      <c r="H1060" s="23" t="str">
        <f t="shared" si="191"/>
        <v>1-Unmetered, CE Funded, CE Maintained</v>
      </c>
      <c r="I1060" s="374">
        <f>VLOOKUP(F1060,'Maintenance Model'!$A$57:$B$61,2,FALSE)</f>
        <v>0</v>
      </c>
      <c r="J1060" s="374">
        <f>IF(D1060=1,VLOOKUP(C1060,'Capital Code Schedules'!A$15:F$300,2,FALSE),IF(D1060=2,VLOOKUP(C1060,'Capital Code Schedules'!A$15:F$300,3,FALSE),0))</f>
        <v>32.138130136529035</v>
      </c>
      <c r="K1060" s="374">
        <f>IF(D1060=1,VLOOKUP(C1060,'Capital Code Schedules'!E$15:G$300,2,FALSE),IF(D1060=2,VLOOKUP(C1060,'Capital Code Schedules'!E$15:G$300,3,FALSE),0))</f>
        <v>40.766278904912198</v>
      </c>
      <c r="L1060" s="374">
        <f>VLOOKUP(LEFT(A1060,10),'Streetlight Tariff Schedule'!B$11:H$260,7, FALSE)+I1060</f>
        <v>62.261757494340657</v>
      </c>
      <c r="M1060" s="410">
        <f t="shared" si="182"/>
        <v>103.02803639925285</v>
      </c>
      <c r="N1060" s="411">
        <f t="shared" si="183"/>
        <v>97.789668020967014</v>
      </c>
      <c r="O1060" s="411">
        <v>99.086103862504629</v>
      </c>
      <c r="P1060" s="411">
        <v>97.236684825152736</v>
      </c>
      <c r="Q1060" s="411">
        <v>100.9848419218503</v>
      </c>
      <c r="R1060" s="411">
        <v>102.88003408037666</v>
      </c>
      <c r="S1060" s="411">
        <f t="shared" si="184"/>
        <v>101.7787580398263</v>
      </c>
      <c r="T1060" s="411">
        <v>104.4337124782576</v>
      </c>
      <c r="U1060" s="411">
        <v>106.76471363701091</v>
      </c>
      <c r="V1060" s="411">
        <f t="shared" si="185"/>
        <v>105.79341302417825</v>
      </c>
      <c r="W1060" s="411">
        <v>107.72419310397214</v>
      </c>
      <c r="X1060" s="411">
        <v>111.09868443911665</v>
      </c>
      <c r="Y1060" s="411">
        <f t="shared" si="186"/>
        <v>110.21551163311034</v>
      </c>
      <c r="Z1060" s="411">
        <v>110.64995797395684</v>
      </c>
      <c r="AA1060" s="411">
        <v>114.52882389689044</v>
      </c>
      <c r="AB1060" s="441">
        <f t="shared" si="187"/>
        <v>112.46055189741297</v>
      </c>
      <c r="AC1060" s="438">
        <f t="shared" si="188"/>
        <v>115.79383607630234</v>
      </c>
      <c r="AD1060" s="410"/>
      <c r="AE1060" s="411"/>
      <c r="AF1060" s="411"/>
      <c r="AG1060" s="411"/>
    </row>
    <row r="1061" spans="1:33" s="409" customFormat="1" x14ac:dyDescent="0.2">
      <c r="A1061" s="409" t="s">
        <v>1981</v>
      </c>
      <c r="B1061" s="23" t="str">
        <f>VLOOKUP(LEFT(A1061,7),'[7]Tariff Schedule Lookup Table'!$A$8:$G$186,2,FALSE)</f>
        <v>Low Pressure Sodium 180</v>
      </c>
      <c r="C1061" s="375">
        <f t="shared" si="189"/>
        <v>60</v>
      </c>
      <c r="D1061" s="23">
        <f t="shared" si="190"/>
        <v>2</v>
      </c>
      <c r="E1061" s="23" t="str">
        <f>VLOOKUP(C1061,'[7]Tariff Schedule Lookup Table'!I$7:L$287,2,FALSE)</f>
        <v>HIGH PRESSURE SODIUM 250W (210/220)</v>
      </c>
      <c r="F1061" s="23" t="str">
        <f>IF(E1061 = "BULKHEADS ETC", "SHARED OR NO POLE", VLOOKUP(C1061,'[7]Tariff Schedule Lookup Table'!I$7:L$287,3,FALSE))</f>
        <v>SHARED OR NO POLE</v>
      </c>
      <c r="G1061" s="23">
        <f>IF(E1061 = "NO CAPITAL", 1, VLOOKUP(C1061,'[7]Tariff Schedule Lookup Table'!I$7:L$287,4,FALSE))</f>
        <v>1</v>
      </c>
      <c r="H1061" s="23" t="str">
        <f t="shared" si="191"/>
        <v>2-Unmetered, Funded by Others, CE Maintained</v>
      </c>
      <c r="I1061" s="374">
        <f>VLOOKUP(F1061,'Maintenance Model'!$A$57:$B$61,2,FALSE)</f>
        <v>0</v>
      </c>
      <c r="J1061" s="374">
        <f>IF(D1061=1,VLOOKUP(C1061,'Capital Code Schedules'!A$15:F$300,2,FALSE),IF(D1061=2,VLOOKUP(C1061,'Capital Code Schedules'!A$15:F$300,3,FALSE),0))</f>
        <v>0</v>
      </c>
      <c r="K1061" s="374">
        <f>IF(D1061=1,VLOOKUP(C1061,'Capital Code Schedules'!E$15:G$300,2,FALSE),IF(D1061=2,VLOOKUP(C1061,'Capital Code Schedules'!E$15:G$300,3,FALSE),0))</f>
        <v>0</v>
      </c>
      <c r="L1061" s="374">
        <f>VLOOKUP(LEFT(A1061,10),'Streetlight Tariff Schedule'!B$11:H$260,7, FALSE)+I1061</f>
        <v>62.261757494340657</v>
      </c>
      <c r="M1061" s="410">
        <f t="shared" si="182"/>
        <v>62.261757494340657</v>
      </c>
      <c r="N1061" s="411">
        <f t="shared" si="183"/>
        <v>64.856119163558887</v>
      </c>
      <c r="O1061" s="411">
        <v>55.461440517343959</v>
      </c>
      <c r="P1061" s="411">
        <v>55.461440517343959</v>
      </c>
      <c r="Q1061" s="411">
        <v>58.175660317423272</v>
      </c>
      <c r="R1061" s="411">
        <v>58.175660317423272</v>
      </c>
      <c r="S1061" s="411">
        <f t="shared" si="184"/>
        <v>68.030103848197314</v>
      </c>
      <c r="T1061" s="411">
        <v>60.56500362912098</v>
      </c>
      <c r="U1061" s="411">
        <v>60.786265221813359</v>
      </c>
      <c r="V1061" s="411">
        <f t="shared" si="185"/>
        <v>71.082922188087835</v>
      </c>
      <c r="W1061" s="411">
        <v>62.769733710819388</v>
      </c>
      <c r="X1061" s="411">
        <v>63.56156662264388</v>
      </c>
      <c r="Y1061" s="411">
        <f t="shared" si="186"/>
        <v>74.328335157676463</v>
      </c>
      <c r="Z1061" s="411">
        <v>64.582875710823572</v>
      </c>
      <c r="AA1061" s="411">
        <v>65.636898222648199</v>
      </c>
      <c r="AB1061" s="441">
        <f t="shared" si="187"/>
        <v>75.941761116011449</v>
      </c>
      <c r="AC1061" s="438">
        <f t="shared" si="188"/>
        <v>78.212348483162046</v>
      </c>
      <c r="AD1061" s="410"/>
      <c r="AE1061" s="411"/>
      <c r="AF1061" s="411"/>
      <c r="AG1061" s="411"/>
    </row>
    <row r="1062" spans="1:33" s="409" customFormat="1" x14ac:dyDescent="0.2">
      <c r="A1062" s="409" t="s">
        <v>1982</v>
      </c>
      <c r="B1062" s="23" t="str">
        <f>VLOOKUP(LEFT(A1062,7),'[7]Tariff Schedule Lookup Table'!$A$8:$G$186,2,FALSE)</f>
        <v>Metal Hallide (Reactor Control Gear) 70</v>
      </c>
      <c r="C1062" s="375">
        <f t="shared" si="189"/>
        <v>730</v>
      </c>
      <c r="D1062" s="23">
        <f t="shared" si="190"/>
        <v>2</v>
      </c>
      <c r="E1062" s="23" t="str">
        <f>VLOOKUP(C1062,'[7]Tariff Schedule Lookup Table'!I$7:L$287,2,FALSE)</f>
        <v>HIGH PRESSURE SODIUM 70W (100)</v>
      </c>
      <c r="F1062" s="23" t="str">
        <f>IF(E1062 = "BULKHEADS ETC", "SHARED OR NO POLE", VLOOKUP(C1062,'[7]Tariff Schedule Lookup Table'!I$7:L$287,3,FALSE))</f>
        <v>STEEL POLE</v>
      </c>
      <c r="G1062" s="23">
        <f>IF(E1062 = "NO CAPITAL", 1, VLOOKUP(C1062,'[7]Tariff Schedule Lookup Table'!I$7:L$287,4,FALSE))</f>
        <v>2</v>
      </c>
      <c r="H1062" s="23" t="str">
        <f t="shared" si="191"/>
        <v>2-Unmetered, Funded by Others, CE Maintained</v>
      </c>
      <c r="I1062" s="374">
        <f>VLOOKUP(F1062,'Maintenance Model'!$A$57:$B$61,2,FALSE)</f>
        <v>9.9616182311111103</v>
      </c>
      <c r="J1062" s="374">
        <f>IF(D1062=1,VLOOKUP(C1062,'Capital Code Schedules'!A$15:F$300,2,FALSE),IF(D1062=2,VLOOKUP(C1062,'Capital Code Schedules'!A$15:F$300,3,FALSE),0))</f>
        <v>0</v>
      </c>
      <c r="K1062" s="374">
        <f>IF(D1062=1,VLOOKUP(C1062,'Capital Code Schedules'!E$15:G$300,2,FALSE),IF(D1062=2,VLOOKUP(C1062,'Capital Code Schedules'!E$15:G$300,3,FALSE),0))</f>
        <v>0</v>
      </c>
      <c r="L1062" s="374">
        <f>VLOOKUP(LEFT(A1062,10),'Streetlight Tariff Schedule'!B$11:H$260,7, FALSE)+I1062</f>
        <v>75.173393331387587</v>
      </c>
      <c r="M1062" s="410">
        <f t="shared" si="182"/>
        <v>75.173393331387587</v>
      </c>
      <c r="N1062" s="411">
        <f t="shared" si="183"/>
        <v>78.305765080157201</v>
      </c>
      <c r="O1062" s="411">
        <v>65.562293041465367</v>
      </c>
      <c r="P1062" s="411">
        <v>65.562293041465367</v>
      </c>
      <c r="Q1062" s="411">
        <v>68.770837072269941</v>
      </c>
      <c r="R1062" s="411">
        <v>68.770837072269941</v>
      </c>
      <c r="S1062" s="411">
        <f t="shared" si="184"/>
        <v>82.137960134204818</v>
      </c>
      <c r="T1062" s="411">
        <v>71.595336849357466</v>
      </c>
      <c r="U1062" s="411">
        <v>71.856895460955059</v>
      </c>
      <c r="V1062" s="411">
        <f t="shared" si="185"/>
        <v>85.823861770610179</v>
      </c>
      <c r="W1062" s="411">
        <v>74.201600919408833</v>
      </c>
      <c r="X1062" s="411">
        <v>75.13764551040137</v>
      </c>
      <c r="Y1062" s="411">
        <f t="shared" si="186"/>
        <v>89.74229766936952</v>
      </c>
      <c r="Z1062" s="411">
        <v>76.34495936847199</v>
      </c>
      <c r="AA1062" s="411">
        <v>77.590944545704033</v>
      </c>
      <c r="AB1062" s="441">
        <f t="shared" si="187"/>
        <v>91.690310527631851</v>
      </c>
      <c r="AC1062" s="438">
        <f t="shared" si="188"/>
        <v>94.431764738261947</v>
      </c>
      <c r="AD1062" s="410"/>
      <c r="AE1062" s="411"/>
      <c r="AF1062" s="411"/>
      <c r="AG1062" s="411"/>
    </row>
    <row r="1063" spans="1:33" s="409" customFormat="1" x14ac:dyDescent="0.2">
      <c r="A1063" s="409" t="s">
        <v>1983</v>
      </c>
      <c r="B1063" s="23" t="str">
        <f>VLOOKUP(LEFT(A1063,7),'[7]Tariff Schedule Lookup Table'!$A$8:$G$186,2,FALSE)</f>
        <v>Metal Hallide (Reactor Control Gear) 100</v>
      </c>
      <c r="C1063" s="375">
        <f t="shared" si="189"/>
        <v>730</v>
      </c>
      <c r="D1063" s="23">
        <f t="shared" si="190"/>
        <v>1</v>
      </c>
      <c r="E1063" s="23" t="str">
        <f>VLOOKUP(C1063,'[7]Tariff Schedule Lookup Table'!I$7:L$287,2,FALSE)</f>
        <v>HIGH PRESSURE SODIUM 70W (100)</v>
      </c>
      <c r="F1063" s="23" t="str">
        <f>IF(E1063 = "BULKHEADS ETC", "SHARED OR NO POLE", VLOOKUP(C1063,'[7]Tariff Schedule Lookup Table'!I$7:L$287,3,FALSE))</f>
        <v>STEEL POLE</v>
      </c>
      <c r="G1063" s="23">
        <f>IF(E1063 = "NO CAPITAL", 1, VLOOKUP(C1063,'[7]Tariff Schedule Lookup Table'!I$7:L$287,4,FALSE))</f>
        <v>2</v>
      </c>
      <c r="H1063" s="23" t="str">
        <f t="shared" si="191"/>
        <v>1-Unmetered, CE Funded, CE Maintained</v>
      </c>
      <c r="I1063" s="374">
        <f>VLOOKUP(F1063,'Maintenance Model'!$A$57:$B$61,2,FALSE)</f>
        <v>9.9616182311111103</v>
      </c>
      <c r="J1063" s="374">
        <f>IF(D1063=1,VLOOKUP(C1063,'Capital Code Schedules'!A$15:F$300,2,FALSE),IF(D1063=2,VLOOKUP(C1063,'Capital Code Schedules'!A$15:F$300,3,FALSE),0))</f>
        <v>95.375404459541258</v>
      </c>
      <c r="K1063" s="374">
        <f>IF(D1063=1,VLOOKUP(C1063,'Capital Code Schedules'!E$15:G$300,2,FALSE),IF(D1063=2,VLOOKUP(C1063,'Capital Code Schedules'!E$15:G$300,3,FALSE),0))</f>
        <v>120.98091339941246</v>
      </c>
      <c r="L1063" s="374">
        <f>VLOOKUP(LEFT(A1063,10),'Streetlight Tariff Schedule'!B$11:H$260,7, FALSE)+I1063</f>
        <v>75.173393331387587</v>
      </c>
      <c r="M1063" s="410">
        <f t="shared" si="182"/>
        <v>196.15430673080004</v>
      </c>
      <c r="N1063" s="411">
        <f t="shared" si="183"/>
        <v>176.04171080007211</v>
      </c>
      <c r="O1063" s="411">
        <v>195.02595173226271</v>
      </c>
      <c r="P1063" s="411">
        <v>189.53748404751326</v>
      </c>
      <c r="Q1063" s="411">
        <v>195.81441405571752</v>
      </c>
      <c r="R1063" s="411">
        <v>201.43872131566454</v>
      </c>
      <c r="S1063" s="411">
        <f t="shared" si="184"/>
        <v>182.29287051068764</v>
      </c>
      <c r="T1063" s="411">
        <v>201.78324236314538</v>
      </c>
      <c r="U1063" s="411">
        <v>208.30581440528638</v>
      </c>
      <c r="V1063" s="411">
        <f t="shared" si="185"/>
        <v>188.83318709282273</v>
      </c>
      <c r="W1063" s="411">
        <v>207.61165709466303</v>
      </c>
      <c r="X1063" s="411">
        <v>216.21218280694555</v>
      </c>
      <c r="Y1063" s="411">
        <f t="shared" si="186"/>
        <v>196.24363912000507</v>
      </c>
      <c r="Z1063" s="411">
        <v>213.05691443406371</v>
      </c>
      <c r="AA1063" s="411">
        <v>222.6861061551997</v>
      </c>
      <c r="AB1063" s="441">
        <f t="shared" si="187"/>
        <v>200.06607558779862</v>
      </c>
      <c r="AC1063" s="438">
        <f t="shared" si="188"/>
        <v>205.96126456167957</v>
      </c>
      <c r="AD1063" s="410"/>
      <c r="AE1063" s="411"/>
      <c r="AF1063" s="411"/>
      <c r="AG1063" s="411"/>
    </row>
    <row r="1064" spans="1:33" s="409" customFormat="1" x14ac:dyDescent="0.2">
      <c r="A1064" s="409" t="s">
        <v>1984</v>
      </c>
      <c r="B1064" s="23" t="str">
        <f>VLOOKUP(LEFT(A1064,7),'[7]Tariff Schedule Lookup Table'!$A$8:$G$186,2,FALSE)</f>
        <v>Metal Hallide (Reactor Control Gear) 150</v>
      </c>
      <c r="C1064" s="375">
        <f t="shared" si="189"/>
        <v>220</v>
      </c>
      <c r="D1064" s="23">
        <f t="shared" si="190"/>
        <v>2</v>
      </c>
      <c r="E1064" s="23" t="str">
        <f>VLOOKUP(C1064,'[7]Tariff Schedule Lookup Table'!I$7:L$287,2,FALSE)</f>
        <v>HIGH PRESSURE SODIUM 150W</v>
      </c>
      <c r="F1064" s="23" t="str">
        <f>IF(E1064 = "BULKHEADS ETC", "SHARED OR NO POLE", VLOOKUP(C1064,'[7]Tariff Schedule Lookup Table'!I$7:L$287,3,FALSE))</f>
        <v>WOOD POLE</v>
      </c>
      <c r="G1064" s="23">
        <f>IF(E1064 = "NO CAPITAL", 1, VLOOKUP(C1064,'[7]Tariff Schedule Lookup Table'!I$7:L$287,4,FALSE))</f>
        <v>1</v>
      </c>
      <c r="H1064" s="23" t="str">
        <f t="shared" si="191"/>
        <v>2-Unmetered, Funded by Others, CE Maintained</v>
      </c>
      <c r="I1064" s="374">
        <f>VLOOKUP(F1064,'Maintenance Model'!$A$57:$B$61,2,FALSE)</f>
        <v>10.731618231111112</v>
      </c>
      <c r="J1064" s="374">
        <f>IF(D1064=1,VLOOKUP(C1064,'Capital Code Schedules'!A$15:F$300,2,FALSE),IF(D1064=2,VLOOKUP(C1064,'Capital Code Schedules'!A$15:F$300,3,FALSE),0))</f>
        <v>0</v>
      </c>
      <c r="K1064" s="374">
        <f>IF(D1064=1,VLOOKUP(C1064,'Capital Code Schedules'!E$15:G$300,2,FALSE),IF(D1064=2,VLOOKUP(C1064,'Capital Code Schedules'!E$15:G$300,3,FALSE),0))</f>
        <v>0</v>
      </c>
      <c r="L1064" s="374">
        <f>VLOOKUP(LEFT(A1064,10),'Streetlight Tariff Schedule'!B$11:H$260,7, FALSE)+I1064</f>
        <v>81.723672886943135</v>
      </c>
      <c r="M1064" s="410">
        <f t="shared" si="182"/>
        <v>81.723672886943135</v>
      </c>
      <c r="N1064" s="411">
        <f t="shared" si="183"/>
        <v>85.128985761782658</v>
      </c>
      <c r="O1064" s="411">
        <v>70.121699750339474</v>
      </c>
      <c r="P1064" s="411">
        <v>70.121699750339474</v>
      </c>
      <c r="Q1064" s="411">
        <v>73.553375958209855</v>
      </c>
      <c r="R1064" s="411">
        <v>73.553375958209855</v>
      </c>
      <c r="S1064" s="411">
        <f t="shared" si="184"/>
        <v>89.295101473166739</v>
      </c>
      <c r="T1064" s="411">
        <v>76.574300275005314</v>
      </c>
      <c r="U1064" s="411">
        <v>76.854048489698812</v>
      </c>
      <c r="V1064" s="411">
        <f t="shared" si="185"/>
        <v>93.302176400583463</v>
      </c>
      <c r="W1064" s="411">
        <v>79.361812091815239</v>
      </c>
      <c r="X1064" s="411">
        <v>80.362952148356513</v>
      </c>
      <c r="Y1064" s="411">
        <f t="shared" si="186"/>
        <v>97.562047605372584</v>
      </c>
      <c r="Z1064" s="411">
        <v>81.654226384395031</v>
      </c>
      <c r="AA1064" s="411">
        <v>82.986861263958815</v>
      </c>
      <c r="AB1064" s="441">
        <f t="shared" si="187"/>
        <v>99.679801754189469</v>
      </c>
      <c r="AC1064" s="438">
        <f t="shared" si="188"/>
        <v>102.66013425237036</v>
      </c>
      <c r="AD1064" s="410"/>
      <c r="AE1064" s="411"/>
      <c r="AF1064" s="411"/>
      <c r="AG1064" s="411"/>
    </row>
    <row r="1065" spans="1:33" s="409" customFormat="1" x14ac:dyDescent="0.2">
      <c r="A1065" s="409" t="s">
        <v>1985</v>
      </c>
      <c r="B1065" s="23" t="str">
        <f>VLOOKUP(LEFT(A1065,7),'[7]Tariff Schedule Lookup Table'!$A$8:$G$186,2,FALSE)</f>
        <v>Metal Hallide (Reactor Control Gear) 150</v>
      </c>
      <c r="C1065" s="375">
        <f t="shared" si="189"/>
        <v>690</v>
      </c>
      <c r="D1065" s="23">
        <f t="shared" si="190"/>
        <v>2</v>
      </c>
      <c r="E1065" s="23" t="str">
        <f>VLOOKUP(C1065,'[7]Tariff Schedule Lookup Table'!I$7:L$287,2,FALSE)</f>
        <v>HIGH PRESSURE SODIUM 150W</v>
      </c>
      <c r="F1065" s="23" t="str">
        <f>IF(E1065 = "BULKHEADS ETC", "SHARED OR NO POLE", VLOOKUP(C1065,'[7]Tariff Schedule Lookup Table'!I$7:L$287,3,FALSE))</f>
        <v>STEEL POLE</v>
      </c>
      <c r="G1065" s="23">
        <f>IF(E1065 = "NO CAPITAL", 1, VLOOKUP(C1065,'[7]Tariff Schedule Lookup Table'!I$7:L$287,4,FALSE))</f>
        <v>2</v>
      </c>
      <c r="H1065" s="23" t="str">
        <f t="shared" si="191"/>
        <v>2-Unmetered, Funded by Others, CE Maintained</v>
      </c>
      <c r="I1065" s="374">
        <f>VLOOKUP(F1065,'Maintenance Model'!$A$57:$B$61,2,FALSE)</f>
        <v>9.9616182311111103</v>
      </c>
      <c r="J1065" s="374">
        <f>IF(D1065=1,VLOOKUP(C1065,'Capital Code Schedules'!A$15:F$300,2,FALSE),IF(D1065=2,VLOOKUP(C1065,'Capital Code Schedules'!A$15:F$300,3,FALSE),0))</f>
        <v>0</v>
      </c>
      <c r="K1065" s="374">
        <f>IF(D1065=1,VLOOKUP(C1065,'Capital Code Schedules'!E$15:G$300,2,FALSE),IF(D1065=2,VLOOKUP(C1065,'Capital Code Schedules'!E$15:G$300,3,FALSE),0))</f>
        <v>0</v>
      </c>
      <c r="L1065" s="374">
        <f>VLOOKUP(LEFT(A1065,10),'Streetlight Tariff Schedule'!B$11:H$260,7, FALSE)+I1065</f>
        <v>80.953672886943139</v>
      </c>
      <c r="M1065" s="410">
        <f t="shared" si="182"/>
        <v>80.953672886943139</v>
      </c>
      <c r="N1065" s="411">
        <f t="shared" si="183"/>
        <v>84.326900922457668</v>
      </c>
      <c r="O1065" s="411">
        <v>69.319614911014469</v>
      </c>
      <c r="P1065" s="411">
        <v>69.319614911014469</v>
      </c>
      <c r="Q1065" s="411">
        <v>72.712037999385402</v>
      </c>
      <c r="R1065" s="411">
        <v>72.712037999385402</v>
      </c>
      <c r="S1065" s="411">
        <f t="shared" si="184"/>
        <v>88.453763514342285</v>
      </c>
      <c r="T1065" s="411">
        <v>75.698407569164203</v>
      </c>
      <c r="U1065" s="411">
        <v>75.974955892773608</v>
      </c>
      <c r="V1065" s="411">
        <f t="shared" si="185"/>
        <v>92.423083803658272</v>
      </c>
      <c r="W1065" s="411">
        <v>78.454034520438043</v>
      </c>
      <c r="X1065" s="411">
        <v>79.443723068184568</v>
      </c>
      <c r="Y1065" s="411">
        <f t="shared" si="186"/>
        <v>96.642818525200653</v>
      </c>
      <c r="Z1065" s="411">
        <v>80.720227104815152</v>
      </c>
      <c r="AA1065" s="411">
        <v>82.037618682561387</v>
      </c>
      <c r="AB1065" s="441">
        <f t="shared" si="187"/>
        <v>98.740619205983322</v>
      </c>
      <c r="AC1065" s="438">
        <f t="shared" si="188"/>
        <v>101.6928710276291</v>
      </c>
      <c r="AD1065" s="410"/>
      <c r="AE1065" s="411"/>
      <c r="AF1065" s="411"/>
      <c r="AG1065" s="411"/>
    </row>
    <row r="1066" spans="1:33" s="409" customFormat="1" x14ac:dyDescent="0.2">
      <c r="A1066" s="409" t="s">
        <v>1986</v>
      </c>
      <c r="B1066" s="23" t="str">
        <f>VLOOKUP(LEFT(A1066,7),'[7]Tariff Schedule Lookup Table'!$A$8:$G$186,2,FALSE)</f>
        <v>Metal Hallide (Reactor Control Gear) 150</v>
      </c>
      <c r="C1066" s="375">
        <f t="shared" si="189"/>
        <v>710</v>
      </c>
      <c r="D1066" s="23">
        <f t="shared" si="190"/>
        <v>2</v>
      </c>
      <c r="E1066" s="23" t="str">
        <f>VLOOKUP(C1066,'[7]Tariff Schedule Lookup Table'!I$7:L$287,2,FALSE)</f>
        <v>HIGH PRESSURE SODIUM 150W</v>
      </c>
      <c r="F1066" s="23" t="str">
        <f>IF(E1066 = "BULKHEADS ETC", "SHARED OR NO POLE", VLOOKUP(C1066,'[7]Tariff Schedule Lookup Table'!I$7:L$287,3,FALSE))</f>
        <v>STEEL POLE</v>
      </c>
      <c r="G1066" s="23">
        <f>IF(E1066 = "NO CAPITAL", 1, VLOOKUP(C1066,'[7]Tariff Schedule Lookup Table'!I$7:L$287,4,FALSE))</f>
        <v>3</v>
      </c>
      <c r="H1066" s="23" t="str">
        <f t="shared" si="191"/>
        <v>2-Unmetered, Funded by Others, CE Maintained</v>
      </c>
      <c r="I1066" s="374">
        <f>VLOOKUP(F1066,'Maintenance Model'!$A$57:$B$61,2,FALSE)</f>
        <v>9.9616182311111103</v>
      </c>
      <c r="J1066" s="374">
        <f>IF(D1066=1,VLOOKUP(C1066,'Capital Code Schedules'!A$15:F$300,2,FALSE),IF(D1066=2,VLOOKUP(C1066,'Capital Code Schedules'!A$15:F$300,3,FALSE),0))</f>
        <v>0</v>
      </c>
      <c r="K1066" s="374">
        <f>IF(D1066=1,VLOOKUP(C1066,'Capital Code Schedules'!E$15:G$300,2,FALSE),IF(D1066=2,VLOOKUP(C1066,'Capital Code Schedules'!E$15:G$300,3,FALSE),0))</f>
        <v>0</v>
      </c>
      <c r="L1066" s="374">
        <f>VLOOKUP(LEFT(A1066,10),'Streetlight Tariff Schedule'!B$11:H$260,7, FALSE)+I1066</f>
        <v>80.953672886943139</v>
      </c>
      <c r="M1066" s="410">
        <f t="shared" si="182"/>
        <v>80.953672886943139</v>
      </c>
      <c r="N1066" s="411">
        <f t="shared" si="183"/>
        <v>84.326900922457668</v>
      </c>
      <c r="O1066" s="411">
        <v>69.319614911014469</v>
      </c>
      <c r="P1066" s="411">
        <v>69.319614911014469</v>
      </c>
      <c r="Q1066" s="411">
        <v>72.712037999385402</v>
      </c>
      <c r="R1066" s="411">
        <v>72.712037999385402</v>
      </c>
      <c r="S1066" s="411">
        <f t="shared" si="184"/>
        <v>88.453763514342285</v>
      </c>
      <c r="T1066" s="411">
        <v>75.698407569164203</v>
      </c>
      <c r="U1066" s="411">
        <v>75.974955892773608</v>
      </c>
      <c r="V1066" s="411">
        <f t="shared" si="185"/>
        <v>92.423083803658272</v>
      </c>
      <c r="W1066" s="411">
        <v>78.454034520438043</v>
      </c>
      <c r="X1066" s="411">
        <v>79.443723068184568</v>
      </c>
      <c r="Y1066" s="411">
        <f t="shared" si="186"/>
        <v>96.642818525200653</v>
      </c>
      <c r="Z1066" s="411">
        <v>80.720227104815152</v>
      </c>
      <c r="AA1066" s="411">
        <v>82.037618682561387</v>
      </c>
      <c r="AB1066" s="441">
        <f t="shared" si="187"/>
        <v>98.740619205983322</v>
      </c>
      <c r="AC1066" s="438">
        <f t="shared" si="188"/>
        <v>101.6928710276291</v>
      </c>
      <c r="AD1066" s="410"/>
      <c r="AE1066" s="411"/>
      <c r="AF1066" s="411"/>
      <c r="AG1066" s="411"/>
    </row>
    <row r="1067" spans="1:33" s="409" customFormat="1" x14ac:dyDescent="0.2">
      <c r="A1067" s="409" t="s">
        <v>1987</v>
      </c>
      <c r="B1067" s="23" t="str">
        <f>VLOOKUP(LEFT(A1067,7),'[7]Tariff Schedule Lookup Table'!$A$8:$G$186,2,FALSE)</f>
        <v>Metal Hallide (Reactor Control Gear) 250</v>
      </c>
      <c r="C1067" s="375">
        <f t="shared" si="189"/>
        <v>60</v>
      </c>
      <c r="D1067" s="23">
        <f t="shared" si="190"/>
        <v>1</v>
      </c>
      <c r="E1067" s="23" t="str">
        <f>VLOOKUP(C1067,'[7]Tariff Schedule Lookup Table'!I$7:L$287,2,FALSE)</f>
        <v>HIGH PRESSURE SODIUM 250W (210/220)</v>
      </c>
      <c r="F1067" s="23" t="str">
        <f>IF(E1067 = "BULKHEADS ETC", "SHARED OR NO POLE", VLOOKUP(C1067,'[7]Tariff Schedule Lookup Table'!I$7:L$287,3,FALSE))</f>
        <v>SHARED OR NO POLE</v>
      </c>
      <c r="G1067" s="23">
        <f>IF(E1067 = "NO CAPITAL", 1, VLOOKUP(C1067,'[7]Tariff Schedule Lookup Table'!I$7:L$287,4,FALSE))</f>
        <v>1</v>
      </c>
      <c r="H1067" s="23" t="str">
        <f t="shared" si="191"/>
        <v>1-Unmetered, CE Funded, CE Maintained</v>
      </c>
      <c r="I1067" s="374">
        <f>VLOOKUP(F1067,'Maintenance Model'!$A$57:$B$61,2,FALSE)</f>
        <v>0</v>
      </c>
      <c r="J1067" s="374">
        <f>IF(D1067=1,VLOOKUP(C1067,'Capital Code Schedules'!A$15:F$300,2,FALSE),IF(D1067=2,VLOOKUP(C1067,'Capital Code Schedules'!A$15:F$300,3,FALSE),0))</f>
        <v>32.138130136529035</v>
      </c>
      <c r="K1067" s="374">
        <f>IF(D1067=1,VLOOKUP(C1067,'Capital Code Schedules'!E$15:G$300,2,FALSE),IF(D1067=2,VLOOKUP(C1067,'Capital Code Schedules'!E$15:G$300,3,FALSE),0))</f>
        <v>40.766278904912198</v>
      </c>
      <c r="L1067" s="374">
        <f>VLOOKUP(LEFT(A1067,10),'Streetlight Tariff Schedule'!B$11:H$260,7, FALSE)+I1067</f>
        <v>70.992054655832021</v>
      </c>
      <c r="M1067" s="410">
        <f t="shared" si="182"/>
        <v>111.75833356074422</v>
      </c>
      <c r="N1067" s="411">
        <f t="shared" si="183"/>
        <v>106.88374463919338</v>
      </c>
      <c r="O1067" s="411">
        <v>103.35016302007597</v>
      </c>
      <c r="P1067" s="411">
        <v>101.50074398272407</v>
      </c>
      <c r="Q1067" s="411">
        <v>105.45757928334552</v>
      </c>
      <c r="R1067" s="411">
        <v>107.35277144187187</v>
      </c>
      <c r="S1067" s="411">
        <f t="shared" si="184"/>
        <v>111.3178884213589</v>
      </c>
      <c r="T1067" s="411">
        <v>109.09015046371407</v>
      </c>
      <c r="U1067" s="411">
        <v>111.43816294622202</v>
      </c>
      <c r="V1067" s="411">
        <f t="shared" si="185"/>
        <v>115.76060731459934</v>
      </c>
      <c r="W1067" s="411">
        <v>112.55013803708714</v>
      </c>
      <c r="X1067" s="411">
        <v>115.98550810793405</v>
      </c>
      <c r="Y1067" s="411">
        <f t="shared" si="186"/>
        <v>120.63777530763679</v>
      </c>
      <c r="Z1067" s="411">
        <v>115.61530326661851</v>
      </c>
      <c r="AA1067" s="411">
        <v>119.57520592970724</v>
      </c>
      <c r="AB1067" s="441">
        <f t="shared" si="187"/>
        <v>123.10904895549929</v>
      </c>
      <c r="AC1067" s="438">
        <f t="shared" si="188"/>
        <v>126.76071320016426</v>
      </c>
      <c r="AD1067" s="410"/>
      <c r="AE1067" s="411"/>
      <c r="AF1067" s="411"/>
      <c r="AG1067" s="411"/>
    </row>
    <row r="1068" spans="1:33" s="409" customFormat="1" x14ac:dyDescent="0.2">
      <c r="A1068" s="409" t="s">
        <v>1988</v>
      </c>
      <c r="B1068" s="23" t="str">
        <f>VLOOKUP(LEFT(A1068,7),'[7]Tariff Schedule Lookup Table'!$A$8:$G$186,2,FALSE)</f>
        <v>Metal Hallide (Reactor Control Gear) 250</v>
      </c>
      <c r="C1068" s="375">
        <f t="shared" si="189"/>
        <v>590</v>
      </c>
      <c r="D1068" s="23">
        <f t="shared" si="190"/>
        <v>2</v>
      </c>
      <c r="E1068" s="23" t="str">
        <f>VLOOKUP(C1068,'[7]Tariff Schedule Lookup Table'!I$7:L$287,2,FALSE)</f>
        <v>HIGH PRESSURE SODIUM 250W (210/220)</v>
      </c>
      <c r="F1068" s="23" t="str">
        <f>IF(E1068 = "BULKHEADS ETC", "SHARED OR NO POLE", VLOOKUP(C1068,'[7]Tariff Schedule Lookup Table'!I$7:L$287,3,FALSE))</f>
        <v>R/BOUT COLUMN</v>
      </c>
      <c r="G1068" s="23">
        <f>IF(E1068 = "NO CAPITAL", 1, VLOOKUP(C1068,'[7]Tariff Schedule Lookup Table'!I$7:L$287,4,FALSE))</f>
        <v>4</v>
      </c>
      <c r="H1068" s="23" t="str">
        <f t="shared" si="191"/>
        <v>2-Unmetered, Funded by Others, CE Maintained</v>
      </c>
      <c r="I1068" s="374">
        <f>VLOOKUP(F1068,'Maintenance Model'!$A$57:$B$61,2,FALSE)</f>
        <v>9.9616182311111103</v>
      </c>
      <c r="J1068" s="374">
        <f>IF(D1068=1,VLOOKUP(C1068,'Capital Code Schedules'!A$15:F$300,2,FALSE),IF(D1068=2,VLOOKUP(C1068,'Capital Code Schedules'!A$15:F$300,3,FALSE),0))</f>
        <v>0</v>
      </c>
      <c r="K1068" s="374">
        <f>IF(D1068=1,VLOOKUP(C1068,'Capital Code Schedules'!E$15:G$300,2,FALSE),IF(D1068=2,VLOOKUP(C1068,'Capital Code Schedules'!E$15:G$300,3,FALSE),0))</f>
        <v>0</v>
      </c>
      <c r="L1068" s="374">
        <f>VLOOKUP(LEFT(A1068,10),'Streetlight Tariff Schedule'!B$11:H$260,7, FALSE)+I1068</f>
        <v>80.953672886943139</v>
      </c>
      <c r="M1068" s="410">
        <f t="shared" si="182"/>
        <v>80.953672886943139</v>
      </c>
      <c r="N1068" s="411">
        <f t="shared" si="183"/>
        <v>84.326900922457668</v>
      </c>
      <c r="O1068" s="411">
        <v>69.319614911014469</v>
      </c>
      <c r="P1068" s="411">
        <v>69.319614911014469</v>
      </c>
      <c r="Q1068" s="411">
        <v>72.712037999385402</v>
      </c>
      <c r="R1068" s="411">
        <v>72.712037999385402</v>
      </c>
      <c r="S1068" s="411">
        <f t="shared" si="184"/>
        <v>88.453763514342285</v>
      </c>
      <c r="T1068" s="411">
        <v>75.698407569164203</v>
      </c>
      <c r="U1068" s="411">
        <v>75.974955892773608</v>
      </c>
      <c r="V1068" s="411">
        <f t="shared" si="185"/>
        <v>92.423083803658272</v>
      </c>
      <c r="W1068" s="411">
        <v>78.454034520438043</v>
      </c>
      <c r="X1068" s="411">
        <v>79.443723068184568</v>
      </c>
      <c r="Y1068" s="411">
        <f t="shared" si="186"/>
        <v>96.642818525200653</v>
      </c>
      <c r="Z1068" s="411">
        <v>80.720227104815152</v>
      </c>
      <c r="AA1068" s="411">
        <v>82.037618682561387</v>
      </c>
      <c r="AB1068" s="441">
        <f t="shared" si="187"/>
        <v>98.740619205983322</v>
      </c>
      <c r="AC1068" s="438">
        <f t="shared" si="188"/>
        <v>101.6928710276291</v>
      </c>
      <c r="AD1068" s="410"/>
      <c r="AE1068" s="411"/>
      <c r="AF1068" s="411"/>
      <c r="AG1068" s="411"/>
    </row>
    <row r="1069" spans="1:33" s="409" customFormat="1" x14ac:dyDescent="0.2">
      <c r="A1069" s="409" t="s">
        <v>1989</v>
      </c>
      <c r="B1069" s="23" t="str">
        <f>VLOOKUP(LEFT(A1069,7),'[7]Tariff Schedule Lookup Table'!$A$8:$G$186,2,FALSE)</f>
        <v>Metal Hallide (Reactor Control Gear) 250</v>
      </c>
      <c r="C1069" s="375">
        <f t="shared" si="189"/>
        <v>650</v>
      </c>
      <c r="D1069" s="23">
        <f t="shared" si="190"/>
        <v>2</v>
      </c>
      <c r="E1069" s="23" t="str">
        <f>VLOOKUP(C1069,'[7]Tariff Schedule Lookup Table'!I$7:L$287,2,FALSE)</f>
        <v>METAL HALIDE/HPS 250W FLOOD (210/220)</v>
      </c>
      <c r="F1069" s="23" t="str">
        <f>IF(E1069 = "BULKHEADS ETC", "SHARED OR NO POLE", VLOOKUP(C1069,'[7]Tariff Schedule Lookup Table'!I$7:L$287,3,FALSE))</f>
        <v>SHARED OR NO POLE</v>
      </c>
      <c r="G1069" s="23">
        <f>IF(E1069 = "NO CAPITAL", 1, VLOOKUP(C1069,'[7]Tariff Schedule Lookup Table'!I$7:L$287,4,FALSE))</f>
        <v>2</v>
      </c>
      <c r="H1069" s="23" t="str">
        <f t="shared" si="191"/>
        <v>2-Unmetered, Funded by Others, CE Maintained</v>
      </c>
      <c r="I1069" s="374">
        <f>VLOOKUP(F1069,'Maintenance Model'!$A$57:$B$61,2,FALSE)</f>
        <v>0</v>
      </c>
      <c r="J1069" s="374">
        <f>IF(D1069=1,VLOOKUP(C1069,'Capital Code Schedules'!A$15:F$300,2,FALSE),IF(D1069=2,VLOOKUP(C1069,'Capital Code Schedules'!A$15:F$300,3,FALSE),0))</f>
        <v>0</v>
      </c>
      <c r="K1069" s="374">
        <f>IF(D1069=1,VLOOKUP(C1069,'Capital Code Schedules'!E$15:G$300,2,FALSE),IF(D1069=2,VLOOKUP(C1069,'Capital Code Schedules'!E$15:G$300,3,FALSE),0))</f>
        <v>0</v>
      </c>
      <c r="L1069" s="374">
        <f>VLOOKUP(LEFT(A1069,10),'Streetlight Tariff Schedule'!B$11:H$260,7, FALSE)+I1069</f>
        <v>70.992054655832021</v>
      </c>
      <c r="M1069" s="410">
        <f t="shared" si="182"/>
        <v>70.992054655832021</v>
      </c>
      <c r="N1069" s="411">
        <f t="shared" si="183"/>
        <v>73.950195781785254</v>
      </c>
      <c r="O1069" s="411">
        <v>59.725499674915305</v>
      </c>
      <c r="P1069" s="411">
        <v>59.725499674915305</v>
      </c>
      <c r="Q1069" s="411">
        <v>62.648397678918485</v>
      </c>
      <c r="R1069" s="411">
        <v>62.648397678918485</v>
      </c>
      <c r="S1069" s="411">
        <f t="shared" si="184"/>
        <v>77.569234229729915</v>
      </c>
      <c r="T1069" s="411">
        <v>65.221441614577458</v>
      </c>
      <c r="U1069" s="411">
        <v>65.45971453102446</v>
      </c>
      <c r="V1069" s="411">
        <f t="shared" si="185"/>
        <v>81.050116478508926</v>
      </c>
      <c r="W1069" s="411">
        <v>67.595678643934377</v>
      </c>
      <c r="X1069" s="411">
        <v>68.448390291461308</v>
      </c>
      <c r="Y1069" s="411">
        <f t="shared" si="186"/>
        <v>84.750598832202911</v>
      </c>
      <c r="Z1069" s="411">
        <v>69.548221003485253</v>
      </c>
      <c r="AA1069" s="411">
        <v>70.683280255464993</v>
      </c>
      <c r="AB1069" s="441">
        <f t="shared" si="187"/>
        <v>86.590258174097769</v>
      </c>
      <c r="AC1069" s="438">
        <f t="shared" si="188"/>
        <v>89.179225607023952</v>
      </c>
      <c r="AD1069" s="410"/>
      <c r="AE1069" s="411"/>
      <c r="AF1069" s="411"/>
      <c r="AG1069" s="411"/>
    </row>
    <row r="1070" spans="1:33" s="409" customFormat="1" x14ac:dyDescent="0.2">
      <c r="A1070" s="409" t="s">
        <v>1990</v>
      </c>
      <c r="B1070" s="23" t="str">
        <f>VLOOKUP(LEFT(A1070,7),'[7]Tariff Schedule Lookup Table'!$A$8:$G$186,2,FALSE)</f>
        <v>Metal Hallide (Reactor Control Gear) 250</v>
      </c>
      <c r="C1070" s="375">
        <f t="shared" si="189"/>
        <v>1070</v>
      </c>
      <c r="D1070" s="23">
        <f t="shared" si="190"/>
        <v>1</v>
      </c>
      <c r="E1070" s="23" t="str">
        <f>VLOOKUP(C1070,'[7]Tariff Schedule Lookup Table'!I$7:L$287,2,FALSE)</f>
        <v>METAL HALIDE/HPS 250W FLOOD (210/220)</v>
      </c>
      <c r="F1070" s="23" t="str">
        <f>IF(E1070 = "BULKHEADS ETC", "SHARED OR NO POLE", VLOOKUP(C1070,'[7]Tariff Schedule Lookup Table'!I$7:L$287,3,FALSE))</f>
        <v>WOOD POLE</v>
      </c>
      <c r="G1070" s="23">
        <f>IF(E1070 = "NO CAPITAL", 1, VLOOKUP(C1070,'[7]Tariff Schedule Lookup Table'!I$7:L$287,4,FALSE))</f>
        <v>1</v>
      </c>
      <c r="H1070" s="23" t="str">
        <f t="shared" si="191"/>
        <v>1-Unmetered, CE Funded, CE Maintained</v>
      </c>
      <c r="I1070" s="374">
        <f>VLOOKUP(F1070,'Maintenance Model'!$A$57:$B$61,2,FALSE)</f>
        <v>10.731618231111112</v>
      </c>
      <c r="J1070" s="374">
        <f>IF(D1070=1,VLOOKUP(C1070,'Capital Code Schedules'!A$15:F$300,2,FALSE),IF(D1070=2,VLOOKUP(C1070,'Capital Code Schedules'!A$15:F$300,3,FALSE),0))</f>
        <v>71.116706099521267</v>
      </c>
      <c r="K1070" s="374">
        <f>IF(D1070=1,VLOOKUP(C1070,'Capital Code Schedules'!E$15:G$300,2,FALSE),IF(D1070=2,VLOOKUP(C1070,'Capital Code Schedules'!E$15:G$300,3,FALSE),0))</f>
        <v>90.209463442196068</v>
      </c>
      <c r="L1070" s="374">
        <f>VLOOKUP(LEFT(A1070,10),'Streetlight Tariff Schedule'!B$11:H$260,7, FALSE)+I1070</f>
        <v>81.723672886943135</v>
      </c>
      <c r="M1070" s="410">
        <f t="shared" si="182"/>
        <v>171.93313632913919</v>
      </c>
      <c r="N1070" s="411">
        <f t="shared" si="183"/>
        <v>158.00583033726707</v>
      </c>
      <c r="O1070" s="411">
        <v>166.65632539995167</v>
      </c>
      <c r="P1070" s="411">
        <v>162.56384741272987</v>
      </c>
      <c r="Q1070" s="411">
        <v>168.28346677524442</v>
      </c>
      <c r="R1070" s="411">
        <v>172.47723359264995</v>
      </c>
      <c r="S1070" s="411">
        <f t="shared" si="184"/>
        <v>163.97564795189442</v>
      </c>
      <c r="T1070" s="411">
        <v>173.64896083976151</v>
      </c>
      <c r="U1070" s="411">
        <v>178.59723606672046</v>
      </c>
      <c r="V1070" s="411">
        <f t="shared" si="185"/>
        <v>170.11111845395487</v>
      </c>
      <c r="W1070" s="411">
        <v>178.83907050554913</v>
      </c>
      <c r="X1070" s="411">
        <v>185.55523378423916</v>
      </c>
      <c r="Y1070" s="411">
        <f t="shared" si="186"/>
        <v>176.97481279435326</v>
      </c>
      <c r="Z1070" s="411">
        <v>183.59354694386883</v>
      </c>
      <c r="AA1070" s="411">
        <v>191.17712292646416</v>
      </c>
      <c r="AB1070" s="441">
        <f t="shared" si="187"/>
        <v>180.49023161049624</v>
      </c>
      <c r="AC1070" s="438">
        <f t="shared" si="188"/>
        <v>185.82214761749563</v>
      </c>
      <c r="AD1070" s="410"/>
      <c r="AE1070" s="411"/>
      <c r="AF1070" s="411"/>
      <c r="AG1070" s="411"/>
    </row>
    <row r="1071" spans="1:33" s="409" customFormat="1" x14ac:dyDescent="0.2">
      <c r="A1071" s="409" t="s">
        <v>1991</v>
      </c>
      <c r="B1071" s="23" t="str">
        <f>VLOOKUP(LEFT(A1071,7),'[7]Tariff Schedule Lookup Table'!$A$8:$G$186,2,FALSE)</f>
        <v>Metal Hallide (Reactor Control Gear) 250</v>
      </c>
      <c r="C1071" s="375">
        <f t="shared" si="189"/>
        <v>1070</v>
      </c>
      <c r="D1071" s="23">
        <f t="shared" si="190"/>
        <v>2</v>
      </c>
      <c r="E1071" s="23" t="str">
        <f>VLOOKUP(C1071,'[7]Tariff Schedule Lookup Table'!I$7:L$287,2,FALSE)</f>
        <v>METAL HALIDE/HPS 250W FLOOD (210/220)</v>
      </c>
      <c r="F1071" s="23" t="str">
        <f>IF(E1071 = "BULKHEADS ETC", "SHARED OR NO POLE", VLOOKUP(C1071,'[7]Tariff Schedule Lookup Table'!I$7:L$287,3,FALSE))</f>
        <v>WOOD POLE</v>
      </c>
      <c r="G1071" s="23">
        <f>IF(E1071 = "NO CAPITAL", 1, VLOOKUP(C1071,'[7]Tariff Schedule Lookup Table'!I$7:L$287,4,FALSE))</f>
        <v>1</v>
      </c>
      <c r="H1071" s="23" t="str">
        <f t="shared" si="191"/>
        <v>2-Unmetered, Funded by Others, CE Maintained</v>
      </c>
      <c r="I1071" s="374">
        <f>VLOOKUP(F1071,'Maintenance Model'!$A$57:$B$61,2,FALSE)</f>
        <v>10.731618231111112</v>
      </c>
      <c r="J1071" s="374">
        <f>IF(D1071=1,VLOOKUP(C1071,'Capital Code Schedules'!A$15:F$300,2,FALSE),IF(D1071=2,VLOOKUP(C1071,'Capital Code Schedules'!A$15:F$300,3,FALSE),0))</f>
        <v>0</v>
      </c>
      <c r="K1071" s="374">
        <f>IF(D1071=1,VLOOKUP(C1071,'Capital Code Schedules'!E$15:G$300,2,FALSE),IF(D1071=2,VLOOKUP(C1071,'Capital Code Schedules'!E$15:G$300,3,FALSE),0))</f>
        <v>0</v>
      </c>
      <c r="L1071" s="374">
        <f>VLOOKUP(LEFT(A1071,10),'Streetlight Tariff Schedule'!B$11:H$260,7, FALSE)+I1071</f>
        <v>81.723672886943135</v>
      </c>
      <c r="M1071" s="410">
        <f t="shared" si="182"/>
        <v>81.723672886943135</v>
      </c>
      <c r="N1071" s="411">
        <f t="shared" si="183"/>
        <v>85.128985761782658</v>
      </c>
      <c r="O1071" s="411">
        <v>70.121699750339474</v>
      </c>
      <c r="P1071" s="411">
        <v>70.121699750339474</v>
      </c>
      <c r="Q1071" s="411">
        <v>73.553375958209855</v>
      </c>
      <c r="R1071" s="411">
        <v>73.553375958209855</v>
      </c>
      <c r="S1071" s="411">
        <f t="shared" si="184"/>
        <v>89.295101473166739</v>
      </c>
      <c r="T1071" s="411">
        <v>76.574300275005314</v>
      </c>
      <c r="U1071" s="411">
        <v>76.854048489698812</v>
      </c>
      <c r="V1071" s="411">
        <f t="shared" si="185"/>
        <v>93.302176400583463</v>
      </c>
      <c r="W1071" s="411">
        <v>79.361812091815239</v>
      </c>
      <c r="X1071" s="411">
        <v>80.362952148356513</v>
      </c>
      <c r="Y1071" s="411">
        <f t="shared" si="186"/>
        <v>97.562047605372584</v>
      </c>
      <c r="Z1071" s="411">
        <v>81.654226384395031</v>
      </c>
      <c r="AA1071" s="411">
        <v>82.986861263958815</v>
      </c>
      <c r="AB1071" s="441">
        <f t="shared" si="187"/>
        <v>99.679801754189469</v>
      </c>
      <c r="AC1071" s="438">
        <f t="shared" si="188"/>
        <v>102.66013425237036</v>
      </c>
      <c r="AD1071" s="410"/>
      <c r="AE1071" s="411"/>
      <c r="AF1071" s="411"/>
      <c r="AG1071" s="411"/>
    </row>
    <row r="1072" spans="1:33" s="409" customFormat="1" x14ac:dyDescent="0.2">
      <c r="A1072" s="409" t="s">
        <v>1992</v>
      </c>
      <c r="B1072" s="23" t="str">
        <f>VLOOKUP(LEFT(A1072,7),'[7]Tariff Schedule Lookup Table'!$A$8:$G$186,2,FALSE)</f>
        <v>Metal Hallide (Reactor Control Gear) 250</v>
      </c>
      <c r="C1072" s="375">
        <f t="shared" si="189"/>
        <v>1120</v>
      </c>
      <c r="D1072" s="23">
        <f t="shared" si="190"/>
        <v>1</v>
      </c>
      <c r="E1072" s="23" t="str">
        <f>VLOOKUP(C1072,'[7]Tariff Schedule Lookup Table'!I$7:L$287,2,FALSE)</f>
        <v>METAL HALIDE/HPS 250W FLOOD (210/220)</v>
      </c>
      <c r="F1072" s="23" t="str">
        <f>IF(E1072 = "BULKHEADS ETC", "SHARED OR NO POLE", VLOOKUP(C1072,'[7]Tariff Schedule Lookup Table'!I$7:L$287,3,FALSE))</f>
        <v>STEEL POLE</v>
      </c>
      <c r="G1072" s="23">
        <f>IF(E1072 = "NO CAPITAL", 1, VLOOKUP(C1072,'[7]Tariff Schedule Lookup Table'!I$7:L$287,4,FALSE))</f>
        <v>1</v>
      </c>
      <c r="H1072" s="23" t="str">
        <f t="shared" si="191"/>
        <v>1-Unmetered, CE Funded, CE Maintained</v>
      </c>
      <c r="I1072" s="374">
        <f>VLOOKUP(F1072,'Maintenance Model'!$A$57:$B$61,2,FALSE)</f>
        <v>9.9616182311111103</v>
      </c>
      <c r="J1072" s="374">
        <f>IF(D1072=1,VLOOKUP(C1072,'Capital Code Schedules'!A$15:F$300,2,FALSE),IF(D1072=2,VLOOKUP(C1072,'Capital Code Schedules'!A$15:F$300,3,FALSE),0))</f>
        <v>97.399971273151337</v>
      </c>
      <c r="K1072" s="374">
        <f>IF(D1072=1,VLOOKUP(C1072,'Capital Code Schedules'!E$15:G$300,2,FALSE),IF(D1072=2,VLOOKUP(C1072,'Capital Code Schedules'!E$15:G$300,3,FALSE),0))</f>
        <v>123.5490172385169</v>
      </c>
      <c r="L1072" s="374">
        <f>VLOOKUP(LEFT(A1072,10),'Streetlight Tariff Schedule'!B$11:H$260,7, FALSE)+I1072</f>
        <v>80.953672886943139</v>
      </c>
      <c r="M1072" s="410">
        <f t="shared" si="182"/>
        <v>204.50269012546005</v>
      </c>
      <c r="N1072" s="411">
        <f t="shared" si="183"/>
        <v>184.1375214846195</v>
      </c>
      <c r="O1072" s="411">
        <v>201.53144361943018</v>
      </c>
      <c r="P1072" s="411">
        <v>195.9264703261847</v>
      </c>
      <c r="Q1072" s="411">
        <v>202.45241308608107</v>
      </c>
      <c r="R1072" s="411">
        <v>208.19610946833438</v>
      </c>
      <c r="S1072" s="411">
        <f t="shared" si="184"/>
        <v>190.73469693541762</v>
      </c>
      <c r="T1072" s="411">
        <v>208.64985693925561</v>
      </c>
      <c r="U1072" s="411">
        <v>215.32032339858765</v>
      </c>
      <c r="V1072" s="411">
        <f t="shared" si="185"/>
        <v>197.61902382723423</v>
      </c>
      <c r="W1072" s="411">
        <v>214.69603226243919</v>
      </c>
      <c r="X1072" s="411">
        <v>223.51289853244569</v>
      </c>
      <c r="Y1072" s="411">
        <f t="shared" si="186"/>
        <v>205.40490091557584</v>
      </c>
      <c r="Z1072" s="411">
        <v>220.33421429093079</v>
      </c>
      <c r="AA1072" s="411">
        <v>230.21276564755397</v>
      </c>
      <c r="AB1072" s="441">
        <f t="shared" si="187"/>
        <v>209.41691424642914</v>
      </c>
      <c r="AC1072" s="438">
        <f t="shared" si="188"/>
        <v>215.58984625375189</v>
      </c>
      <c r="AD1072" s="410"/>
      <c r="AE1072" s="411"/>
      <c r="AF1072" s="411"/>
      <c r="AG1072" s="411"/>
    </row>
    <row r="1073" spans="1:33" s="409" customFormat="1" x14ac:dyDescent="0.2">
      <c r="A1073" s="409" t="s">
        <v>1993</v>
      </c>
      <c r="B1073" s="23" t="str">
        <f>VLOOKUP(LEFT(A1073,7),'[7]Tariff Schedule Lookup Table'!$A$8:$G$186,2,FALSE)</f>
        <v>Metal Hallide (Reactor Control Gear) 250</v>
      </c>
      <c r="C1073" s="375">
        <f t="shared" si="189"/>
        <v>1160</v>
      </c>
      <c r="D1073" s="23">
        <f t="shared" si="190"/>
        <v>2</v>
      </c>
      <c r="E1073" s="23" t="str">
        <f>VLOOKUP(C1073,'[7]Tariff Schedule Lookup Table'!I$7:L$287,2,FALSE)</f>
        <v>METAL HALIDE/HPS 250W FLOOD (210/220)</v>
      </c>
      <c r="F1073" s="23" t="str">
        <f>IF(E1073 = "BULKHEADS ETC", "SHARED OR NO POLE", VLOOKUP(C1073,'[7]Tariff Schedule Lookup Table'!I$7:L$287,3,FALSE))</f>
        <v>WOOD POLE</v>
      </c>
      <c r="G1073" s="23">
        <f>IF(E1073 = "NO CAPITAL", 1, VLOOKUP(C1073,'[7]Tariff Schedule Lookup Table'!I$7:L$287,4,FALSE))</f>
        <v>2</v>
      </c>
      <c r="H1073" s="23" t="str">
        <f t="shared" si="191"/>
        <v>2-Unmetered, Funded by Others, CE Maintained</v>
      </c>
      <c r="I1073" s="374">
        <f>VLOOKUP(F1073,'Maintenance Model'!$A$57:$B$61,2,FALSE)</f>
        <v>10.731618231111112</v>
      </c>
      <c r="J1073" s="374">
        <f>IF(D1073=1,VLOOKUP(C1073,'Capital Code Schedules'!A$15:F$300,2,FALSE),IF(D1073=2,VLOOKUP(C1073,'Capital Code Schedules'!A$15:F$300,3,FALSE),0))</f>
        <v>0</v>
      </c>
      <c r="K1073" s="374">
        <f>IF(D1073=1,VLOOKUP(C1073,'Capital Code Schedules'!E$15:G$300,2,FALSE),IF(D1073=2,VLOOKUP(C1073,'Capital Code Schedules'!E$15:G$300,3,FALSE),0))</f>
        <v>0</v>
      </c>
      <c r="L1073" s="374">
        <f>VLOOKUP(LEFT(A1073,10),'Streetlight Tariff Schedule'!B$11:H$260,7, FALSE)+I1073</f>
        <v>81.723672886943135</v>
      </c>
      <c r="M1073" s="410">
        <f t="shared" si="182"/>
        <v>81.723672886943135</v>
      </c>
      <c r="N1073" s="411">
        <f t="shared" si="183"/>
        <v>85.128985761782658</v>
      </c>
      <c r="O1073" s="411">
        <v>70.121699750339474</v>
      </c>
      <c r="P1073" s="411">
        <v>70.121699750339474</v>
      </c>
      <c r="Q1073" s="411">
        <v>73.553375958209855</v>
      </c>
      <c r="R1073" s="411">
        <v>73.553375958209855</v>
      </c>
      <c r="S1073" s="411">
        <f t="shared" si="184"/>
        <v>89.295101473166739</v>
      </c>
      <c r="T1073" s="411">
        <v>76.574300275005314</v>
      </c>
      <c r="U1073" s="411">
        <v>76.854048489698812</v>
      </c>
      <c r="V1073" s="411">
        <f t="shared" si="185"/>
        <v>93.302176400583463</v>
      </c>
      <c r="W1073" s="411">
        <v>79.361812091815239</v>
      </c>
      <c r="X1073" s="411">
        <v>80.362952148356513</v>
      </c>
      <c r="Y1073" s="411">
        <f t="shared" si="186"/>
        <v>97.562047605372584</v>
      </c>
      <c r="Z1073" s="411">
        <v>81.654226384395031</v>
      </c>
      <c r="AA1073" s="411">
        <v>82.986861263958815</v>
      </c>
      <c r="AB1073" s="441">
        <f t="shared" si="187"/>
        <v>99.679801754189469</v>
      </c>
      <c r="AC1073" s="438">
        <f t="shared" si="188"/>
        <v>102.66013425237036</v>
      </c>
      <c r="AD1073" s="410"/>
      <c r="AE1073" s="411"/>
      <c r="AF1073" s="411"/>
      <c r="AG1073" s="411"/>
    </row>
    <row r="1074" spans="1:33" s="409" customFormat="1" x14ac:dyDescent="0.2">
      <c r="A1074" s="409" t="s">
        <v>1994</v>
      </c>
      <c r="B1074" s="23" t="str">
        <f>VLOOKUP(LEFT(A1074,7),'[7]Tariff Schedule Lookup Table'!$A$8:$G$186,2,FALSE)</f>
        <v>Metal Hallide (Reactor Control Gear) 400</v>
      </c>
      <c r="C1074" s="375">
        <f t="shared" si="189"/>
        <v>60</v>
      </c>
      <c r="D1074" s="23">
        <f t="shared" si="190"/>
        <v>1</v>
      </c>
      <c r="E1074" s="23" t="str">
        <f>VLOOKUP(C1074,'[7]Tariff Schedule Lookup Table'!I$7:L$287,2,FALSE)</f>
        <v>HIGH PRESSURE SODIUM 250W (210/220)</v>
      </c>
      <c r="F1074" s="23" t="str">
        <f>IF(E1074 = "BULKHEADS ETC", "SHARED OR NO POLE", VLOOKUP(C1074,'[7]Tariff Schedule Lookup Table'!I$7:L$287,3,FALSE))</f>
        <v>SHARED OR NO POLE</v>
      </c>
      <c r="G1074" s="23">
        <f>IF(E1074 = "NO CAPITAL", 1, VLOOKUP(C1074,'[7]Tariff Schedule Lookup Table'!I$7:L$287,4,FALSE))</f>
        <v>1</v>
      </c>
      <c r="H1074" s="23" t="str">
        <f t="shared" si="191"/>
        <v>1-Unmetered, CE Funded, CE Maintained</v>
      </c>
      <c r="I1074" s="374">
        <f>VLOOKUP(F1074,'Maintenance Model'!$A$57:$B$61,2,FALSE)</f>
        <v>0</v>
      </c>
      <c r="J1074" s="374">
        <f>IF(D1074=1,VLOOKUP(C1074,'Capital Code Schedules'!A$15:F$300,2,FALSE),IF(D1074=2,VLOOKUP(C1074,'Capital Code Schedules'!A$15:F$300,3,FALSE),0))</f>
        <v>32.138130136529035</v>
      </c>
      <c r="K1074" s="374">
        <f>IF(D1074=1,VLOOKUP(C1074,'Capital Code Schedules'!E$15:G$300,2,FALSE),IF(D1074=2,VLOOKUP(C1074,'Capital Code Schedules'!E$15:G$300,3,FALSE),0))</f>
        <v>40.766278904912198</v>
      </c>
      <c r="L1074" s="374">
        <f>VLOOKUP(LEFT(A1074,10),'Streetlight Tariff Schedule'!B$11:H$260,7, FALSE)+I1074</f>
        <v>74.613917220498692</v>
      </c>
      <c r="M1074" s="410">
        <f t="shared" si="182"/>
        <v>115.38019612541089</v>
      </c>
      <c r="N1074" s="411">
        <f t="shared" si="183"/>
        <v>110.65652522781403</v>
      </c>
      <c r="O1074" s="411">
        <v>107.01097079637353</v>
      </c>
      <c r="P1074" s="411">
        <v>105.16155175902163</v>
      </c>
      <c r="Q1074" s="411">
        <v>109.2975428272904</v>
      </c>
      <c r="R1074" s="411">
        <v>111.19273498581676</v>
      </c>
      <c r="S1074" s="411">
        <f t="shared" si="184"/>
        <v>115.27530459966975</v>
      </c>
      <c r="T1074" s="411">
        <v>113.08782586104961</v>
      </c>
      <c r="U1074" s="411">
        <v>115.45044301576893</v>
      </c>
      <c r="V1074" s="411">
        <f t="shared" si="185"/>
        <v>119.8956106492474</v>
      </c>
      <c r="W1074" s="411">
        <v>116.69333964060182</v>
      </c>
      <c r="X1074" s="411">
        <v>120.18097571922092</v>
      </c>
      <c r="Y1074" s="411">
        <f t="shared" si="186"/>
        <v>124.96156932559484</v>
      </c>
      <c r="Z1074" s="411">
        <v>119.87818377265056</v>
      </c>
      <c r="AA1074" s="411">
        <v>123.90765862448315</v>
      </c>
      <c r="AB1074" s="441">
        <f t="shared" si="187"/>
        <v>127.5266984525592</v>
      </c>
      <c r="AC1074" s="438">
        <f t="shared" si="188"/>
        <v>131.3104462701242</v>
      </c>
      <c r="AD1074" s="410"/>
      <c r="AE1074" s="411"/>
      <c r="AF1074" s="411"/>
      <c r="AG1074" s="411"/>
    </row>
    <row r="1075" spans="1:33" s="409" customFormat="1" x14ac:dyDescent="0.2">
      <c r="A1075" s="409" t="s">
        <v>1995</v>
      </c>
      <c r="B1075" s="23" t="str">
        <f>VLOOKUP(LEFT(A1075,7),'[7]Tariff Schedule Lookup Table'!$A$8:$G$186,2,FALSE)</f>
        <v>Metal Hallide (Reactor Control Gear) 400</v>
      </c>
      <c r="C1075" s="375">
        <f t="shared" si="189"/>
        <v>60</v>
      </c>
      <c r="D1075" s="23">
        <f t="shared" si="190"/>
        <v>2</v>
      </c>
      <c r="E1075" s="23" t="str">
        <f>VLOOKUP(C1075,'[7]Tariff Schedule Lookup Table'!I$7:L$287,2,FALSE)</f>
        <v>HIGH PRESSURE SODIUM 250W (210/220)</v>
      </c>
      <c r="F1075" s="23" t="str">
        <f>IF(E1075 = "BULKHEADS ETC", "SHARED OR NO POLE", VLOOKUP(C1075,'[7]Tariff Schedule Lookup Table'!I$7:L$287,3,FALSE))</f>
        <v>SHARED OR NO POLE</v>
      </c>
      <c r="G1075" s="23">
        <f>IF(E1075 = "NO CAPITAL", 1, VLOOKUP(C1075,'[7]Tariff Schedule Lookup Table'!I$7:L$287,4,FALSE))</f>
        <v>1</v>
      </c>
      <c r="H1075" s="23" t="str">
        <f t="shared" si="191"/>
        <v>2-Unmetered, Funded by Others, CE Maintained</v>
      </c>
      <c r="I1075" s="374">
        <f>VLOOKUP(F1075,'Maintenance Model'!$A$57:$B$61,2,FALSE)</f>
        <v>0</v>
      </c>
      <c r="J1075" s="374">
        <f>IF(D1075=1,VLOOKUP(C1075,'Capital Code Schedules'!A$15:F$300,2,FALSE),IF(D1075=2,VLOOKUP(C1075,'Capital Code Schedules'!A$15:F$300,3,FALSE),0))</f>
        <v>0</v>
      </c>
      <c r="K1075" s="374">
        <f>IF(D1075=1,VLOOKUP(C1075,'Capital Code Schedules'!E$15:G$300,2,FALSE),IF(D1075=2,VLOOKUP(C1075,'Capital Code Schedules'!E$15:G$300,3,FALSE),0))</f>
        <v>0</v>
      </c>
      <c r="L1075" s="374">
        <f>VLOOKUP(LEFT(A1075,10),'Streetlight Tariff Schedule'!B$11:H$260,7, FALSE)+I1075</f>
        <v>74.613917220498692</v>
      </c>
      <c r="M1075" s="410">
        <f t="shared" si="182"/>
        <v>74.613917220498692</v>
      </c>
      <c r="N1075" s="411">
        <f t="shared" si="183"/>
        <v>77.722976370405902</v>
      </c>
      <c r="O1075" s="411">
        <v>63.386307451212851</v>
      </c>
      <c r="P1075" s="411">
        <v>63.386307451212851</v>
      </c>
      <c r="Q1075" s="411">
        <v>66.488361222863347</v>
      </c>
      <c r="R1075" s="411">
        <v>66.488361222863347</v>
      </c>
      <c r="S1075" s="411">
        <f t="shared" si="184"/>
        <v>81.52665040804078</v>
      </c>
      <c r="T1075" s="411">
        <v>69.219117011912999</v>
      </c>
      <c r="U1075" s="411">
        <v>69.47199460057135</v>
      </c>
      <c r="V1075" s="411">
        <f t="shared" si="185"/>
        <v>85.185119813157002</v>
      </c>
      <c r="W1075" s="411">
        <v>71.73888024744906</v>
      </c>
      <c r="X1075" s="411">
        <v>72.643857902748152</v>
      </c>
      <c r="Y1075" s="411">
        <f t="shared" si="186"/>
        <v>89.074392850160976</v>
      </c>
      <c r="Z1075" s="411">
        <v>73.811101509517286</v>
      </c>
      <c r="AA1075" s="411">
        <v>75.015732950240903</v>
      </c>
      <c r="AB1075" s="441">
        <f t="shared" si="187"/>
        <v>91.007907671157696</v>
      </c>
      <c r="AC1075" s="438">
        <f t="shared" si="188"/>
        <v>93.728958676983922</v>
      </c>
      <c r="AD1075" s="410"/>
      <c r="AE1075" s="411"/>
      <c r="AF1075" s="411"/>
      <c r="AG1075" s="411"/>
    </row>
    <row r="1076" spans="1:33" s="409" customFormat="1" x14ac:dyDescent="0.2">
      <c r="A1076" s="409" t="s">
        <v>1996</v>
      </c>
      <c r="B1076" s="23" t="str">
        <f>VLOOKUP(LEFT(A1076,7),'[7]Tariff Schedule Lookup Table'!$A$8:$G$186,2,FALSE)</f>
        <v>Metal Hallide (Reactor Control Gear) 400</v>
      </c>
      <c r="C1076" s="375">
        <f t="shared" si="189"/>
        <v>270</v>
      </c>
      <c r="D1076" s="23">
        <f t="shared" si="190"/>
        <v>1</v>
      </c>
      <c r="E1076" s="23" t="str">
        <f>VLOOKUP(C1076,'[7]Tariff Schedule Lookup Table'!I$7:L$287,2,FALSE)</f>
        <v>METAL HALIDE/HPS 400W FLOOD (310/360)</v>
      </c>
      <c r="F1076" s="23" t="str">
        <f>IF(E1076 = "BULKHEADS ETC", "SHARED OR NO POLE", VLOOKUP(C1076,'[7]Tariff Schedule Lookup Table'!I$7:L$287,3,FALSE))</f>
        <v>R/BOUT COLUMN</v>
      </c>
      <c r="G1076" s="23">
        <f>IF(E1076 = "NO CAPITAL", 1, VLOOKUP(C1076,'[7]Tariff Schedule Lookup Table'!I$7:L$287,4,FALSE))</f>
        <v>3</v>
      </c>
      <c r="H1076" s="23" t="str">
        <f t="shared" si="191"/>
        <v>1-Unmetered, CE Funded, CE Maintained</v>
      </c>
      <c r="I1076" s="374">
        <f>VLOOKUP(F1076,'Maintenance Model'!$A$57:$B$61,2,FALSE)</f>
        <v>9.9616182311111103</v>
      </c>
      <c r="J1076" s="374">
        <f>IF(D1076=1,VLOOKUP(C1076,'Capital Code Schedules'!A$15:F$300,2,FALSE),IF(D1076=2,VLOOKUP(C1076,'Capital Code Schedules'!A$15:F$300,3,FALSE),0))</f>
        <v>200.25475215839111</v>
      </c>
      <c r="K1076" s="374" t="e">
        <f>IF(D1076=1,VLOOKUP(C1076,'Capital Code Schedules'!E$15:G$300,2,FALSE),IF(D1076=2,VLOOKUP(C1076,'Capital Code Schedules'!E$15:G$300,3,FALSE),0))</f>
        <v>#N/A</v>
      </c>
      <c r="L1076" s="374">
        <f>VLOOKUP(LEFT(A1076,10),'Streetlight Tariff Schedule'!B$11:H$260,7, FALSE)+I1076</f>
        <v>84.575535451609795</v>
      </c>
      <c r="M1076" s="410" t="e">
        <f t="shared" si="182"/>
        <v>#N/A</v>
      </c>
      <c r="N1076" s="411">
        <f t="shared" si="183"/>
        <v>293.31073878538962</v>
      </c>
      <c r="O1076" s="411">
        <v>344.80850070759448</v>
      </c>
      <c r="P1076" s="411" t="e">
        <v>#N/A</v>
      </c>
      <c r="Q1076" s="411" t="e">
        <v>#N/A</v>
      </c>
      <c r="R1076" s="411">
        <v>355.1078244946147</v>
      </c>
      <c r="S1076" s="411">
        <f t="shared" si="184"/>
        <v>302.7012106345037</v>
      </c>
      <c r="T1076" s="411" t="e">
        <v>#N/A</v>
      </c>
      <c r="U1076" s="411">
        <v>366.48189986771649</v>
      </c>
      <c r="V1076" s="411">
        <f t="shared" si="185"/>
        <v>312.84138396199961</v>
      </c>
      <c r="W1076" s="411" t="e">
        <v>#N/A</v>
      </c>
      <c r="X1076" s="411">
        <v>379.84602369126037</v>
      </c>
      <c r="Y1076" s="411">
        <f t="shared" si="186"/>
        <v>324.58191312917512</v>
      </c>
      <c r="Z1076" s="411" t="e">
        <v>#N/A</v>
      </c>
      <c r="AA1076" s="411">
        <v>391.01879912996225</v>
      </c>
      <c r="AB1076" s="441">
        <f t="shared" si="187"/>
        <v>330.70919857937361</v>
      </c>
      <c r="AC1076" s="438">
        <f t="shared" si="188"/>
        <v>340.41526603332062</v>
      </c>
      <c r="AD1076" s="410"/>
      <c r="AE1076" s="411"/>
      <c r="AF1076" s="411"/>
      <c r="AG1076" s="411"/>
    </row>
    <row r="1077" spans="1:33" s="409" customFormat="1" x14ac:dyDescent="0.2">
      <c r="A1077" s="409" t="s">
        <v>1997</v>
      </c>
      <c r="B1077" s="23" t="str">
        <f>VLOOKUP(LEFT(A1077,7),'[7]Tariff Schedule Lookup Table'!$A$8:$G$186,2,FALSE)</f>
        <v>Metal Hallide (Reactor Control Gear) 400</v>
      </c>
      <c r="C1077" s="375">
        <f t="shared" si="189"/>
        <v>320</v>
      </c>
      <c r="D1077" s="23">
        <f t="shared" si="190"/>
        <v>1</v>
      </c>
      <c r="E1077" s="23" t="str">
        <f>VLOOKUP(C1077,'[7]Tariff Schedule Lookup Table'!I$7:L$287,2,FALSE)</f>
        <v>HIGH PRESSURE SODIUM 250W (210/220)</v>
      </c>
      <c r="F1077" s="23" t="str">
        <f>IF(E1077 = "BULKHEADS ETC", "SHARED OR NO POLE", VLOOKUP(C1077,'[7]Tariff Schedule Lookup Table'!I$7:L$287,3,FALSE))</f>
        <v>STEEL POLE</v>
      </c>
      <c r="G1077" s="23">
        <f>IF(E1077 = "NO CAPITAL", 1, VLOOKUP(C1077,'[7]Tariff Schedule Lookup Table'!I$7:L$287,4,FALSE))</f>
        <v>1</v>
      </c>
      <c r="H1077" s="23" t="str">
        <f t="shared" si="191"/>
        <v>1-Unmetered, CE Funded, CE Maintained</v>
      </c>
      <c r="I1077" s="374">
        <f>VLOOKUP(F1077,'Maintenance Model'!$A$57:$B$61,2,FALSE)</f>
        <v>9.9616182311111103</v>
      </c>
      <c r="J1077" s="374">
        <f>IF(D1077=1,VLOOKUP(C1077,'Capital Code Schedules'!A$15:F$300,2,FALSE),IF(D1077=2,VLOOKUP(C1077,'Capital Code Schedules'!A$15:F$300,3,FALSE),0))</f>
        <v>92.322513672035399</v>
      </c>
      <c r="K1077" s="374">
        <f>IF(D1077=1,VLOOKUP(C1077,'Capital Code Schedules'!E$15:G$300,2,FALSE),IF(D1077=2,VLOOKUP(C1077,'Capital Code Schedules'!E$15:G$300,3,FALSE),0))</f>
        <v>117.10841065015505</v>
      </c>
      <c r="L1077" s="374">
        <f>VLOOKUP(LEFT(A1077,10),'Streetlight Tariff Schedule'!B$11:H$260,7, FALSE)+I1077</f>
        <v>84.575535451609795</v>
      </c>
      <c r="M1077" s="410">
        <f t="shared" si="182"/>
        <v>201.68394610176483</v>
      </c>
      <c r="N1077" s="411">
        <f t="shared" si="183"/>
        <v>182.70717739649655</v>
      </c>
      <c r="O1077" s="411">
        <v>198.30005270348815</v>
      </c>
      <c r="P1077" s="411">
        <v>192.98726650105843</v>
      </c>
      <c r="Q1077" s="411">
        <v>199.52901474146688</v>
      </c>
      <c r="R1077" s="411">
        <v>204.97329240240674</v>
      </c>
      <c r="S1077" s="411">
        <f t="shared" si="184"/>
        <v>189.36021110123551</v>
      </c>
      <c r="T1077" s="411">
        <v>205.71677724129026</v>
      </c>
      <c r="U1077" s="411">
        <v>212.06853361088065</v>
      </c>
      <c r="V1077" s="411">
        <f t="shared" si="185"/>
        <v>196.27016594203329</v>
      </c>
      <c r="W1077" s="411">
        <v>211.73694258204429</v>
      </c>
      <c r="X1077" s="411">
        <v>220.19804431831778</v>
      </c>
      <c r="Y1077" s="411">
        <f t="shared" si="186"/>
        <v>204.05893081833202</v>
      </c>
      <c r="Z1077" s="411">
        <v>217.31902180377648</v>
      </c>
      <c r="AA1077" s="411">
        <v>226.8208523448908</v>
      </c>
      <c r="AB1077" s="441">
        <f t="shared" si="187"/>
        <v>208.06501177985959</v>
      </c>
      <c r="AC1077" s="438">
        <f t="shared" si="188"/>
        <v>214.20213339794074</v>
      </c>
      <c r="AD1077" s="410"/>
      <c r="AE1077" s="411"/>
      <c r="AF1077" s="411"/>
      <c r="AG1077" s="411"/>
    </row>
    <row r="1078" spans="1:33" s="409" customFormat="1" x14ac:dyDescent="0.2">
      <c r="A1078" s="409" t="s">
        <v>1998</v>
      </c>
      <c r="B1078" s="23" t="str">
        <f>VLOOKUP(LEFT(A1078,7),'[7]Tariff Schedule Lookup Table'!$A$8:$G$186,2,FALSE)</f>
        <v>Metal Hallide (Reactor Control Gear) 400</v>
      </c>
      <c r="C1078" s="375">
        <f t="shared" si="189"/>
        <v>320</v>
      </c>
      <c r="D1078" s="23">
        <f t="shared" si="190"/>
        <v>2</v>
      </c>
      <c r="E1078" s="23" t="str">
        <f>VLOOKUP(C1078,'[7]Tariff Schedule Lookup Table'!I$7:L$287,2,FALSE)</f>
        <v>HIGH PRESSURE SODIUM 250W (210/220)</v>
      </c>
      <c r="F1078" s="23" t="str">
        <f>IF(E1078 = "BULKHEADS ETC", "SHARED OR NO POLE", VLOOKUP(C1078,'[7]Tariff Schedule Lookup Table'!I$7:L$287,3,FALSE))</f>
        <v>STEEL POLE</v>
      </c>
      <c r="G1078" s="23">
        <f>IF(E1078 = "NO CAPITAL", 1, VLOOKUP(C1078,'[7]Tariff Schedule Lookup Table'!I$7:L$287,4,FALSE))</f>
        <v>1</v>
      </c>
      <c r="H1078" s="23" t="str">
        <f t="shared" si="191"/>
        <v>2-Unmetered, Funded by Others, CE Maintained</v>
      </c>
      <c r="I1078" s="374">
        <f>VLOOKUP(F1078,'Maintenance Model'!$A$57:$B$61,2,FALSE)</f>
        <v>9.9616182311111103</v>
      </c>
      <c r="J1078" s="374">
        <f>IF(D1078=1,VLOOKUP(C1078,'Capital Code Schedules'!A$15:F$300,2,FALSE),IF(D1078=2,VLOOKUP(C1078,'Capital Code Schedules'!A$15:F$300,3,FALSE),0))</f>
        <v>0</v>
      </c>
      <c r="K1078" s="374">
        <f>IF(D1078=1,VLOOKUP(C1078,'Capital Code Schedules'!E$15:G$300,2,FALSE),IF(D1078=2,VLOOKUP(C1078,'Capital Code Schedules'!E$15:G$300,3,FALSE),0))</f>
        <v>0</v>
      </c>
      <c r="L1078" s="374">
        <f>VLOOKUP(LEFT(A1078,10),'Streetlight Tariff Schedule'!B$11:H$260,7, FALSE)+I1078</f>
        <v>84.575535451609795</v>
      </c>
      <c r="M1078" s="410">
        <f t="shared" si="182"/>
        <v>84.575535451609795</v>
      </c>
      <c r="N1078" s="411">
        <f t="shared" si="183"/>
        <v>88.099681511078302</v>
      </c>
      <c r="O1078" s="411">
        <v>72.980422687312014</v>
      </c>
      <c r="P1078" s="411">
        <v>72.980422687312014</v>
      </c>
      <c r="Q1078" s="411">
        <v>76.552001543330277</v>
      </c>
      <c r="R1078" s="411">
        <v>76.552001543330277</v>
      </c>
      <c r="S1078" s="411">
        <f t="shared" si="184"/>
        <v>92.411179692653135</v>
      </c>
      <c r="T1078" s="411">
        <v>79.696082966499759</v>
      </c>
      <c r="U1078" s="411">
        <v>79.987235962320483</v>
      </c>
      <c r="V1078" s="411">
        <f t="shared" si="185"/>
        <v>96.558087138306334</v>
      </c>
      <c r="W1078" s="411">
        <v>82.597236123952726</v>
      </c>
      <c r="X1078" s="411">
        <v>83.63919067947144</v>
      </c>
      <c r="Y1078" s="411">
        <f t="shared" si="186"/>
        <v>100.96661254315869</v>
      </c>
      <c r="Z1078" s="411">
        <v>84.983107610847171</v>
      </c>
      <c r="AA1078" s="411">
        <v>86.370071377337297</v>
      </c>
      <c r="AB1078" s="441">
        <f t="shared" si="187"/>
        <v>103.15826870304322</v>
      </c>
      <c r="AC1078" s="438">
        <f t="shared" si="188"/>
        <v>106.24260409758901</v>
      </c>
      <c r="AD1078" s="410"/>
      <c r="AE1078" s="411"/>
      <c r="AF1078" s="411"/>
      <c r="AG1078" s="411"/>
    </row>
    <row r="1079" spans="1:33" s="409" customFormat="1" x14ac:dyDescent="0.2">
      <c r="A1079" s="409" t="s">
        <v>1999</v>
      </c>
      <c r="B1079" s="23" t="str">
        <f>VLOOKUP(LEFT(A1079,7),'[7]Tariff Schedule Lookup Table'!$A$8:$G$186,2,FALSE)</f>
        <v>Metal Hallide (Reactor Control Gear) 400</v>
      </c>
      <c r="C1079" s="375">
        <f t="shared" si="189"/>
        <v>390</v>
      </c>
      <c r="D1079" s="23">
        <f t="shared" si="190"/>
        <v>2</v>
      </c>
      <c r="E1079" s="23" t="str">
        <f>VLOOKUP(C1079,'[7]Tariff Schedule Lookup Table'!I$7:L$287,2,FALSE)</f>
        <v>HIGH PRESSURE SODIUM 250W (210/220)</v>
      </c>
      <c r="F1079" s="23" t="str">
        <f>IF(E1079 = "BULKHEADS ETC", "SHARED OR NO POLE", VLOOKUP(C1079,'[7]Tariff Schedule Lookup Table'!I$7:L$287,3,FALSE))</f>
        <v>STEEL POLE</v>
      </c>
      <c r="G1079" s="23">
        <f>IF(E1079 = "NO CAPITAL", 1, VLOOKUP(C1079,'[7]Tariff Schedule Lookup Table'!I$7:L$287,4,FALSE))</f>
        <v>2</v>
      </c>
      <c r="H1079" s="23" t="str">
        <f t="shared" si="191"/>
        <v>2-Unmetered, Funded by Others, CE Maintained</v>
      </c>
      <c r="I1079" s="374">
        <f>VLOOKUP(F1079,'Maintenance Model'!$A$57:$B$61,2,FALSE)</f>
        <v>9.9616182311111103</v>
      </c>
      <c r="J1079" s="374">
        <f>IF(D1079=1,VLOOKUP(C1079,'Capital Code Schedules'!A$15:F$300,2,FALSE),IF(D1079=2,VLOOKUP(C1079,'Capital Code Schedules'!A$15:F$300,3,FALSE),0))</f>
        <v>0</v>
      </c>
      <c r="K1079" s="374">
        <f>IF(D1079=1,VLOOKUP(C1079,'Capital Code Schedules'!E$15:G$300,2,FALSE),IF(D1079=2,VLOOKUP(C1079,'Capital Code Schedules'!E$15:G$300,3,FALSE),0))</f>
        <v>0</v>
      </c>
      <c r="L1079" s="374">
        <f>VLOOKUP(LEFT(A1079,10),'Streetlight Tariff Schedule'!B$11:H$260,7, FALSE)+I1079</f>
        <v>84.575535451609795</v>
      </c>
      <c r="M1079" s="410">
        <f t="shared" si="182"/>
        <v>84.575535451609795</v>
      </c>
      <c r="N1079" s="411">
        <f t="shared" si="183"/>
        <v>88.099681511078302</v>
      </c>
      <c r="O1079" s="411">
        <v>72.980422687312014</v>
      </c>
      <c r="P1079" s="411">
        <v>72.980422687312014</v>
      </c>
      <c r="Q1079" s="411">
        <v>76.552001543330277</v>
      </c>
      <c r="R1079" s="411">
        <v>76.552001543330277</v>
      </c>
      <c r="S1079" s="411">
        <f t="shared" si="184"/>
        <v>92.411179692653135</v>
      </c>
      <c r="T1079" s="411">
        <v>79.696082966499759</v>
      </c>
      <c r="U1079" s="411">
        <v>79.987235962320483</v>
      </c>
      <c r="V1079" s="411">
        <f t="shared" si="185"/>
        <v>96.558087138306334</v>
      </c>
      <c r="W1079" s="411">
        <v>82.597236123952726</v>
      </c>
      <c r="X1079" s="411">
        <v>83.63919067947144</v>
      </c>
      <c r="Y1079" s="411">
        <f t="shared" si="186"/>
        <v>100.96661254315869</v>
      </c>
      <c r="Z1079" s="411">
        <v>84.983107610847171</v>
      </c>
      <c r="AA1079" s="411">
        <v>86.370071377337297</v>
      </c>
      <c r="AB1079" s="441">
        <f t="shared" si="187"/>
        <v>103.15826870304322</v>
      </c>
      <c r="AC1079" s="438">
        <f t="shared" si="188"/>
        <v>106.24260409758901</v>
      </c>
      <c r="AD1079" s="410"/>
      <c r="AE1079" s="411"/>
      <c r="AF1079" s="411"/>
      <c r="AG1079" s="411"/>
    </row>
    <row r="1080" spans="1:33" s="409" customFormat="1" x14ac:dyDescent="0.2">
      <c r="A1080" s="409" t="s">
        <v>2000</v>
      </c>
      <c r="B1080" s="23" t="str">
        <f>VLOOKUP(LEFT(A1080,7),'[7]Tariff Schedule Lookup Table'!$A$8:$G$186,2,FALSE)</f>
        <v>Metal Hallide (Reactor Control Gear) 400</v>
      </c>
      <c r="C1080" s="375">
        <f t="shared" si="189"/>
        <v>470</v>
      </c>
      <c r="D1080" s="23">
        <f t="shared" si="190"/>
        <v>2</v>
      </c>
      <c r="E1080" s="23" t="str">
        <f>VLOOKUP(C1080,'[7]Tariff Schedule Lookup Table'!I$7:L$287,2,FALSE)</f>
        <v>HIGH PRESSURE SODIUM 250W (210/220)</v>
      </c>
      <c r="F1080" s="23" t="str">
        <f>IF(E1080 = "BULKHEADS ETC", "SHARED OR NO POLE", VLOOKUP(C1080,'[7]Tariff Schedule Lookup Table'!I$7:L$287,3,FALSE))</f>
        <v>STEEL POLE</v>
      </c>
      <c r="G1080" s="23">
        <f>IF(E1080 = "NO CAPITAL", 1, VLOOKUP(C1080,'[7]Tariff Schedule Lookup Table'!I$7:L$287,4,FALSE))</f>
        <v>4</v>
      </c>
      <c r="H1080" s="23" t="str">
        <f t="shared" si="191"/>
        <v>2-Unmetered, Funded by Others, CE Maintained</v>
      </c>
      <c r="I1080" s="374">
        <f>VLOOKUP(F1080,'Maintenance Model'!$A$57:$B$61,2,FALSE)</f>
        <v>9.9616182311111103</v>
      </c>
      <c r="J1080" s="374">
        <f>IF(D1080=1,VLOOKUP(C1080,'Capital Code Schedules'!A$15:F$300,2,FALSE),IF(D1080=2,VLOOKUP(C1080,'Capital Code Schedules'!A$15:F$300,3,FALSE),0))</f>
        <v>0</v>
      </c>
      <c r="K1080" s="374">
        <f>IF(D1080=1,VLOOKUP(C1080,'Capital Code Schedules'!E$15:G$300,2,FALSE),IF(D1080=2,VLOOKUP(C1080,'Capital Code Schedules'!E$15:G$300,3,FALSE),0))</f>
        <v>0</v>
      </c>
      <c r="L1080" s="374">
        <f>VLOOKUP(LEFT(A1080,10),'Streetlight Tariff Schedule'!B$11:H$260,7, FALSE)+I1080</f>
        <v>84.575535451609795</v>
      </c>
      <c r="M1080" s="410">
        <f t="shared" si="182"/>
        <v>84.575535451609795</v>
      </c>
      <c r="N1080" s="411">
        <f t="shared" si="183"/>
        <v>88.099681511078302</v>
      </c>
      <c r="O1080" s="411">
        <v>72.980422687312014</v>
      </c>
      <c r="P1080" s="411">
        <v>72.980422687312014</v>
      </c>
      <c r="Q1080" s="411">
        <v>76.552001543330277</v>
      </c>
      <c r="R1080" s="411">
        <v>76.552001543330277</v>
      </c>
      <c r="S1080" s="411">
        <f t="shared" si="184"/>
        <v>92.411179692653135</v>
      </c>
      <c r="T1080" s="411">
        <v>79.696082966499759</v>
      </c>
      <c r="U1080" s="411">
        <v>79.987235962320483</v>
      </c>
      <c r="V1080" s="411">
        <f t="shared" si="185"/>
        <v>96.558087138306334</v>
      </c>
      <c r="W1080" s="411">
        <v>82.597236123952726</v>
      </c>
      <c r="X1080" s="411">
        <v>83.63919067947144</v>
      </c>
      <c r="Y1080" s="411">
        <f t="shared" si="186"/>
        <v>100.96661254315869</v>
      </c>
      <c r="Z1080" s="411">
        <v>84.983107610847171</v>
      </c>
      <c r="AA1080" s="411">
        <v>86.370071377337297</v>
      </c>
      <c r="AB1080" s="441">
        <f t="shared" si="187"/>
        <v>103.15826870304322</v>
      </c>
      <c r="AC1080" s="438">
        <f t="shared" si="188"/>
        <v>106.24260409758901</v>
      </c>
      <c r="AD1080" s="410"/>
      <c r="AE1080" s="411"/>
      <c r="AF1080" s="411"/>
      <c r="AG1080" s="411"/>
    </row>
    <row r="1081" spans="1:33" s="409" customFormat="1" x14ac:dyDescent="0.2">
      <c r="A1081" s="409" t="s">
        <v>2001</v>
      </c>
      <c r="B1081" s="23" t="str">
        <f>VLOOKUP(LEFT(A1081,7),'[7]Tariff Schedule Lookup Table'!$A$8:$G$186,2,FALSE)</f>
        <v>Metal Hallide (Reactor Control Gear) 400</v>
      </c>
      <c r="C1081" s="375">
        <f t="shared" si="189"/>
        <v>620</v>
      </c>
      <c r="D1081" s="23">
        <f t="shared" si="190"/>
        <v>2</v>
      </c>
      <c r="E1081" s="23" t="str">
        <f>VLOOKUP(C1081,'[7]Tariff Schedule Lookup Table'!I$7:L$287,2,FALSE)</f>
        <v>METAL HALIDE/HPS 400W FLOOD (310/360)</v>
      </c>
      <c r="F1081" s="23" t="str">
        <f>IF(E1081 = "BULKHEADS ETC", "SHARED OR NO POLE", VLOOKUP(C1081,'[7]Tariff Schedule Lookup Table'!I$7:L$287,3,FALSE))</f>
        <v>SHARED OR NO POLE</v>
      </c>
      <c r="G1081" s="23">
        <f>IF(E1081 = "NO CAPITAL", 1, VLOOKUP(C1081,'[7]Tariff Schedule Lookup Table'!I$7:L$287,4,FALSE))</f>
        <v>1</v>
      </c>
      <c r="H1081" s="23" t="str">
        <f t="shared" si="191"/>
        <v>2-Unmetered, Funded by Others, CE Maintained</v>
      </c>
      <c r="I1081" s="374">
        <f>VLOOKUP(F1081,'Maintenance Model'!$A$57:$B$61,2,FALSE)</f>
        <v>0</v>
      </c>
      <c r="J1081" s="374">
        <f>IF(D1081=1,VLOOKUP(C1081,'Capital Code Schedules'!A$15:F$300,2,FALSE),IF(D1081=2,VLOOKUP(C1081,'Capital Code Schedules'!A$15:F$300,3,FALSE),0))</f>
        <v>0</v>
      </c>
      <c r="K1081" s="374">
        <f>IF(D1081=1,VLOOKUP(C1081,'Capital Code Schedules'!E$15:G$300,2,FALSE),IF(D1081=2,VLOOKUP(C1081,'Capital Code Schedules'!E$15:G$300,3,FALSE),0))</f>
        <v>0</v>
      </c>
      <c r="L1081" s="374">
        <f>VLOOKUP(LEFT(A1081,10),'Streetlight Tariff Schedule'!B$11:H$260,7, FALSE)+I1081</f>
        <v>74.613917220498692</v>
      </c>
      <c r="M1081" s="410">
        <f t="shared" si="182"/>
        <v>74.613917220498692</v>
      </c>
      <c r="N1081" s="411">
        <f t="shared" si="183"/>
        <v>77.722976370405902</v>
      </c>
      <c r="O1081" s="411">
        <v>63.386307451212851</v>
      </c>
      <c r="P1081" s="411">
        <v>63.386307451212851</v>
      </c>
      <c r="Q1081" s="411">
        <v>66.488361222863347</v>
      </c>
      <c r="R1081" s="411">
        <v>66.488361222863347</v>
      </c>
      <c r="S1081" s="411">
        <f t="shared" si="184"/>
        <v>81.52665040804078</v>
      </c>
      <c r="T1081" s="411">
        <v>69.219117011912999</v>
      </c>
      <c r="U1081" s="411">
        <v>69.47199460057135</v>
      </c>
      <c r="V1081" s="411">
        <f t="shared" si="185"/>
        <v>85.185119813157002</v>
      </c>
      <c r="W1081" s="411">
        <v>71.73888024744906</v>
      </c>
      <c r="X1081" s="411">
        <v>72.643857902748152</v>
      </c>
      <c r="Y1081" s="411">
        <f t="shared" si="186"/>
        <v>89.074392850160976</v>
      </c>
      <c r="Z1081" s="411">
        <v>73.811101509517286</v>
      </c>
      <c r="AA1081" s="411">
        <v>75.015732950240903</v>
      </c>
      <c r="AB1081" s="441">
        <f t="shared" si="187"/>
        <v>91.007907671157696</v>
      </c>
      <c r="AC1081" s="438">
        <f t="shared" si="188"/>
        <v>93.728958676983922</v>
      </c>
      <c r="AD1081" s="410"/>
      <c r="AE1081" s="411"/>
      <c r="AF1081" s="411"/>
      <c r="AG1081" s="411"/>
    </row>
    <row r="1082" spans="1:33" s="409" customFormat="1" x14ac:dyDescent="0.2">
      <c r="A1082" s="409" t="s">
        <v>2002</v>
      </c>
      <c r="B1082" s="23" t="str">
        <f>VLOOKUP(LEFT(A1082,7),'[7]Tariff Schedule Lookup Table'!$A$8:$G$186,2,FALSE)</f>
        <v>Metal Hallide (Reactor Control Gear) 400</v>
      </c>
      <c r="C1082" s="375">
        <f t="shared" si="189"/>
        <v>660</v>
      </c>
      <c r="D1082" s="23">
        <f t="shared" si="190"/>
        <v>1</v>
      </c>
      <c r="E1082" s="23" t="str">
        <f>VLOOKUP(C1082,'[7]Tariff Schedule Lookup Table'!I$7:L$287,2,FALSE)</f>
        <v>METAL HALIDE/HPS 400W FLOOD (310/360)</v>
      </c>
      <c r="F1082" s="23" t="str">
        <f>IF(E1082 = "BULKHEADS ETC", "SHARED OR NO POLE", VLOOKUP(C1082,'[7]Tariff Schedule Lookup Table'!I$7:L$287,3,FALSE))</f>
        <v>SHARED OR NO POLE</v>
      </c>
      <c r="G1082" s="23">
        <f>IF(E1082 = "NO CAPITAL", 1, VLOOKUP(C1082,'[7]Tariff Schedule Lookup Table'!I$7:L$287,4,FALSE))</f>
        <v>2</v>
      </c>
      <c r="H1082" s="23" t="str">
        <f t="shared" si="191"/>
        <v>1-Unmetered, CE Funded, CE Maintained</v>
      </c>
      <c r="I1082" s="374">
        <f>VLOOKUP(F1082,'Maintenance Model'!$A$57:$B$61,2,FALSE)</f>
        <v>0</v>
      </c>
      <c r="J1082" s="374">
        <f>IF(D1082=1,VLOOKUP(C1082,'Capital Code Schedules'!A$15:F$300,2,FALSE),IF(D1082=2,VLOOKUP(C1082,'Capital Code Schedules'!A$15:F$300,3,FALSE),0))</f>
        <v>49.505888035288052</v>
      </c>
      <c r="K1082" s="374">
        <f>IF(D1082=1,VLOOKUP(C1082,'Capital Code Schedules'!E$15:G$300,2,FALSE),IF(D1082=2,VLOOKUP(C1082,'Capital Code Schedules'!E$15:G$300,3,FALSE),0))</f>
        <v>62.796772261121802</v>
      </c>
      <c r="L1082" s="374">
        <f>VLOOKUP(LEFT(A1082,10),'Streetlight Tariff Schedule'!B$11:H$260,7, FALSE)+I1082</f>
        <v>74.613917220498692</v>
      </c>
      <c r="M1082" s="410">
        <f t="shared" si="182"/>
        <v>137.41068948162049</v>
      </c>
      <c r="N1082" s="411">
        <f t="shared" si="183"/>
        <v>128.45413513456734</v>
      </c>
      <c r="O1082" s="411">
        <v>130.58616288673221</v>
      </c>
      <c r="P1082" s="411">
        <v>127.73729982579742</v>
      </c>
      <c r="Q1082" s="411">
        <v>132.4320406587189</v>
      </c>
      <c r="R1082" s="411">
        <v>135.35141308041182</v>
      </c>
      <c r="S1082" s="411">
        <f t="shared" si="184"/>
        <v>133.51340535161521</v>
      </c>
      <c r="T1082" s="411">
        <v>136.79490251380597</v>
      </c>
      <c r="U1082" s="411">
        <v>140.29764343605993</v>
      </c>
      <c r="V1082" s="411">
        <f t="shared" si="185"/>
        <v>138.6534972726233</v>
      </c>
      <c r="W1082" s="411">
        <v>140.98716644051387</v>
      </c>
      <c r="X1082" s="411">
        <v>145.87049623375981</v>
      </c>
      <c r="Y1082" s="411">
        <f t="shared" si="186"/>
        <v>144.35534830550318</v>
      </c>
      <c r="Z1082" s="411">
        <v>144.77328278586046</v>
      </c>
      <c r="AA1082" s="411">
        <v>150.32933047368641</v>
      </c>
      <c r="AB1082" s="441">
        <f t="shared" si="187"/>
        <v>147.26180794251394</v>
      </c>
      <c r="AC1082" s="438">
        <f t="shared" si="188"/>
        <v>151.61984744623661</v>
      </c>
      <c r="AD1082" s="410"/>
      <c r="AE1082" s="411"/>
      <c r="AF1082" s="411"/>
      <c r="AG1082" s="411"/>
    </row>
    <row r="1083" spans="1:33" s="409" customFormat="1" x14ac:dyDescent="0.2">
      <c r="A1083" s="409" t="s">
        <v>2003</v>
      </c>
      <c r="B1083" s="23" t="str">
        <f>VLOOKUP(LEFT(A1083,7),'[7]Tariff Schedule Lookup Table'!$A$8:$G$186,2,FALSE)</f>
        <v>Metal Hallide (Reactor Control Gear) 400</v>
      </c>
      <c r="C1083" s="375">
        <f t="shared" si="189"/>
        <v>660</v>
      </c>
      <c r="D1083" s="23">
        <f t="shared" si="190"/>
        <v>2</v>
      </c>
      <c r="E1083" s="23" t="str">
        <f>VLOOKUP(C1083,'[7]Tariff Schedule Lookup Table'!I$7:L$287,2,FALSE)</f>
        <v>METAL HALIDE/HPS 400W FLOOD (310/360)</v>
      </c>
      <c r="F1083" s="23" t="str">
        <f>IF(E1083 = "BULKHEADS ETC", "SHARED OR NO POLE", VLOOKUP(C1083,'[7]Tariff Schedule Lookup Table'!I$7:L$287,3,FALSE))</f>
        <v>SHARED OR NO POLE</v>
      </c>
      <c r="G1083" s="23">
        <f>IF(E1083 = "NO CAPITAL", 1, VLOOKUP(C1083,'[7]Tariff Schedule Lookup Table'!I$7:L$287,4,FALSE))</f>
        <v>2</v>
      </c>
      <c r="H1083" s="23" t="str">
        <f t="shared" si="191"/>
        <v>2-Unmetered, Funded by Others, CE Maintained</v>
      </c>
      <c r="I1083" s="374">
        <f>VLOOKUP(F1083,'Maintenance Model'!$A$57:$B$61,2,FALSE)</f>
        <v>0</v>
      </c>
      <c r="J1083" s="374">
        <f>IF(D1083=1,VLOOKUP(C1083,'Capital Code Schedules'!A$15:F$300,2,FALSE),IF(D1083=2,VLOOKUP(C1083,'Capital Code Schedules'!A$15:F$300,3,FALSE),0))</f>
        <v>0</v>
      </c>
      <c r="K1083" s="374">
        <f>IF(D1083=1,VLOOKUP(C1083,'Capital Code Schedules'!E$15:G$300,2,FALSE),IF(D1083=2,VLOOKUP(C1083,'Capital Code Schedules'!E$15:G$300,3,FALSE),0))</f>
        <v>0</v>
      </c>
      <c r="L1083" s="374">
        <f>VLOOKUP(LEFT(A1083,10),'Streetlight Tariff Schedule'!B$11:H$260,7, FALSE)+I1083</f>
        <v>74.613917220498692</v>
      </c>
      <c r="M1083" s="410">
        <f t="shared" si="182"/>
        <v>74.613917220498692</v>
      </c>
      <c r="N1083" s="411">
        <f t="shared" si="183"/>
        <v>77.722976370405902</v>
      </c>
      <c r="O1083" s="411">
        <v>63.386307451212851</v>
      </c>
      <c r="P1083" s="411">
        <v>63.386307451212851</v>
      </c>
      <c r="Q1083" s="411">
        <v>66.488361222863347</v>
      </c>
      <c r="R1083" s="411">
        <v>66.488361222863347</v>
      </c>
      <c r="S1083" s="411">
        <f t="shared" si="184"/>
        <v>81.52665040804078</v>
      </c>
      <c r="T1083" s="411">
        <v>69.219117011912999</v>
      </c>
      <c r="U1083" s="411">
        <v>69.47199460057135</v>
      </c>
      <c r="V1083" s="411">
        <f t="shared" si="185"/>
        <v>85.185119813157002</v>
      </c>
      <c r="W1083" s="411">
        <v>71.73888024744906</v>
      </c>
      <c r="X1083" s="411">
        <v>72.643857902748152</v>
      </c>
      <c r="Y1083" s="411">
        <f t="shared" si="186"/>
        <v>89.074392850160976</v>
      </c>
      <c r="Z1083" s="411">
        <v>73.811101509517286</v>
      </c>
      <c r="AA1083" s="411">
        <v>75.015732950240903</v>
      </c>
      <c r="AB1083" s="441">
        <f t="shared" si="187"/>
        <v>91.007907671157696</v>
      </c>
      <c r="AC1083" s="438">
        <f t="shared" si="188"/>
        <v>93.728958676983922</v>
      </c>
      <c r="AD1083" s="410"/>
      <c r="AE1083" s="411"/>
      <c r="AF1083" s="411"/>
      <c r="AG1083" s="411"/>
    </row>
    <row r="1084" spans="1:33" s="409" customFormat="1" x14ac:dyDescent="0.2">
      <c r="A1084" s="409" t="s">
        <v>2004</v>
      </c>
      <c r="B1084" s="23" t="str">
        <f>VLOOKUP(LEFT(A1084,7),'[7]Tariff Schedule Lookup Table'!$A$8:$G$186,2,FALSE)</f>
        <v>Metal Hallide (Reactor Control Gear) 400</v>
      </c>
      <c r="C1084" s="375">
        <f t="shared" si="189"/>
        <v>1080</v>
      </c>
      <c r="D1084" s="23">
        <f t="shared" si="190"/>
        <v>1</v>
      </c>
      <c r="E1084" s="23" t="str">
        <f>VLOOKUP(C1084,'[7]Tariff Schedule Lookup Table'!I$7:L$287,2,FALSE)</f>
        <v>HIGH PRESSURE SODIUM 70W TWIN ARC</v>
      </c>
      <c r="F1084" s="23" t="str">
        <f>IF(E1084 = "BULKHEADS ETC", "SHARED OR NO POLE", VLOOKUP(C1084,'[7]Tariff Schedule Lookup Table'!I$7:L$287,3,FALSE))</f>
        <v>SHARED OR NO POLE</v>
      </c>
      <c r="G1084" s="23">
        <f>IF(E1084 = "NO CAPITAL", 1, VLOOKUP(C1084,'[7]Tariff Schedule Lookup Table'!I$7:L$287,4,FALSE))</f>
        <v>2</v>
      </c>
      <c r="H1084" s="23" t="str">
        <f t="shared" si="191"/>
        <v>1-Unmetered, CE Funded, CE Maintained</v>
      </c>
      <c r="I1084" s="374">
        <f>VLOOKUP(F1084,'Maintenance Model'!$A$57:$B$61,2,FALSE)</f>
        <v>0</v>
      </c>
      <c r="J1084" s="374">
        <f>IF(D1084=1,VLOOKUP(C1084,'Capital Code Schedules'!A$15:F$300,2,FALSE),IF(D1084=2,VLOOKUP(C1084,'Capital Code Schedules'!A$15:F$300,3,FALSE),0))</f>
        <v>73.527525225964666</v>
      </c>
      <c r="K1084" s="374" t="e">
        <f>IF(D1084=1,VLOOKUP(C1084,'Capital Code Schedules'!E$15:G$300,2,FALSE),IF(D1084=2,VLOOKUP(C1084,'Capital Code Schedules'!E$15:G$300,3,FALSE),0))</f>
        <v>#N/A</v>
      </c>
      <c r="L1084" s="374">
        <f>VLOOKUP(LEFT(A1084,10),'Streetlight Tariff Schedule'!B$11:H$260,7, FALSE)+I1084</f>
        <v>74.613917220498692</v>
      </c>
      <c r="M1084" s="410" t="e">
        <f t="shared" si="182"/>
        <v>#N/A</v>
      </c>
      <c r="N1084" s="411">
        <f t="shared" si="183"/>
        <v>153.07030784571322</v>
      </c>
      <c r="O1084" s="411">
        <v>163.19340640062129</v>
      </c>
      <c r="P1084" s="411" t="e">
        <v>#N/A</v>
      </c>
      <c r="Q1084" s="411" t="e">
        <v>#N/A</v>
      </c>
      <c r="R1084" s="411">
        <v>168.76568587126965</v>
      </c>
      <c r="S1084" s="411">
        <f t="shared" si="184"/>
        <v>158.73882833736195</v>
      </c>
      <c r="T1084" s="411" t="e">
        <v>#N/A</v>
      </c>
      <c r="U1084" s="411">
        <v>174.66422300145723</v>
      </c>
      <c r="V1084" s="411">
        <f t="shared" si="185"/>
        <v>164.59784481346384</v>
      </c>
      <c r="W1084" s="411" t="e">
        <v>#N/A</v>
      </c>
      <c r="X1084" s="411">
        <v>181.40210284642404</v>
      </c>
      <c r="Y1084" s="411">
        <f t="shared" si="186"/>
        <v>171.17920922797819</v>
      </c>
      <c r="Z1084" s="411" t="e">
        <v>#N/A</v>
      </c>
      <c r="AA1084" s="411">
        <v>186.87358787481156</v>
      </c>
      <c r="AB1084" s="441">
        <f t="shared" si="187"/>
        <v>174.55776881722448</v>
      </c>
      <c r="AC1084" s="438">
        <f t="shared" si="188"/>
        <v>179.71012078240125</v>
      </c>
      <c r="AD1084" s="410"/>
      <c r="AE1084" s="411"/>
      <c r="AF1084" s="411"/>
      <c r="AG1084" s="411"/>
    </row>
    <row r="1085" spans="1:33" s="409" customFormat="1" x14ac:dyDescent="0.2">
      <c r="A1085" s="409" t="s">
        <v>2005</v>
      </c>
      <c r="B1085" s="23" t="str">
        <f>VLOOKUP(LEFT(A1085,7),'[7]Tariff Schedule Lookup Table'!$A$8:$G$186,2,FALSE)</f>
        <v>Metal Hallide (Reactor Control Gear) 400</v>
      </c>
      <c r="C1085" s="375">
        <f t="shared" si="189"/>
        <v>1080</v>
      </c>
      <c r="D1085" s="23">
        <f t="shared" si="190"/>
        <v>2</v>
      </c>
      <c r="E1085" s="23" t="str">
        <f>VLOOKUP(C1085,'[7]Tariff Schedule Lookup Table'!I$7:L$287,2,FALSE)</f>
        <v>HIGH PRESSURE SODIUM 70W TWIN ARC</v>
      </c>
      <c r="F1085" s="23" t="str">
        <f>IF(E1085 = "BULKHEADS ETC", "SHARED OR NO POLE", VLOOKUP(C1085,'[7]Tariff Schedule Lookup Table'!I$7:L$287,3,FALSE))</f>
        <v>SHARED OR NO POLE</v>
      </c>
      <c r="G1085" s="23">
        <f>IF(E1085 = "NO CAPITAL", 1, VLOOKUP(C1085,'[7]Tariff Schedule Lookup Table'!I$7:L$287,4,FALSE))</f>
        <v>2</v>
      </c>
      <c r="H1085" s="23" t="str">
        <f t="shared" si="191"/>
        <v>2-Unmetered, Funded by Others, CE Maintained</v>
      </c>
      <c r="I1085" s="374">
        <f>VLOOKUP(F1085,'Maintenance Model'!$A$57:$B$61,2,FALSE)</f>
        <v>0</v>
      </c>
      <c r="J1085" s="374">
        <f>IF(D1085=1,VLOOKUP(C1085,'Capital Code Schedules'!A$15:F$300,2,FALSE),IF(D1085=2,VLOOKUP(C1085,'Capital Code Schedules'!A$15:F$300,3,FALSE),0))</f>
        <v>0</v>
      </c>
      <c r="K1085" s="374">
        <f>IF(D1085=1,VLOOKUP(C1085,'Capital Code Schedules'!E$15:G$300,2,FALSE),IF(D1085=2,VLOOKUP(C1085,'Capital Code Schedules'!E$15:G$300,3,FALSE),0))</f>
        <v>0</v>
      </c>
      <c r="L1085" s="374">
        <f>VLOOKUP(LEFT(A1085,10),'Streetlight Tariff Schedule'!B$11:H$260,7, FALSE)+I1085</f>
        <v>74.613917220498692</v>
      </c>
      <c r="M1085" s="410">
        <f t="shared" si="182"/>
        <v>74.613917220498692</v>
      </c>
      <c r="N1085" s="411">
        <f t="shared" si="183"/>
        <v>77.722976370405902</v>
      </c>
      <c r="O1085" s="411">
        <v>63.386307451212851</v>
      </c>
      <c r="P1085" s="411">
        <v>63.386307451212851</v>
      </c>
      <c r="Q1085" s="411">
        <v>66.488361222863347</v>
      </c>
      <c r="R1085" s="411">
        <v>66.488361222863347</v>
      </c>
      <c r="S1085" s="411">
        <f t="shared" si="184"/>
        <v>81.52665040804078</v>
      </c>
      <c r="T1085" s="411">
        <v>69.219117011912999</v>
      </c>
      <c r="U1085" s="411">
        <v>69.47199460057135</v>
      </c>
      <c r="V1085" s="411">
        <f t="shared" si="185"/>
        <v>85.185119813157002</v>
      </c>
      <c r="W1085" s="411">
        <v>71.73888024744906</v>
      </c>
      <c r="X1085" s="411">
        <v>72.643857902748152</v>
      </c>
      <c r="Y1085" s="411">
        <f t="shared" si="186"/>
        <v>89.074392850160976</v>
      </c>
      <c r="Z1085" s="411">
        <v>73.811101509517286</v>
      </c>
      <c r="AA1085" s="411">
        <v>75.015732950240903</v>
      </c>
      <c r="AB1085" s="441">
        <f t="shared" si="187"/>
        <v>91.007907671157696</v>
      </c>
      <c r="AC1085" s="438">
        <f t="shared" si="188"/>
        <v>93.728958676983922</v>
      </c>
      <c r="AD1085" s="410"/>
      <c r="AE1085" s="411"/>
      <c r="AF1085" s="411"/>
      <c r="AG1085" s="411"/>
    </row>
    <row r="1086" spans="1:33" s="409" customFormat="1" x14ac:dyDescent="0.2">
      <c r="A1086" s="409" t="s">
        <v>2006</v>
      </c>
      <c r="B1086" s="23" t="str">
        <f>VLOOKUP(LEFT(A1086,7),'[7]Tariff Schedule Lookup Table'!$A$8:$G$186,2,FALSE)</f>
        <v>Metal Hallide (Reactor Control Gear) 400</v>
      </c>
      <c r="C1086" s="375">
        <f t="shared" si="189"/>
        <v>1130</v>
      </c>
      <c r="D1086" s="23">
        <f t="shared" si="190"/>
        <v>1</v>
      </c>
      <c r="E1086" s="23" t="str">
        <f>VLOOKUP(C1086,'[7]Tariff Schedule Lookup Table'!I$7:L$287,2,FALSE)</f>
        <v>METAL HALIDE/HPS 400W FLOOD (310/360)</v>
      </c>
      <c r="F1086" s="23" t="str">
        <f>IF(E1086 = "BULKHEADS ETC", "SHARED OR NO POLE", VLOOKUP(C1086,'[7]Tariff Schedule Lookup Table'!I$7:L$287,3,FALSE))</f>
        <v>STEEL POLE</v>
      </c>
      <c r="G1086" s="23">
        <f>IF(E1086 = "NO CAPITAL", 1, VLOOKUP(C1086,'[7]Tariff Schedule Lookup Table'!I$7:L$287,4,FALSE))</f>
        <v>2</v>
      </c>
      <c r="H1086" s="23" t="str">
        <f t="shared" si="191"/>
        <v>1-Unmetered, CE Funded, CE Maintained</v>
      </c>
      <c r="I1086" s="374">
        <f>VLOOKUP(F1086,'Maintenance Model'!$A$57:$B$61,2,FALSE)</f>
        <v>9.9616182311111103</v>
      </c>
      <c r="J1086" s="374">
        <f>IF(D1086=1,VLOOKUP(C1086,'Capital Code Schedules'!A$15:F$300,2,FALSE),IF(D1086=2,VLOOKUP(C1086,'Capital Code Schedules'!A$15:F$300,3,FALSE),0))</f>
        <v>120.03267348142677</v>
      </c>
      <c r="K1086" s="374">
        <f>IF(D1086=1,VLOOKUP(C1086,'Capital Code Schedules'!E$15:G$300,2,FALSE),IF(D1086=2,VLOOKUP(C1086,'Capital Code Schedules'!E$15:G$300,3,FALSE),0))</f>
        <v>152.25793859376614</v>
      </c>
      <c r="L1086" s="374">
        <f>VLOOKUP(LEFT(A1086,10),'Streetlight Tariff Schedule'!B$11:H$260,7, FALSE)+I1086</f>
        <v>84.575535451609795</v>
      </c>
      <c r="M1086" s="410">
        <f t="shared" si="182"/>
        <v>236.83347404537594</v>
      </c>
      <c r="N1086" s="411">
        <f t="shared" si="183"/>
        <v>211.10316366117036</v>
      </c>
      <c r="O1086" s="411">
        <v>235.91413876854185</v>
      </c>
      <c r="P1086" s="411">
        <v>229.00674526127386</v>
      </c>
      <c r="Q1086" s="411">
        <v>236.43997560099766</v>
      </c>
      <c r="R1086" s="411">
        <v>243.51832709757051</v>
      </c>
      <c r="S1086" s="411">
        <f t="shared" si="184"/>
        <v>218.45899802596</v>
      </c>
      <c r="T1086" s="411">
        <v>243.54128438209443</v>
      </c>
      <c r="U1086" s="411">
        <v>251.71210179485658</v>
      </c>
      <c r="V1086" s="411">
        <f t="shared" si="185"/>
        <v>226.19826829411244</v>
      </c>
      <c r="W1086" s="411">
        <v>250.49760627458335</v>
      </c>
      <c r="X1086" s="411">
        <v>261.18552946373046</v>
      </c>
      <c r="Y1086" s="411">
        <f t="shared" si="186"/>
        <v>235.00159584014662</v>
      </c>
      <c r="Z1086" s="411">
        <v>257.03901192270592</v>
      </c>
      <c r="AA1086" s="411">
        <v>268.9764808169478</v>
      </c>
      <c r="AB1086" s="441">
        <f t="shared" si="187"/>
        <v>239.55226770605816</v>
      </c>
      <c r="AC1086" s="438">
        <f t="shared" si="188"/>
        <v>246.60566847159168</v>
      </c>
      <c r="AD1086" s="410"/>
      <c r="AE1086" s="411"/>
      <c r="AF1086" s="411"/>
      <c r="AG1086" s="411"/>
    </row>
    <row r="1087" spans="1:33" s="409" customFormat="1" x14ac:dyDescent="0.2">
      <c r="A1087" s="409" t="s">
        <v>2007</v>
      </c>
      <c r="B1087" s="23" t="str">
        <f>VLOOKUP(LEFT(A1087,7),'[7]Tariff Schedule Lookup Table'!$A$8:$G$186,2,FALSE)</f>
        <v>Metal Hallide (Reactor Control Gear) 400</v>
      </c>
      <c r="C1087" s="375">
        <f t="shared" si="189"/>
        <v>1170</v>
      </c>
      <c r="D1087" s="23">
        <f t="shared" si="190"/>
        <v>1</v>
      </c>
      <c r="E1087" s="23" t="str">
        <f>VLOOKUP(C1087,'[7]Tariff Schedule Lookup Table'!I$7:L$287,2,FALSE)</f>
        <v>METAL HALIDE/HPS 400W FLOOD (310/360)</v>
      </c>
      <c r="F1087" s="23" t="str">
        <f>IF(E1087 = "BULKHEADS ETC", "SHARED OR NO POLE", VLOOKUP(C1087,'[7]Tariff Schedule Lookup Table'!I$7:L$287,3,FALSE))</f>
        <v>STEEL POLE</v>
      </c>
      <c r="G1087" s="23">
        <f>IF(E1087 = "NO CAPITAL", 1, VLOOKUP(C1087,'[7]Tariff Schedule Lookup Table'!I$7:L$287,4,FALSE))</f>
        <v>1</v>
      </c>
      <c r="H1087" s="23" t="str">
        <f t="shared" si="191"/>
        <v>1-Unmetered, CE Funded, CE Maintained</v>
      </c>
      <c r="I1087" s="374">
        <f>VLOOKUP(F1087,'Maintenance Model'!$A$57:$B$61,2,FALSE)</f>
        <v>9.9616182311111103</v>
      </c>
      <c r="J1087" s="374">
        <f>IF(D1087=1,VLOOKUP(C1087,'Capital Code Schedules'!A$15:F$300,2,FALSE),IF(D1087=2,VLOOKUP(C1087,'Capital Code Schedules'!A$15:F$300,3,FALSE),0))</f>
        <v>99.810790399594723</v>
      </c>
      <c r="K1087" s="374">
        <f>IF(D1087=1,VLOOKUP(C1087,'Capital Code Schedules'!E$15:G$300,2,FALSE),IF(D1087=2,VLOOKUP(C1087,'Capital Code Schedules'!E$15:G$300,3,FALSE),0))</f>
        <v>126.60707084899062</v>
      </c>
      <c r="L1087" s="374">
        <f>VLOOKUP(LEFT(A1087,10),'Streetlight Tariff Schedule'!B$11:H$260,7, FALSE)+I1087</f>
        <v>84.575535451609795</v>
      </c>
      <c r="M1087" s="410">
        <f t="shared" si="182"/>
        <v>211.18260630060041</v>
      </c>
      <c r="N1087" s="411">
        <f t="shared" si="183"/>
        <v>190.38078897306298</v>
      </c>
      <c r="O1087" s="411">
        <v>208.46472469552387</v>
      </c>
      <c r="P1087" s="411">
        <v>202.72101853981519</v>
      </c>
      <c r="Q1087" s="411">
        <v>209.50367714318287</v>
      </c>
      <c r="R1087" s="411">
        <v>215.38954002624536</v>
      </c>
      <c r="S1087" s="411">
        <f t="shared" si="184"/>
        <v>197.22374456432192</v>
      </c>
      <c r="T1087" s="411">
        <v>215.93831253744872</v>
      </c>
      <c r="U1087" s="411">
        <v>222.78164429199865</v>
      </c>
      <c r="V1087" s="411">
        <f t="shared" si="185"/>
        <v>204.35781010881769</v>
      </c>
      <c r="W1087" s="411">
        <v>222.21146087678267</v>
      </c>
      <c r="X1087" s="411">
        <v>231.27432945152569</v>
      </c>
      <c r="Y1087" s="411">
        <f t="shared" si="186"/>
        <v>212.42074612237039</v>
      </c>
      <c r="Z1087" s="411">
        <v>228.05278442630964</v>
      </c>
      <c r="AA1087" s="411">
        <v>238.21281160439511</v>
      </c>
      <c r="AB1087" s="441">
        <f t="shared" si="187"/>
        <v>216.57399503324905</v>
      </c>
      <c r="AC1087" s="438">
        <f t="shared" si="188"/>
        <v>222.95872806400382</v>
      </c>
      <c r="AD1087" s="410"/>
      <c r="AE1087" s="411"/>
      <c r="AF1087" s="411"/>
      <c r="AG1087" s="411"/>
    </row>
    <row r="1088" spans="1:33" s="409" customFormat="1" x14ac:dyDescent="0.2">
      <c r="A1088" s="409" t="s">
        <v>2008</v>
      </c>
      <c r="B1088" s="23" t="str">
        <f>VLOOKUP(LEFT(A1088,7),'[7]Tariff Schedule Lookup Table'!$A$8:$G$186,2,FALSE)</f>
        <v>Metal Hallide (Reactor Control Gear) 400</v>
      </c>
      <c r="C1088" s="375">
        <f t="shared" si="189"/>
        <v>1170</v>
      </c>
      <c r="D1088" s="23">
        <f t="shared" si="190"/>
        <v>2</v>
      </c>
      <c r="E1088" s="23" t="str">
        <f>VLOOKUP(C1088,'[7]Tariff Schedule Lookup Table'!I$7:L$287,2,FALSE)</f>
        <v>METAL HALIDE/HPS 400W FLOOD (310/360)</v>
      </c>
      <c r="F1088" s="23" t="str">
        <f>IF(E1088 = "BULKHEADS ETC", "SHARED OR NO POLE", VLOOKUP(C1088,'[7]Tariff Schedule Lookup Table'!I$7:L$287,3,FALSE))</f>
        <v>STEEL POLE</v>
      </c>
      <c r="G1088" s="23">
        <f>IF(E1088 = "NO CAPITAL", 1, VLOOKUP(C1088,'[7]Tariff Schedule Lookup Table'!I$7:L$287,4,FALSE))</f>
        <v>1</v>
      </c>
      <c r="H1088" s="23" t="str">
        <f t="shared" si="191"/>
        <v>2-Unmetered, Funded by Others, CE Maintained</v>
      </c>
      <c r="I1088" s="374">
        <f>VLOOKUP(F1088,'Maintenance Model'!$A$57:$B$61,2,FALSE)</f>
        <v>9.9616182311111103</v>
      </c>
      <c r="J1088" s="374">
        <f>IF(D1088=1,VLOOKUP(C1088,'Capital Code Schedules'!A$15:F$300,2,FALSE),IF(D1088=2,VLOOKUP(C1088,'Capital Code Schedules'!A$15:F$300,3,FALSE),0))</f>
        <v>0</v>
      </c>
      <c r="K1088" s="374">
        <f>IF(D1088=1,VLOOKUP(C1088,'Capital Code Schedules'!E$15:G$300,2,FALSE),IF(D1088=2,VLOOKUP(C1088,'Capital Code Schedules'!E$15:G$300,3,FALSE),0))</f>
        <v>0</v>
      </c>
      <c r="L1088" s="374">
        <f>VLOOKUP(LEFT(A1088,10),'Streetlight Tariff Schedule'!B$11:H$260,7, FALSE)+I1088</f>
        <v>84.575535451609795</v>
      </c>
      <c r="M1088" s="410">
        <f t="shared" si="182"/>
        <v>84.575535451609795</v>
      </c>
      <c r="N1088" s="411">
        <f t="shared" si="183"/>
        <v>88.099681511078302</v>
      </c>
      <c r="O1088" s="411">
        <v>72.980422687312014</v>
      </c>
      <c r="P1088" s="411">
        <v>72.980422687312014</v>
      </c>
      <c r="Q1088" s="411">
        <v>76.552001543330277</v>
      </c>
      <c r="R1088" s="411">
        <v>76.552001543330277</v>
      </c>
      <c r="S1088" s="411">
        <f t="shared" si="184"/>
        <v>92.411179692653135</v>
      </c>
      <c r="T1088" s="411">
        <v>79.696082966499759</v>
      </c>
      <c r="U1088" s="411">
        <v>79.987235962320483</v>
      </c>
      <c r="V1088" s="411">
        <f t="shared" si="185"/>
        <v>96.558087138306334</v>
      </c>
      <c r="W1088" s="411">
        <v>82.597236123952726</v>
      </c>
      <c r="X1088" s="411">
        <v>83.63919067947144</v>
      </c>
      <c r="Y1088" s="411">
        <f t="shared" si="186"/>
        <v>100.96661254315869</v>
      </c>
      <c r="Z1088" s="411">
        <v>84.983107610847171</v>
      </c>
      <c r="AA1088" s="411">
        <v>86.370071377337297</v>
      </c>
      <c r="AB1088" s="441">
        <f t="shared" si="187"/>
        <v>103.15826870304322</v>
      </c>
      <c r="AC1088" s="438">
        <f t="shared" si="188"/>
        <v>106.24260409758901</v>
      </c>
      <c r="AD1088" s="410"/>
      <c r="AE1088" s="411"/>
      <c r="AF1088" s="411"/>
      <c r="AG1088" s="411"/>
    </row>
    <row r="1089" spans="1:33" s="409" customFormat="1" x14ac:dyDescent="0.2">
      <c r="A1089" s="409" t="s">
        <v>2009</v>
      </c>
      <c r="B1089" s="23" t="str">
        <f>VLOOKUP(LEFT(A1089,7),'[7]Tariff Schedule Lookup Table'!$A$8:$G$186,2,FALSE)</f>
        <v>Metal Hallide (Reactor Control Gear) 1500</v>
      </c>
      <c r="C1089" s="375">
        <f t="shared" si="189"/>
        <v>120</v>
      </c>
      <c r="D1089" s="23">
        <f t="shared" si="190"/>
        <v>2</v>
      </c>
      <c r="E1089" s="23" t="str">
        <f>VLOOKUP(C1089,'[7]Tariff Schedule Lookup Table'!I$7:L$287,2,FALSE)</f>
        <v xml:space="preserve">METAL HALIDE 1000W FLOODLIGHT </v>
      </c>
      <c r="F1089" s="23" t="str">
        <f>IF(E1089 = "BULKHEADS ETC", "SHARED OR NO POLE", VLOOKUP(C1089,'[7]Tariff Schedule Lookup Table'!I$7:L$287,3,FALSE))</f>
        <v>SHARED OR NO POLE</v>
      </c>
      <c r="G1089" s="23">
        <f>IF(E1089 = "NO CAPITAL", 1, VLOOKUP(C1089,'[7]Tariff Schedule Lookup Table'!I$7:L$287,4,FALSE))</f>
        <v>1</v>
      </c>
      <c r="H1089" s="23" t="str">
        <f t="shared" si="191"/>
        <v>2-Unmetered, Funded by Others, CE Maintained</v>
      </c>
      <c r="I1089" s="374">
        <f>VLOOKUP(F1089,'Maintenance Model'!$A$57:$B$61,2,FALSE)</f>
        <v>0</v>
      </c>
      <c r="J1089" s="374">
        <f>IF(D1089=1,VLOOKUP(C1089,'Capital Code Schedules'!A$15:F$300,2,FALSE),IF(D1089=2,VLOOKUP(C1089,'Capital Code Schedules'!A$15:F$300,3,FALSE),0))</f>
        <v>0</v>
      </c>
      <c r="K1089" s="374">
        <f>IF(D1089=1,VLOOKUP(C1089,'Capital Code Schedules'!E$15:G$300,2,FALSE),IF(D1089=2,VLOOKUP(C1089,'Capital Code Schedules'!E$15:G$300,3,FALSE),0))</f>
        <v>0</v>
      </c>
      <c r="L1089" s="374">
        <f>VLOOKUP(LEFT(A1089,10),'Streetlight Tariff Schedule'!B$11:H$260,7, FALSE)+I1089</f>
        <v>168.20557774034535</v>
      </c>
      <c r="M1089" s="410">
        <f t="shared" si="182"/>
        <v>168.20557774034535</v>
      </c>
      <c r="N1089" s="411">
        <f t="shared" si="183"/>
        <v>175.21447246160221</v>
      </c>
      <c r="O1089" s="411">
        <v>156.18748312423426</v>
      </c>
      <c r="P1089" s="411">
        <v>156.18748312423426</v>
      </c>
      <c r="Q1089" s="411">
        <v>163.8311208528248</v>
      </c>
      <c r="R1089" s="411">
        <v>163.8311208528248</v>
      </c>
      <c r="S1089" s="411">
        <f t="shared" si="184"/>
        <v>183.78926940123472</v>
      </c>
      <c r="T1089" s="411">
        <v>170.55985913824827</v>
      </c>
      <c r="U1089" s="411">
        <v>171.18296396481466</v>
      </c>
      <c r="V1089" s="411">
        <f t="shared" si="185"/>
        <v>192.0367248741112</v>
      </c>
      <c r="W1089" s="411">
        <v>176.76869971679537</v>
      </c>
      <c r="X1089" s="411">
        <v>178.99861636517608</v>
      </c>
      <c r="Y1089" s="411">
        <f t="shared" si="186"/>
        <v>200.80449156629436</v>
      </c>
      <c r="Z1089" s="411">
        <v>181.87477130249346</v>
      </c>
      <c r="AA1089" s="411">
        <v>184.84305199882138</v>
      </c>
      <c r="AB1089" s="441">
        <f t="shared" si="187"/>
        <v>205.16330275930756</v>
      </c>
      <c r="AC1089" s="438">
        <f t="shared" si="188"/>
        <v>211.29749291505786</v>
      </c>
      <c r="AD1089" s="410"/>
      <c r="AE1089" s="411"/>
      <c r="AF1089" s="411"/>
      <c r="AG1089" s="411"/>
    </row>
    <row r="1090" spans="1:33" s="409" customFormat="1" x14ac:dyDescent="0.2">
      <c r="A1090" s="409" t="s">
        <v>2010</v>
      </c>
      <c r="B1090" s="23" t="str">
        <f>VLOOKUP(LEFT(A1090,7),'[7]Tariff Schedule Lookup Table'!$A$8:$G$186,2,FALSE)</f>
        <v>Mercury Vapour 50</v>
      </c>
      <c r="C1090" s="375">
        <f t="shared" si="189"/>
        <v>740</v>
      </c>
      <c r="D1090" s="23">
        <f t="shared" si="190"/>
        <v>1</v>
      </c>
      <c r="E1090" s="23" t="str">
        <f>VLOOKUP(C1090,'[7]Tariff Schedule Lookup Table'!I$7:L$287,2,FALSE)</f>
        <v>MERCURY VAPOUR 80W</v>
      </c>
      <c r="F1090" s="23" t="str">
        <f>IF(E1090 = "BULKHEADS ETC", "SHARED OR NO POLE", VLOOKUP(C1090,'[7]Tariff Schedule Lookup Table'!I$7:L$287,3,FALSE))</f>
        <v>SHARED OR NO POLE</v>
      </c>
      <c r="G1090" s="23">
        <f>IF(E1090 = "NO CAPITAL", 1, VLOOKUP(C1090,'[7]Tariff Schedule Lookup Table'!I$7:L$287,4,FALSE))</f>
        <v>2</v>
      </c>
      <c r="H1090" s="23" t="str">
        <f t="shared" si="191"/>
        <v>1-Unmetered, CE Funded, CE Maintained</v>
      </c>
      <c r="I1090" s="374">
        <f>VLOOKUP(F1090,'Maintenance Model'!$A$57:$B$61,2,FALSE)</f>
        <v>0</v>
      </c>
      <c r="J1090" s="374">
        <f>IF(D1090=1,VLOOKUP(C1090,'Capital Code Schedules'!A$15:F$300,2,FALSE),IF(D1090=2,VLOOKUP(C1090,'Capital Code Schedules'!A$15:F$300,3,FALSE),0))</f>
        <v>23.919781035330548</v>
      </c>
      <c r="K1090" s="374">
        <f>IF(D1090=1,VLOOKUP(C1090,'Capital Code Schedules'!E$15:G$300,2,FALSE),IF(D1090=2,VLOOKUP(C1090,'Capital Code Schedules'!E$15:G$300,3,FALSE),0))</f>
        <v>30.34154323503618</v>
      </c>
      <c r="L1090" s="374">
        <f>VLOOKUP(LEFT(A1090,10),'Streetlight Tariff Schedule'!B$11:H$260,7, FALSE)+I1090</f>
        <v>34.136728572789771</v>
      </c>
      <c r="M1090" s="410">
        <f t="shared" si="182"/>
        <v>64.478271807825948</v>
      </c>
      <c r="N1090" s="411">
        <f t="shared" si="183"/>
        <v>60.070954645029296</v>
      </c>
      <c r="O1090" s="411">
        <v>62.036516396600824</v>
      </c>
      <c r="P1090" s="411">
        <v>60.660030016463004</v>
      </c>
      <c r="Q1090" s="411">
        <v>62.876570757650356</v>
      </c>
      <c r="R1090" s="411">
        <v>64.287125175696588</v>
      </c>
      <c r="S1090" s="411">
        <f t="shared" si="184"/>
        <v>62.417846373521918</v>
      </c>
      <c r="T1090" s="411">
        <v>64.938959850288114</v>
      </c>
      <c r="U1090" s="411">
        <v>66.627156405886524</v>
      </c>
      <c r="V1090" s="411">
        <f t="shared" si="185"/>
        <v>64.807514547590188</v>
      </c>
      <c r="W1090" s="411">
        <v>66.922445657619207</v>
      </c>
      <c r="X1090" s="411">
        <v>69.266808725316253</v>
      </c>
      <c r="Y1090" s="411">
        <f t="shared" si="186"/>
        <v>67.46268594836782</v>
      </c>
      <c r="Z1090" s="411">
        <v>68.71716906421419</v>
      </c>
      <c r="AA1090" s="411">
        <v>71.381563867244111</v>
      </c>
      <c r="AB1090" s="441">
        <f t="shared" si="187"/>
        <v>68.817389463791258</v>
      </c>
      <c r="AC1090" s="438">
        <f t="shared" si="188"/>
        <v>70.853246145138812</v>
      </c>
      <c r="AD1090" s="410"/>
      <c r="AE1090" s="411"/>
      <c r="AF1090" s="411"/>
      <c r="AG1090" s="411"/>
    </row>
    <row r="1091" spans="1:33" s="409" customFormat="1" x14ac:dyDescent="0.2">
      <c r="A1091" s="409" t="s">
        <v>2011</v>
      </c>
      <c r="B1091" s="23" t="str">
        <f>VLOOKUP(LEFT(A1091,7),'[7]Tariff Schedule Lookup Table'!$A$8:$G$186,2,FALSE)</f>
        <v>Mercury Vapour 50</v>
      </c>
      <c r="C1091" s="375">
        <f t="shared" si="189"/>
        <v>740</v>
      </c>
      <c r="D1091" s="23">
        <f t="shared" si="190"/>
        <v>2</v>
      </c>
      <c r="E1091" s="23" t="str">
        <f>VLOOKUP(C1091,'[7]Tariff Schedule Lookup Table'!I$7:L$287,2,FALSE)</f>
        <v>MERCURY VAPOUR 80W</v>
      </c>
      <c r="F1091" s="23" t="str">
        <f>IF(E1091 = "BULKHEADS ETC", "SHARED OR NO POLE", VLOOKUP(C1091,'[7]Tariff Schedule Lookup Table'!I$7:L$287,3,FALSE))</f>
        <v>SHARED OR NO POLE</v>
      </c>
      <c r="G1091" s="23">
        <f>IF(E1091 = "NO CAPITAL", 1, VLOOKUP(C1091,'[7]Tariff Schedule Lookup Table'!I$7:L$287,4,FALSE))</f>
        <v>2</v>
      </c>
      <c r="H1091" s="23" t="str">
        <f t="shared" si="191"/>
        <v>2-Unmetered, Funded by Others, CE Maintained</v>
      </c>
      <c r="I1091" s="374">
        <f>VLOOKUP(F1091,'Maintenance Model'!$A$57:$B$61,2,FALSE)</f>
        <v>0</v>
      </c>
      <c r="J1091" s="374">
        <f>IF(D1091=1,VLOOKUP(C1091,'Capital Code Schedules'!A$15:F$300,2,FALSE),IF(D1091=2,VLOOKUP(C1091,'Capital Code Schedules'!A$15:F$300,3,FALSE),0))</f>
        <v>0</v>
      </c>
      <c r="K1091" s="374">
        <f>IF(D1091=1,VLOOKUP(C1091,'Capital Code Schedules'!E$15:G$300,2,FALSE),IF(D1091=2,VLOOKUP(C1091,'Capital Code Schedules'!E$15:G$300,3,FALSE),0))</f>
        <v>0</v>
      </c>
      <c r="L1091" s="374">
        <f>VLOOKUP(LEFT(A1091,10),'Streetlight Tariff Schedule'!B$11:H$260,7, FALSE)+I1091</f>
        <v>34.136728572789771</v>
      </c>
      <c r="M1091" s="410">
        <f t="shared" si="182"/>
        <v>34.136728572789771</v>
      </c>
      <c r="N1091" s="411">
        <f t="shared" si="183"/>
        <v>35.559159029074316</v>
      </c>
      <c r="O1091" s="411">
        <v>29.567533586359676</v>
      </c>
      <c r="P1091" s="411">
        <v>29.567533586359676</v>
      </c>
      <c r="Q1091" s="411">
        <v>31.014535040901965</v>
      </c>
      <c r="R1091" s="411">
        <v>31.014535040901965</v>
      </c>
      <c r="S1091" s="411">
        <f t="shared" si="184"/>
        <v>37.299383816072051</v>
      </c>
      <c r="T1091" s="411">
        <v>32.288338749550199</v>
      </c>
      <c r="U1091" s="411">
        <v>32.406297452250271</v>
      </c>
      <c r="V1091" s="411">
        <f t="shared" si="185"/>
        <v>38.973175807252993</v>
      </c>
      <c r="W1091" s="411">
        <v>33.463721684638038</v>
      </c>
      <c r="X1091" s="411">
        <v>33.885862653151719</v>
      </c>
      <c r="Y1091" s="411">
        <f t="shared" si="186"/>
        <v>40.752563124733207</v>
      </c>
      <c r="Z1091" s="411">
        <v>34.43034167290174</v>
      </c>
      <c r="AA1091" s="411">
        <v>34.992260832022893</v>
      </c>
      <c r="AB1091" s="441">
        <f t="shared" si="187"/>
        <v>41.637168478460666</v>
      </c>
      <c r="AC1091" s="438">
        <f t="shared" si="188"/>
        <v>42.882080729135097</v>
      </c>
      <c r="AD1091" s="410"/>
      <c r="AE1091" s="411"/>
      <c r="AF1091" s="411"/>
      <c r="AG1091" s="411"/>
    </row>
    <row r="1092" spans="1:33" s="409" customFormat="1" x14ac:dyDescent="0.2">
      <c r="A1092" s="409" t="s">
        <v>2012</v>
      </c>
      <c r="B1092" s="23" t="str">
        <f>VLOOKUP(LEFT(A1092,7),'[7]Tariff Schedule Lookup Table'!$A$8:$G$186,2,FALSE)</f>
        <v>Mercury Vapour 50</v>
      </c>
      <c r="C1092" s="375">
        <f t="shared" si="189"/>
        <v>810</v>
      </c>
      <c r="D1092" s="23">
        <f t="shared" si="190"/>
        <v>1</v>
      </c>
      <c r="E1092" s="23" t="str">
        <f>VLOOKUP(C1092,'[7]Tariff Schedule Lookup Table'!I$7:L$287,2,FALSE)</f>
        <v>MERCURY VAPOUR 80W</v>
      </c>
      <c r="F1092" s="23" t="str">
        <f>IF(E1092 = "BULKHEADS ETC", "SHARED OR NO POLE", VLOOKUP(C1092,'[7]Tariff Schedule Lookup Table'!I$7:L$287,3,FALSE))</f>
        <v>WOOD POLE</v>
      </c>
      <c r="G1092" s="23">
        <f>IF(E1092 = "NO CAPITAL", 1, VLOOKUP(C1092,'[7]Tariff Schedule Lookup Table'!I$7:L$287,4,FALSE))</f>
        <v>1</v>
      </c>
      <c r="H1092" s="23" t="str">
        <f t="shared" si="191"/>
        <v>1-Unmetered, CE Funded, CE Maintained</v>
      </c>
      <c r="I1092" s="374">
        <f>VLOOKUP(F1092,'Maintenance Model'!$A$57:$B$61,2,FALSE)</f>
        <v>10.731618231111112</v>
      </c>
      <c r="J1092" s="374">
        <f>IF(D1092=1,VLOOKUP(C1092,'Capital Code Schedules'!A$15:F$300,2,FALSE),IF(D1092=2,VLOOKUP(C1092,'Capital Code Schedules'!A$15:F$300,3,FALSE),0))</f>
        <v>51.156145528662286</v>
      </c>
      <c r="K1092" s="374">
        <f>IF(D1092=1,VLOOKUP(C1092,'Capital Code Schedules'!E$15:G$300,2,FALSE),IF(D1092=2,VLOOKUP(C1092,'Capital Code Schedules'!E$15:G$300,3,FALSE),0))</f>
        <v>64.890075665956445</v>
      </c>
      <c r="L1092" s="374">
        <f>VLOOKUP(LEFT(A1092,10),'Streetlight Tariff Schedule'!B$11:H$260,7, FALSE)+I1092</f>
        <v>44.868346803900884</v>
      </c>
      <c r="M1092" s="410">
        <f t="shared" si="182"/>
        <v>109.75842246985732</v>
      </c>
      <c r="N1092" s="411">
        <f t="shared" si="183"/>
        <v>99.160209139568394</v>
      </c>
      <c r="O1092" s="411">
        <v>109.40366738671968</v>
      </c>
      <c r="P1092" s="411">
        <v>106.45983870047272</v>
      </c>
      <c r="Q1092" s="411">
        <v>110.06139695858977</v>
      </c>
      <c r="R1092" s="411">
        <v>113.07808540482132</v>
      </c>
      <c r="S1092" s="411">
        <f t="shared" si="184"/>
        <v>102.74496212823536</v>
      </c>
      <c r="T1092" s="411">
        <v>113.46959266842478</v>
      </c>
      <c r="U1092" s="411">
        <v>116.9872227999645</v>
      </c>
      <c r="V1092" s="411">
        <f t="shared" si="185"/>
        <v>106.47595856351272</v>
      </c>
      <c r="W1092" s="411">
        <v>116.78650317361219</v>
      </c>
      <c r="X1092" s="411">
        <v>121.46804134717524</v>
      </c>
      <c r="Y1092" s="411">
        <f t="shared" si="186"/>
        <v>110.68773423616692</v>
      </c>
      <c r="Z1092" s="411">
        <v>119.86402213392185</v>
      </c>
      <c r="AA1092" s="411">
        <v>125.11998575750323</v>
      </c>
      <c r="AB1092" s="441">
        <f t="shared" si="187"/>
        <v>112.85581190996987</v>
      </c>
      <c r="AC1092" s="438">
        <f t="shared" si="188"/>
        <v>116.18364603157524</v>
      </c>
      <c r="AD1092" s="410"/>
      <c r="AE1092" s="411"/>
      <c r="AF1092" s="411"/>
      <c r="AG1092" s="411"/>
    </row>
    <row r="1093" spans="1:33" s="409" customFormat="1" x14ac:dyDescent="0.2">
      <c r="A1093" s="409" t="s">
        <v>2013</v>
      </c>
      <c r="B1093" s="23" t="str">
        <f>VLOOKUP(LEFT(A1093,7),'[7]Tariff Schedule Lookup Table'!$A$8:$G$186,2,FALSE)</f>
        <v>Mercury Vapour 50</v>
      </c>
      <c r="C1093" s="375">
        <f t="shared" si="189"/>
        <v>1000</v>
      </c>
      <c r="D1093" s="23">
        <f t="shared" si="190"/>
        <v>2</v>
      </c>
      <c r="E1093" s="23" t="str">
        <f>VLOOKUP(C1093,'[7]Tariff Schedule Lookup Table'!I$7:L$287,2,FALSE)</f>
        <v>MERCURY VAPOUR 80W</v>
      </c>
      <c r="F1093" s="23" t="str">
        <f>IF(E1093 = "BULKHEADS ETC", "SHARED OR NO POLE", VLOOKUP(C1093,'[7]Tariff Schedule Lookup Table'!I$7:L$287,3,FALSE))</f>
        <v>STEEL POLE</v>
      </c>
      <c r="G1093" s="23">
        <f>IF(E1093 = "NO CAPITAL", 1, VLOOKUP(C1093,'[7]Tariff Schedule Lookup Table'!I$7:L$287,4,FALSE))</f>
        <v>2</v>
      </c>
      <c r="H1093" s="23" t="str">
        <f t="shared" si="191"/>
        <v>2-Unmetered, Funded by Others, CE Maintained</v>
      </c>
      <c r="I1093" s="374">
        <f>VLOOKUP(F1093,'Maintenance Model'!$A$57:$B$61,2,FALSE)</f>
        <v>9.9616182311111103</v>
      </c>
      <c r="J1093" s="374">
        <f>IF(D1093=1,VLOOKUP(C1093,'Capital Code Schedules'!A$15:F$300,2,FALSE),IF(D1093=2,VLOOKUP(C1093,'Capital Code Schedules'!A$15:F$300,3,FALSE),0))</f>
        <v>0</v>
      </c>
      <c r="K1093" s="374">
        <f>IF(D1093=1,VLOOKUP(C1093,'Capital Code Schedules'!E$15:G$300,2,FALSE),IF(D1093=2,VLOOKUP(C1093,'Capital Code Schedules'!E$15:G$300,3,FALSE),0))</f>
        <v>0</v>
      </c>
      <c r="L1093" s="374">
        <f>VLOOKUP(LEFT(A1093,10),'Streetlight Tariff Schedule'!B$11:H$260,7, FALSE)+I1093</f>
        <v>44.098346803900881</v>
      </c>
      <c r="M1093" s="410">
        <f t="shared" si="182"/>
        <v>44.098346803900881</v>
      </c>
      <c r="N1093" s="411">
        <f t="shared" si="183"/>
        <v>45.935864169746708</v>
      </c>
      <c r="O1093" s="411">
        <v>39.161648822458844</v>
      </c>
      <c r="P1093" s="411">
        <v>39.161648822458844</v>
      </c>
      <c r="Q1093" s="411">
        <v>41.078175361368878</v>
      </c>
      <c r="R1093" s="411">
        <v>41.078175361368878</v>
      </c>
      <c r="S1093" s="411">
        <f t="shared" si="184"/>
        <v>48.183913100684421</v>
      </c>
      <c r="T1093" s="411">
        <v>42.765304704136952</v>
      </c>
      <c r="U1093" s="411">
        <v>42.921538813999405</v>
      </c>
      <c r="V1093" s="411">
        <f t="shared" si="185"/>
        <v>50.346143132402332</v>
      </c>
      <c r="W1093" s="411">
        <v>44.32207756114169</v>
      </c>
      <c r="X1093" s="411">
        <v>44.881195429874985</v>
      </c>
      <c r="Y1093" s="411">
        <f t="shared" si="186"/>
        <v>52.644782817730935</v>
      </c>
      <c r="Z1093" s="411">
        <v>45.602347774231617</v>
      </c>
      <c r="AA1093" s="411">
        <v>46.346599259119287</v>
      </c>
      <c r="AB1093" s="441">
        <f t="shared" si="187"/>
        <v>53.787529510346211</v>
      </c>
      <c r="AC1093" s="438">
        <f t="shared" si="188"/>
        <v>55.395726149740213</v>
      </c>
      <c r="AD1093" s="410"/>
      <c r="AE1093" s="411"/>
      <c r="AF1093" s="411"/>
      <c r="AG1093" s="411"/>
    </row>
    <row r="1094" spans="1:33" s="409" customFormat="1" x14ac:dyDescent="0.2">
      <c r="A1094" s="409" t="s">
        <v>2014</v>
      </c>
      <c r="B1094" s="23" t="str">
        <f>VLOOKUP(LEFT(A1094,7),'[7]Tariff Schedule Lookup Table'!$A$8:$G$186,2,FALSE)</f>
        <v>Mercury Vapour 50</v>
      </c>
      <c r="C1094" s="375">
        <f t="shared" si="189"/>
        <v>1260</v>
      </c>
      <c r="D1094" s="23">
        <f t="shared" si="190"/>
        <v>2</v>
      </c>
      <c r="E1094" s="23" t="str">
        <f>VLOOKUP(C1094,'[7]Tariff Schedule Lookup Table'!I$7:L$287,2,FALSE)</f>
        <v>MERCURY VAPOUR 80W</v>
      </c>
      <c r="F1094" s="23" t="str">
        <f>IF(E1094 = "BULKHEADS ETC", "SHARED OR NO POLE", VLOOKUP(C1094,'[7]Tariff Schedule Lookup Table'!I$7:L$287,3,FALSE))</f>
        <v>WOOD POLE</v>
      </c>
      <c r="G1094" s="23">
        <f>IF(E1094 = "NO CAPITAL", 1, VLOOKUP(C1094,'[7]Tariff Schedule Lookup Table'!I$7:L$287,4,FALSE))</f>
        <v>2</v>
      </c>
      <c r="H1094" s="23" t="str">
        <f t="shared" si="191"/>
        <v>2-Unmetered, Funded by Others, CE Maintained</v>
      </c>
      <c r="I1094" s="374">
        <f>VLOOKUP(F1094,'Maintenance Model'!$A$57:$B$61,2,FALSE)</f>
        <v>10.731618231111112</v>
      </c>
      <c r="J1094" s="374">
        <f>IF(D1094=1,VLOOKUP(C1094,'Capital Code Schedules'!A$15:F$300,2,FALSE),IF(D1094=2,VLOOKUP(C1094,'Capital Code Schedules'!A$15:F$300,3,FALSE),0))</f>
        <v>0</v>
      </c>
      <c r="K1094" s="374">
        <f>IF(D1094=1,VLOOKUP(C1094,'Capital Code Schedules'!E$15:G$300,2,FALSE),IF(D1094=2,VLOOKUP(C1094,'Capital Code Schedules'!E$15:G$300,3,FALSE),0))</f>
        <v>0</v>
      </c>
      <c r="L1094" s="374">
        <f>VLOOKUP(LEFT(A1094,10),'Streetlight Tariff Schedule'!B$11:H$260,7, FALSE)+I1094</f>
        <v>44.868346803900884</v>
      </c>
      <c r="M1094" s="410">
        <f t="shared" si="182"/>
        <v>44.868346803900884</v>
      </c>
      <c r="N1094" s="411">
        <f t="shared" si="183"/>
        <v>46.737949009071713</v>
      </c>
      <c r="O1094" s="411">
        <v>39.963733661783849</v>
      </c>
      <c r="P1094" s="411">
        <v>39.963733661783849</v>
      </c>
      <c r="Q1094" s="411">
        <v>41.919513320193339</v>
      </c>
      <c r="R1094" s="411">
        <v>41.919513320193339</v>
      </c>
      <c r="S1094" s="411">
        <f t="shared" si="184"/>
        <v>49.025251059508875</v>
      </c>
      <c r="T1094" s="411">
        <v>43.641197409978048</v>
      </c>
      <c r="U1094" s="411">
        <v>43.800631410924616</v>
      </c>
      <c r="V1094" s="411">
        <f t="shared" si="185"/>
        <v>51.225235729327537</v>
      </c>
      <c r="W1094" s="411">
        <v>45.2298551325189</v>
      </c>
      <c r="X1094" s="411">
        <v>45.800424510046923</v>
      </c>
      <c r="Y1094" s="411">
        <f t="shared" si="186"/>
        <v>53.56401189790288</v>
      </c>
      <c r="Z1094" s="411">
        <v>46.536347053811518</v>
      </c>
      <c r="AA1094" s="411">
        <v>47.295841840516729</v>
      </c>
      <c r="AB1094" s="441">
        <f t="shared" si="187"/>
        <v>54.72671205855238</v>
      </c>
      <c r="AC1094" s="438">
        <f t="shared" si="188"/>
        <v>56.362989374481494</v>
      </c>
      <c r="AD1094" s="410"/>
      <c r="AE1094" s="411"/>
      <c r="AF1094" s="411"/>
      <c r="AG1094" s="411"/>
    </row>
    <row r="1095" spans="1:33" s="409" customFormat="1" x14ac:dyDescent="0.2">
      <c r="A1095" s="409" t="s">
        <v>2015</v>
      </c>
      <c r="B1095" s="23" t="str">
        <f>VLOOKUP(LEFT(A1095,7),'[7]Tariff Schedule Lookup Table'!$A$8:$G$186,2,FALSE)</f>
        <v>Mercury Vapour 80</v>
      </c>
      <c r="C1095" s="375">
        <f t="shared" si="189"/>
        <v>820</v>
      </c>
      <c r="D1095" s="23">
        <f t="shared" si="190"/>
        <v>2</v>
      </c>
      <c r="E1095" s="23" t="str">
        <f>VLOOKUP(C1095,'[7]Tariff Schedule Lookup Table'!I$7:L$287,2,FALSE)</f>
        <v>MERCURY VAPOUR 80W</v>
      </c>
      <c r="F1095" s="23" t="str">
        <f>IF(E1095 = "BULKHEADS ETC", "SHARED OR NO POLE", VLOOKUP(C1095,'[7]Tariff Schedule Lookup Table'!I$7:L$287,3,FALSE))</f>
        <v>SHARED OR NO POLE</v>
      </c>
      <c r="G1095" s="23">
        <f>IF(E1095 = "NO CAPITAL", 1, VLOOKUP(C1095,'[7]Tariff Schedule Lookup Table'!I$7:L$287,4,FALSE))</f>
        <v>3</v>
      </c>
      <c r="H1095" s="23" t="str">
        <f t="shared" si="191"/>
        <v>2-Unmetered, Funded by Others, CE Maintained</v>
      </c>
      <c r="I1095" s="374">
        <f>VLOOKUP(F1095,'Maintenance Model'!$A$57:$B$61,2,FALSE)</f>
        <v>0</v>
      </c>
      <c r="J1095" s="374">
        <f>IF(D1095=1,VLOOKUP(C1095,'Capital Code Schedules'!A$15:F$300,2,FALSE),IF(D1095=2,VLOOKUP(C1095,'Capital Code Schedules'!A$15:F$300,3,FALSE),0))</f>
        <v>0</v>
      </c>
      <c r="K1095" s="374">
        <f>IF(D1095=1,VLOOKUP(C1095,'Capital Code Schedules'!E$15:G$300,2,FALSE),IF(D1095=2,VLOOKUP(C1095,'Capital Code Schedules'!E$15:G$300,3,FALSE),0))</f>
        <v>0</v>
      </c>
      <c r="L1095" s="374">
        <f>VLOOKUP(LEFT(A1095,10),'Streetlight Tariff Schedule'!B$11:H$260,7, FALSE)+I1095</f>
        <v>34.396113742339779</v>
      </c>
      <c r="M1095" s="410">
        <f t="shared" si="182"/>
        <v>34.396113742339779</v>
      </c>
      <c r="N1095" s="411">
        <f t="shared" si="183"/>
        <v>35.829352421336402</v>
      </c>
      <c r="O1095" s="411">
        <v>29.84449639805074</v>
      </c>
      <c r="P1095" s="411">
        <v>29.84449639805074</v>
      </c>
      <c r="Q1095" s="411">
        <v>31.305052097494812</v>
      </c>
      <c r="R1095" s="411">
        <v>31.305052097494812</v>
      </c>
      <c r="S1095" s="411">
        <f t="shared" si="184"/>
        <v>37.582800165550672</v>
      </c>
      <c r="T1095" s="411">
        <v>32.590787685941514</v>
      </c>
      <c r="U1095" s="411">
        <v>32.709851322668897</v>
      </c>
      <c r="V1095" s="411">
        <f t="shared" si="185"/>
        <v>39.269310329725201</v>
      </c>
      <c r="W1095" s="411">
        <v>33.777180581043936</v>
      </c>
      <c r="X1095" s="411">
        <v>34.203275797186286</v>
      </c>
      <c r="Y1095" s="411">
        <f t="shared" si="186"/>
        <v>41.062218177740604</v>
      </c>
      <c r="Z1095" s="411">
        <v>34.752855020501691</v>
      </c>
      <c r="AA1095" s="411">
        <v>35.320037747170637</v>
      </c>
      <c r="AB1095" s="441">
        <f t="shared" si="187"/>
        <v>41.953545133661791</v>
      </c>
      <c r="AC1095" s="438">
        <f t="shared" si="188"/>
        <v>43.207916749328604</v>
      </c>
      <c r="AD1095" s="410"/>
      <c r="AE1095" s="411"/>
      <c r="AF1095" s="411"/>
      <c r="AG1095" s="411"/>
    </row>
    <row r="1096" spans="1:33" s="409" customFormat="1" x14ac:dyDescent="0.2">
      <c r="A1096" s="409" t="s">
        <v>2016</v>
      </c>
      <c r="B1096" s="23" t="str">
        <f>VLOOKUP(LEFT(A1096,7),'[7]Tariff Schedule Lookup Table'!$A$8:$G$186,2,FALSE)</f>
        <v>Mercury Vapour 80</v>
      </c>
      <c r="C1096" s="375">
        <f t="shared" si="189"/>
        <v>830</v>
      </c>
      <c r="D1096" s="23">
        <f t="shared" si="190"/>
        <v>2</v>
      </c>
      <c r="E1096" s="23" t="str">
        <f>VLOOKUP(C1096,'[7]Tariff Schedule Lookup Table'!I$7:L$287,2,FALSE)</f>
        <v>MERCURY VAPOUR 80W</v>
      </c>
      <c r="F1096" s="23" t="str">
        <f>IF(E1096 = "BULKHEADS ETC", "SHARED OR NO POLE", VLOOKUP(C1096,'[7]Tariff Schedule Lookup Table'!I$7:L$287,3,FALSE))</f>
        <v>SHARED OR NO POLE</v>
      </c>
      <c r="G1096" s="23">
        <f>IF(E1096 = "NO CAPITAL", 1, VLOOKUP(C1096,'[7]Tariff Schedule Lookup Table'!I$7:L$287,4,FALSE))</f>
        <v>4</v>
      </c>
      <c r="H1096" s="23" t="str">
        <f t="shared" si="191"/>
        <v>2-Unmetered, Funded by Others, CE Maintained</v>
      </c>
      <c r="I1096" s="374">
        <f>VLOOKUP(F1096,'Maintenance Model'!$A$57:$B$61,2,FALSE)</f>
        <v>0</v>
      </c>
      <c r="J1096" s="374">
        <f>IF(D1096=1,VLOOKUP(C1096,'Capital Code Schedules'!A$15:F$300,2,FALSE),IF(D1096=2,VLOOKUP(C1096,'Capital Code Schedules'!A$15:F$300,3,FALSE),0))</f>
        <v>0</v>
      </c>
      <c r="K1096" s="374">
        <f>IF(D1096=1,VLOOKUP(C1096,'Capital Code Schedules'!E$15:G$300,2,FALSE),IF(D1096=2,VLOOKUP(C1096,'Capital Code Schedules'!E$15:G$300,3,FALSE),0))</f>
        <v>0</v>
      </c>
      <c r="L1096" s="374">
        <f>VLOOKUP(LEFT(A1096,10),'Streetlight Tariff Schedule'!B$11:H$260,7, FALSE)+I1096</f>
        <v>34.396113742339779</v>
      </c>
      <c r="M1096" s="410">
        <f t="shared" si="182"/>
        <v>34.396113742339779</v>
      </c>
      <c r="N1096" s="411">
        <f t="shared" si="183"/>
        <v>35.829352421336402</v>
      </c>
      <c r="O1096" s="411">
        <v>29.84449639805074</v>
      </c>
      <c r="P1096" s="411">
        <v>29.84449639805074</v>
      </c>
      <c r="Q1096" s="411">
        <v>31.305052097494812</v>
      </c>
      <c r="R1096" s="411">
        <v>31.305052097494812</v>
      </c>
      <c r="S1096" s="411">
        <f t="shared" si="184"/>
        <v>37.582800165550672</v>
      </c>
      <c r="T1096" s="411">
        <v>32.590787685941514</v>
      </c>
      <c r="U1096" s="411">
        <v>32.709851322668897</v>
      </c>
      <c r="V1096" s="411">
        <f t="shared" si="185"/>
        <v>39.269310329725201</v>
      </c>
      <c r="W1096" s="411">
        <v>33.777180581043936</v>
      </c>
      <c r="X1096" s="411">
        <v>34.203275797186286</v>
      </c>
      <c r="Y1096" s="411">
        <f t="shared" si="186"/>
        <v>41.062218177740604</v>
      </c>
      <c r="Z1096" s="411">
        <v>34.752855020501691</v>
      </c>
      <c r="AA1096" s="411">
        <v>35.320037747170637</v>
      </c>
      <c r="AB1096" s="441">
        <f t="shared" si="187"/>
        <v>41.953545133661791</v>
      </c>
      <c r="AC1096" s="438">
        <f t="shared" si="188"/>
        <v>43.207916749328604</v>
      </c>
      <c r="AD1096" s="410"/>
      <c r="AE1096" s="411"/>
      <c r="AF1096" s="411"/>
      <c r="AG1096" s="411"/>
    </row>
    <row r="1097" spans="1:33" s="409" customFormat="1" x14ac:dyDescent="0.2">
      <c r="A1097" s="409" t="s">
        <v>2017</v>
      </c>
      <c r="B1097" s="23" t="str">
        <f>VLOOKUP(LEFT(A1097,7),'[7]Tariff Schedule Lookup Table'!$A$8:$G$186,2,FALSE)</f>
        <v>Mercury Vapour 80</v>
      </c>
      <c r="C1097" s="375">
        <f t="shared" si="189"/>
        <v>1000</v>
      </c>
      <c r="D1097" s="23">
        <f t="shared" si="190"/>
        <v>1</v>
      </c>
      <c r="E1097" s="23" t="str">
        <f>VLOOKUP(C1097,'[7]Tariff Schedule Lookup Table'!I$7:L$287,2,FALSE)</f>
        <v>MERCURY VAPOUR 80W</v>
      </c>
      <c r="F1097" s="23" t="str">
        <f>IF(E1097 = "BULKHEADS ETC", "SHARED OR NO POLE", VLOOKUP(C1097,'[7]Tariff Schedule Lookup Table'!I$7:L$287,3,FALSE))</f>
        <v>STEEL POLE</v>
      </c>
      <c r="G1097" s="23">
        <f>IF(E1097 = "NO CAPITAL", 1, VLOOKUP(C1097,'[7]Tariff Schedule Lookup Table'!I$7:L$287,4,FALSE))</f>
        <v>2</v>
      </c>
      <c r="H1097" s="23" t="str">
        <f t="shared" si="191"/>
        <v>1-Unmetered, CE Funded, CE Maintained</v>
      </c>
      <c r="I1097" s="374">
        <f>VLOOKUP(F1097,'Maintenance Model'!$A$57:$B$61,2,FALSE)</f>
        <v>9.9616182311111103</v>
      </c>
      <c r="J1097" s="374">
        <f>IF(D1097=1,VLOOKUP(C1097,'Capital Code Schedules'!A$15:F$300,2,FALSE),IF(D1097=2,VLOOKUP(C1097,'Capital Code Schedules'!A$15:F$300,3,FALSE),0))</f>
        <v>92.918415054851835</v>
      </c>
      <c r="K1097" s="374" t="e">
        <f>IF(D1097=1,VLOOKUP(C1097,'Capital Code Schedules'!E$15:G$300,2,FALSE),IF(D1097=2,VLOOKUP(C1097,'Capital Code Schedules'!E$15:G$300,3,FALSE),0))</f>
        <v>#N/A</v>
      </c>
      <c r="L1097" s="374">
        <f>VLOOKUP(LEFT(A1097,10),'Streetlight Tariff Schedule'!B$11:H$260,7, FALSE)+I1097</f>
        <v>44.357731973450889</v>
      </c>
      <c r="M1097" s="410" t="e">
        <f t="shared" si="182"/>
        <v>#N/A</v>
      </c>
      <c r="N1097" s="411">
        <f t="shared" si="183"/>
        <v>141.4242033894682</v>
      </c>
      <c r="O1097" s="411">
        <v>165.56712496437845</v>
      </c>
      <c r="P1097" s="411" t="e">
        <v>#N/A</v>
      </c>
      <c r="Q1097" s="411" t="e">
        <v>#N/A</v>
      </c>
      <c r="R1097" s="411">
        <v>170.61888645311342</v>
      </c>
      <c r="S1097" s="411">
        <f t="shared" si="184"/>
        <v>146.04212438685207</v>
      </c>
      <c r="T1097" s="411" t="e">
        <v>#N/A</v>
      </c>
      <c r="U1097" s="411">
        <v>176.15891724957157</v>
      </c>
      <c r="V1097" s="411">
        <f t="shared" si="185"/>
        <v>150.9979542472592</v>
      </c>
      <c r="W1097" s="411" t="e">
        <v>#N/A</v>
      </c>
      <c r="X1097" s="411">
        <v>182.63888979182175</v>
      </c>
      <c r="Y1097" s="411">
        <f t="shared" si="186"/>
        <v>156.71217189960484</v>
      </c>
      <c r="Z1097" s="411" t="e">
        <v>#N/A</v>
      </c>
      <c r="AA1097" s="411">
        <v>188.03170540688976</v>
      </c>
      <c r="AB1097" s="441">
        <f t="shared" si="187"/>
        <v>159.6877763133219</v>
      </c>
      <c r="AC1097" s="438">
        <f t="shared" si="188"/>
        <v>164.37792293900853</v>
      </c>
      <c r="AD1097" s="410"/>
      <c r="AE1097" s="411"/>
      <c r="AF1097" s="411"/>
      <c r="AG1097" s="411"/>
    </row>
    <row r="1098" spans="1:33" s="409" customFormat="1" x14ac:dyDescent="0.2">
      <c r="A1098" s="409" t="s">
        <v>2018</v>
      </c>
      <c r="B1098" s="23" t="str">
        <f>VLOOKUP(LEFT(A1098,7),'[7]Tariff Schedule Lookup Table'!$A$8:$G$186,2,FALSE)</f>
        <v>Mercury Vapour 80</v>
      </c>
      <c r="C1098" s="375">
        <f t="shared" si="189"/>
        <v>1260</v>
      </c>
      <c r="D1098" s="23">
        <f t="shared" si="190"/>
        <v>1</v>
      </c>
      <c r="E1098" s="23" t="str">
        <f>VLOOKUP(C1098,'[7]Tariff Schedule Lookup Table'!I$7:L$287,2,FALSE)</f>
        <v>MERCURY VAPOUR 80W</v>
      </c>
      <c r="F1098" s="23" t="str">
        <f>IF(E1098 = "BULKHEADS ETC", "SHARED OR NO POLE", VLOOKUP(C1098,'[7]Tariff Schedule Lookup Table'!I$7:L$287,3,FALSE))</f>
        <v>WOOD POLE</v>
      </c>
      <c r="G1098" s="23">
        <f>IF(E1098 = "NO CAPITAL", 1, VLOOKUP(C1098,'[7]Tariff Schedule Lookup Table'!I$7:L$287,4,FALSE))</f>
        <v>2</v>
      </c>
      <c r="H1098" s="23" t="str">
        <f t="shared" si="191"/>
        <v>1-Unmetered, CE Funded, CE Maintained</v>
      </c>
      <c r="I1098" s="374">
        <f>VLOOKUP(F1098,'Maintenance Model'!$A$57:$B$61,2,FALSE)</f>
        <v>10.731618231111112</v>
      </c>
      <c r="J1098" s="374">
        <f>IF(D1098=1,VLOOKUP(C1098,'Capital Code Schedules'!A$15:F$300,2,FALSE),IF(D1098=2,VLOOKUP(C1098,'Capital Code Schedules'!A$15:F$300,3,FALSE),0))</f>
        <v>57.820899397206851</v>
      </c>
      <c r="K1098" s="374" t="e">
        <f>IF(D1098=1,VLOOKUP(C1098,'Capital Code Schedules'!E$15:G$300,2,FALSE),IF(D1098=2,VLOOKUP(C1098,'Capital Code Schedules'!E$15:G$300,3,FALSE),0))</f>
        <v>#N/A</v>
      </c>
      <c r="L1098" s="374">
        <f>VLOOKUP(LEFT(A1098,10),'Streetlight Tariff Schedule'!B$11:H$260,7, FALSE)+I1098</f>
        <v>45.127731973450892</v>
      </c>
      <c r="M1098" s="410" t="e">
        <f t="shared" si="182"/>
        <v>#N/A</v>
      </c>
      <c r="N1098" s="411">
        <f t="shared" si="183"/>
        <v>106.26010905862154</v>
      </c>
      <c r="O1098" s="411">
        <v>118.72744289592802</v>
      </c>
      <c r="P1098" s="411" t="e">
        <v>#N/A</v>
      </c>
      <c r="Q1098" s="411" t="e">
        <v>#N/A</v>
      </c>
      <c r="R1098" s="411">
        <v>122.63932377319503</v>
      </c>
      <c r="S1098" s="411">
        <f t="shared" si="184"/>
        <v>110.02712024104311</v>
      </c>
      <c r="T1098" s="411" t="e">
        <v>#N/A</v>
      </c>
      <c r="U1098" s="411">
        <v>126.82571353954972</v>
      </c>
      <c r="V1098" s="411">
        <f t="shared" si="185"/>
        <v>113.97029898956893</v>
      </c>
      <c r="W1098" s="411" t="e">
        <v>#N/A</v>
      </c>
      <c r="X1098" s="411">
        <v>131.64362572024118</v>
      </c>
      <c r="Y1098" s="411">
        <f t="shared" si="186"/>
        <v>118.43961437288982</v>
      </c>
      <c r="Z1098" s="411" t="e">
        <v>#N/A</v>
      </c>
      <c r="AA1098" s="411">
        <v>135.58689178170971</v>
      </c>
      <c r="AB1098" s="441">
        <f t="shared" si="187"/>
        <v>120.74539681035991</v>
      </c>
      <c r="AC1098" s="438">
        <f t="shared" si="188"/>
        <v>124.30307065689264</v>
      </c>
      <c r="AD1098" s="410"/>
      <c r="AE1098" s="411"/>
      <c r="AF1098" s="411"/>
      <c r="AG1098" s="411"/>
    </row>
    <row r="1099" spans="1:33" s="409" customFormat="1" x14ac:dyDescent="0.2">
      <c r="A1099" s="409" t="s">
        <v>2019</v>
      </c>
      <c r="B1099" s="23" t="str">
        <f>VLOOKUP(LEFT(A1099,7),'[7]Tariff Schedule Lookup Table'!$A$8:$G$186,2,FALSE)</f>
        <v>Mercury Vapour 80</v>
      </c>
      <c r="C1099" s="375">
        <f t="shared" si="189"/>
        <v>1460</v>
      </c>
      <c r="D1099" s="23">
        <f t="shared" si="190"/>
        <v>2</v>
      </c>
      <c r="E1099" s="23" t="str">
        <f>VLOOKUP(C1099,'[7]Tariff Schedule Lookup Table'!I$7:L$287,2,FALSE)</f>
        <v>MERCURY VAPOUR 80W</v>
      </c>
      <c r="F1099" s="23" t="str">
        <f>IF(E1099 = "BULKHEADS ETC", "SHARED OR NO POLE", VLOOKUP(C1099,'[7]Tariff Schedule Lookup Table'!I$7:L$287,3,FALSE))</f>
        <v>STEEL POLE</v>
      </c>
      <c r="G1099" s="23">
        <f>IF(E1099 = "NO CAPITAL", 1, VLOOKUP(C1099,'[7]Tariff Schedule Lookup Table'!I$7:L$287,4,FALSE))</f>
        <v>3</v>
      </c>
      <c r="H1099" s="23" t="str">
        <f t="shared" si="191"/>
        <v>2-Unmetered, Funded by Others, CE Maintained</v>
      </c>
      <c r="I1099" s="374">
        <f>VLOOKUP(F1099,'Maintenance Model'!$A$57:$B$61,2,FALSE)</f>
        <v>9.9616182311111103</v>
      </c>
      <c r="J1099" s="374">
        <f>IF(D1099=1,VLOOKUP(C1099,'Capital Code Schedules'!A$15:F$300,2,FALSE),IF(D1099=2,VLOOKUP(C1099,'Capital Code Schedules'!A$15:F$300,3,FALSE),0))</f>
        <v>0</v>
      </c>
      <c r="K1099" s="374">
        <f>IF(D1099=1,VLOOKUP(C1099,'Capital Code Schedules'!E$15:G$300,2,FALSE),IF(D1099=2,VLOOKUP(C1099,'Capital Code Schedules'!E$15:G$300,3,FALSE),0))</f>
        <v>0</v>
      </c>
      <c r="L1099" s="374">
        <f>VLOOKUP(LEFT(A1099,10),'Streetlight Tariff Schedule'!B$11:H$260,7, FALSE)+I1099</f>
        <v>44.357731973450889</v>
      </c>
      <c r="M1099" s="410">
        <f t="shared" si="182"/>
        <v>44.357731973450889</v>
      </c>
      <c r="N1099" s="411">
        <f t="shared" si="183"/>
        <v>46.206057562008795</v>
      </c>
      <c r="O1099" s="411">
        <v>39.438611634149908</v>
      </c>
      <c r="P1099" s="411">
        <v>39.438611634149908</v>
      </c>
      <c r="Q1099" s="411">
        <v>41.368692417961732</v>
      </c>
      <c r="R1099" s="411">
        <v>41.368692417961732</v>
      </c>
      <c r="S1099" s="411">
        <f t="shared" si="184"/>
        <v>48.467329450163042</v>
      </c>
      <c r="T1099" s="411">
        <v>43.067753640528267</v>
      </c>
      <c r="U1099" s="411">
        <v>43.22509268441803</v>
      </c>
      <c r="V1099" s="411">
        <f t="shared" si="185"/>
        <v>50.64227765487454</v>
      </c>
      <c r="W1099" s="411">
        <v>44.635536457547595</v>
      </c>
      <c r="X1099" s="411">
        <v>45.198608573909553</v>
      </c>
      <c r="Y1099" s="411">
        <f t="shared" si="186"/>
        <v>52.954437870738332</v>
      </c>
      <c r="Z1099" s="411">
        <v>45.924861121831583</v>
      </c>
      <c r="AA1099" s="411">
        <v>46.674376174267032</v>
      </c>
      <c r="AB1099" s="441">
        <f t="shared" si="187"/>
        <v>54.103906165547336</v>
      </c>
      <c r="AC1099" s="438">
        <f t="shared" si="188"/>
        <v>55.721562169933726</v>
      </c>
      <c r="AD1099" s="410"/>
      <c r="AE1099" s="411"/>
      <c r="AF1099" s="411"/>
      <c r="AG1099" s="411"/>
    </row>
    <row r="1100" spans="1:33" s="409" customFormat="1" x14ac:dyDescent="0.2">
      <c r="A1100" s="409" t="s">
        <v>2020</v>
      </c>
      <c r="B1100" s="23" t="str">
        <f>VLOOKUP(LEFT(A1100,7),'[7]Tariff Schedule Lookup Table'!$A$8:$G$186,2,FALSE)</f>
        <v>Mercury Vapour 80</v>
      </c>
      <c r="C1100" s="375">
        <f t="shared" si="189"/>
        <v>1500</v>
      </c>
      <c r="D1100" s="23">
        <f t="shared" si="190"/>
        <v>2</v>
      </c>
      <c r="E1100" s="23" t="str">
        <f>VLOOKUP(C1100,'[7]Tariff Schedule Lookup Table'!I$7:L$287,2,FALSE)</f>
        <v>MERCURY VAPOUR 80W</v>
      </c>
      <c r="F1100" s="23" t="str">
        <f>IF(E1100 = "BULKHEADS ETC", "SHARED OR NO POLE", VLOOKUP(C1100,'[7]Tariff Schedule Lookup Table'!I$7:L$287,3,FALSE))</f>
        <v>STEEL POLE</v>
      </c>
      <c r="G1100" s="23">
        <f>IF(E1100 = "NO CAPITAL", 1, VLOOKUP(C1100,'[7]Tariff Schedule Lookup Table'!I$7:L$287,4,FALSE))</f>
        <v>4</v>
      </c>
      <c r="H1100" s="23" t="str">
        <f t="shared" si="191"/>
        <v>2-Unmetered, Funded by Others, CE Maintained</v>
      </c>
      <c r="I1100" s="374">
        <f>VLOOKUP(F1100,'Maintenance Model'!$A$57:$B$61,2,FALSE)</f>
        <v>9.9616182311111103</v>
      </c>
      <c r="J1100" s="374">
        <f>IF(D1100=1,VLOOKUP(C1100,'Capital Code Schedules'!A$15:F$300,2,FALSE),IF(D1100=2,VLOOKUP(C1100,'Capital Code Schedules'!A$15:F$300,3,FALSE),0))</f>
        <v>0</v>
      </c>
      <c r="K1100" s="374">
        <f>IF(D1100=1,VLOOKUP(C1100,'Capital Code Schedules'!E$15:G$300,2,FALSE),IF(D1100=2,VLOOKUP(C1100,'Capital Code Schedules'!E$15:G$300,3,FALSE),0))</f>
        <v>0</v>
      </c>
      <c r="L1100" s="374">
        <f>VLOOKUP(LEFT(A1100,10),'Streetlight Tariff Schedule'!B$11:H$260,7, FALSE)+I1100</f>
        <v>44.357731973450889</v>
      </c>
      <c r="M1100" s="410">
        <f t="shared" si="182"/>
        <v>44.357731973450889</v>
      </c>
      <c r="N1100" s="411">
        <f t="shared" si="183"/>
        <v>46.206057562008795</v>
      </c>
      <c r="O1100" s="411">
        <v>39.438611634149908</v>
      </c>
      <c r="P1100" s="411">
        <v>39.438611634149908</v>
      </c>
      <c r="Q1100" s="411">
        <v>41.368692417961732</v>
      </c>
      <c r="R1100" s="411">
        <v>41.368692417961732</v>
      </c>
      <c r="S1100" s="411">
        <f t="shared" si="184"/>
        <v>48.467329450163042</v>
      </c>
      <c r="T1100" s="411">
        <v>43.067753640528267</v>
      </c>
      <c r="U1100" s="411">
        <v>43.22509268441803</v>
      </c>
      <c r="V1100" s="411">
        <f t="shared" si="185"/>
        <v>50.64227765487454</v>
      </c>
      <c r="W1100" s="411">
        <v>44.635536457547595</v>
      </c>
      <c r="X1100" s="411">
        <v>45.198608573909553</v>
      </c>
      <c r="Y1100" s="411">
        <f t="shared" si="186"/>
        <v>52.954437870738332</v>
      </c>
      <c r="Z1100" s="411">
        <v>45.924861121831583</v>
      </c>
      <c r="AA1100" s="411">
        <v>46.674376174267032</v>
      </c>
      <c r="AB1100" s="441">
        <f t="shared" si="187"/>
        <v>54.103906165547336</v>
      </c>
      <c r="AC1100" s="438">
        <f t="shared" si="188"/>
        <v>55.721562169933726</v>
      </c>
      <c r="AD1100" s="410"/>
      <c r="AE1100" s="411"/>
      <c r="AF1100" s="411"/>
      <c r="AG1100" s="411"/>
    </row>
    <row r="1101" spans="1:33" s="409" customFormat="1" x14ac:dyDescent="0.2">
      <c r="A1101" s="409" t="s">
        <v>2021</v>
      </c>
      <c r="B1101" s="23" t="str">
        <f>VLOOKUP(LEFT(A1101,7),'[7]Tariff Schedule Lookup Table'!$A$8:$G$186,2,FALSE)</f>
        <v>Mercury Vapour 125</v>
      </c>
      <c r="C1101" s="375">
        <f t="shared" si="189"/>
        <v>740</v>
      </c>
      <c r="D1101" s="23">
        <f t="shared" si="190"/>
        <v>2</v>
      </c>
      <c r="E1101" s="23" t="str">
        <f>VLOOKUP(C1101,'[7]Tariff Schedule Lookup Table'!I$7:L$287,2,FALSE)</f>
        <v>MERCURY VAPOUR 80W</v>
      </c>
      <c r="F1101" s="23" t="str">
        <f>IF(E1101 = "BULKHEADS ETC", "SHARED OR NO POLE", VLOOKUP(C1101,'[7]Tariff Schedule Lookup Table'!I$7:L$287,3,FALSE))</f>
        <v>SHARED OR NO POLE</v>
      </c>
      <c r="G1101" s="23">
        <f>IF(E1101 = "NO CAPITAL", 1, VLOOKUP(C1101,'[7]Tariff Schedule Lookup Table'!I$7:L$287,4,FALSE))</f>
        <v>2</v>
      </c>
      <c r="H1101" s="23" t="str">
        <f t="shared" si="191"/>
        <v>2-Unmetered, Funded by Others, CE Maintained</v>
      </c>
      <c r="I1101" s="374">
        <f>VLOOKUP(F1101,'Maintenance Model'!$A$57:$B$61,2,FALSE)</f>
        <v>0</v>
      </c>
      <c r="J1101" s="374">
        <f>IF(D1101=1,VLOOKUP(C1101,'Capital Code Schedules'!A$15:F$300,2,FALSE),IF(D1101=2,VLOOKUP(C1101,'Capital Code Schedules'!A$15:F$300,3,FALSE),0))</f>
        <v>0</v>
      </c>
      <c r="K1101" s="374">
        <f>IF(D1101=1,VLOOKUP(C1101,'Capital Code Schedules'!E$15:G$300,2,FALSE),IF(D1101=2,VLOOKUP(C1101,'Capital Code Schedules'!E$15:G$300,3,FALSE),0))</f>
        <v>0</v>
      </c>
      <c r="L1101" s="374">
        <f>VLOOKUP(LEFT(A1101,10),'Streetlight Tariff Schedule'!B$11:H$260,7, FALSE)+I1101</f>
        <v>34.764063013691775</v>
      </c>
      <c r="M1101" s="410">
        <f t="shared" si="182"/>
        <v>34.764063013691775</v>
      </c>
      <c r="N1101" s="411">
        <f t="shared" si="183"/>
        <v>36.212633631975514</v>
      </c>
      <c r="O1101" s="411">
        <v>30.237444452515287</v>
      </c>
      <c r="P1101" s="411">
        <v>30.237444452515287</v>
      </c>
      <c r="Q1101" s="411">
        <v>31.71723058268531</v>
      </c>
      <c r="R1101" s="411">
        <v>31.71723058268531</v>
      </c>
      <c r="S1101" s="411">
        <f t="shared" si="184"/>
        <v>37.984838722576946</v>
      </c>
      <c r="T1101" s="411">
        <v>33.019894829980778</v>
      </c>
      <c r="U1101" s="411">
        <v>33.140526120046509</v>
      </c>
      <c r="V1101" s="411">
        <f t="shared" si="185"/>
        <v>39.689390174516845</v>
      </c>
      <c r="W1101" s="411">
        <v>34.221908386720216</v>
      </c>
      <c r="X1101" s="411">
        <v>34.653613792559412</v>
      </c>
      <c r="Y1101" s="411">
        <f t="shared" si="186"/>
        <v>41.501477489759864</v>
      </c>
      <c r="Z1101" s="411">
        <v>35.210429059790435</v>
      </c>
      <c r="AA1101" s="411">
        <v>35.785079607192486</v>
      </c>
      <c r="AB1101" s="441">
        <f t="shared" si="187"/>
        <v>42.402339334024091</v>
      </c>
      <c r="AC1101" s="438">
        <f t="shared" si="188"/>
        <v>43.670129474976825</v>
      </c>
      <c r="AD1101" s="410"/>
      <c r="AE1101" s="411"/>
      <c r="AF1101" s="411"/>
      <c r="AG1101" s="411"/>
    </row>
    <row r="1102" spans="1:33" s="409" customFormat="1" x14ac:dyDescent="0.2">
      <c r="A1102" s="409" t="s">
        <v>2022</v>
      </c>
      <c r="B1102" s="23" t="str">
        <f>VLOOKUP(LEFT(A1102,7),'[7]Tariff Schedule Lookup Table'!$A$8:$G$186,2,FALSE)</f>
        <v>Mercury Vapour 125</v>
      </c>
      <c r="C1102" s="375">
        <f t="shared" si="189"/>
        <v>810</v>
      </c>
      <c r="D1102" s="23">
        <f t="shared" si="190"/>
        <v>1</v>
      </c>
      <c r="E1102" s="23" t="str">
        <f>VLOOKUP(C1102,'[7]Tariff Schedule Lookup Table'!I$7:L$287,2,FALSE)</f>
        <v>MERCURY VAPOUR 80W</v>
      </c>
      <c r="F1102" s="23" t="str">
        <f>IF(E1102 = "BULKHEADS ETC", "SHARED OR NO POLE", VLOOKUP(C1102,'[7]Tariff Schedule Lookup Table'!I$7:L$287,3,FALSE))</f>
        <v>WOOD POLE</v>
      </c>
      <c r="G1102" s="23">
        <f>IF(E1102 = "NO CAPITAL", 1, VLOOKUP(C1102,'[7]Tariff Schedule Lookup Table'!I$7:L$287,4,FALSE))</f>
        <v>1</v>
      </c>
      <c r="H1102" s="23" t="str">
        <f t="shared" si="191"/>
        <v>1-Unmetered, CE Funded, CE Maintained</v>
      </c>
      <c r="I1102" s="374">
        <f>VLOOKUP(F1102,'Maintenance Model'!$A$57:$B$61,2,FALSE)</f>
        <v>10.731618231111112</v>
      </c>
      <c r="J1102" s="374">
        <f>IF(D1102=1,VLOOKUP(C1102,'Capital Code Schedules'!A$15:F$300,2,FALSE),IF(D1102=2,VLOOKUP(C1102,'Capital Code Schedules'!A$15:F$300,3,FALSE),0))</f>
        <v>51.156145528662286</v>
      </c>
      <c r="K1102" s="374">
        <f>IF(D1102=1,VLOOKUP(C1102,'Capital Code Schedules'!E$15:G$300,2,FALSE),IF(D1102=2,VLOOKUP(C1102,'Capital Code Schedules'!E$15:G$300,3,FALSE),0))</f>
        <v>64.890075665956445</v>
      </c>
      <c r="L1102" s="374">
        <f>VLOOKUP(LEFT(A1102,10),'Streetlight Tariff Schedule'!B$11:H$260,7, FALSE)+I1102</f>
        <v>45.495681244802888</v>
      </c>
      <c r="M1102" s="410">
        <f t="shared" si="182"/>
        <v>110.38575691075934</v>
      </c>
      <c r="N1102" s="411">
        <f t="shared" si="183"/>
        <v>99.813683742469593</v>
      </c>
      <c r="O1102" s="411">
        <v>110.07357825287527</v>
      </c>
      <c r="P1102" s="411">
        <v>107.12974956662831</v>
      </c>
      <c r="Q1102" s="411">
        <v>110.76409250037311</v>
      </c>
      <c r="R1102" s="411">
        <v>113.78078094660466</v>
      </c>
      <c r="S1102" s="411">
        <f t="shared" si="184"/>
        <v>103.43041703474026</v>
      </c>
      <c r="T1102" s="411">
        <v>114.20114874885536</v>
      </c>
      <c r="U1102" s="411">
        <v>117.72145146776073</v>
      </c>
      <c r="V1102" s="411">
        <f t="shared" si="185"/>
        <v>107.19217293077658</v>
      </c>
      <c r="W1102" s="411">
        <v>117.54468987569436</v>
      </c>
      <c r="X1102" s="411">
        <v>122.23579248658294</v>
      </c>
      <c r="Y1102" s="411">
        <f t="shared" si="186"/>
        <v>111.43664860119357</v>
      </c>
      <c r="Z1102" s="411">
        <v>120.64410952081055</v>
      </c>
      <c r="AA1102" s="411">
        <v>125.91280453267281</v>
      </c>
      <c r="AB1102" s="441">
        <f t="shared" si="187"/>
        <v>113.62098276553331</v>
      </c>
      <c r="AC1102" s="438">
        <f t="shared" si="188"/>
        <v>116.97169477741699</v>
      </c>
      <c r="AD1102" s="410"/>
      <c r="AE1102" s="411"/>
      <c r="AF1102" s="411"/>
      <c r="AG1102" s="411"/>
    </row>
    <row r="1103" spans="1:33" s="409" customFormat="1" x14ac:dyDescent="0.2">
      <c r="A1103" s="409" t="s">
        <v>2023</v>
      </c>
      <c r="B1103" s="23" t="str">
        <f>VLOOKUP(LEFT(A1103,7),'[7]Tariff Schedule Lookup Table'!$A$8:$G$186,2,FALSE)</f>
        <v>Mercury Vapour 125</v>
      </c>
      <c r="C1103" s="375">
        <f t="shared" si="189"/>
        <v>820</v>
      </c>
      <c r="D1103" s="23">
        <f t="shared" si="190"/>
        <v>1</v>
      </c>
      <c r="E1103" s="23" t="str">
        <f>VLOOKUP(C1103,'[7]Tariff Schedule Lookup Table'!I$7:L$287,2,FALSE)</f>
        <v>MERCURY VAPOUR 80W</v>
      </c>
      <c r="F1103" s="23" t="str">
        <f>IF(E1103 = "BULKHEADS ETC", "SHARED OR NO POLE", VLOOKUP(C1103,'[7]Tariff Schedule Lookup Table'!I$7:L$287,3,FALSE))</f>
        <v>SHARED OR NO POLE</v>
      </c>
      <c r="G1103" s="23">
        <f>IF(E1103 = "NO CAPITAL", 1, VLOOKUP(C1103,'[7]Tariff Schedule Lookup Table'!I$7:L$287,4,FALSE))</f>
        <v>3</v>
      </c>
      <c r="H1103" s="23" t="str">
        <f t="shared" si="191"/>
        <v>1-Unmetered, CE Funded, CE Maintained</v>
      </c>
      <c r="I1103" s="374">
        <f>VLOOKUP(F1103,'Maintenance Model'!$A$57:$B$61,2,FALSE)</f>
        <v>0</v>
      </c>
      <c r="J1103" s="374">
        <f>IF(D1103=1,VLOOKUP(C1103,'Capital Code Schedules'!A$15:F$300,2,FALSE),IF(D1103=2,VLOOKUP(C1103,'Capital Code Schedules'!A$15:F$300,3,FALSE),0))</f>
        <v>30.584534903875124</v>
      </c>
      <c r="K1103" s="374">
        <f>IF(D1103=1,VLOOKUP(C1103,'Capital Code Schedules'!E$15:G$300,2,FALSE),IF(D1103=2,VLOOKUP(C1103,'Capital Code Schedules'!E$15:G$300,3,FALSE),0))</f>
        <v>38.795588753037947</v>
      </c>
      <c r="L1103" s="374">
        <f>VLOOKUP(LEFT(A1103,10),'Streetlight Tariff Schedule'!B$11:H$260,7, FALSE)+I1103</f>
        <v>34.764063013691775</v>
      </c>
      <c r="M1103" s="410">
        <f t="shared" si="182"/>
        <v>73.559651766729729</v>
      </c>
      <c r="N1103" s="411">
        <f t="shared" si="183"/>
        <v>67.554135774721559</v>
      </c>
      <c r="O1103" s="411">
        <v>71.753239960273731</v>
      </c>
      <c r="P1103" s="411">
        <v>69.993224027190934</v>
      </c>
      <c r="Q1103" s="411">
        <v>72.456965701834164</v>
      </c>
      <c r="R1103" s="411">
        <v>74.260542029260762</v>
      </c>
      <c r="S1103" s="411">
        <f t="shared" si="184"/>
        <v>70.102043043355962</v>
      </c>
      <c r="T1103" s="411">
        <v>74.767938393328592</v>
      </c>
      <c r="U1103" s="411">
        <v>76.896321942849383</v>
      </c>
      <c r="V1103" s="411">
        <f t="shared" si="185"/>
        <v>72.721934818438044</v>
      </c>
      <c r="W1103" s="411">
        <v>77.00321602826088</v>
      </c>
      <c r="X1103" s="411">
        <v>79.892731093755287</v>
      </c>
      <c r="Y1103" s="411">
        <f t="shared" si="186"/>
        <v>75.653825397109998</v>
      </c>
      <c r="Z1103" s="411">
        <v>79.05057406545923</v>
      </c>
      <c r="AA1103" s="411">
        <v>82.313511751472447</v>
      </c>
      <c r="AB1103" s="441">
        <f t="shared" si="187"/>
        <v>77.155768564543592</v>
      </c>
      <c r="AC1103" s="438">
        <f t="shared" si="188"/>
        <v>79.434883496104447</v>
      </c>
      <c r="AD1103" s="410"/>
      <c r="AE1103" s="411"/>
      <c r="AF1103" s="411"/>
      <c r="AG1103" s="411"/>
    </row>
    <row r="1104" spans="1:33" s="409" customFormat="1" x14ac:dyDescent="0.2">
      <c r="A1104" s="409" t="s">
        <v>2024</v>
      </c>
      <c r="B1104" s="23" t="str">
        <f>VLOOKUP(LEFT(A1104,7),'[7]Tariff Schedule Lookup Table'!$A$8:$G$186,2,FALSE)</f>
        <v>Mercury Vapour 125</v>
      </c>
      <c r="C1104" s="375">
        <f t="shared" si="189"/>
        <v>1000</v>
      </c>
      <c r="D1104" s="23">
        <f t="shared" si="190"/>
        <v>1</v>
      </c>
      <c r="E1104" s="23" t="str">
        <f>VLOOKUP(C1104,'[7]Tariff Schedule Lookup Table'!I$7:L$287,2,FALSE)</f>
        <v>MERCURY VAPOUR 80W</v>
      </c>
      <c r="F1104" s="23" t="str">
        <f>IF(E1104 = "BULKHEADS ETC", "SHARED OR NO POLE", VLOOKUP(C1104,'[7]Tariff Schedule Lookup Table'!I$7:L$287,3,FALSE))</f>
        <v>STEEL POLE</v>
      </c>
      <c r="G1104" s="23">
        <f>IF(E1104 = "NO CAPITAL", 1, VLOOKUP(C1104,'[7]Tariff Schedule Lookup Table'!I$7:L$287,4,FALSE))</f>
        <v>2</v>
      </c>
      <c r="H1104" s="23" t="str">
        <f t="shared" si="191"/>
        <v>1-Unmetered, CE Funded, CE Maintained</v>
      </c>
      <c r="I1104" s="374">
        <f>VLOOKUP(F1104,'Maintenance Model'!$A$57:$B$61,2,FALSE)</f>
        <v>9.9616182311111103</v>
      </c>
      <c r="J1104" s="374">
        <f>IF(D1104=1,VLOOKUP(C1104,'Capital Code Schedules'!A$15:F$300,2,FALSE),IF(D1104=2,VLOOKUP(C1104,'Capital Code Schedules'!A$15:F$300,3,FALSE),0))</f>
        <v>92.918415054851835</v>
      </c>
      <c r="K1104" s="374" t="e">
        <f>IF(D1104=1,VLOOKUP(C1104,'Capital Code Schedules'!E$15:G$300,2,FALSE),IF(D1104=2,VLOOKUP(C1104,'Capital Code Schedules'!E$15:G$300,3,FALSE),0))</f>
        <v>#N/A</v>
      </c>
      <c r="L1104" s="374">
        <f>VLOOKUP(LEFT(A1104,10),'Streetlight Tariff Schedule'!B$11:H$260,7, FALSE)+I1104</f>
        <v>44.725681244802885</v>
      </c>
      <c r="M1104" s="410" t="e">
        <f t="shared" si="182"/>
        <v>#N/A</v>
      </c>
      <c r="N1104" s="411">
        <f t="shared" si="183"/>
        <v>141.80748460010733</v>
      </c>
      <c r="O1104" s="411">
        <v>165.96007301884299</v>
      </c>
      <c r="P1104" s="411" t="e">
        <v>#N/A</v>
      </c>
      <c r="Q1104" s="411" t="e">
        <v>#N/A</v>
      </c>
      <c r="R1104" s="411">
        <v>171.0310649383039</v>
      </c>
      <c r="S1104" s="411">
        <f t="shared" si="184"/>
        <v>146.44416294387838</v>
      </c>
      <c r="T1104" s="411" t="e">
        <v>#N/A</v>
      </c>
      <c r="U1104" s="411">
        <v>176.58959204694912</v>
      </c>
      <c r="V1104" s="411">
        <f t="shared" si="185"/>
        <v>151.4180340920509</v>
      </c>
      <c r="W1104" s="411" t="e">
        <v>#N/A</v>
      </c>
      <c r="X1104" s="411">
        <v>183.08922778719486</v>
      </c>
      <c r="Y1104" s="411">
        <f t="shared" si="186"/>
        <v>157.1514312116241</v>
      </c>
      <c r="Z1104" s="411" t="e">
        <v>#N/A</v>
      </c>
      <c r="AA1104" s="411">
        <v>188.49674726691157</v>
      </c>
      <c r="AB1104" s="441">
        <f t="shared" si="187"/>
        <v>160.13657051368423</v>
      </c>
      <c r="AC1104" s="438">
        <f t="shared" si="188"/>
        <v>164.8401356646568</v>
      </c>
      <c r="AD1104" s="410"/>
      <c r="AE1104" s="411"/>
      <c r="AF1104" s="411"/>
      <c r="AG1104" s="411"/>
    </row>
    <row r="1105" spans="1:33" s="409" customFormat="1" x14ac:dyDescent="0.2">
      <c r="A1105" s="409" t="s">
        <v>2025</v>
      </c>
      <c r="B1105" s="23" t="str">
        <f>VLOOKUP(LEFT(A1105,7),'[7]Tariff Schedule Lookup Table'!$A$8:$G$186,2,FALSE)</f>
        <v>Mercury Vapour 125</v>
      </c>
      <c r="C1105" s="375">
        <f t="shared" si="189"/>
        <v>1000</v>
      </c>
      <c r="D1105" s="23">
        <f t="shared" si="190"/>
        <v>2</v>
      </c>
      <c r="E1105" s="23" t="str">
        <f>VLOOKUP(C1105,'[7]Tariff Schedule Lookup Table'!I$7:L$287,2,FALSE)</f>
        <v>MERCURY VAPOUR 80W</v>
      </c>
      <c r="F1105" s="23" t="str">
        <f>IF(E1105 = "BULKHEADS ETC", "SHARED OR NO POLE", VLOOKUP(C1105,'[7]Tariff Schedule Lookup Table'!I$7:L$287,3,FALSE))</f>
        <v>STEEL POLE</v>
      </c>
      <c r="G1105" s="23">
        <f>IF(E1105 = "NO CAPITAL", 1, VLOOKUP(C1105,'[7]Tariff Schedule Lookup Table'!I$7:L$287,4,FALSE))</f>
        <v>2</v>
      </c>
      <c r="H1105" s="23" t="str">
        <f t="shared" si="191"/>
        <v>2-Unmetered, Funded by Others, CE Maintained</v>
      </c>
      <c r="I1105" s="374">
        <f>VLOOKUP(F1105,'Maintenance Model'!$A$57:$B$61,2,FALSE)</f>
        <v>9.9616182311111103</v>
      </c>
      <c r="J1105" s="374">
        <f>IF(D1105=1,VLOOKUP(C1105,'Capital Code Schedules'!A$15:F$300,2,FALSE),IF(D1105=2,VLOOKUP(C1105,'Capital Code Schedules'!A$15:F$300,3,FALSE),0))</f>
        <v>0</v>
      </c>
      <c r="K1105" s="374">
        <f>IF(D1105=1,VLOOKUP(C1105,'Capital Code Schedules'!E$15:G$300,2,FALSE),IF(D1105=2,VLOOKUP(C1105,'Capital Code Schedules'!E$15:G$300,3,FALSE),0))</f>
        <v>0</v>
      </c>
      <c r="L1105" s="374">
        <f>VLOOKUP(LEFT(A1105,10),'Streetlight Tariff Schedule'!B$11:H$260,7, FALSE)+I1105</f>
        <v>44.725681244802885</v>
      </c>
      <c r="M1105" s="410">
        <f t="shared" si="182"/>
        <v>44.725681244802885</v>
      </c>
      <c r="N1105" s="411">
        <f t="shared" si="183"/>
        <v>46.589338772647906</v>
      </c>
      <c r="O1105" s="411">
        <v>39.831559688614448</v>
      </c>
      <c r="P1105" s="411">
        <v>39.831559688614448</v>
      </c>
      <c r="Q1105" s="411">
        <v>41.780870903152227</v>
      </c>
      <c r="R1105" s="411">
        <v>41.780870903152227</v>
      </c>
      <c r="S1105" s="411">
        <f t="shared" si="184"/>
        <v>48.869368007189323</v>
      </c>
      <c r="T1105" s="411">
        <v>43.496860784567531</v>
      </c>
      <c r="U1105" s="411">
        <v>43.655767481795635</v>
      </c>
      <c r="V1105" s="411">
        <f t="shared" si="185"/>
        <v>51.062357499666184</v>
      </c>
      <c r="W1105" s="411">
        <v>45.080264263223874</v>
      </c>
      <c r="X1105" s="411">
        <v>45.648946569282678</v>
      </c>
      <c r="Y1105" s="411">
        <f t="shared" si="186"/>
        <v>53.393697182757585</v>
      </c>
      <c r="Z1105" s="411">
        <v>46.382435161120327</v>
      </c>
      <c r="AA1105" s="411">
        <v>47.13941803428888</v>
      </c>
      <c r="AB1105" s="441">
        <f t="shared" si="187"/>
        <v>54.552700365909629</v>
      </c>
      <c r="AC1105" s="438">
        <f t="shared" si="188"/>
        <v>56.183774895581948</v>
      </c>
      <c r="AD1105" s="410"/>
      <c r="AE1105" s="411"/>
      <c r="AF1105" s="411"/>
      <c r="AG1105" s="411"/>
    </row>
    <row r="1106" spans="1:33" s="409" customFormat="1" x14ac:dyDescent="0.2">
      <c r="A1106" s="409" t="s">
        <v>2026</v>
      </c>
      <c r="B1106" s="23" t="str">
        <f>VLOOKUP(LEFT(A1106,7),'[7]Tariff Schedule Lookup Table'!$A$8:$G$186,2,FALSE)</f>
        <v>Mercury Vapour 175</v>
      </c>
      <c r="C1106" s="375">
        <f t="shared" si="189"/>
        <v>290</v>
      </c>
      <c r="D1106" s="23">
        <f t="shared" si="190"/>
        <v>2</v>
      </c>
      <c r="E1106" s="23" t="str">
        <f>VLOOKUP(C1106,'[7]Tariff Schedule Lookup Table'!I$7:L$287,2,FALSE)</f>
        <v xml:space="preserve">MERCURY VAPOUR 250W </v>
      </c>
      <c r="F1106" s="23" t="str">
        <f>IF(E1106 = "BULKHEADS ETC", "SHARED OR NO POLE", VLOOKUP(C1106,'[7]Tariff Schedule Lookup Table'!I$7:L$287,3,FALSE))</f>
        <v>STEEL POLE</v>
      </c>
      <c r="G1106" s="23">
        <f>IF(E1106 = "NO CAPITAL", 1, VLOOKUP(C1106,'[7]Tariff Schedule Lookup Table'!I$7:L$287,4,FALSE))</f>
        <v>1</v>
      </c>
      <c r="H1106" s="23" t="str">
        <f t="shared" si="191"/>
        <v>2-Unmetered, Funded by Others, CE Maintained</v>
      </c>
      <c r="I1106" s="374">
        <f>VLOOKUP(F1106,'Maintenance Model'!$A$57:$B$61,2,FALSE)</f>
        <v>9.9616182311111103</v>
      </c>
      <c r="J1106" s="374">
        <f>IF(D1106=1,VLOOKUP(C1106,'Capital Code Schedules'!A$15:F$300,2,FALSE),IF(D1106=2,VLOOKUP(C1106,'Capital Code Schedules'!A$15:F$300,3,FALSE),0))</f>
        <v>0</v>
      </c>
      <c r="K1106" s="374">
        <f>IF(D1106=1,VLOOKUP(C1106,'Capital Code Schedules'!E$15:G$300,2,FALSE),IF(D1106=2,VLOOKUP(C1106,'Capital Code Schedules'!E$15:G$300,3,FALSE),0))</f>
        <v>0</v>
      </c>
      <c r="L1106" s="374">
        <f>VLOOKUP(LEFT(A1106,10),'Streetlight Tariff Schedule'!B$11:H$260,7, FALSE)+I1106</f>
        <v>49.873134667025106</v>
      </c>
      <c r="M1106" s="410">
        <f t="shared" si="182"/>
        <v>49.873134667025106</v>
      </c>
      <c r="N1106" s="411">
        <f t="shared" si="183"/>
        <v>51.951279488357038</v>
      </c>
      <c r="O1106" s="411">
        <v>43.886382116749566</v>
      </c>
      <c r="P1106" s="411">
        <v>43.886382116749566</v>
      </c>
      <c r="Q1106" s="411">
        <v>46.034131727722574</v>
      </c>
      <c r="R1106" s="411">
        <v>46.034131727722574</v>
      </c>
      <c r="S1106" s="411">
        <f t="shared" si="184"/>
        <v>54.493716001210629</v>
      </c>
      <c r="T1106" s="411">
        <v>47.924808071631702</v>
      </c>
      <c r="U1106" s="411">
        <v>48.099891349564622</v>
      </c>
      <c r="V1106" s="411">
        <f t="shared" si="185"/>
        <v>56.939095417189421</v>
      </c>
      <c r="W1106" s="411">
        <v>49.669400818000248</v>
      </c>
      <c r="X1106" s="411">
        <v>50.295974549529646</v>
      </c>
      <c r="Y1106" s="411">
        <f t="shared" si="186"/>
        <v>59.538747669169553</v>
      </c>
      <c r="Z1106" s="411">
        <v>51.104131721162197</v>
      </c>
      <c r="AA1106" s="411">
        <v>51.938174874064536</v>
      </c>
      <c r="AB1106" s="441">
        <f t="shared" si="187"/>
        <v>60.831139874812465</v>
      </c>
      <c r="AC1106" s="438">
        <f t="shared" si="188"/>
        <v>62.649933851924992</v>
      </c>
      <c r="AD1106" s="410"/>
      <c r="AE1106" s="411"/>
      <c r="AF1106" s="411"/>
      <c r="AG1106" s="411"/>
    </row>
    <row r="1107" spans="1:33" s="409" customFormat="1" x14ac:dyDescent="0.2">
      <c r="A1107" s="409" t="s">
        <v>2027</v>
      </c>
      <c r="B1107" s="23" t="str">
        <f>VLOOKUP(LEFT(A1107,7),'[7]Tariff Schedule Lookup Table'!$A$8:$G$186,2,FALSE)</f>
        <v>Mercury Vapour 250</v>
      </c>
      <c r="C1107" s="375">
        <f t="shared" si="189"/>
        <v>450</v>
      </c>
      <c r="D1107" s="23">
        <f t="shared" si="190"/>
        <v>2</v>
      </c>
      <c r="E1107" s="23" t="str">
        <f>VLOOKUP(C1107,'[7]Tariff Schedule Lookup Table'!I$7:L$287,2,FALSE)</f>
        <v xml:space="preserve">MERCURY VAPOUR 250W </v>
      </c>
      <c r="F1107" s="23" t="str">
        <f>IF(E1107 = "BULKHEADS ETC", "SHARED OR NO POLE", VLOOKUP(C1107,'[7]Tariff Schedule Lookup Table'!I$7:L$287,3,FALSE))</f>
        <v>STEEL POLE</v>
      </c>
      <c r="G1107" s="23">
        <f>IF(E1107 = "NO CAPITAL", 1, VLOOKUP(C1107,'[7]Tariff Schedule Lookup Table'!I$7:L$287,4,FALSE))</f>
        <v>4</v>
      </c>
      <c r="H1107" s="23" t="str">
        <f t="shared" si="191"/>
        <v>2-Unmetered, Funded by Others, CE Maintained</v>
      </c>
      <c r="I1107" s="374">
        <f>VLOOKUP(F1107,'Maintenance Model'!$A$57:$B$61,2,FALSE)</f>
        <v>9.9616182311111103</v>
      </c>
      <c r="J1107" s="374">
        <f>IF(D1107=1,VLOOKUP(C1107,'Capital Code Schedules'!A$15:F$300,2,FALSE),IF(D1107=2,VLOOKUP(C1107,'Capital Code Schedules'!A$15:F$300,3,FALSE),0))</f>
        <v>0</v>
      </c>
      <c r="K1107" s="374">
        <f>IF(D1107=1,VLOOKUP(C1107,'Capital Code Schedules'!E$15:G$300,2,FALSE),IF(D1107=2,VLOOKUP(C1107,'Capital Code Schedules'!E$15:G$300,3,FALSE),0))</f>
        <v>0</v>
      </c>
      <c r="L1107" s="374">
        <f>VLOOKUP(LEFT(A1107,10),'Streetlight Tariff Schedule'!B$11:H$260,7, FALSE)+I1107</f>
        <v>54.679405333235103</v>
      </c>
      <c r="M1107" s="410">
        <f t="shared" ref="M1107:M1170" si="192">IF(VLOOKUP(D1107,A$11:D$15,3,FALSE)="Y",IF(VLOOKUP(D1107,A$11:D$15,4,FALSE)="Y",K1107+L1107,K1107),IF(VLOOKUP(D1107,A$11:D$15,4,FALSE)="Y",L1107,0))</f>
        <v>54.679405333235103</v>
      </c>
      <c r="N1107" s="411">
        <f t="shared" ref="N1107:N1170" si="193">($J1107+$L1107+$L1107*$M$10*$M$14)*(1+$M$12)</f>
        <v>56.957820832590166</v>
      </c>
      <c r="O1107" s="411">
        <v>48.921735602361515</v>
      </c>
      <c r="P1107" s="411">
        <v>48.921735602361515</v>
      </c>
      <c r="Q1107" s="411">
        <v>51.315909684166158</v>
      </c>
      <c r="R1107" s="411">
        <v>51.315909684166158</v>
      </c>
      <c r="S1107" s="411">
        <f t="shared" ref="S1107:S1170" si="194">($J1107+$L1107+$L1107*$N$10*$N$14)*(1+$N$12)</f>
        <v>59.745271782856065</v>
      </c>
      <c r="T1107" s="411">
        <v>53.423514908044034</v>
      </c>
      <c r="U1107" s="411">
        <v>53.618686563083699</v>
      </c>
      <c r="V1107" s="411">
        <f t="shared" ref="V1107:V1170" si="195">($J1107+$L1107+$L1107*$O$10*$O$14)*(1+$O$12)</f>
        <v>62.426312250285534</v>
      </c>
      <c r="W1107" s="411">
        <v>55.368275468269523</v>
      </c>
      <c r="X1107" s="411">
        <v>56.066739842656119</v>
      </c>
      <c r="Y1107" s="411">
        <f t="shared" ref="Y1107:Y1170" si="196">($J1107+$L1107+$L1107*$P$10*$P$14)*(1+$P$12)</f>
        <v>65.276492816646922</v>
      </c>
      <c r="Z1107" s="411">
        <v>56.967621837680944</v>
      </c>
      <c r="AA1107" s="411">
        <v>57.897359871194453</v>
      </c>
      <c r="AB1107" s="441">
        <f t="shared" ref="AB1107:AB1170" si="197">($J1107+$L1107+$L1107*$Q$10*$Q$14)*(1+$Q$12)</f>
        <v>66.693432773071706</v>
      </c>
      <c r="AC1107" s="438">
        <f t="shared" ref="AC1107:AC1170" si="198">($J1107+$L1107+$L1107*$R$10*$R$14)*(1+$R$12)</f>
        <v>68.687503804623233</v>
      </c>
      <c r="AD1107" s="410"/>
      <c r="AE1107" s="411"/>
      <c r="AF1107" s="411"/>
      <c r="AG1107" s="411"/>
    </row>
    <row r="1108" spans="1:33" s="409" customFormat="1" x14ac:dyDescent="0.2">
      <c r="A1108" s="409" t="s">
        <v>2028</v>
      </c>
      <c r="B1108" s="23" t="str">
        <f>VLOOKUP(LEFT(A1108,7),'[7]Tariff Schedule Lookup Table'!$A$8:$G$186,2,FALSE)</f>
        <v>Mercury Vapour 250</v>
      </c>
      <c r="C1108" s="375">
        <f t="shared" si="189"/>
        <v>570</v>
      </c>
      <c r="D1108" s="23">
        <f t="shared" si="190"/>
        <v>2</v>
      </c>
      <c r="E1108" s="23" t="str">
        <f>VLOOKUP(C1108,'[7]Tariff Schedule Lookup Table'!I$7:L$287,2,FALSE)</f>
        <v xml:space="preserve">MERCURY VAPOUR 250W </v>
      </c>
      <c r="F1108" s="23" t="str">
        <f>IF(E1108 = "BULKHEADS ETC", "SHARED OR NO POLE", VLOOKUP(C1108,'[7]Tariff Schedule Lookup Table'!I$7:L$287,3,FALSE))</f>
        <v>R/BOUT COLUMN</v>
      </c>
      <c r="G1108" s="23">
        <f>IF(E1108 = "NO CAPITAL", 1, VLOOKUP(C1108,'[7]Tariff Schedule Lookup Table'!I$7:L$287,4,FALSE))</f>
        <v>4</v>
      </c>
      <c r="H1108" s="23" t="str">
        <f t="shared" si="191"/>
        <v>2-Unmetered, Funded by Others, CE Maintained</v>
      </c>
      <c r="I1108" s="374">
        <f>VLOOKUP(F1108,'Maintenance Model'!$A$57:$B$61,2,FALSE)</f>
        <v>9.9616182311111103</v>
      </c>
      <c r="J1108" s="374">
        <f>IF(D1108=1,VLOOKUP(C1108,'Capital Code Schedules'!A$15:F$300,2,FALSE),IF(D1108=2,VLOOKUP(C1108,'Capital Code Schedules'!A$15:F$300,3,FALSE),0))</f>
        <v>0</v>
      </c>
      <c r="K1108" s="374">
        <f>IF(D1108=1,VLOOKUP(C1108,'Capital Code Schedules'!E$15:G$300,2,FALSE),IF(D1108=2,VLOOKUP(C1108,'Capital Code Schedules'!E$15:G$300,3,FALSE),0))</f>
        <v>0</v>
      </c>
      <c r="L1108" s="374">
        <f>VLOOKUP(LEFT(A1108,10),'Streetlight Tariff Schedule'!B$11:H$260,7, FALSE)+I1108</f>
        <v>54.679405333235103</v>
      </c>
      <c r="M1108" s="410">
        <f t="shared" si="192"/>
        <v>54.679405333235103</v>
      </c>
      <c r="N1108" s="411">
        <f t="shared" si="193"/>
        <v>56.957820832590166</v>
      </c>
      <c r="O1108" s="411">
        <v>48.921735602361515</v>
      </c>
      <c r="P1108" s="411">
        <v>48.921735602361515</v>
      </c>
      <c r="Q1108" s="411">
        <v>51.315909684166158</v>
      </c>
      <c r="R1108" s="411">
        <v>51.315909684166158</v>
      </c>
      <c r="S1108" s="411">
        <f t="shared" si="194"/>
        <v>59.745271782856065</v>
      </c>
      <c r="T1108" s="411">
        <v>53.423514908044034</v>
      </c>
      <c r="U1108" s="411">
        <v>53.618686563083699</v>
      </c>
      <c r="V1108" s="411">
        <f t="shared" si="195"/>
        <v>62.426312250285534</v>
      </c>
      <c r="W1108" s="411">
        <v>55.368275468269523</v>
      </c>
      <c r="X1108" s="411">
        <v>56.066739842656119</v>
      </c>
      <c r="Y1108" s="411">
        <f t="shared" si="196"/>
        <v>65.276492816646922</v>
      </c>
      <c r="Z1108" s="411">
        <v>56.967621837680944</v>
      </c>
      <c r="AA1108" s="411">
        <v>57.897359871194453</v>
      </c>
      <c r="AB1108" s="441">
        <f t="shared" si="197"/>
        <v>66.693432773071706</v>
      </c>
      <c r="AC1108" s="438">
        <f t="shared" si="198"/>
        <v>68.687503804623233</v>
      </c>
      <c r="AD1108" s="410"/>
      <c r="AE1108" s="411"/>
      <c r="AF1108" s="411"/>
      <c r="AG1108" s="411"/>
    </row>
    <row r="1109" spans="1:33" s="409" customFormat="1" x14ac:dyDescent="0.2">
      <c r="A1109" s="409" t="s">
        <v>2029</v>
      </c>
      <c r="B1109" s="23" t="str">
        <f>VLOOKUP(LEFT(A1109,7),'[7]Tariff Schedule Lookup Table'!$A$8:$G$186,2,FALSE)</f>
        <v>Mercury Vapour 250</v>
      </c>
      <c r="C1109" s="375">
        <f t="shared" si="189"/>
        <v>780</v>
      </c>
      <c r="D1109" s="23">
        <f t="shared" si="190"/>
        <v>1</v>
      </c>
      <c r="E1109" s="23" t="str">
        <f>VLOOKUP(C1109,'[7]Tariff Schedule Lookup Table'!I$7:L$287,2,FALSE)</f>
        <v xml:space="preserve">MERCURY VAPOUR 250W </v>
      </c>
      <c r="F1109" s="23" t="str">
        <f>IF(E1109 = "BULKHEADS ETC", "SHARED OR NO POLE", VLOOKUP(C1109,'[7]Tariff Schedule Lookup Table'!I$7:L$287,3,FALSE))</f>
        <v>WOOD POLE</v>
      </c>
      <c r="G1109" s="23">
        <f>IF(E1109 = "NO CAPITAL", 1, VLOOKUP(C1109,'[7]Tariff Schedule Lookup Table'!I$7:L$287,4,FALSE))</f>
        <v>2</v>
      </c>
      <c r="H1109" s="23" t="str">
        <f t="shared" si="191"/>
        <v>1-Unmetered, CE Funded, CE Maintained</v>
      </c>
      <c r="I1109" s="374">
        <f>VLOOKUP(F1109,'Maintenance Model'!$A$57:$B$61,2,FALSE)</f>
        <v>10.731618231111112</v>
      </c>
      <c r="J1109" s="374">
        <f>IF(D1109=1,VLOOKUP(C1109,'Capital Code Schedules'!A$15:F$300,2,FALSE),IF(D1109=2,VLOOKUP(C1109,'Capital Code Schedules'!A$15:F$300,3,FALSE),0))</f>
        <v>79.497904696065248</v>
      </c>
      <c r="K1109" s="374" t="e">
        <f>IF(D1109=1,VLOOKUP(C1109,'Capital Code Schedules'!E$15:G$300,2,FALSE),IF(D1109=2,VLOOKUP(C1109,'Capital Code Schedules'!E$15:G$300,3,FALSE),0))</f>
        <v>#N/A</v>
      </c>
      <c r="L1109" s="374">
        <f>VLOOKUP(LEFT(A1109,10),'Streetlight Tariff Schedule'!B$11:H$260,7, FALSE)+I1109</f>
        <v>55.449405333235106</v>
      </c>
      <c r="M1109" s="410" t="e">
        <f t="shared" si="192"/>
        <v>#N/A</v>
      </c>
      <c r="N1109" s="411">
        <f t="shared" si="193"/>
        <v>139.22538350920803</v>
      </c>
      <c r="O1109" s="411">
        <v>157.63518038324133</v>
      </c>
      <c r="P1109" s="411" t="e">
        <v>#N/A</v>
      </c>
      <c r="Q1109" s="411" t="e">
        <v>#N/A</v>
      </c>
      <c r="R1109" s="411">
        <v>162.73941374309891</v>
      </c>
      <c r="S1109" s="411">
        <f t="shared" si="194"/>
        <v>144.06835815544639</v>
      </c>
      <c r="T1109" s="411" t="e">
        <v>#N/A</v>
      </c>
      <c r="U1109" s="411">
        <v>168.23153699397028</v>
      </c>
      <c r="V1109" s="411">
        <f t="shared" si="195"/>
        <v>149.16638309076893</v>
      </c>
      <c r="W1109" s="411" t="e">
        <v>#N/A</v>
      </c>
      <c r="X1109" s="411">
        <v>174.5753011473607</v>
      </c>
      <c r="Y1109" s="411">
        <f t="shared" si="196"/>
        <v>154.96738730283369</v>
      </c>
      <c r="Z1109" s="411" t="e">
        <v>#N/A</v>
      </c>
      <c r="AA1109" s="411">
        <v>179.78723064552375</v>
      </c>
      <c r="AB1109" s="441">
        <f t="shared" si="197"/>
        <v>157.96666203843856</v>
      </c>
      <c r="AC1109" s="438">
        <f t="shared" si="198"/>
        <v>162.61753450599457</v>
      </c>
      <c r="AD1109" s="410"/>
      <c r="AE1109" s="411"/>
      <c r="AF1109" s="411"/>
      <c r="AG1109" s="411"/>
    </row>
    <row r="1110" spans="1:33" s="409" customFormat="1" x14ac:dyDescent="0.2">
      <c r="A1110" s="409" t="s">
        <v>2030</v>
      </c>
      <c r="B1110" s="23" t="str">
        <f>VLOOKUP(LEFT(A1110,7),'[7]Tariff Schedule Lookup Table'!$A$8:$G$186,2,FALSE)</f>
        <v>Mercury Vapour 250</v>
      </c>
      <c r="C1110" s="375">
        <f t="shared" si="189"/>
        <v>780</v>
      </c>
      <c r="D1110" s="23">
        <f t="shared" si="190"/>
        <v>2</v>
      </c>
      <c r="E1110" s="23" t="str">
        <f>VLOOKUP(C1110,'[7]Tariff Schedule Lookup Table'!I$7:L$287,2,FALSE)</f>
        <v xml:space="preserve">MERCURY VAPOUR 250W </v>
      </c>
      <c r="F1110" s="23" t="str">
        <f>IF(E1110 = "BULKHEADS ETC", "SHARED OR NO POLE", VLOOKUP(C1110,'[7]Tariff Schedule Lookup Table'!I$7:L$287,3,FALSE))</f>
        <v>WOOD POLE</v>
      </c>
      <c r="G1110" s="23">
        <f>IF(E1110 = "NO CAPITAL", 1, VLOOKUP(C1110,'[7]Tariff Schedule Lookup Table'!I$7:L$287,4,FALSE))</f>
        <v>2</v>
      </c>
      <c r="H1110" s="23" t="str">
        <f t="shared" si="191"/>
        <v>2-Unmetered, Funded by Others, CE Maintained</v>
      </c>
      <c r="I1110" s="374">
        <f>VLOOKUP(F1110,'Maintenance Model'!$A$57:$B$61,2,FALSE)</f>
        <v>10.731618231111112</v>
      </c>
      <c r="J1110" s="374">
        <f>IF(D1110=1,VLOOKUP(C1110,'Capital Code Schedules'!A$15:F$300,2,FALSE),IF(D1110=2,VLOOKUP(C1110,'Capital Code Schedules'!A$15:F$300,3,FALSE),0))</f>
        <v>0</v>
      </c>
      <c r="K1110" s="374">
        <f>IF(D1110=1,VLOOKUP(C1110,'Capital Code Schedules'!E$15:G$300,2,FALSE),IF(D1110=2,VLOOKUP(C1110,'Capital Code Schedules'!E$15:G$300,3,FALSE),0))</f>
        <v>0</v>
      </c>
      <c r="L1110" s="374">
        <f>VLOOKUP(LEFT(A1110,10),'Streetlight Tariff Schedule'!B$11:H$260,7, FALSE)+I1110</f>
        <v>55.449405333235106</v>
      </c>
      <c r="M1110" s="410">
        <f t="shared" si="192"/>
        <v>55.449405333235106</v>
      </c>
      <c r="N1110" s="411">
        <f t="shared" si="193"/>
        <v>57.75990567191517</v>
      </c>
      <c r="O1110" s="411">
        <v>49.72382044168652</v>
      </c>
      <c r="P1110" s="411">
        <v>49.72382044168652</v>
      </c>
      <c r="Q1110" s="411">
        <v>52.157247642990619</v>
      </c>
      <c r="R1110" s="411">
        <v>52.157247642990619</v>
      </c>
      <c r="S1110" s="411">
        <f t="shared" si="194"/>
        <v>60.586609741680526</v>
      </c>
      <c r="T1110" s="411">
        <v>54.299407613885137</v>
      </c>
      <c r="U1110" s="411">
        <v>54.497779160008911</v>
      </c>
      <c r="V1110" s="411">
        <f t="shared" si="195"/>
        <v>63.305404847210752</v>
      </c>
      <c r="W1110" s="411">
        <v>56.276053039646733</v>
      </c>
      <c r="X1110" s="411">
        <v>56.985968922828057</v>
      </c>
      <c r="Y1110" s="411">
        <f t="shared" si="196"/>
        <v>66.195721896818853</v>
      </c>
      <c r="Z1110" s="411">
        <v>57.901621117260845</v>
      </c>
      <c r="AA1110" s="411">
        <v>58.846602452591895</v>
      </c>
      <c r="AB1110" s="441">
        <f t="shared" si="197"/>
        <v>67.632615321277882</v>
      </c>
      <c r="AC1110" s="438">
        <f t="shared" si="198"/>
        <v>69.654767029364493</v>
      </c>
      <c r="AD1110" s="410"/>
      <c r="AE1110" s="411"/>
      <c r="AF1110" s="411"/>
      <c r="AG1110" s="411"/>
    </row>
    <row r="1111" spans="1:33" s="409" customFormat="1" x14ac:dyDescent="0.2">
      <c r="A1111" s="409" t="s">
        <v>2031</v>
      </c>
      <c r="B1111" s="23" t="str">
        <f>VLOOKUP(LEFT(A1111,7),'[7]Tariff Schedule Lookup Table'!$A$8:$G$186,2,FALSE)</f>
        <v>Mercury Vapour 250</v>
      </c>
      <c r="C1111" s="375">
        <f t="shared" si="189"/>
        <v>940</v>
      </c>
      <c r="D1111" s="23">
        <f t="shared" si="190"/>
        <v>2</v>
      </c>
      <c r="E1111" s="23" t="str">
        <f>VLOOKUP(C1111,'[7]Tariff Schedule Lookup Table'!I$7:L$287,2,FALSE)</f>
        <v xml:space="preserve">MERCURY VAPOUR 250W </v>
      </c>
      <c r="F1111" s="23" t="str">
        <f>IF(E1111 = "BULKHEADS ETC", "SHARED OR NO POLE", VLOOKUP(C1111,'[7]Tariff Schedule Lookup Table'!I$7:L$287,3,FALSE))</f>
        <v>SHARED OR NO POLE</v>
      </c>
      <c r="G1111" s="23">
        <f>IF(E1111 = "NO CAPITAL", 1, VLOOKUP(C1111,'[7]Tariff Schedule Lookup Table'!I$7:L$287,4,FALSE))</f>
        <v>2</v>
      </c>
      <c r="H1111" s="23" t="str">
        <f t="shared" si="191"/>
        <v>2-Unmetered, Funded by Others, CE Maintained</v>
      </c>
      <c r="I1111" s="374">
        <f>VLOOKUP(F1111,'Maintenance Model'!$A$57:$B$61,2,FALSE)</f>
        <v>0</v>
      </c>
      <c r="J1111" s="374">
        <f>IF(D1111=1,VLOOKUP(C1111,'Capital Code Schedules'!A$15:F$300,2,FALSE),IF(D1111=2,VLOOKUP(C1111,'Capital Code Schedules'!A$15:F$300,3,FALSE),0))</f>
        <v>0</v>
      </c>
      <c r="K1111" s="374">
        <f>IF(D1111=1,VLOOKUP(C1111,'Capital Code Schedules'!E$15:G$300,2,FALSE),IF(D1111=2,VLOOKUP(C1111,'Capital Code Schedules'!E$15:G$300,3,FALSE),0))</f>
        <v>0</v>
      </c>
      <c r="L1111" s="374">
        <f>VLOOKUP(LEFT(A1111,10),'Streetlight Tariff Schedule'!B$11:H$260,7, FALSE)+I1111</f>
        <v>44.717787102123992</v>
      </c>
      <c r="M1111" s="410">
        <f t="shared" si="192"/>
        <v>44.717787102123992</v>
      </c>
      <c r="N1111" s="411">
        <f t="shared" si="193"/>
        <v>46.581115691917773</v>
      </c>
      <c r="O1111" s="411">
        <v>39.327620366262359</v>
      </c>
      <c r="P1111" s="411">
        <v>39.327620366262359</v>
      </c>
      <c r="Q1111" s="411">
        <v>41.252269363699241</v>
      </c>
      <c r="R1111" s="411">
        <v>41.252269363699241</v>
      </c>
      <c r="S1111" s="411">
        <f t="shared" si="194"/>
        <v>48.860742498243695</v>
      </c>
      <c r="T1111" s="411">
        <v>42.946548953457288</v>
      </c>
      <c r="U1111" s="411">
        <v>43.103445201334566</v>
      </c>
      <c r="V1111" s="411">
        <f t="shared" si="195"/>
        <v>51.053344925136194</v>
      </c>
      <c r="W1111" s="411">
        <v>44.509919591765872</v>
      </c>
      <c r="X1111" s="411">
        <v>45.071407065932853</v>
      </c>
      <c r="Y1111" s="411">
        <f t="shared" si="196"/>
        <v>53.384273123649194</v>
      </c>
      <c r="Z1111" s="411">
        <v>45.795615736351067</v>
      </c>
      <c r="AA1111" s="411">
        <v>46.543021444098059</v>
      </c>
      <c r="AB1111" s="441">
        <f t="shared" si="197"/>
        <v>54.543071741186168</v>
      </c>
      <c r="AC1111" s="438">
        <f t="shared" si="198"/>
        <v>56.173858384018118</v>
      </c>
      <c r="AD1111" s="410"/>
      <c r="AE1111" s="411"/>
      <c r="AF1111" s="411"/>
      <c r="AG1111" s="411"/>
    </row>
    <row r="1112" spans="1:33" s="409" customFormat="1" x14ac:dyDescent="0.2">
      <c r="A1112" s="409" t="s">
        <v>2032</v>
      </c>
      <c r="B1112" s="23" t="str">
        <f>VLOOKUP(LEFT(A1112,7),'[7]Tariff Schedule Lookup Table'!$A$8:$G$186,2,FALSE)</f>
        <v>Mercury Vapour 400</v>
      </c>
      <c r="C1112" s="375">
        <f t="shared" si="189"/>
        <v>540</v>
      </c>
      <c r="D1112" s="23">
        <f t="shared" si="190"/>
        <v>1</v>
      </c>
      <c r="E1112" s="23" t="str">
        <f>VLOOKUP(C1112,'[7]Tariff Schedule Lookup Table'!I$7:L$287,2,FALSE)</f>
        <v>MERCURY VAPOUR 400W</v>
      </c>
      <c r="F1112" s="23" t="str">
        <f>IF(E1112 = "BULKHEADS ETC", "SHARED OR NO POLE", VLOOKUP(C1112,'[7]Tariff Schedule Lookup Table'!I$7:L$287,3,FALSE))</f>
        <v>R/BOUT COLUMN</v>
      </c>
      <c r="G1112" s="23">
        <f>IF(E1112 = "NO CAPITAL", 1, VLOOKUP(C1112,'[7]Tariff Schedule Lookup Table'!I$7:L$287,4,FALSE))</f>
        <v>3</v>
      </c>
      <c r="H1112" s="23" t="str">
        <f t="shared" si="191"/>
        <v>1-Unmetered, CE Funded, CE Maintained</v>
      </c>
      <c r="I1112" s="374">
        <f>VLOOKUP(F1112,'Maintenance Model'!$A$57:$B$61,2,FALSE)</f>
        <v>9.9616182311111103</v>
      </c>
      <c r="J1112" s="374">
        <f>IF(D1112=1,VLOOKUP(C1112,'Capital Code Schedules'!A$15:F$300,2,FALSE),IF(D1112=2,VLOOKUP(C1112,'Capital Code Schedules'!A$15:F$300,3,FALSE),0))</f>
        <v>179.30189318480205</v>
      </c>
      <c r="K1112" s="374" t="e">
        <f>IF(D1112=1,VLOOKUP(C1112,'Capital Code Schedules'!E$15:G$300,2,FALSE),IF(D1112=2,VLOOKUP(C1112,'Capital Code Schedules'!E$15:G$300,3,FALSE),0))</f>
        <v>#N/A</v>
      </c>
      <c r="L1112" s="374">
        <f>VLOOKUP(LEFT(A1112,10),'Streetlight Tariff Schedule'!B$11:H$260,7, FALSE)+I1112</f>
        <v>68.934945883005099</v>
      </c>
      <c r="M1112" s="410" t="e">
        <f t="shared" si="192"/>
        <v>#N/A</v>
      </c>
      <c r="N1112" s="411">
        <f t="shared" si="193"/>
        <v>255.54698516118791</v>
      </c>
      <c r="O1112" s="411">
        <v>307.30061374199323</v>
      </c>
      <c r="P1112" s="411" t="e">
        <v>#N/A</v>
      </c>
      <c r="Q1112" s="411" t="e">
        <v>#N/A</v>
      </c>
      <c r="R1112" s="411">
        <v>316.45231534643625</v>
      </c>
      <c r="S1112" s="411">
        <f t="shared" si="194"/>
        <v>263.6087116314223</v>
      </c>
      <c r="T1112" s="411" t="e">
        <v>#N/A</v>
      </c>
      <c r="U1112" s="411">
        <v>326.56898816998455</v>
      </c>
      <c r="V1112" s="411">
        <f t="shared" si="195"/>
        <v>272.35491408755769</v>
      </c>
      <c r="W1112" s="411" t="e">
        <v>#N/A</v>
      </c>
      <c r="X1112" s="411">
        <v>338.46324150437454</v>
      </c>
      <c r="Y1112" s="411">
        <f t="shared" si="196"/>
        <v>282.51301775352874</v>
      </c>
      <c r="Z1112" s="411" t="e">
        <v>#N/A</v>
      </c>
      <c r="AA1112" s="411">
        <v>348.41348006727475</v>
      </c>
      <c r="AB1112" s="441">
        <f t="shared" si="197"/>
        <v>287.82321039553966</v>
      </c>
      <c r="AC1112" s="438">
        <f t="shared" si="198"/>
        <v>296.26605182010388</v>
      </c>
      <c r="AD1112" s="410"/>
      <c r="AE1112" s="411"/>
      <c r="AF1112" s="411"/>
      <c r="AG1112" s="411"/>
    </row>
    <row r="1113" spans="1:33" s="409" customFormat="1" x14ac:dyDescent="0.2">
      <c r="A1113" s="409" t="s">
        <v>2033</v>
      </c>
      <c r="B1113" s="23" t="str">
        <f>VLOOKUP(LEFT(A1113,7),'[7]Tariff Schedule Lookup Table'!$A$8:$G$186,2,FALSE)</f>
        <v>Mercury Vapour 400</v>
      </c>
      <c r="C1113" s="375">
        <f t="shared" si="189"/>
        <v>790</v>
      </c>
      <c r="D1113" s="23">
        <f t="shared" si="190"/>
        <v>2</v>
      </c>
      <c r="E1113" s="23" t="str">
        <f>VLOOKUP(C1113,'[7]Tariff Schedule Lookup Table'!I$7:L$287,2,FALSE)</f>
        <v>MERCURY VAPOUR 400W</v>
      </c>
      <c r="F1113" s="23" t="str">
        <f>IF(E1113 = "BULKHEADS ETC", "SHARED OR NO POLE", VLOOKUP(C1113,'[7]Tariff Schedule Lookup Table'!I$7:L$287,3,FALSE))</f>
        <v>WOOD POLE</v>
      </c>
      <c r="G1113" s="23">
        <f>IF(E1113 = "NO CAPITAL", 1, VLOOKUP(C1113,'[7]Tariff Schedule Lookup Table'!I$7:L$287,4,FALSE))</f>
        <v>2</v>
      </c>
      <c r="H1113" s="23" t="str">
        <f t="shared" si="191"/>
        <v>2-Unmetered, Funded by Others, CE Maintained</v>
      </c>
      <c r="I1113" s="374">
        <f>VLOOKUP(F1113,'Maintenance Model'!$A$57:$B$61,2,FALSE)</f>
        <v>10.731618231111112</v>
      </c>
      <c r="J1113" s="374">
        <f>IF(D1113=1,VLOOKUP(C1113,'Capital Code Schedules'!A$15:F$300,2,FALSE),IF(D1113=2,VLOOKUP(C1113,'Capital Code Schedules'!A$15:F$300,3,FALSE),0))</f>
        <v>0</v>
      </c>
      <c r="K1113" s="374">
        <f>IF(D1113=1,VLOOKUP(C1113,'Capital Code Schedules'!E$15:G$300,2,FALSE),IF(D1113=2,VLOOKUP(C1113,'Capital Code Schedules'!E$15:G$300,3,FALSE),0))</f>
        <v>0</v>
      </c>
      <c r="L1113" s="374">
        <f>VLOOKUP(LEFT(A1113,10),'Streetlight Tariff Schedule'!B$11:H$260,7, FALSE)+I1113</f>
        <v>69.704945883005109</v>
      </c>
      <c r="M1113" s="410">
        <f t="shared" si="192"/>
        <v>69.704945883005109</v>
      </c>
      <c r="N1113" s="411">
        <f t="shared" si="193"/>
        <v>72.60945495938698</v>
      </c>
      <c r="O1113" s="411">
        <v>64.71626962270625</v>
      </c>
      <c r="P1113" s="411">
        <v>64.71626962270625</v>
      </c>
      <c r="Q1113" s="411">
        <v>67.883410229923072</v>
      </c>
      <c r="R1113" s="411">
        <v>67.883410229923072</v>
      </c>
      <c r="S1113" s="411">
        <f t="shared" si="194"/>
        <v>76.16287907685296</v>
      </c>
      <c r="T1113" s="411">
        <v>70.671462334928961</v>
      </c>
      <c r="U1113" s="411">
        <v>70.929645763925009</v>
      </c>
      <c r="V1113" s="411">
        <f t="shared" si="195"/>
        <v>79.580651811457457</v>
      </c>
      <c r="W1113" s="411">
        <v>73.244094871724798</v>
      </c>
      <c r="X1113" s="411">
        <v>74.168060634960611</v>
      </c>
      <c r="Y1113" s="411">
        <f t="shared" si="196"/>
        <v>83.214043230479646</v>
      </c>
      <c r="Z1113" s="411">
        <v>75.359795175250596</v>
      </c>
      <c r="AA1113" s="411">
        <v>76.589702015523031</v>
      </c>
      <c r="AB1113" s="441">
        <f t="shared" si="197"/>
        <v>85.020348957108055</v>
      </c>
      <c r="AC1113" s="438">
        <f t="shared" si="198"/>
        <v>87.562377578196248</v>
      </c>
      <c r="AD1113" s="410"/>
      <c r="AE1113" s="411"/>
      <c r="AF1113" s="411"/>
      <c r="AG1113" s="411"/>
    </row>
    <row r="1114" spans="1:33" s="409" customFormat="1" x14ac:dyDescent="0.2">
      <c r="A1114" s="409" t="s">
        <v>2034</v>
      </c>
      <c r="B1114" s="23" t="str">
        <f>VLOOKUP(LEFT(A1114,7),'[7]Tariff Schedule Lookup Table'!$A$8:$G$186,2,FALSE)</f>
        <v>Mercury Vapour 1000</v>
      </c>
      <c r="C1114" s="375">
        <f t="shared" si="189"/>
        <v>1040</v>
      </c>
      <c r="D1114" s="23">
        <f t="shared" si="190"/>
        <v>2</v>
      </c>
      <c r="E1114" s="23" t="str">
        <f>VLOOKUP(C1114,'[7]Tariff Schedule Lookup Table'!I$7:L$287,2,FALSE)</f>
        <v xml:space="preserve">METAL HALIDE 1000W FLOODLIGHT </v>
      </c>
      <c r="F1114" s="23" t="str">
        <f>IF(E1114 = "BULKHEADS ETC", "SHARED OR NO POLE", VLOOKUP(C1114,'[7]Tariff Schedule Lookup Table'!I$7:L$287,3,FALSE))</f>
        <v>SHARED OR NO POLE</v>
      </c>
      <c r="G1114" s="23">
        <f>IF(E1114 = "NO CAPITAL", 1, VLOOKUP(C1114,'[7]Tariff Schedule Lookup Table'!I$7:L$287,4,FALSE))</f>
        <v>2</v>
      </c>
      <c r="H1114" s="23" t="str">
        <f t="shared" si="191"/>
        <v>2-Unmetered, Funded by Others, CE Maintained</v>
      </c>
      <c r="I1114" s="374">
        <f>VLOOKUP(F1114,'Maintenance Model'!$A$57:$B$61,2,FALSE)</f>
        <v>0</v>
      </c>
      <c r="J1114" s="374">
        <f>IF(D1114=1,VLOOKUP(C1114,'Capital Code Schedules'!A$15:F$300,2,FALSE),IF(D1114=2,VLOOKUP(C1114,'Capital Code Schedules'!A$15:F$300,3,FALSE),0))</f>
        <v>0</v>
      </c>
      <c r="K1114" s="374">
        <f>IF(D1114=1,VLOOKUP(C1114,'Capital Code Schedules'!E$15:G$300,2,FALSE),IF(D1114=2,VLOOKUP(C1114,'Capital Code Schedules'!E$15:G$300,3,FALSE),0))</f>
        <v>0</v>
      </c>
      <c r="L1114" s="374">
        <f>VLOOKUP(LEFT(A1114,10),'Streetlight Tariff Schedule'!B$11:H$260,7, FALSE)+I1114</f>
        <v>91.751446522750641</v>
      </c>
      <c r="M1114" s="410">
        <f t="shared" si="192"/>
        <v>91.751446522750641</v>
      </c>
      <c r="N1114" s="411">
        <f t="shared" si="193"/>
        <v>95.574602911736079</v>
      </c>
      <c r="O1114" s="411">
        <v>88.449047530508594</v>
      </c>
      <c r="P1114" s="411">
        <v>88.449047530508594</v>
      </c>
      <c r="Q1114" s="411">
        <v>92.77764328759838</v>
      </c>
      <c r="R1114" s="411">
        <v>92.77764328759838</v>
      </c>
      <c r="S1114" s="411">
        <f t="shared" si="194"/>
        <v>100.2519152423927</v>
      </c>
      <c r="T1114" s="411">
        <v>96.588131045790746</v>
      </c>
      <c r="U1114" s="411">
        <v>96.940995611625524</v>
      </c>
      <c r="V1114" s="411">
        <f t="shared" si="195"/>
        <v>104.75067194198631</v>
      </c>
      <c r="W1114" s="411">
        <v>100.10420048014132</v>
      </c>
      <c r="X1114" s="411">
        <v>101.36700336086136</v>
      </c>
      <c r="Y1114" s="411">
        <f t="shared" si="196"/>
        <v>109.53324388513325</v>
      </c>
      <c r="Z1114" s="411">
        <v>102.99577129838899</v>
      </c>
      <c r="AA1114" s="411">
        <v>104.67671009797623</v>
      </c>
      <c r="AB1114" s="441">
        <f t="shared" si="197"/>
        <v>111.91085369719238</v>
      </c>
      <c r="AC1114" s="438">
        <f t="shared" si="198"/>
        <v>115.25688316658676</v>
      </c>
      <c r="AD1114" s="410"/>
      <c r="AE1114" s="411"/>
      <c r="AF1114" s="411"/>
      <c r="AG1114" s="411"/>
    </row>
    <row r="1115" spans="1:33" s="409" customFormat="1" x14ac:dyDescent="0.2">
      <c r="A1115" s="409" t="s">
        <v>362</v>
      </c>
      <c r="B1115" s="23" t="str">
        <f>VLOOKUP(LEFT(A1115,7),'[7]Tariff Schedule Lookup Table'!$A$8:$G$186,2,FALSE)</f>
        <v>Fluorescent 9</v>
      </c>
      <c r="C1115" s="375">
        <f>1*MID(A1115,12,4)</f>
        <v>10</v>
      </c>
      <c r="D1115" s="23">
        <f>1*(MID(A1115,17,3))</f>
        <v>2</v>
      </c>
      <c r="E1115" s="23" t="str">
        <f>VLOOKUP(C1115,'[7]Tariff Schedule Lookup Table'!I$7:L$287,2,FALSE)</f>
        <v>MERCURY VAPOUR 80W</v>
      </c>
      <c r="F1115" s="23" t="str">
        <f>IF(E1115 = "BULKHEADS ETC", "SHARED OR NO POLE", VLOOKUP(C1115,'[7]Tariff Schedule Lookup Table'!I$7:L$287,3,FALSE))</f>
        <v>SHARED OR NO POLE</v>
      </c>
      <c r="G1115" s="23">
        <f>IF(E1115 = "NO CAPITAL", 1, VLOOKUP(C1115,'[7]Tariff Schedule Lookup Table'!I$7:L$287,4,FALSE))</f>
        <v>1</v>
      </c>
      <c r="H1115" s="23" t="str">
        <f t="shared" ref="H1115:H1178" si="199">VLOOKUP(D1115,A$11:B$15, 2, FALSE)</f>
        <v>2-Unmetered, Funded by Others, CE Maintained</v>
      </c>
      <c r="I1115" s="374">
        <f>VLOOKUP(F1115,'Maintenance Model'!$A$57:$B$61,2,FALSE)</f>
        <v>0</v>
      </c>
      <c r="J1115" s="374">
        <f>IF(D1115=1,VLOOKUP(C1115,'Capital Code Schedules'!A$15:F$300,2,FALSE),IF(D1115=2,VLOOKUP(C1115,'Capital Code Schedules'!A$15:F$300,3,FALSE),0))</f>
        <v>0</v>
      </c>
      <c r="K1115" s="374">
        <f>IF(D1115=1,VLOOKUP(C1115,'Capital Code Schedules'!E$15:G$300,2,FALSE),IF(D1115=2,VLOOKUP(C1115,'Capital Code Schedules'!E$15:G$300,3,FALSE),0))</f>
        <v>0</v>
      </c>
      <c r="L1115" s="374">
        <f>VLOOKUP(LEFT(A1115,10),'Streetlight Tariff Schedule'!B$11:H$260,7, FALSE)+I1115</f>
        <v>26.876862542540042</v>
      </c>
      <c r="M1115" s="410">
        <f t="shared" si="192"/>
        <v>26.876862542540042</v>
      </c>
      <c r="N1115" s="411">
        <f t="shared" si="193"/>
        <v>27.996784381809533</v>
      </c>
      <c r="O1115" s="411">
        <v>36.372140884353854</v>
      </c>
      <c r="P1115" s="411">
        <v>36.372140884353854</v>
      </c>
      <c r="Q1115" s="411">
        <v>38.152152078414254</v>
      </c>
      <c r="R1115" s="411">
        <v>38.152152078414254</v>
      </c>
      <c r="S1115" s="411">
        <f t="shared" si="194"/>
        <v>29.36691515733267</v>
      </c>
      <c r="T1115" s="411">
        <v>39.719106177397329</v>
      </c>
      <c r="U1115" s="411">
        <v>39.864211637093902</v>
      </c>
      <c r="V1115" s="411">
        <f t="shared" si="195"/>
        <v>30.684741415225258</v>
      </c>
      <c r="W1115" s="411">
        <v>41.164989161962623</v>
      </c>
      <c r="X1115" s="411">
        <v>41.684280726644246</v>
      </c>
      <c r="Y1115" s="411">
        <f t="shared" si="196"/>
        <v>32.085706016735884</v>
      </c>
      <c r="Z1115" s="411">
        <v>42.354064953221013</v>
      </c>
      <c r="AA1115" s="411">
        <v>43.045302954573991</v>
      </c>
      <c r="AB1115" s="441">
        <f t="shared" si="197"/>
        <v>32.782182143492783</v>
      </c>
      <c r="AC1115" s="438">
        <f t="shared" si="198"/>
        <v>33.762338615357251</v>
      </c>
      <c r="AD1115" s="410"/>
      <c r="AE1115" s="411"/>
      <c r="AF1115" s="411"/>
      <c r="AG1115" s="411"/>
    </row>
    <row r="1116" spans="1:33" s="409" customFormat="1" x14ac:dyDescent="0.2">
      <c r="A1116" s="409" t="s">
        <v>364</v>
      </c>
      <c r="B1116" s="23" t="str">
        <f>VLOOKUP(LEFT(A1116,7),'[7]Tariff Schedule Lookup Table'!$A$8:$G$186,2,FALSE)</f>
        <v>Fluorescent 11</v>
      </c>
      <c r="C1116" s="375">
        <f>1*MID(A1116,12,4)</f>
        <v>10</v>
      </c>
      <c r="D1116" s="23">
        <f>1*(MID(A1116,17,3))</f>
        <v>1</v>
      </c>
      <c r="E1116" s="23" t="str">
        <f>VLOOKUP(C1116,'[7]Tariff Schedule Lookup Table'!I$7:L$287,2,FALSE)</f>
        <v>MERCURY VAPOUR 80W</v>
      </c>
      <c r="F1116" s="23" t="str">
        <f>IF(E1116 = "BULKHEADS ETC", "SHARED OR NO POLE", VLOOKUP(C1116,'[7]Tariff Schedule Lookup Table'!I$7:L$287,3,FALSE))</f>
        <v>SHARED OR NO POLE</v>
      </c>
      <c r="G1116" s="23">
        <f>IF(E1116 = "NO CAPITAL", 1, VLOOKUP(C1116,'[7]Tariff Schedule Lookup Table'!I$7:L$287,4,FALSE))</f>
        <v>1</v>
      </c>
      <c r="H1116" s="23" t="str">
        <f t="shared" si="199"/>
        <v>1-Unmetered, CE Funded, CE Maintained</v>
      </c>
      <c r="I1116" s="374">
        <f>VLOOKUP(F1116,'Maintenance Model'!$A$57:$B$61,2,FALSE)</f>
        <v>0</v>
      </c>
      <c r="J1116" s="374">
        <f>IF(D1116=1,VLOOKUP(C1116,'Capital Code Schedules'!A$15:F$300,2,FALSE),IF(D1116=2,VLOOKUP(C1116,'Capital Code Schedules'!A$15:F$300,3,FALSE),0))</f>
        <v>17.255027166785979</v>
      </c>
      <c r="K1116" s="374">
        <f>IF(D1116=1,VLOOKUP(C1116,'Capital Code Schedules'!E$15:G$300,2,FALSE),IF(D1116=2,VLOOKUP(C1116,'Capital Code Schedules'!E$15:G$300,3,FALSE),0))</f>
        <v>21.887497717034414</v>
      </c>
      <c r="L1116" s="374">
        <f>VLOOKUP(LEFT(A1116,10),'Streetlight Tariff Schedule'!B$11:H$260,7, FALSE)+I1116</f>
        <v>26.876862542540042</v>
      </c>
      <c r="M1116" s="410">
        <f t="shared" si="192"/>
        <v>48.76436025957446</v>
      </c>
      <c r="N1116" s="411">
        <f t="shared" si="193"/>
        <v>45.678873470973464</v>
      </c>
      <c r="O1116" s="411">
        <v>59.794310997077709</v>
      </c>
      <c r="P1116" s="411">
        <v>58.801354169884874</v>
      </c>
      <c r="Q1116" s="411">
        <v>61.136488392762168</v>
      </c>
      <c r="R1116" s="411">
        <v>62.154020901428019</v>
      </c>
      <c r="S1116" s="411">
        <f t="shared" si="194"/>
        <v>47.486635951453401</v>
      </c>
      <c r="T1116" s="411">
        <v>63.272304815525345</v>
      </c>
      <c r="U1116" s="411">
        <v>64.550133721563554</v>
      </c>
      <c r="V1116" s="411">
        <f t="shared" si="195"/>
        <v>49.320874251978431</v>
      </c>
      <c r="W1116" s="411">
        <v>65.30112946638431</v>
      </c>
      <c r="X1116" s="411">
        <v>67.207055569777424</v>
      </c>
      <c r="Y1116" s="411">
        <f t="shared" si="196"/>
        <v>51.353603756654991</v>
      </c>
      <c r="Z1116" s="411">
        <v>67.087574730177138</v>
      </c>
      <c r="AA1116" s="411">
        <v>69.295476880736459</v>
      </c>
      <c r="AB1116" s="441">
        <f t="shared" si="197"/>
        <v>52.389194883634467</v>
      </c>
      <c r="AC1116" s="438">
        <f t="shared" si="198"/>
        <v>53.939915426237064</v>
      </c>
      <c r="AD1116" s="410"/>
      <c r="AE1116" s="411"/>
      <c r="AF1116" s="411"/>
      <c r="AG1116" s="411"/>
    </row>
    <row r="1117" spans="1:33" s="409" customFormat="1" x14ac:dyDescent="0.2">
      <c r="A1117" s="409" t="s">
        <v>366</v>
      </c>
      <c r="B1117" s="23" t="str">
        <f>VLOOKUP(LEFT(A1117,7),'[7]Tariff Schedule Lookup Table'!$A$8:$G$186,2,FALSE)</f>
        <v>Fluorescent 15</v>
      </c>
      <c r="C1117" s="375">
        <f>1*MID(A1117,12,4)</f>
        <v>10</v>
      </c>
      <c r="D1117" s="23">
        <f>1*(MID(A1117,17,3))</f>
        <v>2</v>
      </c>
      <c r="E1117" s="23" t="str">
        <f>VLOOKUP(C1117,'[7]Tariff Schedule Lookup Table'!I$7:L$287,2,FALSE)</f>
        <v>MERCURY VAPOUR 80W</v>
      </c>
      <c r="F1117" s="23" t="str">
        <f>IF(E1117 = "BULKHEADS ETC", "SHARED OR NO POLE", VLOOKUP(C1117,'[7]Tariff Schedule Lookup Table'!I$7:L$287,3,FALSE))</f>
        <v>SHARED OR NO POLE</v>
      </c>
      <c r="G1117" s="23">
        <f>IF(E1117 = "NO CAPITAL", 1, VLOOKUP(C1117,'[7]Tariff Schedule Lookup Table'!I$7:L$287,4,FALSE))</f>
        <v>1</v>
      </c>
      <c r="H1117" s="23" t="str">
        <f t="shared" si="199"/>
        <v>2-Unmetered, Funded by Others, CE Maintained</v>
      </c>
      <c r="I1117" s="374">
        <f>VLOOKUP(F1117,'Maintenance Model'!$A$57:$B$61,2,FALSE)</f>
        <v>0</v>
      </c>
      <c r="J1117" s="374">
        <f>IF(D1117=1,VLOOKUP(C1117,'Capital Code Schedules'!A$15:F$300,2,FALSE),IF(D1117=2,VLOOKUP(C1117,'Capital Code Schedules'!A$15:F$300,3,FALSE),0))</f>
        <v>0</v>
      </c>
      <c r="K1117" s="374">
        <f>IF(D1117=1,VLOOKUP(C1117,'Capital Code Schedules'!E$15:G$300,2,FALSE),IF(D1117=2,VLOOKUP(C1117,'Capital Code Schedules'!E$15:G$300,3,FALSE),0))</f>
        <v>0</v>
      </c>
      <c r="L1117" s="374">
        <f>VLOOKUP(LEFT(A1117,10),'Streetlight Tariff Schedule'!B$11:H$260,7, FALSE)+I1117</f>
        <v>26.876862542540042</v>
      </c>
      <c r="M1117" s="410">
        <f t="shared" si="192"/>
        <v>26.876862542540042</v>
      </c>
      <c r="N1117" s="411">
        <f t="shared" si="193"/>
        <v>27.996784381809533</v>
      </c>
      <c r="O1117" s="411">
        <v>36.372140884353854</v>
      </c>
      <c r="P1117" s="411">
        <v>36.372140884353854</v>
      </c>
      <c r="Q1117" s="411">
        <v>38.152152078414254</v>
      </c>
      <c r="R1117" s="411">
        <v>38.152152078414254</v>
      </c>
      <c r="S1117" s="411">
        <f t="shared" si="194"/>
        <v>29.36691515733267</v>
      </c>
      <c r="T1117" s="411">
        <v>39.719106177397329</v>
      </c>
      <c r="U1117" s="411">
        <v>39.864211637093902</v>
      </c>
      <c r="V1117" s="411">
        <f t="shared" si="195"/>
        <v>30.684741415225258</v>
      </c>
      <c r="W1117" s="411">
        <v>41.164989161962623</v>
      </c>
      <c r="X1117" s="411">
        <v>41.684280726644246</v>
      </c>
      <c r="Y1117" s="411">
        <f t="shared" si="196"/>
        <v>32.085706016735884</v>
      </c>
      <c r="Z1117" s="411">
        <v>42.354064953221013</v>
      </c>
      <c r="AA1117" s="411">
        <v>43.045302954573991</v>
      </c>
      <c r="AB1117" s="441">
        <f t="shared" si="197"/>
        <v>32.782182143492783</v>
      </c>
      <c r="AC1117" s="438">
        <f t="shared" si="198"/>
        <v>33.762338615357251</v>
      </c>
      <c r="AD1117" s="410"/>
      <c r="AE1117" s="411"/>
      <c r="AF1117" s="411"/>
      <c r="AG1117" s="411"/>
    </row>
    <row r="1118" spans="1:33" s="409" customFormat="1" x14ac:dyDescent="0.2">
      <c r="A1118" s="409" t="s">
        <v>367</v>
      </c>
      <c r="B1118" s="23" t="str">
        <f>VLOOKUP(LEFT(A1118,7),'[7]Tariff Schedule Lookup Table'!$A$8:$G$186,2,FALSE)</f>
        <v>Fluorescent 20</v>
      </c>
      <c r="C1118" s="375">
        <f>1*MID(A1118,12,4)</f>
        <v>10</v>
      </c>
      <c r="D1118" s="23">
        <f>1*(MID(A1118,17,3))</f>
        <v>1</v>
      </c>
      <c r="E1118" s="23" t="str">
        <f>VLOOKUP(C1118,'[7]Tariff Schedule Lookup Table'!I$7:L$287,2,FALSE)</f>
        <v>MERCURY VAPOUR 80W</v>
      </c>
      <c r="F1118" s="23" t="str">
        <f>IF(E1118 = "BULKHEADS ETC", "SHARED OR NO POLE", VLOOKUP(C1118,'[7]Tariff Schedule Lookup Table'!I$7:L$287,3,FALSE))</f>
        <v>SHARED OR NO POLE</v>
      </c>
      <c r="G1118" s="23">
        <f>IF(E1118 = "NO CAPITAL", 1, VLOOKUP(C1118,'[7]Tariff Schedule Lookup Table'!I$7:L$287,4,FALSE))</f>
        <v>1</v>
      </c>
      <c r="H1118" s="23" t="str">
        <f t="shared" si="199"/>
        <v>1-Unmetered, CE Funded, CE Maintained</v>
      </c>
      <c r="I1118" s="374">
        <f>VLOOKUP(F1118,'Maintenance Model'!$A$57:$B$61,2,FALSE)</f>
        <v>0</v>
      </c>
      <c r="J1118" s="374">
        <f>IF(D1118=1,VLOOKUP(C1118,'Capital Code Schedules'!A$15:F$300,2,FALSE),IF(D1118=2,VLOOKUP(C1118,'Capital Code Schedules'!A$15:F$300,3,FALSE),0))</f>
        <v>17.255027166785979</v>
      </c>
      <c r="K1118" s="374">
        <f>IF(D1118=1,VLOOKUP(C1118,'Capital Code Schedules'!E$15:G$300,2,FALSE),IF(D1118=2,VLOOKUP(C1118,'Capital Code Schedules'!E$15:G$300,3,FALSE),0))</f>
        <v>21.887497717034414</v>
      </c>
      <c r="L1118" s="374">
        <f>VLOOKUP(LEFT(A1118,10),'Streetlight Tariff Schedule'!B$11:H$260,7, FALSE)+I1118</f>
        <v>26.876862542540042</v>
      </c>
      <c r="M1118" s="410">
        <f t="shared" si="192"/>
        <v>48.76436025957446</v>
      </c>
      <c r="N1118" s="411">
        <f t="shared" si="193"/>
        <v>45.678873470973464</v>
      </c>
      <c r="O1118" s="411">
        <v>59.794310997077709</v>
      </c>
      <c r="P1118" s="411">
        <v>58.801354169884874</v>
      </c>
      <c r="Q1118" s="411">
        <v>61.136488392762168</v>
      </c>
      <c r="R1118" s="411">
        <v>62.154020901428019</v>
      </c>
      <c r="S1118" s="411">
        <f t="shared" si="194"/>
        <v>47.486635951453401</v>
      </c>
      <c r="T1118" s="411">
        <v>63.272304815525345</v>
      </c>
      <c r="U1118" s="411">
        <v>64.550133721563554</v>
      </c>
      <c r="V1118" s="411">
        <f t="shared" si="195"/>
        <v>49.320874251978431</v>
      </c>
      <c r="W1118" s="411">
        <v>65.30112946638431</v>
      </c>
      <c r="X1118" s="411">
        <v>67.207055569777424</v>
      </c>
      <c r="Y1118" s="411">
        <f t="shared" si="196"/>
        <v>51.353603756654991</v>
      </c>
      <c r="Z1118" s="411">
        <v>67.087574730177138</v>
      </c>
      <c r="AA1118" s="411">
        <v>69.295476880736459</v>
      </c>
      <c r="AB1118" s="441">
        <f t="shared" si="197"/>
        <v>52.389194883634467</v>
      </c>
      <c r="AC1118" s="438">
        <f t="shared" si="198"/>
        <v>53.939915426237064</v>
      </c>
      <c r="AD1118" s="410"/>
      <c r="AE1118" s="411"/>
      <c r="AF1118" s="411"/>
      <c r="AG1118" s="411"/>
    </row>
    <row r="1119" spans="1:33" s="409" customFormat="1" x14ac:dyDescent="0.2">
      <c r="A1119" s="409" t="s">
        <v>368</v>
      </c>
      <c r="B1119" s="23" t="str">
        <f>VLOOKUP(LEFT(A1119,7),'[7]Tariff Schedule Lookup Table'!$A$8:$G$186,2,FALSE)</f>
        <v>Fluorescent 20</v>
      </c>
      <c r="C1119" s="375">
        <f t="shared" ref="C1119:C1182" si="200">1*MID(A1119,12,4)</f>
        <v>10</v>
      </c>
      <c r="D1119" s="23">
        <f t="shared" ref="D1119:D1182" si="201">1*(MID(A1119,17,3))</f>
        <v>2</v>
      </c>
      <c r="E1119" s="23" t="str">
        <f>VLOOKUP(C1119,'[7]Tariff Schedule Lookup Table'!I$7:L$287,2,FALSE)</f>
        <v>MERCURY VAPOUR 80W</v>
      </c>
      <c r="F1119" s="23" t="str">
        <f>IF(E1119 = "BULKHEADS ETC", "SHARED OR NO POLE", VLOOKUP(C1119,'[7]Tariff Schedule Lookup Table'!I$7:L$287,3,FALSE))</f>
        <v>SHARED OR NO POLE</v>
      </c>
      <c r="G1119" s="23">
        <f>IF(E1119 = "NO CAPITAL", 1, VLOOKUP(C1119,'[7]Tariff Schedule Lookup Table'!I$7:L$287,4,FALSE))</f>
        <v>1</v>
      </c>
      <c r="H1119" s="23" t="str">
        <f t="shared" si="199"/>
        <v>2-Unmetered, Funded by Others, CE Maintained</v>
      </c>
      <c r="I1119" s="374">
        <f>VLOOKUP(F1119,'Maintenance Model'!$A$57:$B$61,2,FALSE)</f>
        <v>0</v>
      </c>
      <c r="J1119" s="374">
        <f>IF(D1119=1,VLOOKUP(C1119,'Capital Code Schedules'!A$15:F$300,2,FALSE),IF(D1119=2,VLOOKUP(C1119,'Capital Code Schedules'!A$15:F$300,3,FALSE),0))</f>
        <v>0</v>
      </c>
      <c r="K1119" s="374">
        <f>IF(D1119=1,VLOOKUP(C1119,'Capital Code Schedules'!E$15:G$300,2,FALSE),IF(D1119=2,VLOOKUP(C1119,'Capital Code Schedules'!E$15:G$300,3,FALSE),0))</f>
        <v>0</v>
      </c>
      <c r="L1119" s="374">
        <f>VLOOKUP(LEFT(A1119,10),'Streetlight Tariff Schedule'!B$11:H$260,7, FALSE)+I1119</f>
        <v>26.876862542540042</v>
      </c>
      <c r="M1119" s="410">
        <f t="shared" si="192"/>
        <v>26.876862542540042</v>
      </c>
      <c r="N1119" s="411">
        <f t="shared" si="193"/>
        <v>27.996784381809533</v>
      </c>
      <c r="O1119" s="411">
        <v>36.372140884353854</v>
      </c>
      <c r="P1119" s="411">
        <v>36.372140884353854</v>
      </c>
      <c r="Q1119" s="411">
        <v>38.152152078414254</v>
      </c>
      <c r="R1119" s="411">
        <v>38.152152078414254</v>
      </c>
      <c r="S1119" s="411">
        <f t="shared" si="194"/>
        <v>29.36691515733267</v>
      </c>
      <c r="T1119" s="411">
        <v>39.719106177397329</v>
      </c>
      <c r="U1119" s="411">
        <v>39.864211637093902</v>
      </c>
      <c r="V1119" s="411">
        <f t="shared" si="195"/>
        <v>30.684741415225258</v>
      </c>
      <c r="W1119" s="411">
        <v>41.164989161962623</v>
      </c>
      <c r="X1119" s="411">
        <v>41.684280726644246</v>
      </c>
      <c r="Y1119" s="411">
        <f t="shared" si="196"/>
        <v>32.085706016735884</v>
      </c>
      <c r="Z1119" s="411">
        <v>42.354064953221013</v>
      </c>
      <c r="AA1119" s="411">
        <v>43.045302954573991</v>
      </c>
      <c r="AB1119" s="441">
        <f t="shared" si="197"/>
        <v>32.782182143492783</v>
      </c>
      <c r="AC1119" s="438">
        <f t="shared" si="198"/>
        <v>33.762338615357251</v>
      </c>
      <c r="AD1119" s="410"/>
      <c r="AE1119" s="411"/>
      <c r="AF1119" s="411"/>
      <c r="AG1119" s="411"/>
    </row>
    <row r="1120" spans="1:33" s="409" customFormat="1" x14ac:dyDescent="0.2">
      <c r="A1120" s="409" t="s">
        <v>369</v>
      </c>
      <c r="B1120" s="23" t="str">
        <f>VLOOKUP(LEFT(A1120,7),'[7]Tariff Schedule Lookup Table'!$A$8:$G$186,2,FALSE)</f>
        <v>Fluorescent 20</v>
      </c>
      <c r="C1120" s="375">
        <f t="shared" si="200"/>
        <v>110</v>
      </c>
      <c r="D1120" s="23">
        <f t="shared" si="201"/>
        <v>2</v>
      </c>
      <c r="E1120" s="23" t="str">
        <f>VLOOKUP(C1120,'[7]Tariff Schedule Lookup Table'!I$7:L$287,2,FALSE)</f>
        <v>BULKHEADS ETC</v>
      </c>
      <c r="F1120" s="23" t="str">
        <f>IF(E1120 = "BULKHEADS ETC", "SHARED OR NO POLE", VLOOKUP(C1120,'[7]Tariff Schedule Lookup Table'!I$7:L$287,3,FALSE))</f>
        <v>SHARED OR NO POLE</v>
      </c>
      <c r="G1120" s="23">
        <f>IF(E1120 = "NO CAPITAL", 1, VLOOKUP(C1120,'[7]Tariff Schedule Lookup Table'!I$7:L$287,4,FALSE))</f>
        <v>1</v>
      </c>
      <c r="H1120" s="23" t="str">
        <f t="shared" si="199"/>
        <v>2-Unmetered, Funded by Others, CE Maintained</v>
      </c>
      <c r="I1120" s="374">
        <f>VLOOKUP(F1120,'Maintenance Model'!$A$57:$B$61,2,FALSE)</f>
        <v>0</v>
      </c>
      <c r="J1120" s="374">
        <f>IF(D1120=1,VLOOKUP(C1120,'Capital Code Schedules'!A$15:F$300,2,FALSE),IF(D1120=2,VLOOKUP(C1120,'Capital Code Schedules'!A$15:F$300,3,FALSE),0))</f>
        <v>0</v>
      </c>
      <c r="K1120" s="374">
        <f>IF(D1120=1,VLOOKUP(C1120,'Capital Code Schedules'!E$15:G$300,2,FALSE),IF(D1120=2,VLOOKUP(C1120,'Capital Code Schedules'!E$15:G$300,3,FALSE),0))</f>
        <v>0</v>
      </c>
      <c r="L1120" s="374">
        <f>VLOOKUP(LEFT(A1120,10),'Streetlight Tariff Schedule'!B$11:H$260,7, FALSE)+I1120</f>
        <v>26.876862542540042</v>
      </c>
      <c r="M1120" s="410">
        <f t="shared" si="192"/>
        <v>26.876862542540042</v>
      </c>
      <c r="N1120" s="411">
        <f t="shared" si="193"/>
        <v>27.996784381809533</v>
      </c>
      <c r="O1120" s="411">
        <v>36.372140884353854</v>
      </c>
      <c r="P1120" s="411">
        <v>36.372140884353854</v>
      </c>
      <c r="Q1120" s="411">
        <v>38.152152078414254</v>
      </c>
      <c r="R1120" s="411">
        <v>38.152152078414254</v>
      </c>
      <c r="S1120" s="411">
        <f t="shared" si="194"/>
        <v>29.36691515733267</v>
      </c>
      <c r="T1120" s="411">
        <v>39.719106177397329</v>
      </c>
      <c r="U1120" s="411">
        <v>39.864211637093902</v>
      </c>
      <c r="V1120" s="411">
        <f t="shared" si="195"/>
        <v>30.684741415225258</v>
      </c>
      <c r="W1120" s="411">
        <v>41.164989161962623</v>
      </c>
      <c r="X1120" s="411">
        <v>41.684280726644246</v>
      </c>
      <c r="Y1120" s="411">
        <f t="shared" si="196"/>
        <v>32.085706016735884</v>
      </c>
      <c r="Z1120" s="411">
        <v>42.354064953221013</v>
      </c>
      <c r="AA1120" s="411">
        <v>43.045302954573991</v>
      </c>
      <c r="AB1120" s="441">
        <f t="shared" si="197"/>
        <v>32.782182143492783</v>
      </c>
      <c r="AC1120" s="438">
        <f t="shared" si="198"/>
        <v>33.762338615357251</v>
      </c>
      <c r="AD1120" s="410"/>
      <c r="AE1120" s="411"/>
      <c r="AF1120" s="411"/>
      <c r="AG1120" s="411"/>
    </row>
    <row r="1121" spans="1:33" s="409" customFormat="1" x14ac:dyDescent="0.2">
      <c r="A1121" s="409" t="s">
        <v>746</v>
      </c>
      <c r="B1121" s="23" t="str">
        <f>VLOOKUP(LEFT(A1121,7),'[7]Tariff Schedule Lookup Table'!$A$8:$G$186,2,FALSE)</f>
        <v>Fluorescent 20</v>
      </c>
      <c r="C1121" s="375">
        <f t="shared" si="200"/>
        <v>990</v>
      </c>
      <c r="D1121" s="23">
        <f t="shared" si="201"/>
        <v>1</v>
      </c>
      <c r="E1121" s="23" t="str">
        <f>VLOOKUP(C1121,'[7]Tariff Schedule Lookup Table'!I$7:L$287,2,FALSE)</f>
        <v>MERCURY VAPOUR 80W</v>
      </c>
      <c r="F1121" s="23" t="str">
        <f>IF(E1121 = "BULKHEADS ETC", "SHARED OR NO POLE", VLOOKUP(C1121,'[7]Tariff Schedule Lookup Table'!I$7:L$287,3,FALSE))</f>
        <v>STEEL POLE</v>
      </c>
      <c r="G1121" s="23">
        <f>IF(E1121 = "NO CAPITAL", 1, VLOOKUP(C1121,'[7]Tariff Schedule Lookup Table'!I$7:L$287,4,FALSE))</f>
        <v>1</v>
      </c>
      <c r="H1121" s="23" t="str">
        <f t="shared" si="199"/>
        <v>1-Unmetered, CE Funded, CE Maintained</v>
      </c>
      <c r="I1121" s="374">
        <f>VLOOKUP(F1121,'Maintenance Model'!$A$57:$B$61,2,FALSE)</f>
        <v>9.9616182311111103</v>
      </c>
      <c r="J1121" s="374">
        <f>IF(D1121=1,VLOOKUP(C1121,'Capital Code Schedules'!A$15:F$300,2,FALSE),IF(D1121=2,VLOOKUP(C1121,'Capital Code Schedules'!A$15:F$300,3,FALSE),0))</f>
        <v>86.253661186307269</v>
      </c>
      <c r="K1121" s="374">
        <f>IF(D1121=1,VLOOKUP(C1121,'Capital Code Schedules'!E$15:G$300,2,FALSE),IF(D1121=2,VLOOKUP(C1121,'Capital Code Schedules'!E$15:G$300,3,FALSE),0))</f>
        <v>109.41024862221688</v>
      </c>
      <c r="L1121" s="374">
        <f>VLOOKUP(LEFT(A1121,10),'Streetlight Tariff Schedule'!B$11:H$260,7, FALSE)+I1121</f>
        <v>36.838480773651156</v>
      </c>
      <c r="M1121" s="410">
        <f t="shared" si="192"/>
        <v>146.24872939586805</v>
      </c>
      <c r="N1121" s="411">
        <f t="shared" si="193"/>
        <v>126.76192882315031</v>
      </c>
      <c r="O1121" s="411">
        <v>163.04795675316424</v>
      </c>
      <c r="P1121" s="411">
        <v>158.08440839606976</v>
      </c>
      <c r="Q1121" s="411">
        <v>163.10886894331944</v>
      </c>
      <c r="R1121" s="411">
        <v>168.19526512225204</v>
      </c>
      <c r="S1121" s="411">
        <f t="shared" si="194"/>
        <v>130.82749761530496</v>
      </c>
      <c r="T1121" s="411">
        <v>167.93275232089721</v>
      </c>
      <c r="U1121" s="411">
        <v>173.77834069482995</v>
      </c>
      <c r="V1121" s="411">
        <f t="shared" si="195"/>
        <v>135.21517942917527</v>
      </c>
      <c r="W1121" s="411">
        <v>172.67400806205498</v>
      </c>
      <c r="X1121" s="411">
        <v>180.26172349224836</v>
      </c>
      <c r="Y1121" s="411">
        <f t="shared" si="196"/>
        <v>140.29343465488463</v>
      </c>
      <c r="Z1121" s="411">
        <v>177.16283798797343</v>
      </c>
      <c r="AA1121" s="411">
        <v>185.61784150523437</v>
      </c>
      <c r="AB1121" s="441">
        <f t="shared" si="197"/>
        <v>142.94320507796402</v>
      </c>
      <c r="AC1121" s="438">
        <f t="shared" si="198"/>
        <v>147.1387561999133</v>
      </c>
      <c r="AD1121" s="410"/>
      <c r="AE1121" s="411"/>
      <c r="AF1121" s="411"/>
      <c r="AG1121" s="411"/>
    </row>
    <row r="1122" spans="1:33" s="409" customFormat="1" x14ac:dyDescent="0.2">
      <c r="A1122" s="409" t="s">
        <v>370</v>
      </c>
      <c r="B1122" s="23" t="str">
        <f>VLOOKUP(LEFT(A1122,7),'[7]Tariff Schedule Lookup Table'!$A$8:$G$186,2,FALSE)</f>
        <v>Fluorescent Twin 20</v>
      </c>
      <c r="C1122" s="375">
        <f t="shared" si="200"/>
        <v>10</v>
      </c>
      <c r="D1122" s="23">
        <f t="shared" si="201"/>
        <v>1</v>
      </c>
      <c r="E1122" s="23" t="str">
        <f>VLOOKUP(C1122,'[7]Tariff Schedule Lookup Table'!I$7:L$287,2,FALSE)</f>
        <v>MERCURY VAPOUR 80W</v>
      </c>
      <c r="F1122" s="23" t="str">
        <f>IF(E1122 = "BULKHEADS ETC", "SHARED OR NO POLE", VLOOKUP(C1122,'[7]Tariff Schedule Lookup Table'!I$7:L$287,3,FALSE))</f>
        <v>SHARED OR NO POLE</v>
      </c>
      <c r="G1122" s="23">
        <f>IF(E1122 = "NO CAPITAL", 1, VLOOKUP(C1122,'[7]Tariff Schedule Lookup Table'!I$7:L$287,4,FALSE))</f>
        <v>1</v>
      </c>
      <c r="H1122" s="23" t="str">
        <f t="shared" si="199"/>
        <v>1-Unmetered, CE Funded, CE Maintained</v>
      </c>
      <c r="I1122" s="374">
        <f>VLOOKUP(F1122,'Maintenance Model'!$A$57:$B$61,2,FALSE)</f>
        <v>0</v>
      </c>
      <c r="J1122" s="374">
        <f>IF(D1122=1,VLOOKUP(C1122,'Capital Code Schedules'!A$15:F$300,2,FALSE),IF(D1122=2,VLOOKUP(C1122,'Capital Code Schedules'!A$15:F$300,3,FALSE),0))</f>
        <v>17.255027166785979</v>
      </c>
      <c r="K1122" s="374">
        <f>IF(D1122=1,VLOOKUP(C1122,'Capital Code Schedules'!E$15:G$300,2,FALSE),IF(D1122=2,VLOOKUP(C1122,'Capital Code Schedules'!E$15:G$300,3,FALSE),0))</f>
        <v>21.887497717034414</v>
      </c>
      <c r="L1122" s="374">
        <f>VLOOKUP(LEFT(A1122,10),'Streetlight Tariff Schedule'!B$11:H$260,7, FALSE)+I1122</f>
        <v>31.86425264764004</v>
      </c>
      <c r="M1122" s="410">
        <f t="shared" si="192"/>
        <v>53.75175036467445</v>
      </c>
      <c r="N1122" s="411">
        <f t="shared" si="193"/>
        <v>50.874081251623117</v>
      </c>
      <c r="O1122" s="411">
        <v>65.477291147108687</v>
      </c>
      <c r="P1122" s="411">
        <v>64.48433431991586</v>
      </c>
      <c r="Q1122" s="411">
        <v>67.097587125772407</v>
      </c>
      <c r="R1122" s="411">
        <v>68.115119634438258</v>
      </c>
      <c r="S1122" s="411">
        <f t="shared" si="194"/>
        <v>52.936091290266567</v>
      </c>
      <c r="T1122" s="411">
        <v>69.478232937843302</v>
      </c>
      <c r="U1122" s="411">
        <v>70.778733906264065</v>
      </c>
      <c r="V1122" s="411">
        <f t="shared" si="195"/>
        <v>55.014871290123189</v>
      </c>
      <c r="W1122" s="411">
        <v>71.732970171815751</v>
      </c>
      <c r="X1122" s="411">
        <v>73.720033199855322</v>
      </c>
      <c r="Y1122" s="411">
        <f t="shared" si="196"/>
        <v>57.307570014797449</v>
      </c>
      <c r="Z1122" s="411">
        <v>73.705203072912894</v>
      </c>
      <c r="AA1122" s="411">
        <v>76.021107990016162</v>
      </c>
      <c r="AB1122" s="441">
        <f t="shared" si="197"/>
        <v>58.472402348317594</v>
      </c>
      <c r="AC1122" s="438">
        <f t="shared" si="198"/>
        <v>60.205005083512027</v>
      </c>
      <c r="AD1122" s="410"/>
      <c r="AE1122" s="411"/>
      <c r="AF1122" s="411"/>
      <c r="AG1122" s="411"/>
    </row>
    <row r="1123" spans="1:33" s="409" customFormat="1" x14ac:dyDescent="0.2">
      <c r="A1123" s="409" t="s">
        <v>371</v>
      </c>
      <c r="B1123" s="23" t="str">
        <f>VLOOKUP(LEFT(A1123,7),'[7]Tariff Schedule Lookup Table'!$A$8:$G$186,2,FALSE)</f>
        <v>Fluorescent Twin 20</v>
      </c>
      <c r="C1123" s="375">
        <f t="shared" si="200"/>
        <v>10</v>
      </c>
      <c r="D1123" s="23">
        <f t="shared" si="201"/>
        <v>2</v>
      </c>
      <c r="E1123" s="23" t="str">
        <f>VLOOKUP(C1123,'[7]Tariff Schedule Lookup Table'!I$7:L$287,2,FALSE)</f>
        <v>MERCURY VAPOUR 80W</v>
      </c>
      <c r="F1123" s="23" t="str">
        <f>IF(E1123 = "BULKHEADS ETC", "SHARED OR NO POLE", VLOOKUP(C1123,'[7]Tariff Schedule Lookup Table'!I$7:L$287,3,FALSE))</f>
        <v>SHARED OR NO POLE</v>
      </c>
      <c r="G1123" s="23">
        <f>IF(E1123 = "NO CAPITAL", 1, VLOOKUP(C1123,'[7]Tariff Schedule Lookup Table'!I$7:L$287,4,FALSE))</f>
        <v>1</v>
      </c>
      <c r="H1123" s="23" t="str">
        <f t="shared" si="199"/>
        <v>2-Unmetered, Funded by Others, CE Maintained</v>
      </c>
      <c r="I1123" s="374">
        <f>VLOOKUP(F1123,'Maintenance Model'!$A$57:$B$61,2,FALSE)</f>
        <v>0</v>
      </c>
      <c r="J1123" s="374">
        <f>IF(D1123=1,VLOOKUP(C1123,'Capital Code Schedules'!A$15:F$300,2,FALSE),IF(D1123=2,VLOOKUP(C1123,'Capital Code Schedules'!A$15:F$300,3,FALSE),0))</f>
        <v>0</v>
      </c>
      <c r="K1123" s="374">
        <f>IF(D1123=1,VLOOKUP(C1123,'Capital Code Schedules'!E$15:G$300,2,FALSE),IF(D1123=2,VLOOKUP(C1123,'Capital Code Schedules'!E$15:G$300,3,FALSE),0))</f>
        <v>0</v>
      </c>
      <c r="L1123" s="374">
        <f>VLOOKUP(LEFT(A1123,10),'Streetlight Tariff Schedule'!B$11:H$260,7, FALSE)+I1123</f>
        <v>31.86425264764004</v>
      </c>
      <c r="M1123" s="410">
        <f t="shared" si="192"/>
        <v>31.86425264764004</v>
      </c>
      <c r="N1123" s="411">
        <f t="shared" si="193"/>
        <v>33.191992162459179</v>
      </c>
      <c r="O1123" s="411">
        <v>42.055121034384847</v>
      </c>
      <c r="P1123" s="411">
        <v>42.055121034384847</v>
      </c>
      <c r="Q1123" s="411">
        <v>44.1132508114245</v>
      </c>
      <c r="R1123" s="411">
        <v>44.1132508114245</v>
      </c>
      <c r="S1123" s="411">
        <f t="shared" si="194"/>
        <v>34.816370496145822</v>
      </c>
      <c r="T1123" s="411">
        <v>45.925034299715279</v>
      </c>
      <c r="U1123" s="411">
        <v>46.092811821794406</v>
      </c>
      <c r="V1123" s="411">
        <f t="shared" si="195"/>
        <v>36.378738453370005</v>
      </c>
      <c r="W1123" s="411">
        <v>47.596829867394064</v>
      </c>
      <c r="X1123" s="411">
        <v>48.197258356722145</v>
      </c>
      <c r="Y1123" s="411">
        <f t="shared" si="196"/>
        <v>38.039672274878335</v>
      </c>
      <c r="Z1123" s="411">
        <v>48.971693295956776</v>
      </c>
      <c r="AA1123" s="411">
        <v>49.770934063853694</v>
      </c>
      <c r="AB1123" s="441">
        <f t="shared" si="197"/>
        <v>38.865389608175903</v>
      </c>
      <c r="AC1123" s="438">
        <f t="shared" si="198"/>
        <v>40.027428272632214</v>
      </c>
      <c r="AD1123" s="410"/>
      <c r="AE1123" s="411"/>
      <c r="AF1123" s="411"/>
      <c r="AG1123" s="411"/>
    </row>
    <row r="1124" spans="1:33" s="409" customFormat="1" x14ac:dyDescent="0.2">
      <c r="A1124" s="409" t="s">
        <v>372</v>
      </c>
      <c r="B1124" s="23" t="str">
        <f>VLOOKUP(LEFT(A1124,7),'[7]Tariff Schedule Lookup Table'!$A$8:$G$186,2,FALSE)</f>
        <v>Fluorescent Twin 20</v>
      </c>
      <c r="C1124" s="375">
        <f t="shared" si="200"/>
        <v>740</v>
      </c>
      <c r="D1124" s="23">
        <f t="shared" si="201"/>
        <v>2</v>
      </c>
      <c r="E1124" s="23" t="str">
        <f>VLOOKUP(C1124,'[7]Tariff Schedule Lookup Table'!I$7:L$287,2,FALSE)</f>
        <v>MERCURY VAPOUR 80W</v>
      </c>
      <c r="F1124" s="23" t="str">
        <f>IF(E1124 = "BULKHEADS ETC", "SHARED OR NO POLE", VLOOKUP(C1124,'[7]Tariff Schedule Lookup Table'!I$7:L$287,3,FALSE))</f>
        <v>SHARED OR NO POLE</v>
      </c>
      <c r="G1124" s="23">
        <f>IF(E1124 = "NO CAPITAL", 1, VLOOKUP(C1124,'[7]Tariff Schedule Lookup Table'!I$7:L$287,4,FALSE))</f>
        <v>2</v>
      </c>
      <c r="H1124" s="23" t="str">
        <f t="shared" si="199"/>
        <v>2-Unmetered, Funded by Others, CE Maintained</v>
      </c>
      <c r="I1124" s="374">
        <f>VLOOKUP(F1124,'Maintenance Model'!$A$57:$B$61,2,FALSE)</f>
        <v>0</v>
      </c>
      <c r="J1124" s="374">
        <f>IF(D1124=1,VLOOKUP(C1124,'Capital Code Schedules'!A$15:F$300,2,FALSE),IF(D1124=2,VLOOKUP(C1124,'Capital Code Schedules'!A$15:F$300,3,FALSE),0))</f>
        <v>0</v>
      </c>
      <c r="K1124" s="374">
        <f>IF(D1124=1,VLOOKUP(C1124,'Capital Code Schedules'!E$15:G$300,2,FALSE),IF(D1124=2,VLOOKUP(C1124,'Capital Code Schedules'!E$15:G$300,3,FALSE),0))</f>
        <v>0</v>
      </c>
      <c r="L1124" s="374">
        <f>VLOOKUP(LEFT(A1124,10),'Streetlight Tariff Schedule'!B$11:H$260,7, FALSE)+I1124</f>
        <v>31.86425264764004</v>
      </c>
      <c r="M1124" s="410">
        <f t="shared" si="192"/>
        <v>31.86425264764004</v>
      </c>
      <c r="N1124" s="411">
        <f t="shared" si="193"/>
        <v>33.191992162459179</v>
      </c>
      <c r="O1124" s="411">
        <v>42.055121034384847</v>
      </c>
      <c r="P1124" s="411">
        <v>42.055121034384847</v>
      </c>
      <c r="Q1124" s="411">
        <v>44.1132508114245</v>
      </c>
      <c r="R1124" s="411">
        <v>44.1132508114245</v>
      </c>
      <c r="S1124" s="411">
        <f t="shared" si="194"/>
        <v>34.816370496145822</v>
      </c>
      <c r="T1124" s="411">
        <v>45.925034299715279</v>
      </c>
      <c r="U1124" s="411">
        <v>46.092811821794406</v>
      </c>
      <c r="V1124" s="411">
        <f t="shared" si="195"/>
        <v>36.378738453370005</v>
      </c>
      <c r="W1124" s="411">
        <v>47.596829867394064</v>
      </c>
      <c r="X1124" s="411">
        <v>48.197258356722145</v>
      </c>
      <c r="Y1124" s="411">
        <f t="shared" si="196"/>
        <v>38.039672274878335</v>
      </c>
      <c r="Z1124" s="411">
        <v>48.971693295956776</v>
      </c>
      <c r="AA1124" s="411">
        <v>49.770934063853694</v>
      </c>
      <c r="AB1124" s="441">
        <f t="shared" si="197"/>
        <v>38.865389608175903</v>
      </c>
      <c r="AC1124" s="438">
        <f t="shared" si="198"/>
        <v>40.027428272632214</v>
      </c>
      <c r="AD1124" s="410"/>
      <c r="AE1124" s="411"/>
      <c r="AF1124" s="411"/>
      <c r="AG1124" s="411"/>
    </row>
    <row r="1125" spans="1:33" s="409" customFormat="1" x14ac:dyDescent="0.2">
      <c r="A1125" s="409" t="s">
        <v>373</v>
      </c>
      <c r="B1125" s="23" t="str">
        <f>VLOOKUP(LEFT(A1125,7),'[7]Tariff Schedule Lookup Table'!$A$8:$G$186,2,FALSE)</f>
        <v>Fluorescent Twin 20</v>
      </c>
      <c r="C1125" s="375">
        <f t="shared" si="200"/>
        <v>990</v>
      </c>
      <c r="D1125" s="23">
        <f t="shared" si="201"/>
        <v>1</v>
      </c>
      <c r="E1125" s="23" t="str">
        <f>VLOOKUP(C1125,'[7]Tariff Schedule Lookup Table'!I$7:L$287,2,FALSE)</f>
        <v>MERCURY VAPOUR 80W</v>
      </c>
      <c r="F1125" s="23" t="str">
        <f>IF(E1125 = "BULKHEADS ETC", "SHARED OR NO POLE", VLOOKUP(C1125,'[7]Tariff Schedule Lookup Table'!I$7:L$287,3,FALSE))</f>
        <v>STEEL POLE</v>
      </c>
      <c r="G1125" s="23">
        <f>IF(E1125 = "NO CAPITAL", 1, VLOOKUP(C1125,'[7]Tariff Schedule Lookup Table'!I$7:L$287,4,FALSE))</f>
        <v>1</v>
      </c>
      <c r="H1125" s="23" t="str">
        <f t="shared" si="199"/>
        <v>1-Unmetered, CE Funded, CE Maintained</v>
      </c>
      <c r="I1125" s="374">
        <f>VLOOKUP(F1125,'Maintenance Model'!$A$57:$B$61,2,FALSE)</f>
        <v>9.9616182311111103</v>
      </c>
      <c r="J1125" s="374">
        <f>IF(D1125=1,VLOOKUP(C1125,'Capital Code Schedules'!A$15:F$300,2,FALSE),IF(D1125=2,VLOOKUP(C1125,'Capital Code Schedules'!A$15:F$300,3,FALSE),0))</f>
        <v>86.253661186307269</v>
      </c>
      <c r="K1125" s="374">
        <f>IF(D1125=1,VLOOKUP(C1125,'Capital Code Schedules'!E$15:G$300,2,FALSE),IF(D1125=2,VLOOKUP(C1125,'Capital Code Schedules'!E$15:G$300,3,FALSE),0))</f>
        <v>109.41024862221688</v>
      </c>
      <c r="L1125" s="374">
        <f>VLOOKUP(LEFT(A1125,10),'Streetlight Tariff Schedule'!B$11:H$260,7, FALSE)+I1125</f>
        <v>41.825870878751147</v>
      </c>
      <c r="M1125" s="410">
        <f t="shared" si="192"/>
        <v>151.23611950096802</v>
      </c>
      <c r="N1125" s="411">
        <f t="shared" si="193"/>
        <v>131.95713660379994</v>
      </c>
      <c r="O1125" s="411">
        <v>168.73093690319521</v>
      </c>
      <c r="P1125" s="411">
        <v>163.76738854610076</v>
      </c>
      <c r="Q1125" s="411">
        <v>169.0699676763297</v>
      </c>
      <c r="R1125" s="411">
        <v>174.15636385526221</v>
      </c>
      <c r="S1125" s="411">
        <f t="shared" si="194"/>
        <v>136.27695295411809</v>
      </c>
      <c r="T1125" s="411">
        <v>174.13868044321515</v>
      </c>
      <c r="U1125" s="411">
        <v>180.00694087953042</v>
      </c>
      <c r="V1125" s="411">
        <f t="shared" si="195"/>
        <v>140.90917646732001</v>
      </c>
      <c r="W1125" s="411">
        <v>179.10584876748646</v>
      </c>
      <c r="X1125" s="411">
        <v>186.77470112232623</v>
      </c>
      <c r="Y1125" s="411">
        <f t="shared" si="196"/>
        <v>146.24740091302704</v>
      </c>
      <c r="Z1125" s="411">
        <v>183.78046633070917</v>
      </c>
      <c r="AA1125" s="411">
        <v>192.34347261451404</v>
      </c>
      <c r="AB1125" s="441">
        <f t="shared" si="197"/>
        <v>149.02641254264711</v>
      </c>
      <c r="AC1125" s="438">
        <f t="shared" si="198"/>
        <v>153.40384585718823</v>
      </c>
      <c r="AD1125" s="410"/>
      <c r="AE1125" s="411"/>
      <c r="AF1125" s="411"/>
      <c r="AG1125" s="411"/>
    </row>
    <row r="1126" spans="1:33" s="409" customFormat="1" x14ac:dyDescent="0.2">
      <c r="A1126" s="409" t="s">
        <v>374</v>
      </c>
      <c r="B1126" s="23" t="str">
        <f>VLOOKUP(LEFT(A1126,7),'[7]Tariff Schedule Lookup Table'!$A$8:$G$186,2,FALSE)</f>
        <v>Fluorescent 3x20</v>
      </c>
      <c r="C1126" s="375">
        <f t="shared" si="200"/>
        <v>10</v>
      </c>
      <c r="D1126" s="23">
        <f t="shared" si="201"/>
        <v>1</v>
      </c>
      <c r="E1126" s="23" t="str">
        <f>VLOOKUP(C1126,'[7]Tariff Schedule Lookup Table'!I$7:L$287,2,FALSE)</f>
        <v>MERCURY VAPOUR 80W</v>
      </c>
      <c r="F1126" s="23" t="str">
        <f>IF(E1126 = "BULKHEADS ETC", "SHARED OR NO POLE", VLOOKUP(C1126,'[7]Tariff Schedule Lookup Table'!I$7:L$287,3,FALSE))</f>
        <v>SHARED OR NO POLE</v>
      </c>
      <c r="G1126" s="23">
        <f>IF(E1126 = "NO CAPITAL", 1, VLOOKUP(C1126,'[7]Tariff Schedule Lookup Table'!I$7:L$287,4,FALSE))</f>
        <v>1</v>
      </c>
      <c r="H1126" s="23" t="str">
        <f t="shared" si="199"/>
        <v>1-Unmetered, CE Funded, CE Maintained</v>
      </c>
      <c r="I1126" s="374">
        <f>VLOOKUP(F1126,'Maintenance Model'!$A$57:$B$61,2,FALSE)</f>
        <v>0</v>
      </c>
      <c r="J1126" s="374">
        <f>IF(D1126=1,VLOOKUP(C1126,'Capital Code Schedules'!A$15:F$300,2,FALSE),IF(D1126=2,VLOOKUP(C1126,'Capital Code Schedules'!A$15:F$300,3,FALSE),0))</f>
        <v>17.255027166785979</v>
      </c>
      <c r="K1126" s="374">
        <f>IF(D1126=1,VLOOKUP(C1126,'Capital Code Schedules'!E$15:G$300,2,FALSE),IF(D1126=2,VLOOKUP(C1126,'Capital Code Schedules'!E$15:G$300,3,FALSE),0))</f>
        <v>21.887497717034414</v>
      </c>
      <c r="L1126" s="374">
        <f>VLOOKUP(LEFT(A1126,10),'Streetlight Tariff Schedule'!B$11:H$260,7, FALSE)+I1126</f>
        <v>36.851642752740041</v>
      </c>
      <c r="M1126" s="410">
        <f t="shared" si="192"/>
        <v>58.739140469774455</v>
      </c>
      <c r="N1126" s="411">
        <f t="shared" si="193"/>
        <v>56.069289032272756</v>
      </c>
      <c r="O1126" s="411">
        <v>71.160271297139687</v>
      </c>
      <c r="P1126" s="411">
        <v>70.167314469946874</v>
      </c>
      <c r="Q1126" s="411">
        <v>73.058685858782667</v>
      </c>
      <c r="R1126" s="411">
        <v>74.076218367448504</v>
      </c>
      <c r="S1126" s="411">
        <f t="shared" si="194"/>
        <v>58.38554662907972</v>
      </c>
      <c r="T1126" s="411">
        <v>75.684161060161287</v>
      </c>
      <c r="U1126" s="411">
        <v>77.007334090964562</v>
      </c>
      <c r="V1126" s="411">
        <f t="shared" si="195"/>
        <v>60.708868328267933</v>
      </c>
      <c r="W1126" s="411">
        <v>78.16481087724722</v>
      </c>
      <c r="X1126" s="411">
        <v>80.233010829933235</v>
      </c>
      <c r="Y1126" s="411">
        <f t="shared" si="196"/>
        <v>63.2615362729399</v>
      </c>
      <c r="Z1126" s="411">
        <v>80.322831415648665</v>
      </c>
      <c r="AA1126" s="411">
        <v>82.746739099295866</v>
      </c>
      <c r="AB1126" s="441">
        <f t="shared" si="197"/>
        <v>64.555609813000714</v>
      </c>
      <c r="AC1126" s="438">
        <f t="shared" si="198"/>
        <v>66.470094740786976</v>
      </c>
      <c r="AD1126" s="410"/>
      <c r="AE1126" s="411"/>
      <c r="AF1126" s="411"/>
      <c r="AG1126" s="411"/>
    </row>
    <row r="1127" spans="1:33" s="409" customFormat="1" x14ac:dyDescent="0.2">
      <c r="A1127" s="409" t="s">
        <v>375</v>
      </c>
      <c r="B1127" s="23" t="str">
        <f>VLOOKUP(LEFT(A1127,7),'[7]Tariff Schedule Lookup Table'!$A$8:$G$186,2,FALSE)</f>
        <v>Fluorescent 3x20</v>
      </c>
      <c r="C1127" s="375">
        <f t="shared" si="200"/>
        <v>10</v>
      </c>
      <c r="D1127" s="23">
        <f t="shared" si="201"/>
        <v>2</v>
      </c>
      <c r="E1127" s="23" t="str">
        <f>VLOOKUP(C1127,'[7]Tariff Schedule Lookup Table'!I$7:L$287,2,FALSE)</f>
        <v>MERCURY VAPOUR 80W</v>
      </c>
      <c r="F1127" s="23" t="str">
        <f>IF(E1127 = "BULKHEADS ETC", "SHARED OR NO POLE", VLOOKUP(C1127,'[7]Tariff Schedule Lookup Table'!I$7:L$287,3,FALSE))</f>
        <v>SHARED OR NO POLE</v>
      </c>
      <c r="G1127" s="23">
        <f>IF(E1127 = "NO CAPITAL", 1, VLOOKUP(C1127,'[7]Tariff Schedule Lookup Table'!I$7:L$287,4,FALSE))</f>
        <v>1</v>
      </c>
      <c r="H1127" s="23" t="str">
        <f t="shared" si="199"/>
        <v>2-Unmetered, Funded by Others, CE Maintained</v>
      </c>
      <c r="I1127" s="374">
        <f>VLOOKUP(F1127,'Maintenance Model'!$A$57:$B$61,2,FALSE)</f>
        <v>0</v>
      </c>
      <c r="J1127" s="374">
        <f>IF(D1127=1,VLOOKUP(C1127,'Capital Code Schedules'!A$15:F$300,2,FALSE),IF(D1127=2,VLOOKUP(C1127,'Capital Code Schedules'!A$15:F$300,3,FALSE),0))</f>
        <v>0</v>
      </c>
      <c r="K1127" s="374">
        <f>IF(D1127=1,VLOOKUP(C1127,'Capital Code Schedules'!E$15:G$300,2,FALSE),IF(D1127=2,VLOOKUP(C1127,'Capital Code Schedules'!E$15:G$300,3,FALSE),0))</f>
        <v>0</v>
      </c>
      <c r="L1127" s="374">
        <f>VLOOKUP(LEFT(A1127,10),'Streetlight Tariff Schedule'!B$11:H$260,7, FALSE)+I1127</f>
        <v>36.851642752740041</v>
      </c>
      <c r="M1127" s="410">
        <f t="shared" si="192"/>
        <v>36.851642752740041</v>
      </c>
      <c r="N1127" s="411">
        <f t="shared" si="193"/>
        <v>38.387199943108826</v>
      </c>
      <c r="O1127" s="411">
        <v>47.738101184415839</v>
      </c>
      <c r="P1127" s="411">
        <v>47.738101184415839</v>
      </c>
      <c r="Q1127" s="411">
        <v>50.074349544434753</v>
      </c>
      <c r="R1127" s="411">
        <v>50.074349544434753</v>
      </c>
      <c r="S1127" s="411">
        <f t="shared" si="194"/>
        <v>40.265825834958974</v>
      </c>
      <c r="T1127" s="411">
        <v>52.130962422033242</v>
      </c>
      <c r="U1127" s="411">
        <v>52.32141200649491</v>
      </c>
      <c r="V1127" s="411">
        <f t="shared" si="195"/>
        <v>42.072735491514756</v>
      </c>
      <c r="W1127" s="411">
        <v>54.028670572825519</v>
      </c>
      <c r="X1127" s="411">
        <v>54.710235986800058</v>
      </c>
      <c r="Y1127" s="411">
        <f t="shared" si="196"/>
        <v>43.993638533020786</v>
      </c>
      <c r="Z1127" s="411">
        <v>55.589321638692546</v>
      </c>
      <c r="AA1127" s="411">
        <v>56.496565173133398</v>
      </c>
      <c r="AB1127" s="441">
        <f t="shared" si="197"/>
        <v>44.948597072859023</v>
      </c>
      <c r="AC1127" s="438">
        <f t="shared" si="198"/>
        <v>46.29251792990717</v>
      </c>
      <c r="AD1127" s="410"/>
      <c r="AE1127" s="411"/>
      <c r="AF1127" s="411"/>
      <c r="AG1127" s="411"/>
    </row>
    <row r="1128" spans="1:33" s="409" customFormat="1" x14ac:dyDescent="0.2">
      <c r="A1128" s="409" t="s">
        <v>747</v>
      </c>
      <c r="B1128" s="23" t="str">
        <f>VLOOKUP(LEFT(A1128,7),'[7]Tariff Schedule Lookup Table'!$A$8:$G$186,2,FALSE)</f>
        <v>Fluorescent 3x20</v>
      </c>
      <c r="C1128" s="375">
        <f t="shared" si="200"/>
        <v>990</v>
      </c>
      <c r="D1128" s="23">
        <f t="shared" si="201"/>
        <v>1</v>
      </c>
      <c r="E1128" s="23" t="str">
        <f>VLOOKUP(C1128,'[7]Tariff Schedule Lookup Table'!I$7:L$287,2,FALSE)</f>
        <v>MERCURY VAPOUR 80W</v>
      </c>
      <c r="F1128" s="23" t="str">
        <f>IF(E1128 = "BULKHEADS ETC", "SHARED OR NO POLE", VLOOKUP(C1128,'[7]Tariff Schedule Lookup Table'!I$7:L$287,3,FALSE))</f>
        <v>STEEL POLE</v>
      </c>
      <c r="G1128" s="23">
        <f>IF(E1128 = "NO CAPITAL", 1, VLOOKUP(C1128,'[7]Tariff Schedule Lookup Table'!I$7:L$287,4,FALSE))</f>
        <v>1</v>
      </c>
      <c r="H1128" s="23" t="str">
        <f t="shared" si="199"/>
        <v>1-Unmetered, CE Funded, CE Maintained</v>
      </c>
      <c r="I1128" s="374">
        <f>VLOOKUP(F1128,'Maintenance Model'!$A$57:$B$61,2,FALSE)</f>
        <v>9.9616182311111103</v>
      </c>
      <c r="J1128" s="374">
        <f>IF(D1128=1,VLOOKUP(C1128,'Capital Code Schedules'!A$15:F$300,2,FALSE),IF(D1128=2,VLOOKUP(C1128,'Capital Code Schedules'!A$15:F$300,3,FALSE),0))</f>
        <v>86.253661186307269</v>
      </c>
      <c r="K1128" s="374">
        <f>IF(D1128=1,VLOOKUP(C1128,'Capital Code Schedules'!E$15:G$300,2,FALSE),IF(D1128=2,VLOOKUP(C1128,'Capital Code Schedules'!E$15:G$300,3,FALSE),0))</f>
        <v>109.41024862221688</v>
      </c>
      <c r="L1128" s="374">
        <f>VLOOKUP(LEFT(A1128,10),'Streetlight Tariff Schedule'!B$11:H$260,7, FALSE)+I1128</f>
        <v>46.813260983851151</v>
      </c>
      <c r="M1128" s="410">
        <f t="shared" si="192"/>
        <v>156.22350960606803</v>
      </c>
      <c r="N1128" s="411">
        <f t="shared" si="193"/>
        <v>137.15234438444961</v>
      </c>
      <c r="O1128" s="411">
        <v>174.41391705322624</v>
      </c>
      <c r="P1128" s="411">
        <v>169.45036869613179</v>
      </c>
      <c r="Q1128" s="411">
        <v>175.03106640933993</v>
      </c>
      <c r="R1128" s="411">
        <v>180.11746258827247</v>
      </c>
      <c r="S1128" s="411">
        <f t="shared" si="194"/>
        <v>141.72640829293127</v>
      </c>
      <c r="T1128" s="411">
        <v>180.34460856553312</v>
      </c>
      <c r="U1128" s="411">
        <v>186.23554106423092</v>
      </c>
      <c r="V1128" s="411">
        <f t="shared" si="195"/>
        <v>146.60317350546475</v>
      </c>
      <c r="W1128" s="411">
        <v>185.53768947291792</v>
      </c>
      <c r="X1128" s="411">
        <v>193.28767875240416</v>
      </c>
      <c r="Y1128" s="411">
        <f t="shared" si="196"/>
        <v>152.20136717116952</v>
      </c>
      <c r="Z1128" s="411">
        <v>190.39809467344497</v>
      </c>
      <c r="AA1128" s="411">
        <v>199.06910372379375</v>
      </c>
      <c r="AB1128" s="441">
        <f t="shared" si="197"/>
        <v>155.10962000733025</v>
      </c>
      <c r="AC1128" s="438">
        <f t="shared" si="198"/>
        <v>159.66893551446321</v>
      </c>
      <c r="AD1128" s="410"/>
      <c r="AE1128" s="411"/>
      <c r="AF1128" s="411"/>
      <c r="AG1128" s="411"/>
    </row>
    <row r="1129" spans="1:33" s="409" customFormat="1" x14ac:dyDescent="0.2">
      <c r="A1129" s="409" t="s">
        <v>376</v>
      </c>
      <c r="B1129" s="23" t="str">
        <f>VLOOKUP(LEFT(A1129,7),'[7]Tariff Schedule Lookup Table'!$A$8:$G$186,2,FALSE)</f>
        <v>Fluorescent 4x20</v>
      </c>
      <c r="C1129" s="375">
        <f t="shared" si="200"/>
        <v>10</v>
      </c>
      <c r="D1129" s="23">
        <f t="shared" si="201"/>
        <v>1</v>
      </c>
      <c r="E1129" s="23" t="str">
        <f>VLOOKUP(C1129,'[7]Tariff Schedule Lookup Table'!I$7:L$287,2,FALSE)</f>
        <v>MERCURY VAPOUR 80W</v>
      </c>
      <c r="F1129" s="23" t="str">
        <f>IF(E1129 = "BULKHEADS ETC", "SHARED OR NO POLE", VLOOKUP(C1129,'[7]Tariff Schedule Lookup Table'!I$7:L$287,3,FALSE))</f>
        <v>SHARED OR NO POLE</v>
      </c>
      <c r="G1129" s="23">
        <f>IF(E1129 = "NO CAPITAL", 1, VLOOKUP(C1129,'[7]Tariff Schedule Lookup Table'!I$7:L$287,4,FALSE))</f>
        <v>1</v>
      </c>
      <c r="H1129" s="23" t="str">
        <f t="shared" si="199"/>
        <v>1-Unmetered, CE Funded, CE Maintained</v>
      </c>
      <c r="I1129" s="374">
        <f>VLOOKUP(F1129,'Maintenance Model'!$A$57:$B$61,2,FALSE)</f>
        <v>0</v>
      </c>
      <c r="J1129" s="374">
        <f>IF(D1129=1,VLOOKUP(C1129,'Capital Code Schedules'!A$15:F$300,2,FALSE),IF(D1129=2,VLOOKUP(C1129,'Capital Code Schedules'!A$15:F$300,3,FALSE),0))</f>
        <v>17.255027166785979</v>
      </c>
      <c r="K1129" s="374">
        <f>IF(D1129=1,VLOOKUP(C1129,'Capital Code Schedules'!E$15:G$300,2,FALSE),IF(D1129=2,VLOOKUP(C1129,'Capital Code Schedules'!E$15:G$300,3,FALSE),0))</f>
        <v>21.887497717034414</v>
      </c>
      <c r="L1129" s="374">
        <f>VLOOKUP(LEFT(A1129,10),'Streetlight Tariff Schedule'!B$11:H$260,7, FALSE)+I1129</f>
        <v>41.839032857840039</v>
      </c>
      <c r="M1129" s="410">
        <f t="shared" si="192"/>
        <v>63.726530574874452</v>
      </c>
      <c r="N1129" s="411">
        <f t="shared" si="193"/>
        <v>61.26449681292241</v>
      </c>
      <c r="O1129" s="411">
        <v>76.843251447170672</v>
      </c>
      <c r="P1129" s="411">
        <v>75.850294619977859</v>
      </c>
      <c r="Q1129" s="411">
        <v>79.019784591792913</v>
      </c>
      <c r="R1129" s="411">
        <v>80.037317100458765</v>
      </c>
      <c r="S1129" s="411">
        <f t="shared" si="194"/>
        <v>63.835001967892879</v>
      </c>
      <c r="T1129" s="411">
        <v>81.890089182479244</v>
      </c>
      <c r="U1129" s="411">
        <v>83.235934275665073</v>
      </c>
      <c r="V1129" s="411">
        <f t="shared" si="195"/>
        <v>66.402865366412698</v>
      </c>
      <c r="W1129" s="411">
        <v>84.59665158267866</v>
      </c>
      <c r="X1129" s="411">
        <v>86.745988460011148</v>
      </c>
      <c r="Y1129" s="411">
        <f t="shared" si="196"/>
        <v>69.215502531082336</v>
      </c>
      <c r="Z1129" s="411">
        <v>86.940459758384435</v>
      </c>
      <c r="AA1129" s="411">
        <v>89.472370208575569</v>
      </c>
      <c r="AB1129" s="441">
        <f t="shared" si="197"/>
        <v>70.638817277683842</v>
      </c>
      <c r="AC1129" s="438">
        <f t="shared" si="198"/>
        <v>72.735184398061932</v>
      </c>
      <c r="AD1129" s="410"/>
      <c r="AE1129" s="411"/>
      <c r="AF1129" s="411"/>
      <c r="AG1129" s="411"/>
    </row>
    <row r="1130" spans="1:33" s="409" customFormat="1" x14ac:dyDescent="0.2">
      <c r="A1130" s="409" t="s">
        <v>377</v>
      </c>
      <c r="B1130" s="23" t="str">
        <f>VLOOKUP(LEFT(A1130,7),'[7]Tariff Schedule Lookup Table'!$A$8:$G$186,2,FALSE)</f>
        <v>Fluorescent 4x20</v>
      </c>
      <c r="C1130" s="375">
        <f t="shared" si="200"/>
        <v>10</v>
      </c>
      <c r="D1130" s="23">
        <f t="shared" si="201"/>
        <v>2</v>
      </c>
      <c r="E1130" s="23" t="str">
        <f>VLOOKUP(C1130,'[7]Tariff Schedule Lookup Table'!I$7:L$287,2,FALSE)</f>
        <v>MERCURY VAPOUR 80W</v>
      </c>
      <c r="F1130" s="23" t="str">
        <f>IF(E1130 = "BULKHEADS ETC", "SHARED OR NO POLE", VLOOKUP(C1130,'[7]Tariff Schedule Lookup Table'!I$7:L$287,3,FALSE))</f>
        <v>SHARED OR NO POLE</v>
      </c>
      <c r="G1130" s="23">
        <f>IF(E1130 = "NO CAPITAL", 1, VLOOKUP(C1130,'[7]Tariff Schedule Lookup Table'!I$7:L$287,4,FALSE))</f>
        <v>1</v>
      </c>
      <c r="H1130" s="23" t="str">
        <f t="shared" si="199"/>
        <v>2-Unmetered, Funded by Others, CE Maintained</v>
      </c>
      <c r="I1130" s="374">
        <f>VLOOKUP(F1130,'Maintenance Model'!$A$57:$B$61,2,FALSE)</f>
        <v>0</v>
      </c>
      <c r="J1130" s="374">
        <f>IF(D1130=1,VLOOKUP(C1130,'Capital Code Schedules'!A$15:F$300,2,FALSE),IF(D1130=2,VLOOKUP(C1130,'Capital Code Schedules'!A$15:F$300,3,FALSE),0))</f>
        <v>0</v>
      </c>
      <c r="K1130" s="374">
        <f>IF(D1130=1,VLOOKUP(C1130,'Capital Code Schedules'!E$15:G$300,2,FALSE),IF(D1130=2,VLOOKUP(C1130,'Capital Code Schedules'!E$15:G$300,3,FALSE),0))</f>
        <v>0</v>
      </c>
      <c r="L1130" s="374">
        <f>VLOOKUP(LEFT(A1130,10),'Streetlight Tariff Schedule'!B$11:H$260,7, FALSE)+I1130</f>
        <v>41.839032857840039</v>
      </c>
      <c r="M1130" s="410">
        <f t="shared" si="192"/>
        <v>41.839032857840039</v>
      </c>
      <c r="N1130" s="411">
        <f t="shared" si="193"/>
        <v>43.582407723758479</v>
      </c>
      <c r="O1130" s="411">
        <v>53.421081334446839</v>
      </c>
      <c r="P1130" s="411">
        <v>53.421081334446839</v>
      </c>
      <c r="Q1130" s="411">
        <v>56.035448277444999</v>
      </c>
      <c r="R1130" s="411">
        <v>56.035448277444999</v>
      </c>
      <c r="S1130" s="411">
        <f t="shared" si="194"/>
        <v>45.715281173772134</v>
      </c>
      <c r="T1130" s="411">
        <v>58.336890544351213</v>
      </c>
      <c r="U1130" s="411">
        <v>58.550012191195421</v>
      </c>
      <c r="V1130" s="411">
        <f t="shared" si="195"/>
        <v>47.766732529659514</v>
      </c>
      <c r="W1130" s="411">
        <v>60.460511278256966</v>
      </c>
      <c r="X1130" s="411">
        <v>61.22321361687797</v>
      </c>
      <c r="Y1130" s="411">
        <f t="shared" si="196"/>
        <v>49.947604791163229</v>
      </c>
      <c r="Z1130" s="411">
        <v>62.206949981428316</v>
      </c>
      <c r="AA1130" s="411">
        <v>63.222196282413108</v>
      </c>
      <c r="AB1130" s="441">
        <f t="shared" si="197"/>
        <v>51.031804537542143</v>
      </c>
      <c r="AC1130" s="438">
        <f t="shared" si="198"/>
        <v>52.557607587182126</v>
      </c>
      <c r="AD1130" s="410"/>
      <c r="AE1130" s="411"/>
      <c r="AF1130" s="411"/>
      <c r="AG1130" s="411"/>
    </row>
    <row r="1131" spans="1:33" s="409" customFormat="1" x14ac:dyDescent="0.2">
      <c r="A1131" s="409" t="s">
        <v>378</v>
      </c>
      <c r="B1131" s="23" t="str">
        <f>VLOOKUP(LEFT(A1131,7),'[7]Tariff Schedule Lookup Table'!$A$8:$G$186,2,FALSE)</f>
        <v>Fluorescent 4x20</v>
      </c>
      <c r="C1131" s="375">
        <f t="shared" si="200"/>
        <v>990</v>
      </c>
      <c r="D1131" s="23">
        <f t="shared" si="201"/>
        <v>1</v>
      </c>
      <c r="E1131" s="23" t="str">
        <f>VLOOKUP(C1131,'[7]Tariff Schedule Lookup Table'!I$7:L$287,2,FALSE)</f>
        <v>MERCURY VAPOUR 80W</v>
      </c>
      <c r="F1131" s="23" t="str">
        <f>IF(E1131 = "BULKHEADS ETC", "SHARED OR NO POLE", VLOOKUP(C1131,'[7]Tariff Schedule Lookup Table'!I$7:L$287,3,FALSE))</f>
        <v>STEEL POLE</v>
      </c>
      <c r="G1131" s="23">
        <f>IF(E1131 = "NO CAPITAL", 1, VLOOKUP(C1131,'[7]Tariff Schedule Lookup Table'!I$7:L$287,4,FALSE))</f>
        <v>1</v>
      </c>
      <c r="H1131" s="23" t="str">
        <f t="shared" si="199"/>
        <v>1-Unmetered, CE Funded, CE Maintained</v>
      </c>
      <c r="I1131" s="374">
        <f>VLOOKUP(F1131,'Maintenance Model'!$A$57:$B$61,2,FALSE)</f>
        <v>9.9616182311111103</v>
      </c>
      <c r="J1131" s="374">
        <f>IF(D1131=1,VLOOKUP(C1131,'Capital Code Schedules'!A$15:F$300,2,FALSE),IF(D1131=2,VLOOKUP(C1131,'Capital Code Schedules'!A$15:F$300,3,FALSE),0))</f>
        <v>86.253661186307269</v>
      </c>
      <c r="K1131" s="374">
        <f>IF(D1131=1,VLOOKUP(C1131,'Capital Code Schedules'!E$15:G$300,2,FALSE),IF(D1131=2,VLOOKUP(C1131,'Capital Code Schedules'!E$15:G$300,3,FALSE),0))</f>
        <v>109.41024862221688</v>
      </c>
      <c r="L1131" s="374">
        <f>VLOOKUP(LEFT(A1131,10),'Streetlight Tariff Schedule'!B$11:H$260,7, FALSE)+I1131</f>
        <v>51.800651088951149</v>
      </c>
      <c r="M1131" s="410">
        <f t="shared" si="192"/>
        <v>161.21089971116803</v>
      </c>
      <c r="N1131" s="411">
        <f t="shared" si="193"/>
        <v>142.34755216509924</v>
      </c>
      <c r="O1131" s="411">
        <v>180.09689720325721</v>
      </c>
      <c r="P1131" s="411">
        <v>175.13334884616276</v>
      </c>
      <c r="Q1131" s="411">
        <v>180.99216514235019</v>
      </c>
      <c r="R1131" s="411">
        <v>186.07856132128273</v>
      </c>
      <c r="S1131" s="411">
        <f t="shared" si="194"/>
        <v>147.17586363174442</v>
      </c>
      <c r="T1131" s="411">
        <v>186.55053668785109</v>
      </c>
      <c r="U1131" s="411">
        <v>192.46414124893144</v>
      </c>
      <c r="V1131" s="411">
        <f t="shared" si="195"/>
        <v>152.29717054360952</v>
      </c>
      <c r="W1131" s="411">
        <v>191.96953017834934</v>
      </c>
      <c r="X1131" s="411">
        <v>199.80065638248206</v>
      </c>
      <c r="Y1131" s="411">
        <f t="shared" si="196"/>
        <v>158.15533342931198</v>
      </c>
      <c r="Z1131" s="411">
        <v>197.01572301618071</v>
      </c>
      <c r="AA1131" s="411">
        <v>205.79473483307345</v>
      </c>
      <c r="AB1131" s="441">
        <f t="shared" si="197"/>
        <v>161.19282747201336</v>
      </c>
      <c r="AC1131" s="438">
        <f t="shared" si="198"/>
        <v>165.93402517173814</v>
      </c>
      <c r="AD1131" s="410"/>
      <c r="AE1131" s="411"/>
      <c r="AF1131" s="411"/>
      <c r="AG1131" s="411"/>
    </row>
    <row r="1132" spans="1:33" s="409" customFormat="1" x14ac:dyDescent="0.2">
      <c r="A1132" s="409" t="s">
        <v>379</v>
      </c>
      <c r="B1132" s="23" t="str">
        <f>VLOOKUP(LEFT(A1132,7),'[7]Tariff Schedule Lookup Table'!$A$8:$G$186,2,FALSE)</f>
        <v>Fluorescent 26</v>
      </c>
      <c r="C1132" s="375">
        <f t="shared" si="200"/>
        <v>10</v>
      </c>
      <c r="D1132" s="23">
        <f t="shared" si="201"/>
        <v>1</v>
      </c>
      <c r="E1132" s="23" t="str">
        <f>VLOOKUP(C1132,'[7]Tariff Schedule Lookup Table'!I$7:L$287,2,FALSE)</f>
        <v>MERCURY VAPOUR 80W</v>
      </c>
      <c r="F1132" s="23" t="str">
        <f>IF(E1132 = "BULKHEADS ETC", "SHARED OR NO POLE", VLOOKUP(C1132,'[7]Tariff Schedule Lookup Table'!I$7:L$287,3,FALSE))</f>
        <v>SHARED OR NO POLE</v>
      </c>
      <c r="G1132" s="23">
        <f>IF(E1132 = "NO CAPITAL", 1, VLOOKUP(C1132,'[7]Tariff Schedule Lookup Table'!I$7:L$287,4,FALSE))</f>
        <v>1</v>
      </c>
      <c r="H1132" s="23" t="str">
        <f t="shared" si="199"/>
        <v>1-Unmetered, CE Funded, CE Maintained</v>
      </c>
      <c r="I1132" s="374">
        <f>VLOOKUP(F1132,'Maintenance Model'!$A$57:$B$61,2,FALSE)</f>
        <v>0</v>
      </c>
      <c r="J1132" s="374">
        <f>IF(D1132=1,VLOOKUP(C1132,'Capital Code Schedules'!A$15:F$300,2,FALSE),IF(D1132=2,VLOOKUP(C1132,'Capital Code Schedules'!A$15:F$300,3,FALSE),0))</f>
        <v>17.255027166785979</v>
      </c>
      <c r="K1132" s="374">
        <f>IF(D1132=1,VLOOKUP(C1132,'Capital Code Schedules'!E$15:G$300,2,FALSE),IF(D1132=2,VLOOKUP(C1132,'Capital Code Schedules'!E$15:G$300,3,FALSE),0))</f>
        <v>21.887497717034414</v>
      </c>
      <c r="L1132" s="374">
        <f>VLOOKUP(LEFT(A1132,10),'Streetlight Tariff Schedule'!B$11:H$260,7, FALSE)+I1132</f>
        <v>26.876862542540042</v>
      </c>
      <c r="M1132" s="410">
        <f t="shared" si="192"/>
        <v>48.76436025957446</v>
      </c>
      <c r="N1132" s="411">
        <f t="shared" si="193"/>
        <v>45.678873470973464</v>
      </c>
      <c r="O1132" s="411">
        <v>59.794310997077709</v>
      </c>
      <c r="P1132" s="411">
        <v>58.801354169884874</v>
      </c>
      <c r="Q1132" s="411">
        <v>61.136488392762168</v>
      </c>
      <c r="R1132" s="411">
        <v>62.154020901428019</v>
      </c>
      <c r="S1132" s="411">
        <f t="shared" si="194"/>
        <v>47.486635951453401</v>
      </c>
      <c r="T1132" s="411">
        <v>63.272304815525345</v>
      </c>
      <c r="U1132" s="411">
        <v>64.550133721563554</v>
      </c>
      <c r="V1132" s="411">
        <f t="shared" si="195"/>
        <v>49.320874251978431</v>
      </c>
      <c r="W1132" s="411">
        <v>65.30112946638431</v>
      </c>
      <c r="X1132" s="411">
        <v>67.207055569777424</v>
      </c>
      <c r="Y1132" s="411">
        <f t="shared" si="196"/>
        <v>51.353603756654991</v>
      </c>
      <c r="Z1132" s="411">
        <v>67.087574730177138</v>
      </c>
      <c r="AA1132" s="411">
        <v>69.295476880736459</v>
      </c>
      <c r="AB1132" s="441">
        <f t="shared" si="197"/>
        <v>52.389194883634467</v>
      </c>
      <c r="AC1132" s="438">
        <f t="shared" si="198"/>
        <v>53.939915426237064</v>
      </c>
      <c r="AD1132" s="410"/>
      <c r="AE1132" s="411"/>
      <c r="AF1132" s="411"/>
      <c r="AG1132" s="411"/>
    </row>
    <row r="1133" spans="1:33" s="409" customFormat="1" x14ac:dyDescent="0.2">
      <c r="A1133" s="409" t="s">
        <v>380</v>
      </c>
      <c r="B1133" s="23" t="str">
        <f>VLOOKUP(LEFT(A1133,7),'[7]Tariff Schedule Lookup Table'!$A$8:$G$186,2,FALSE)</f>
        <v>Fluorescent 26</v>
      </c>
      <c r="C1133" s="375">
        <f t="shared" si="200"/>
        <v>10</v>
      </c>
      <c r="D1133" s="23">
        <f t="shared" si="201"/>
        <v>2</v>
      </c>
      <c r="E1133" s="23" t="str">
        <f>VLOOKUP(C1133,'[7]Tariff Schedule Lookup Table'!I$7:L$287,2,FALSE)</f>
        <v>MERCURY VAPOUR 80W</v>
      </c>
      <c r="F1133" s="23" t="str">
        <f>IF(E1133 = "BULKHEADS ETC", "SHARED OR NO POLE", VLOOKUP(C1133,'[7]Tariff Schedule Lookup Table'!I$7:L$287,3,FALSE))</f>
        <v>SHARED OR NO POLE</v>
      </c>
      <c r="G1133" s="23">
        <f>IF(E1133 = "NO CAPITAL", 1, VLOOKUP(C1133,'[7]Tariff Schedule Lookup Table'!I$7:L$287,4,FALSE))</f>
        <v>1</v>
      </c>
      <c r="H1133" s="23" t="str">
        <f t="shared" si="199"/>
        <v>2-Unmetered, Funded by Others, CE Maintained</v>
      </c>
      <c r="I1133" s="374">
        <f>VLOOKUP(F1133,'Maintenance Model'!$A$57:$B$61,2,FALSE)</f>
        <v>0</v>
      </c>
      <c r="J1133" s="374">
        <f>IF(D1133=1,VLOOKUP(C1133,'Capital Code Schedules'!A$15:F$300,2,FALSE),IF(D1133=2,VLOOKUP(C1133,'Capital Code Schedules'!A$15:F$300,3,FALSE),0))</f>
        <v>0</v>
      </c>
      <c r="K1133" s="374">
        <f>IF(D1133=1,VLOOKUP(C1133,'Capital Code Schedules'!E$15:G$300,2,FALSE),IF(D1133=2,VLOOKUP(C1133,'Capital Code Schedules'!E$15:G$300,3,FALSE),0))</f>
        <v>0</v>
      </c>
      <c r="L1133" s="374">
        <f>VLOOKUP(LEFT(A1133,10),'Streetlight Tariff Schedule'!B$11:H$260,7, FALSE)+I1133</f>
        <v>26.876862542540042</v>
      </c>
      <c r="M1133" s="410">
        <f t="shared" si="192"/>
        <v>26.876862542540042</v>
      </c>
      <c r="N1133" s="411">
        <f t="shared" si="193"/>
        <v>27.996784381809533</v>
      </c>
      <c r="O1133" s="411">
        <v>36.372140884353854</v>
      </c>
      <c r="P1133" s="411">
        <v>36.372140884353854</v>
      </c>
      <c r="Q1133" s="411">
        <v>38.152152078414254</v>
      </c>
      <c r="R1133" s="411">
        <v>38.152152078414254</v>
      </c>
      <c r="S1133" s="411">
        <f t="shared" si="194"/>
        <v>29.36691515733267</v>
      </c>
      <c r="T1133" s="411">
        <v>39.719106177397329</v>
      </c>
      <c r="U1133" s="411">
        <v>39.864211637093902</v>
      </c>
      <c r="V1133" s="411">
        <f t="shared" si="195"/>
        <v>30.684741415225258</v>
      </c>
      <c r="W1133" s="411">
        <v>41.164989161962623</v>
      </c>
      <c r="X1133" s="411">
        <v>41.684280726644246</v>
      </c>
      <c r="Y1133" s="411">
        <f t="shared" si="196"/>
        <v>32.085706016735884</v>
      </c>
      <c r="Z1133" s="411">
        <v>42.354064953221013</v>
      </c>
      <c r="AA1133" s="411">
        <v>43.045302954573991</v>
      </c>
      <c r="AB1133" s="441">
        <f t="shared" si="197"/>
        <v>32.782182143492783</v>
      </c>
      <c r="AC1133" s="438">
        <f t="shared" si="198"/>
        <v>33.762338615357251</v>
      </c>
      <c r="AD1133" s="410"/>
      <c r="AE1133" s="411"/>
      <c r="AF1133" s="411"/>
      <c r="AG1133" s="411"/>
    </row>
    <row r="1134" spans="1:33" s="409" customFormat="1" x14ac:dyDescent="0.2">
      <c r="A1134" s="409" t="s">
        <v>381</v>
      </c>
      <c r="B1134" s="23" t="str">
        <f>VLOOKUP(LEFT(A1134,7),'[7]Tariff Schedule Lookup Table'!$A$8:$G$186,2,FALSE)</f>
        <v>Fluorescent 2x26</v>
      </c>
      <c r="C1134" s="375">
        <f t="shared" si="200"/>
        <v>10</v>
      </c>
      <c r="D1134" s="23">
        <f t="shared" si="201"/>
        <v>2</v>
      </c>
      <c r="E1134" s="23" t="str">
        <f>VLOOKUP(C1134,'[7]Tariff Schedule Lookup Table'!I$7:L$287,2,FALSE)</f>
        <v>MERCURY VAPOUR 80W</v>
      </c>
      <c r="F1134" s="23" t="str">
        <f>IF(E1134 = "BULKHEADS ETC", "SHARED OR NO POLE", VLOOKUP(C1134,'[7]Tariff Schedule Lookup Table'!I$7:L$287,3,FALSE))</f>
        <v>SHARED OR NO POLE</v>
      </c>
      <c r="G1134" s="23">
        <f>IF(E1134 = "NO CAPITAL", 1, VLOOKUP(C1134,'[7]Tariff Schedule Lookup Table'!I$7:L$287,4,FALSE))</f>
        <v>1</v>
      </c>
      <c r="H1134" s="23" t="str">
        <f t="shared" si="199"/>
        <v>2-Unmetered, Funded by Others, CE Maintained</v>
      </c>
      <c r="I1134" s="374">
        <f>VLOOKUP(F1134,'Maintenance Model'!$A$57:$B$61,2,FALSE)</f>
        <v>0</v>
      </c>
      <c r="J1134" s="374">
        <f>IF(D1134=1,VLOOKUP(C1134,'Capital Code Schedules'!A$15:F$300,2,FALSE),IF(D1134=2,VLOOKUP(C1134,'Capital Code Schedules'!A$15:F$300,3,FALSE),0))</f>
        <v>0</v>
      </c>
      <c r="K1134" s="374">
        <f>IF(D1134=1,VLOOKUP(C1134,'Capital Code Schedules'!E$15:G$300,2,FALSE),IF(D1134=2,VLOOKUP(C1134,'Capital Code Schedules'!E$15:G$300,3,FALSE),0))</f>
        <v>0</v>
      </c>
      <c r="L1134" s="374">
        <f>VLOOKUP(LEFT(A1134,10),'Streetlight Tariff Schedule'!B$11:H$260,7, FALSE)+I1134</f>
        <v>31.86425264764004</v>
      </c>
      <c r="M1134" s="410">
        <f t="shared" si="192"/>
        <v>31.86425264764004</v>
      </c>
      <c r="N1134" s="411">
        <f t="shared" si="193"/>
        <v>33.191992162459179</v>
      </c>
      <c r="O1134" s="411">
        <v>42.055121034384847</v>
      </c>
      <c r="P1134" s="411">
        <v>42.055121034384847</v>
      </c>
      <c r="Q1134" s="411">
        <v>44.1132508114245</v>
      </c>
      <c r="R1134" s="411">
        <v>44.1132508114245</v>
      </c>
      <c r="S1134" s="411">
        <f t="shared" si="194"/>
        <v>34.816370496145822</v>
      </c>
      <c r="T1134" s="411">
        <v>45.925034299715279</v>
      </c>
      <c r="U1134" s="411">
        <v>46.092811821794406</v>
      </c>
      <c r="V1134" s="411">
        <f t="shared" si="195"/>
        <v>36.378738453370005</v>
      </c>
      <c r="W1134" s="411">
        <v>47.596829867394064</v>
      </c>
      <c r="X1134" s="411">
        <v>48.197258356722145</v>
      </c>
      <c r="Y1134" s="411">
        <f t="shared" si="196"/>
        <v>38.039672274878335</v>
      </c>
      <c r="Z1134" s="411">
        <v>48.971693295956776</v>
      </c>
      <c r="AA1134" s="411">
        <v>49.770934063853694</v>
      </c>
      <c r="AB1134" s="441">
        <f t="shared" si="197"/>
        <v>38.865389608175903</v>
      </c>
      <c r="AC1134" s="438">
        <f t="shared" si="198"/>
        <v>40.027428272632214</v>
      </c>
      <c r="AD1134" s="410"/>
      <c r="AE1134" s="411"/>
      <c r="AF1134" s="411"/>
      <c r="AG1134" s="411"/>
    </row>
    <row r="1135" spans="1:33" s="409" customFormat="1" x14ac:dyDescent="0.2">
      <c r="A1135" s="409" t="s">
        <v>382</v>
      </c>
      <c r="B1135" s="23" t="str">
        <f>VLOOKUP(LEFT(A1135,7),'[7]Tariff Schedule Lookup Table'!$A$8:$G$186,2,FALSE)</f>
        <v>Fluorescent 40</v>
      </c>
      <c r="C1135" s="375">
        <f t="shared" si="200"/>
        <v>10</v>
      </c>
      <c r="D1135" s="23">
        <f t="shared" si="201"/>
        <v>1</v>
      </c>
      <c r="E1135" s="23" t="str">
        <f>VLOOKUP(C1135,'[7]Tariff Schedule Lookup Table'!I$7:L$287,2,FALSE)</f>
        <v>MERCURY VAPOUR 80W</v>
      </c>
      <c r="F1135" s="23" t="str">
        <f>IF(E1135 = "BULKHEADS ETC", "SHARED OR NO POLE", VLOOKUP(C1135,'[7]Tariff Schedule Lookup Table'!I$7:L$287,3,FALSE))</f>
        <v>SHARED OR NO POLE</v>
      </c>
      <c r="G1135" s="23">
        <f>IF(E1135 = "NO CAPITAL", 1, VLOOKUP(C1135,'[7]Tariff Schedule Lookup Table'!I$7:L$287,4,FALSE))</f>
        <v>1</v>
      </c>
      <c r="H1135" s="23" t="str">
        <f t="shared" si="199"/>
        <v>1-Unmetered, CE Funded, CE Maintained</v>
      </c>
      <c r="I1135" s="374">
        <f>VLOOKUP(F1135,'Maintenance Model'!$A$57:$B$61,2,FALSE)</f>
        <v>0</v>
      </c>
      <c r="J1135" s="374">
        <f>IF(D1135=1,VLOOKUP(C1135,'Capital Code Schedules'!A$15:F$300,2,FALSE),IF(D1135=2,VLOOKUP(C1135,'Capital Code Schedules'!A$15:F$300,3,FALSE),0))</f>
        <v>17.255027166785979</v>
      </c>
      <c r="K1135" s="374">
        <f>IF(D1135=1,VLOOKUP(C1135,'Capital Code Schedules'!E$15:G$300,2,FALSE),IF(D1135=2,VLOOKUP(C1135,'Capital Code Schedules'!E$15:G$300,3,FALSE),0))</f>
        <v>21.887497717034414</v>
      </c>
      <c r="L1135" s="374">
        <f>VLOOKUP(LEFT(A1135,10),'Streetlight Tariff Schedule'!B$11:H$260,7, FALSE)+I1135</f>
        <v>25.940433004400706</v>
      </c>
      <c r="M1135" s="410">
        <f t="shared" si="192"/>
        <v>47.827930721435123</v>
      </c>
      <c r="N1135" s="411">
        <f t="shared" si="193"/>
        <v>44.703424203911553</v>
      </c>
      <c r="O1135" s="411">
        <v>58.590464816601475</v>
      </c>
      <c r="P1135" s="411">
        <v>57.597507989408641</v>
      </c>
      <c r="Q1135" s="411">
        <v>59.873727349837019</v>
      </c>
      <c r="R1135" s="411">
        <v>60.89125985850287</v>
      </c>
      <c r="S1135" s="411">
        <f t="shared" si="194"/>
        <v>46.46344930703642</v>
      </c>
      <c r="T1135" s="411">
        <v>61.957680680102008</v>
      </c>
      <c r="U1135" s="411">
        <v>63.230706881400415</v>
      </c>
      <c r="V1135" s="411">
        <f t="shared" si="195"/>
        <v>48.251772596757156</v>
      </c>
      <c r="W1135" s="411">
        <v>63.938649453741121</v>
      </c>
      <c r="X1135" s="411">
        <v>65.827388029771384</v>
      </c>
      <c r="Y1135" s="411">
        <f t="shared" si="196"/>
        <v>50.235690428097001</v>
      </c>
      <c r="Z1135" s="411">
        <v>65.685738652292841</v>
      </c>
      <c r="AA1135" s="411">
        <v>67.870762187310277</v>
      </c>
      <c r="AB1135" s="441">
        <f t="shared" si="197"/>
        <v>51.247015299419893</v>
      </c>
      <c r="AC1135" s="438">
        <f t="shared" si="198"/>
        <v>52.763585744673911</v>
      </c>
      <c r="AD1135" s="410"/>
      <c r="AE1135" s="411"/>
      <c r="AF1135" s="411"/>
      <c r="AG1135" s="411"/>
    </row>
    <row r="1136" spans="1:33" s="409" customFormat="1" x14ac:dyDescent="0.2">
      <c r="A1136" s="409" t="s">
        <v>383</v>
      </c>
      <c r="B1136" s="23" t="str">
        <f>VLOOKUP(LEFT(A1136,7),'[7]Tariff Schedule Lookup Table'!$A$8:$G$186,2,FALSE)</f>
        <v>Fluorescent 40</v>
      </c>
      <c r="C1136" s="375">
        <f t="shared" si="200"/>
        <v>10</v>
      </c>
      <c r="D1136" s="23">
        <f t="shared" si="201"/>
        <v>2</v>
      </c>
      <c r="E1136" s="23" t="str">
        <f>VLOOKUP(C1136,'[7]Tariff Schedule Lookup Table'!I$7:L$287,2,FALSE)</f>
        <v>MERCURY VAPOUR 80W</v>
      </c>
      <c r="F1136" s="23" t="str">
        <f>IF(E1136 = "BULKHEADS ETC", "SHARED OR NO POLE", VLOOKUP(C1136,'[7]Tariff Schedule Lookup Table'!I$7:L$287,3,FALSE))</f>
        <v>SHARED OR NO POLE</v>
      </c>
      <c r="G1136" s="23">
        <f>IF(E1136 = "NO CAPITAL", 1, VLOOKUP(C1136,'[7]Tariff Schedule Lookup Table'!I$7:L$287,4,FALSE))</f>
        <v>1</v>
      </c>
      <c r="H1136" s="23" t="str">
        <f t="shared" si="199"/>
        <v>2-Unmetered, Funded by Others, CE Maintained</v>
      </c>
      <c r="I1136" s="374">
        <f>VLOOKUP(F1136,'Maintenance Model'!$A$57:$B$61,2,FALSE)</f>
        <v>0</v>
      </c>
      <c r="J1136" s="374">
        <f>IF(D1136=1,VLOOKUP(C1136,'Capital Code Schedules'!A$15:F$300,2,FALSE),IF(D1136=2,VLOOKUP(C1136,'Capital Code Schedules'!A$15:F$300,3,FALSE),0))</f>
        <v>0</v>
      </c>
      <c r="K1136" s="374">
        <f>IF(D1136=1,VLOOKUP(C1136,'Capital Code Schedules'!E$15:G$300,2,FALSE),IF(D1136=2,VLOOKUP(C1136,'Capital Code Schedules'!E$15:G$300,3,FALSE),0))</f>
        <v>0</v>
      </c>
      <c r="L1136" s="374">
        <f>VLOOKUP(LEFT(A1136,10),'Streetlight Tariff Schedule'!B$11:H$260,7, FALSE)+I1136</f>
        <v>25.940433004400706</v>
      </c>
      <c r="M1136" s="410">
        <f t="shared" si="192"/>
        <v>25.940433004400706</v>
      </c>
      <c r="N1136" s="411">
        <f t="shared" si="193"/>
        <v>27.021335114747622</v>
      </c>
      <c r="O1136" s="411">
        <v>35.168294703877628</v>
      </c>
      <c r="P1136" s="411">
        <v>35.168294703877628</v>
      </c>
      <c r="Q1136" s="411">
        <v>36.889391035489098</v>
      </c>
      <c r="R1136" s="411">
        <v>36.889391035489098</v>
      </c>
      <c r="S1136" s="411">
        <f t="shared" si="194"/>
        <v>28.343728512915682</v>
      </c>
      <c r="T1136" s="411">
        <v>38.404482041973985</v>
      </c>
      <c r="U1136" s="411">
        <v>38.544784796930763</v>
      </c>
      <c r="V1136" s="411">
        <f t="shared" si="195"/>
        <v>29.61563976000398</v>
      </c>
      <c r="W1136" s="411">
        <v>39.802509149319427</v>
      </c>
      <c r="X1136" s="411">
        <v>40.3046131866382</v>
      </c>
      <c r="Y1136" s="411">
        <f t="shared" si="196"/>
        <v>30.967792688177894</v>
      </c>
      <c r="Z1136" s="411">
        <v>40.952228875336722</v>
      </c>
      <c r="AA1136" s="411">
        <v>41.620588261147809</v>
      </c>
      <c r="AB1136" s="441">
        <f t="shared" si="197"/>
        <v>31.640002559278212</v>
      </c>
      <c r="AC1136" s="438">
        <f t="shared" si="198"/>
        <v>32.586008933794091</v>
      </c>
      <c r="AD1136" s="410"/>
      <c r="AE1136" s="411"/>
      <c r="AF1136" s="411"/>
      <c r="AG1136" s="411"/>
    </row>
    <row r="1137" spans="1:33" s="409" customFormat="1" x14ac:dyDescent="0.2">
      <c r="A1137" s="409" t="s">
        <v>386</v>
      </c>
      <c r="B1137" s="23" t="str">
        <f>VLOOKUP(LEFT(A1137,7),'[7]Tariff Schedule Lookup Table'!$A$8:$G$186,2,FALSE)</f>
        <v>Fluorescent 40</v>
      </c>
      <c r="C1137" s="375">
        <f t="shared" si="200"/>
        <v>740</v>
      </c>
      <c r="D1137" s="23">
        <f t="shared" si="201"/>
        <v>1</v>
      </c>
      <c r="E1137" s="23" t="str">
        <f>VLOOKUP(C1137,'[7]Tariff Schedule Lookup Table'!I$7:L$287,2,FALSE)</f>
        <v>MERCURY VAPOUR 80W</v>
      </c>
      <c r="F1137" s="23" t="str">
        <f>IF(E1137 = "BULKHEADS ETC", "SHARED OR NO POLE", VLOOKUP(C1137,'[7]Tariff Schedule Lookup Table'!I$7:L$287,3,FALSE))</f>
        <v>SHARED OR NO POLE</v>
      </c>
      <c r="G1137" s="23">
        <f>IF(E1137 = "NO CAPITAL", 1, VLOOKUP(C1137,'[7]Tariff Schedule Lookup Table'!I$7:L$287,4,FALSE))</f>
        <v>2</v>
      </c>
      <c r="H1137" s="23" t="str">
        <f t="shared" si="199"/>
        <v>1-Unmetered, CE Funded, CE Maintained</v>
      </c>
      <c r="I1137" s="374">
        <f>VLOOKUP(F1137,'Maintenance Model'!$A$57:$B$61,2,FALSE)</f>
        <v>0</v>
      </c>
      <c r="J1137" s="374">
        <f>IF(D1137=1,VLOOKUP(C1137,'Capital Code Schedules'!A$15:F$300,2,FALSE),IF(D1137=2,VLOOKUP(C1137,'Capital Code Schedules'!A$15:F$300,3,FALSE),0))</f>
        <v>23.919781035330548</v>
      </c>
      <c r="K1137" s="374">
        <f>IF(D1137=1,VLOOKUP(C1137,'Capital Code Schedules'!E$15:G$300,2,FALSE),IF(D1137=2,VLOOKUP(C1137,'Capital Code Schedules'!E$15:G$300,3,FALSE),0))</f>
        <v>30.34154323503618</v>
      </c>
      <c r="L1137" s="374">
        <f>VLOOKUP(LEFT(A1137,10),'Streetlight Tariff Schedule'!B$11:H$260,7, FALSE)+I1137</f>
        <v>25.940433004400706</v>
      </c>
      <c r="M1137" s="410">
        <f t="shared" si="192"/>
        <v>56.281976239436887</v>
      </c>
      <c r="N1137" s="411">
        <f t="shared" si="193"/>
        <v>51.533130730702602</v>
      </c>
      <c r="O1137" s="411">
        <v>67.637277514118765</v>
      </c>
      <c r="P1137" s="411">
        <v>66.260791133980945</v>
      </c>
      <c r="Q1137" s="411">
        <v>68.751426752237492</v>
      </c>
      <c r="R1137" s="411">
        <v>70.161981170283724</v>
      </c>
      <c r="S1137" s="411">
        <f t="shared" si="194"/>
        <v>53.462191070365549</v>
      </c>
      <c r="T1137" s="411">
        <v>71.0551031427119</v>
      </c>
      <c r="U1137" s="411">
        <v>72.765643750567023</v>
      </c>
      <c r="V1137" s="411">
        <f t="shared" si="195"/>
        <v>55.449978500341167</v>
      </c>
      <c r="W1137" s="411">
        <v>73.261233122300595</v>
      </c>
      <c r="X1137" s="411">
        <v>75.685559258802726</v>
      </c>
      <c r="Y1137" s="411">
        <f t="shared" si="196"/>
        <v>57.677915511812508</v>
      </c>
      <c r="Z1137" s="411">
        <v>75.239056266649172</v>
      </c>
      <c r="AA1137" s="411">
        <v>78.00989129636902</v>
      </c>
      <c r="AB1137" s="441">
        <f t="shared" si="197"/>
        <v>58.820223544608794</v>
      </c>
      <c r="AC1137" s="438">
        <f t="shared" si="198"/>
        <v>60.557174349797805</v>
      </c>
      <c r="AD1137" s="410"/>
      <c r="AE1137" s="411"/>
      <c r="AF1137" s="411"/>
      <c r="AG1137" s="411"/>
    </row>
    <row r="1138" spans="1:33" s="409" customFormat="1" x14ac:dyDescent="0.2">
      <c r="A1138" s="409" t="s">
        <v>387</v>
      </c>
      <c r="B1138" s="23" t="str">
        <f>VLOOKUP(LEFT(A1138,7),'[7]Tariff Schedule Lookup Table'!$A$8:$G$186,2,FALSE)</f>
        <v>Fluorescent 40</v>
      </c>
      <c r="C1138" s="375">
        <f t="shared" si="200"/>
        <v>740</v>
      </c>
      <c r="D1138" s="23">
        <f t="shared" si="201"/>
        <v>2</v>
      </c>
      <c r="E1138" s="23" t="str">
        <f>VLOOKUP(C1138,'[7]Tariff Schedule Lookup Table'!I$7:L$287,2,FALSE)</f>
        <v>MERCURY VAPOUR 80W</v>
      </c>
      <c r="F1138" s="23" t="str">
        <f>IF(E1138 = "BULKHEADS ETC", "SHARED OR NO POLE", VLOOKUP(C1138,'[7]Tariff Schedule Lookup Table'!I$7:L$287,3,FALSE))</f>
        <v>SHARED OR NO POLE</v>
      </c>
      <c r="G1138" s="23">
        <f>IF(E1138 = "NO CAPITAL", 1, VLOOKUP(C1138,'[7]Tariff Schedule Lookup Table'!I$7:L$287,4,FALSE))</f>
        <v>2</v>
      </c>
      <c r="H1138" s="23" t="str">
        <f t="shared" si="199"/>
        <v>2-Unmetered, Funded by Others, CE Maintained</v>
      </c>
      <c r="I1138" s="374">
        <f>VLOOKUP(F1138,'Maintenance Model'!$A$57:$B$61,2,FALSE)</f>
        <v>0</v>
      </c>
      <c r="J1138" s="374">
        <f>IF(D1138=1,VLOOKUP(C1138,'Capital Code Schedules'!A$15:F$300,2,FALSE),IF(D1138=2,VLOOKUP(C1138,'Capital Code Schedules'!A$15:F$300,3,FALSE),0))</f>
        <v>0</v>
      </c>
      <c r="K1138" s="374">
        <f>IF(D1138=1,VLOOKUP(C1138,'Capital Code Schedules'!E$15:G$300,2,FALSE),IF(D1138=2,VLOOKUP(C1138,'Capital Code Schedules'!E$15:G$300,3,FALSE),0))</f>
        <v>0</v>
      </c>
      <c r="L1138" s="374">
        <f>VLOOKUP(LEFT(A1138,10),'Streetlight Tariff Schedule'!B$11:H$260,7, FALSE)+I1138</f>
        <v>25.940433004400706</v>
      </c>
      <c r="M1138" s="410">
        <f t="shared" si="192"/>
        <v>25.940433004400706</v>
      </c>
      <c r="N1138" s="411">
        <f t="shared" si="193"/>
        <v>27.021335114747622</v>
      </c>
      <c r="O1138" s="411">
        <v>35.168294703877628</v>
      </c>
      <c r="P1138" s="411">
        <v>35.168294703877628</v>
      </c>
      <c r="Q1138" s="411">
        <v>36.889391035489098</v>
      </c>
      <c r="R1138" s="411">
        <v>36.889391035489098</v>
      </c>
      <c r="S1138" s="411">
        <f t="shared" si="194"/>
        <v>28.343728512915682</v>
      </c>
      <c r="T1138" s="411">
        <v>38.404482041973985</v>
      </c>
      <c r="U1138" s="411">
        <v>38.544784796930763</v>
      </c>
      <c r="V1138" s="411">
        <f t="shared" si="195"/>
        <v>29.61563976000398</v>
      </c>
      <c r="W1138" s="411">
        <v>39.802509149319427</v>
      </c>
      <c r="X1138" s="411">
        <v>40.3046131866382</v>
      </c>
      <c r="Y1138" s="411">
        <f t="shared" si="196"/>
        <v>30.967792688177894</v>
      </c>
      <c r="Z1138" s="411">
        <v>40.952228875336722</v>
      </c>
      <c r="AA1138" s="411">
        <v>41.620588261147809</v>
      </c>
      <c r="AB1138" s="441">
        <f t="shared" si="197"/>
        <v>31.640002559278212</v>
      </c>
      <c r="AC1138" s="438">
        <f t="shared" si="198"/>
        <v>32.586008933794091</v>
      </c>
      <c r="AD1138" s="410"/>
      <c r="AE1138" s="411"/>
      <c r="AF1138" s="411"/>
      <c r="AG1138" s="411"/>
    </row>
    <row r="1139" spans="1:33" s="409" customFormat="1" x14ac:dyDescent="0.2">
      <c r="A1139" s="409" t="s">
        <v>389</v>
      </c>
      <c r="B1139" s="23" t="str">
        <f>VLOOKUP(LEFT(A1139,7),'[7]Tariff Schedule Lookup Table'!$A$8:$G$186,2,FALSE)</f>
        <v>Fluorescent 40</v>
      </c>
      <c r="C1139" s="375">
        <f t="shared" si="200"/>
        <v>810</v>
      </c>
      <c r="D1139" s="23">
        <f t="shared" si="201"/>
        <v>2</v>
      </c>
      <c r="E1139" s="23" t="str">
        <f>VLOOKUP(C1139,'[7]Tariff Schedule Lookup Table'!I$7:L$287,2,FALSE)</f>
        <v>MERCURY VAPOUR 80W</v>
      </c>
      <c r="F1139" s="23" t="str">
        <f>IF(E1139 = "BULKHEADS ETC", "SHARED OR NO POLE", VLOOKUP(C1139,'[7]Tariff Schedule Lookup Table'!I$7:L$287,3,FALSE))</f>
        <v>WOOD POLE</v>
      </c>
      <c r="G1139" s="23">
        <f>IF(E1139 = "NO CAPITAL", 1, VLOOKUP(C1139,'[7]Tariff Schedule Lookup Table'!I$7:L$287,4,FALSE))</f>
        <v>1</v>
      </c>
      <c r="H1139" s="23" t="str">
        <f t="shared" si="199"/>
        <v>2-Unmetered, Funded by Others, CE Maintained</v>
      </c>
      <c r="I1139" s="374">
        <f>VLOOKUP(F1139,'Maintenance Model'!$A$57:$B$61,2,FALSE)</f>
        <v>10.731618231111112</v>
      </c>
      <c r="J1139" s="374">
        <f>IF(D1139=1,VLOOKUP(C1139,'Capital Code Schedules'!A$15:F$300,2,FALSE),IF(D1139=2,VLOOKUP(C1139,'Capital Code Schedules'!A$15:F$300,3,FALSE),0))</f>
        <v>0</v>
      </c>
      <c r="K1139" s="374">
        <f>IF(D1139=1,VLOOKUP(C1139,'Capital Code Schedules'!E$15:G$300,2,FALSE),IF(D1139=2,VLOOKUP(C1139,'Capital Code Schedules'!E$15:G$300,3,FALSE),0))</f>
        <v>0</v>
      </c>
      <c r="L1139" s="374">
        <f>VLOOKUP(LEFT(A1139,10),'Streetlight Tariff Schedule'!B$11:H$260,7, FALSE)+I1139</f>
        <v>36.672051235511816</v>
      </c>
      <c r="M1139" s="410">
        <f t="shared" si="192"/>
        <v>36.672051235511816</v>
      </c>
      <c r="N1139" s="411">
        <f t="shared" si="193"/>
        <v>38.200125094745019</v>
      </c>
      <c r="O1139" s="411">
        <v>45.564494779301789</v>
      </c>
      <c r="P1139" s="411">
        <v>45.564494779301789</v>
      </c>
      <c r="Q1139" s="411">
        <v>47.794369314780475</v>
      </c>
      <c r="R1139" s="411">
        <v>47.794369314780475</v>
      </c>
      <c r="S1139" s="411">
        <f t="shared" si="194"/>
        <v>40.069595756352506</v>
      </c>
      <c r="T1139" s="411">
        <v>49.757340702401834</v>
      </c>
      <c r="U1139" s="411">
        <v>49.939118755605101</v>
      </c>
      <c r="V1139" s="411">
        <f t="shared" si="195"/>
        <v>41.867699682078523</v>
      </c>
      <c r="W1139" s="411">
        <v>51.568642597200295</v>
      </c>
      <c r="X1139" s="411">
        <v>52.219175043533404</v>
      </c>
      <c r="Y1139" s="411">
        <f t="shared" si="196"/>
        <v>43.77924146134756</v>
      </c>
      <c r="Z1139" s="411">
        <v>53.058234256246507</v>
      </c>
      <c r="AA1139" s="411">
        <v>53.924169269641645</v>
      </c>
      <c r="AB1139" s="441">
        <f t="shared" si="197"/>
        <v>44.729546139369916</v>
      </c>
      <c r="AC1139" s="438">
        <f t="shared" si="198"/>
        <v>46.06691757914048</v>
      </c>
      <c r="AD1139" s="410"/>
      <c r="AE1139" s="411"/>
      <c r="AF1139" s="411"/>
      <c r="AG1139" s="411"/>
    </row>
    <row r="1140" spans="1:33" s="409" customFormat="1" x14ac:dyDescent="0.2">
      <c r="A1140" s="409" t="s">
        <v>390</v>
      </c>
      <c r="B1140" s="23" t="str">
        <f>VLOOKUP(LEFT(A1140,7),'[7]Tariff Schedule Lookup Table'!$A$8:$G$186,2,FALSE)</f>
        <v>Fluorescent 40</v>
      </c>
      <c r="C1140" s="375">
        <f t="shared" si="200"/>
        <v>820</v>
      </c>
      <c r="D1140" s="23">
        <f t="shared" si="201"/>
        <v>2</v>
      </c>
      <c r="E1140" s="23" t="str">
        <f>VLOOKUP(C1140,'[7]Tariff Schedule Lookup Table'!I$7:L$287,2,FALSE)</f>
        <v>MERCURY VAPOUR 80W</v>
      </c>
      <c r="F1140" s="23" t="str">
        <f>IF(E1140 = "BULKHEADS ETC", "SHARED OR NO POLE", VLOOKUP(C1140,'[7]Tariff Schedule Lookup Table'!I$7:L$287,3,FALSE))</f>
        <v>SHARED OR NO POLE</v>
      </c>
      <c r="G1140" s="23">
        <f>IF(E1140 = "NO CAPITAL", 1, VLOOKUP(C1140,'[7]Tariff Schedule Lookup Table'!I$7:L$287,4,FALSE))</f>
        <v>3</v>
      </c>
      <c r="H1140" s="23" t="str">
        <f t="shared" si="199"/>
        <v>2-Unmetered, Funded by Others, CE Maintained</v>
      </c>
      <c r="I1140" s="374">
        <f>VLOOKUP(F1140,'Maintenance Model'!$A$57:$B$61,2,FALSE)</f>
        <v>0</v>
      </c>
      <c r="J1140" s="374">
        <f>IF(D1140=1,VLOOKUP(C1140,'Capital Code Schedules'!A$15:F$300,2,FALSE),IF(D1140=2,VLOOKUP(C1140,'Capital Code Schedules'!A$15:F$300,3,FALSE),0))</f>
        <v>0</v>
      </c>
      <c r="K1140" s="374">
        <f>IF(D1140=1,VLOOKUP(C1140,'Capital Code Schedules'!E$15:G$300,2,FALSE),IF(D1140=2,VLOOKUP(C1140,'Capital Code Schedules'!E$15:G$300,3,FALSE),0))</f>
        <v>0</v>
      </c>
      <c r="L1140" s="374">
        <f>VLOOKUP(LEFT(A1140,10),'Streetlight Tariff Schedule'!B$11:H$260,7, FALSE)+I1140</f>
        <v>25.940433004400706</v>
      </c>
      <c r="M1140" s="410">
        <f t="shared" si="192"/>
        <v>25.940433004400706</v>
      </c>
      <c r="N1140" s="411">
        <f t="shared" si="193"/>
        <v>27.021335114747622</v>
      </c>
      <c r="O1140" s="411">
        <v>35.168294703877628</v>
      </c>
      <c r="P1140" s="411">
        <v>35.168294703877628</v>
      </c>
      <c r="Q1140" s="411">
        <v>36.889391035489098</v>
      </c>
      <c r="R1140" s="411">
        <v>36.889391035489098</v>
      </c>
      <c r="S1140" s="411">
        <f t="shared" si="194"/>
        <v>28.343728512915682</v>
      </c>
      <c r="T1140" s="411">
        <v>38.404482041973985</v>
      </c>
      <c r="U1140" s="411">
        <v>38.544784796930763</v>
      </c>
      <c r="V1140" s="411">
        <f t="shared" si="195"/>
        <v>29.61563976000398</v>
      </c>
      <c r="W1140" s="411">
        <v>39.802509149319427</v>
      </c>
      <c r="X1140" s="411">
        <v>40.3046131866382</v>
      </c>
      <c r="Y1140" s="411">
        <f t="shared" si="196"/>
        <v>30.967792688177894</v>
      </c>
      <c r="Z1140" s="411">
        <v>40.952228875336722</v>
      </c>
      <c r="AA1140" s="411">
        <v>41.620588261147809</v>
      </c>
      <c r="AB1140" s="441">
        <f t="shared" si="197"/>
        <v>31.640002559278212</v>
      </c>
      <c r="AC1140" s="438">
        <f t="shared" si="198"/>
        <v>32.586008933794091</v>
      </c>
      <c r="AD1140" s="410"/>
      <c r="AE1140" s="411"/>
      <c r="AF1140" s="411"/>
      <c r="AG1140" s="411"/>
    </row>
    <row r="1141" spans="1:33" s="409" customFormat="1" x14ac:dyDescent="0.2">
      <c r="A1141" s="409" t="s">
        <v>391</v>
      </c>
      <c r="B1141" s="23" t="str">
        <f>VLOOKUP(LEFT(A1141,7),'[7]Tariff Schedule Lookup Table'!$A$8:$G$186,2,FALSE)</f>
        <v>Fluorescent 40</v>
      </c>
      <c r="C1141" s="375">
        <f t="shared" si="200"/>
        <v>990</v>
      </c>
      <c r="D1141" s="23">
        <f t="shared" si="201"/>
        <v>1</v>
      </c>
      <c r="E1141" s="23" t="str">
        <f>VLOOKUP(C1141,'[7]Tariff Schedule Lookup Table'!I$7:L$287,2,FALSE)</f>
        <v>MERCURY VAPOUR 80W</v>
      </c>
      <c r="F1141" s="23" t="str">
        <f>IF(E1141 = "BULKHEADS ETC", "SHARED OR NO POLE", VLOOKUP(C1141,'[7]Tariff Schedule Lookup Table'!I$7:L$287,3,FALSE))</f>
        <v>STEEL POLE</v>
      </c>
      <c r="G1141" s="23">
        <f>IF(E1141 = "NO CAPITAL", 1, VLOOKUP(C1141,'[7]Tariff Schedule Lookup Table'!I$7:L$287,4,FALSE))</f>
        <v>1</v>
      </c>
      <c r="H1141" s="23" t="str">
        <f t="shared" si="199"/>
        <v>1-Unmetered, CE Funded, CE Maintained</v>
      </c>
      <c r="I1141" s="374">
        <f>VLOOKUP(F1141,'Maintenance Model'!$A$57:$B$61,2,FALSE)</f>
        <v>9.9616182311111103</v>
      </c>
      <c r="J1141" s="374">
        <f>IF(D1141=1,VLOOKUP(C1141,'Capital Code Schedules'!A$15:F$300,2,FALSE),IF(D1141=2,VLOOKUP(C1141,'Capital Code Schedules'!A$15:F$300,3,FALSE),0))</f>
        <v>86.253661186307269</v>
      </c>
      <c r="K1141" s="374">
        <f>IF(D1141=1,VLOOKUP(C1141,'Capital Code Schedules'!E$15:G$300,2,FALSE),IF(D1141=2,VLOOKUP(C1141,'Capital Code Schedules'!E$15:G$300,3,FALSE),0))</f>
        <v>109.41024862221688</v>
      </c>
      <c r="L1141" s="374">
        <f>VLOOKUP(LEFT(A1141,10),'Streetlight Tariff Schedule'!B$11:H$260,7, FALSE)+I1141</f>
        <v>35.90205123551182</v>
      </c>
      <c r="M1141" s="410">
        <f t="shared" si="192"/>
        <v>145.3122998577287</v>
      </c>
      <c r="N1141" s="411">
        <f t="shared" si="193"/>
        <v>125.78647955608841</v>
      </c>
      <c r="O1141" s="411">
        <v>161.84411057268801</v>
      </c>
      <c r="P1141" s="411">
        <v>156.88056221559356</v>
      </c>
      <c r="Q1141" s="411">
        <v>161.84610790039429</v>
      </c>
      <c r="R1141" s="411">
        <v>166.93250407932683</v>
      </c>
      <c r="S1141" s="411">
        <f t="shared" si="194"/>
        <v>129.80431097088797</v>
      </c>
      <c r="T1141" s="411">
        <v>166.61812818547386</v>
      </c>
      <c r="U1141" s="411">
        <v>172.45891385466678</v>
      </c>
      <c r="V1141" s="411">
        <f t="shared" si="195"/>
        <v>134.146077773954</v>
      </c>
      <c r="W1141" s="411">
        <v>171.31152804941181</v>
      </c>
      <c r="X1141" s="411">
        <v>178.8820559522423</v>
      </c>
      <c r="Y1141" s="411">
        <f t="shared" si="196"/>
        <v>139.17552132632665</v>
      </c>
      <c r="Z1141" s="411">
        <v>175.76100191008913</v>
      </c>
      <c r="AA1141" s="411">
        <v>184.19312681180816</v>
      </c>
      <c r="AB1141" s="441">
        <f t="shared" si="197"/>
        <v>141.80102549374945</v>
      </c>
      <c r="AC1141" s="438">
        <f t="shared" si="198"/>
        <v>145.96242651835016</v>
      </c>
      <c r="AD1141" s="410"/>
      <c r="AE1141" s="411"/>
      <c r="AF1141" s="411"/>
      <c r="AG1141" s="411"/>
    </row>
    <row r="1142" spans="1:33" s="409" customFormat="1" x14ac:dyDescent="0.2">
      <c r="A1142" s="409" t="s">
        <v>392</v>
      </c>
      <c r="B1142" s="23" t="str">
        <f>VLOOKUP(LEFT(A1142,7),'[7]Tariff Schedule Lookup Table'!$A$8:$G$186,2,FALSE)</f>
        <v>Fluorescent 40</v>
      </c>
      <c r="C1142" s="375">
        <f t="shared" si="200"/>
        <v>990</v>
      </c>
      <c r="D1142" s="23">
        <f t="shared" si="201"/>
        <v>2</v>
      </c>
      <c r="E1142" s="23" t="str">
        <f>VLOOKUP(C1142,'[7]Tariff Schedule Lookup Table'!I$7:L$287,2,FALSE)</f>
        <v>MERCURY VAPOUR 80W</v>
      </c>
      <c r="F1142" s="23" t="str">
        <f>IF(E1142 = "BULKHEADS ETC", "SHARED OR NO POLE", VLOOKUP(C1142,'[7]Tariff Schedule Lookup Table'!I$7:L$287,3,FALSE))</f>
        <v>STEEL POLE</v>
      </c>
      <c r="G1142" s="23">
        <f>IF(E1142 = "NO CAPITAL", 1, VLOOKUP(C1142,'[7]Tariff Schedule Lookup Table'!I$7:L$287,4,FALSE))</f>
        <v>1</v>
      </c>
      <c r="H1142" s="23" t="str">
        <f t="shared" si="199"/>
        <v>2-Unmetered, Funded by Others, CE Maintained</v>
      </c>
      <c r="I1142" s="374">
        <f>VLOOKUP(F1142,'Maintenance Model'!$A$57:$B$61,2,FALSE)</f>
        <v>9.9616182311111103</v>
      </c>
      <c r="J1142" s="374">
        <f>IF(D1142=1,VLOOKUP(C1142,'Capital Code Schedules'!A$15:F$300,2,FALSE),IF(D1142=2,VLOOKUP(C1142,'Capital Code Schedules'!A$15:F$300,3,FALSE),0))</f>
        <v>0</v>
      </c>
      <c r="K1142" s="374">
        <f>IF(D1142=1,VLOOKUP(C1142,'Capital Code Schedules'!E$15:G$300,2,FALSE),IF(D1142=2,VLOOKUP(C1142,'Capital Code Schedules'!E$15:G$300,3,FALSE),0))</f>
        <v>0</v>
      </c>
      <c r="L1142" s="374">
        <f>VLOOKUP(LEFT(A1142,10),'Streetlight Tariff Schedule'!B$11:H$260,7, FALSE)+I1142</f>
        <v>35.90205123551182</v>
      </c>
      <c r="M1142" s="410">
        <f t="shared" si="192"/>
        <v>35.90205123551182</v>
      </c>
      <c r="N1142" s="411">
        <f t="shared" si="193"/>
        <v>37.398040255420021</v>
      </c>
      <c r="O1142" s="411">
        <v>44.762409939976784</v>
      </c>
      <c r="P1142" s="411">
        <v>44.762409939976784</v>
      </c>
      <c r="Q1142" s="411">
        <v>46.953031355956014</v>
      </c>
      <c r="R1142" s="411">
        <v>46.953031355956014</v>
      </c>
      <c r="S1142" s="411">
        <f t="shared" si="194"/>
        <v>39.228257797528059</v>
      </c>
      <c r="T1142" s="411">
        <v>48.881447996560738</v>
      </c>
      <c r="U1142" s="411">
        <v>49.060026158679896</v>
      </c>
      <c r="V1142" s="411">
        <f t="shared" si="195"/>
        <v>40.988607085153319</v>
      </c>
      <c r="W1142" s="411">
        <v>50.660865025823085</v>
      </c>
      <c r="X1142" s="411">
        <v>51.299945963361466</v>
      </c>
      <c r="Y1142" s="411">
        <f t="shared" si="196"/>
        <v>42.860012381175629</v>
      </c>
      <c r="Z1142" s="411">
        <v>52.124234976666614</v>
      </c>
      <c r="AA1142" s="411">
        <v>52.974926688244203</v>
      </c>
      <c r="AB1142" s="441">
        <f t="shared" si="197"/>
        <v>43.790363591163754</v>
      </c>
      <c r="AC1142" s="438">
        <f t="shared" si="198"/>
        <v>45.099654354399213</v>
      </c>
      <c r="AD1142" s="410"/>
      <c r="AE1142" s="411"/>
      <c r="AF1142" s="411"/>
      <c r="AG1142" s="411"/>
    </row>
    <row r="1143" spans="1:33" s="409" customFormat="1" x14ac:dyDescent="0.2">
      <c r="A1143" s="409" t="s">
        <v>393</v>
      </c>
      <c r="B1143" s="23" t="str">
        <f>VLOOKUP(LEFT(A1143,7),'[7]Tariff Schedule Lookup Table'!$A$8:$G$186,2,FALSE)</f>
        <v>Fluorescent 2x40</v>
      </c>
      <c r="C1143" s="375">
        <f t="shared" si="200"/>
        <v>10</v>
      </c>
      <c r="D1143" s="23">
        <f t="shared" si="201"/>
        <v>1</v>
      </c>
      <c r="E1143" s="23" t="str">
        <f>VLOOKUP(C1143,'[7]Tariff Schedule Lookup Table'!I$7:L$287,2,FALSE)</f>
        <v>MERCURY VAPOUR 80W</v>
      </c>
      <c r="F1143" s="23" t="str">
        <f>IF(E1143 = "BULKHEADS ETC", "SHARED OR NO POLE", VLOOKUP(C1143,'[7]Tariff Schedule Lookup Table'!I$7:L$287,3,FALSE))</f>
        <v>SHARED OR NO POLE</v>
      </c>
      <c r="G1143" s="23">
        <f>IF(E1143 = "NO CAPITAL", 1, VLOOKUP(C1143,'[7]Tariff Schedule Lookup Table'!I$7:L$287,4,FALSE))</f>
        <v>1</v>
      </c>
      <c r="H1143" s="23" t="str">
        <f t="shared" si="199"/>
        <v>1-Unmetered, CE Funded, CE Maintained</v>
      </c>
      <c r="I1143" s="374">
        <f>VLOOKUP(F1143,'Maintenance Model'!$A$57:$B$61,2,FALSE)</f>
        <v>0</v>
      </c>
      <c r="J1143" s="374">
        <f>IF(D1143=1,VLOOKUP(C1143,'Capital Code Schedules'!A$15:F$300,2,FALSE),IF(D1143=2,VLOOKUP(C1143,'Capital Code Schedules'!A$15:F$300,3,FALSE),0))</f>
        <v>17.255027166785979</v>
      </c>
      <c r="K1143" s="374">
        <f>IF(D1143=1,VLOOKUP(C1143,'Capital Code Schedules'!E$15:G$300,2,FALSE),IF(D1143=2,VLOOKUP(C1143,'Capital Code Schedules'!E$15:G$300,3,FALSE),0))</f>
        <v>21.887497717034414</v>
      </c>
      <c r="L1143" s="374">
        <f>VLOOKUP(LEFT(A1143,10),'Streetlight Tariff Schedule'!B$11:H$260,7, FALSE)+I1143</f>
        <v>29.991879471217374</v>
      </c>
      <c r="M1143" s="410">
        <f t="shared" si="192"/>
        <v>51.879377188251787</v>
      </c>
      <c r="N1143" s="411">
        <f t="shared" si="193"/>
        <v>48.923688864132963</v>
      </c>
      <c r="O1143" s="411">
        <v>63.071859707067993</v>
      </c>
      <c r="P1143" s="411">
        <v>62.078902879875166</v>
      </c>
      <c r="Q1143" s="411">
        <v>64.57443660773103</v>
      </c>
      <c r="R1143" s="411">
        <v>65.591969116396882</v>
      </c>
      <c r="S1143" s="411">
        <f t="shared" si="194"/>
        <v>50.890248918306682</v>
      </c>
      <c r="T1143" s="411">
        <v>66.851453637905948</v>
      </c>
      <c r="U1143" s="411">
        <v>68.142358216716701</v>
      </c>
      <c r="V1143" s="411">
        <f t="shared" si="195"/>
        <v>52.877222721195253</v>
      </c>
      <c r="W1143" s="411">
        <v>69.010568994663316</v>
      </c>
      <c r="X1143" s="411">
        <v>70.963289247549653</v>
      </c>
      <c r="Y1143" s="411">
        <f t="shared" si="196"/>
        <v>55.072323426873275</v>
      </c>
      <c r="Z1143" s="411">
        <v>70.904163679165549</v>
      </c>
      <c r="AA1143" s="411">
        <v>73.174354333083372</v>
      </c>
      <c r="AB1143" s="441">
        <f t="shared" si="197"/>
        <v>56.18863584049226</v>
      </c>
      <c r="AC1143" s="438">
        <f t="shared" si="198"/>
        <v>57.852956100985217</v>
      </c>
      <c r="AD1143" s="410"/>
      <c r="AE1143" s="411"/>
      <c r="AF1143" s="411"/>
      <c r="AG1143" s="411"/>
    </row>
    <row r="1144" spans="1:33" s="409" customFormat="1" x14ac:dyDescent="0.2">
      <c r="A1144" s="409" t="s">
        <v>394</v>
      </c>
      <c r="B1144" s="23" t="str">
        <f>VLOOKUP(LEFT(A1144,7),'[7]Tariff Schedule Lookup Table'!$A$8:$G$186,2,FALSE)</f>
        <v>Fluorescent 2x40</v>
      </c>
      <c r="C1144" s="375">
        <f t="shared" si="200"/>
        <v>10</v>
      </c>
      <c r="D1144" s="23">
        <f t="shared" si="201"/>
        <v>2</v>
      </c>
      <c r="E1144" s="23" t="str">
        <f>VLOOKUP(C1144,'[7]Tariff Schedule Lookup Table'!I$7:L$287,2,FALSE)</f>
        <v>MERCURY VAPOUR 80W</v>
      </c>
      <c r="F1144" s="23" t="str">
        <f>IF(E1144 = "BULKHEADS ETC", "SHARED OR NO POLE", VLOOKUP(C1144,'[7]Tariff Schedule Lookup Table'!I$7:L$287,3,FALSE))</f>
        <v>SHARED OR NO POLE</v>
      </c>
      <c r="G1144" s="23">
        <f>IF(E1144 = "NO CAPITAL", 1, VLOOKUP(C1144,'[7]Tariff Schedule Lookup Table'!I$7:L$287,4,FALSE))</f>
        <v>1</v>
      </c>
      <c r="H1144" s="23" t="str">
        <f t="shared" si="199"/>
        <v>2-Unmetered, Funded by Others, CE Maintained</v>
      </c>
      <c r="I1144" s="374">
        <f>VLOOKUP(F1144,'Maintenance Model'!$A$57:$B$61,2,FALSE)</f>
        <v>0</v>
      </c>
      <c r="J1144" s="374">
        <f>IF(D1144=1,VLOOKUP(C1144,'Capital Code Schedules'!A$15:F$300,2,FALSE),IF(D1144=2,VLOOKUP(C1144,'Capital Code Schedules'!A$15:F$300,3,FALSE),0))</f>
        <v>0</v>
      </c>
      <c r="K1144" s="374">
        <f>IF(D1144=1,VLOOKUP(C1144,'Capital Code Schedules'!E$15:G$300,2,FALSE),IF(D1144=2,VLOOKUP(C1144,'Capital Code Schedules'!E$15:G$300,3,FALSE),0))</f>
        <v>0</v>
      </c>
      <c r="L1144" s="374">
        <f>VLOOKUP(LEFT(A1144,10),'Streetlight Tariff Schedule'!B$11:H$260,7, FALSE)+I1144</f>
        <v>29.991879471217374</v>
      </c>
      <c r="M1144" s="410">
        <f t="shared" si="192"/>
        <v>29.991879471217374</v>
      </c>
      <c r="N1144" s="411">
        <f t="shared" si="193"/>
        <v>31.241599774969032</v>
      </c>
      <c r="O1144" s="411">
        <v>39.649689594344146</v>
      </c>
      <c r="P1144" s="411">
        <v>39.649689594344146</v>
      </c>
      <c r="Q1144" s="411">
        <v>41.590100293383117</v>
      </c>
      <c r="R1144" s="411">
        <v>41.590100293383117</v>
      </c>
      <c r="S1144" s="411">
        <f t="shared" si="194"/>
        <v>32.770528124185937</v>
      </c>
      <c r="T1144" s="411">
        <v>43.298254999777917</v>
      </c>
      <c r="U1144" s="411">
        <v>43.456436132247049</v>
      </c>
      <c r="V1144" s="411">
        <f t="shared" si="195"/>
        <v>34.241089884442069</v>
      </c>
      <c r="W1144" s="411">
        <v>44.874428690241622</v>
      </c>
      <c r="X1144" s="411">
        <v>45.440514404416469</v>
      </c>
      <c r="Y1144" s="411">
        <f t="shared" si="196"/>
        <v>35.804425686954161</v>
      </c>
      <c r="Z1144" s="411">
        <v>46.170653902209423</v>
      </c>
      <c r="AA1144" s="411">
        <v>46.924180406920897</v>
      </c>
      <c r="AB1144" s="441">
        <f t="shared" si="197"/>
        <v>36.581623100350569</v>
      </c>
      <c r="AC1144" s="438">
        <f t="shared" si="198"/>
        <v>37.675379290105397</v>
      </c>
      <c r="AD1144" s="410"/>
      <c r="AE1144" s="411"/>
      <c r="AF1144" s="411"/>
      <c r="AG1144" s="411"/>
    </row>
    <row r="1145" spans="1:33" s="409" customFormat="1" x14ac:dyDescent="0.2">
      <c r="A1145" s="409" t="s">
        <v>395</v>
      </c>
      <c r="B1145" s="23" t="str">
        <f>VLOOKUP(LEFT(A1145,7),'[7]Tariff Schedule Lookup Table'!$A$8:$G$186,2,FALSE)</f>
        <v>Fluorescent 2x40</v>
      </c>
      <c r="C1145" s="375">
        <f t="shared" si="200"/>
        <v>990</v>
      </c>
      <c r="D1145" s="23">
        <f t="shared" si="201"/>
        <v>1</v>
      </c>
      <c r="E1145" s="23" t="str">
        <f>VLOOKUP(C1145,'[7]Tariff Schedule Lookup Table'!I$7:L$287,2,FALSE)</f>
        <v>MERCURY VAPOUR 80W</v>
      </c>
      <c r="F1145" s="23" t="str">
        <f>IF(E1145 = "BULKHEADS ETC", "SHARED OR NO POLE", VLOOKUP(C1145,'[7]Tariff Schedule Lookup Table'!I$7:L$287,3,FALSE))</f>
        <v>STEEL POLE</v>
      </c>
      <c r="G1145" s="23">
        <f>IF(E1145 = "NO CAPITAL", 1, VLOOKUP(C1145,'[7]Tariff Schedule Lookup Table'!I$7:L$287,4,FALSE))</f>
        <v>1</v>
      </c>
      <c r="H1145" s="23" t="str">
        <f t="shared" si="199"/>
        <v>1-Unmetered, CE Funded, CE Maintained</v>
      </c>
      <c r="I1145" s="374">
        <f>VLOOKUP(F1145,'Maintenance Model'!$A$57:$B$61,2,FALSE)</f>
        <v>9.9616182311111103</v>
      </c>
      <c r="J1145" s="374">
        <f>IF(D1145=1,VLOOKUP(C1145,'Capital Code Schedules'!A$15:F$300,2,FALSE),IF(D1145=2,VLOOKUP(C1145,'Capital Code Schedules'!A$15:F$300,3,FALSE),0))</f>
        <v>86.253661186307269</v>
      </c>
      <c r="K1145" s="374">
        <f>IF(D1145=1,VLOOKUP(C1145,'Capital Code Schedules'!E$15:G$300,2,FALSE),IF(D1145=2,VLOOKUP(C1145,'Capital Code Schedules'!E$15:G$300,3,FALSE),0))</f>
        <v>109.41024862221688</v>
      </c>
      <c r="L1145" s="374">
        <f>VLOOKUP(LEFT(A1145,10),'Streetlight Tariff Schedule'!B$11:H$260,7, FALSE)+I1145</f>
        <v>39.953497702328484</v>
      </c>
      <c r="M1145" s="410">
        <f t="shared" si="192"/>
        <v>149.36374632454536</v>
      </c>
      <c r="N1145" s="411">
        <f t="shared" si="193"/>
        <v>130.00674421630981</v>
      </c>
      <c r="O1145" s="411">
        <v>166.32550546315457</v>
      </c>
      <c r="P1145" s="411">
        <v>161.36195710606009</v>
      </c>
      <c r="Q1145" s="411">
        <v>166.54681715828829</v>
      </c>
      <c r="R1145" s="411">
        <v>171.63321333722087</v>
      </c>
      <c r="S1145" s="411">
        <f t="shared" si="194"/>
        <v>134.23111058215821</v>
      </c>
      <c r="T1145" s="411">
        <v>171.51190114327778</v>
      </c>
      <c r="U1145" s="411">
        <v>177.3705651899831</v>
      </c>
      <c r="V1145" s="411">
        <f t="shared" si="195"/>
        <v>138.77152789839209</v>
      </c>
      <c r="W1145" s="411">
        <v>176.38344759033399</v>
      </c>
      <c r="X1145" s="411">
        <v>184.01795717002059</v>
      </c>
      <c r="Y1145" s="411">
        <f t="shared" si="196"/>
        <v>144.0121543251029</v>
      </c>
      <c r="Z1145" s="411">
        <v>180.97942693696183</v>
      </c>
      <c r="AA1145" s="411">
        <v>189.49671895758127</v>
      </c>
      <c r="AB1145" s="441">
        <f t="shared" si="197"/>
        <v>146.74264603482177</v>
      </c>
      <c r="AC1145" s="438">
        <f t="shared" si="198"/>
        <v>151.05179687466142</v>
      </c>
      <c r="AD1145" s="410"/>
      <c r="AE1145" s="411"/>
      <c r="AF1145" s="411"/>
      <c r="AG1145" s="411"/>
    </row>
    <row r="1146" spans="1:33" s="409" customFormat="1" x14ac:dyDescent="0.2">
      <c r="A1146" s="409" t="s">
        <v>396</v>
      </c>
      <c r="B1146" s="23" t="str">
        <f>VLOOKUP(LEFT(A1146,7),'[7]Tariff Schedule Lookup Table'!$A$8:$G$186,2,FALSE)</f>
        <v>Fluorescent 3x40</v>
      </c>
      <c r="C1146" s="375">
        <f t="shared" si="200"/>
        <v>10</v>
      </c>
      <c r="D1146" s="23">
        <f t="shared" si="201"/>
        <v>1</v>
      </c>
      <c r="E1146" s="23" t="str">
        <f>VLOOKUP(C1146,'[7]Tariff Schedule Lookup Table'!I$7:L$287,2,FALSE)</f>
        <v>MERCURY VAPOUR 80W</v>
      </c>
      <c r="F1146" s="23" t="str">
        <f>IF(E1146 = "BULKHEADS ETC", "SHARED OR NO POLE", VLOOKUP(C1146,'[7]Tariff Schedule Lookup Table'!I$7:L$287,3,FALSE))</f>
        <v>SHARED OR NO POLE</v>
      </c>
      <c r="G1146" s="23">
        <f>IF(E1146 = "NO CAPITAL", 1, VLOOKUP(C1146,'[7]Tariff Schedule Lookup Table'!I$7:L$287,4,FALSE))</f>
        <v>1</v>
      </c>
      <c r="H1146" s="23" t="str">
        <f t="shared" si="199"/>
        <v>1-Unmetered, CE Funded, CE Maintained</v>
      </c>
      <c r="I1146" s="374">
        <f>VLOOKUP(F1146,'Maintenance Model'!$A$57:$B$61,2,FALSE)</f>
        <v>0</v>
      </c>
      <c r="J1146" s="374">
        <f>IF(D1146=1,VLOOKUP(C1146,'Capital Code Schedules'!A$15:F$300,2,FALSE),IF(D1146=2,VLOOKUP(C1146,'Capital Code Schedules'!A$15:F$300,3,FALSE),0))</f>
        <v>17.255027166785979</v>
      </c>
      <c r="K1146" s="374">
        <f>IF(D1146=1,VLOOKUP(C1146,'Capital Code Schedules'!E$15:G$300,2,FALSE),IF(D1146=2,VLOOKUP(C1146,'Capital Code Schedules'!E$15:G$300,3,FALSE),0))</f>
        <v>21.887497717034414</v>
      </c>
      <c r="L1146" s="374">
        <f>VLOOKUP(LEFT(A1146,10),'Streetlight Tariff Schedule'!B$11:H$260,7, FALSE)+I1146</f>
        <v>34.043325938034037</v>
      </c>
      <c r="M1146" s="410">
        <f t="shared" si="192"/>
        <v>55.930823655068451</v>
      </c>
      <c r="N1146" s="411">
        <f t="shared" si="193"/>
        <v>53.143953524354366</v>
      </c>
      <c r="O1146" s="411">
        <v>67.553254597534519</v>
      </c>
      <c r="P1146" s="411">
        <v>66.560297770341677</v>
      </c>
      <c r="Q1146" s="411">
        <v>69.275145865625035</v>
      </c>
      <c r="R1146" s="411">
        <v>70.292678374290887</v>
      </c>
      <c r="S1146" s="411">
        <f t="shared" si="194"/>
        <v>55.317048529576923</v>
      </c>
      <c r="T1146" s="411">
        <v>71.745226595709866</v>
      </c>
      <c r="U1146" s="411">
        <v>73.054009552032994</v>
      </c>
      <c r="V1146" s="411">
        <f t="shared" si="195"/>
        <v>57.502672845633349</v>
      </c>
      <c r="W1146" s="411">
        <v>74.082488535585497</v>
      </c>
      <c r="X1146" s="411">
        <v>76.099190465327922</v>
      </c>
      <c r="Y1146" s="411">
        <f t="shared" si="196"/>
        <v>59.908956425649528</v>
      </c>
      <c r="Z1146" s="411">
        <v>76.122588706038243</v>
      </c>
      <c r="AA1146" s="411">
        <v>78.477946478856467</v>
      </c>
      <c r="AB1146" s="441">
        <f t="shared" si="197"/>
        <v>61.130256381564621</v>
      </c>
      <c r="AC1146" s="438">
        <f t="shared" si="198"/>
        <v>62.942326457296517</v>
      </c>
      <c r="AD1146" s="410"/>
      <c r="AE1146" s="411"/>
      <c r="AF1146" s="411"/>
      <c r="AG1146" s="411"/>
    </row>
    <row r="1147" spans="1:33" s="409" customFormat="1" x14ac:dyDescent="0.2">
      <c r="A1147" s="409" t="s">
        <v>397</v>
      </c>
      <c r="B1147" s="23" t="str">
        <f>VLOOKUP(LEFT(A1147,7),'[7]Tariff Schedule Lookup Table'!$A$8:$G$186,2,FALSE)</f>
        <v>Fluorescent 3x40</v>
      </c>
      <c r="C1147" s="375">
        <f t="shared" si="200"/>
        <v>10</v>
      </c>
      <c r="D1147" s="23">
        <f t="shared" si="201"/>
        <v>2</v>
      </c>
      <c r="E1147" s="23" t="str">
        <f>VLOOKUP(C1147,'[7]Tariff Schedule Lookup Table'!I$7:L$287,2,FALSE)</f>
        <v>MERCURY VAPOUR 80W</v>
      </c>
      <c r="F1147" s="23" t="str">
        <f>IF(E1147 = "BULKHEADS ETC", "SHARED OR NO POLE", VLOOKUP(C1147,'[7]Tariff Schedule Lookup Table'!I$7:L$287,3,FALSE))</f>
        <v>SHARED OR NO POLE</v>
      </c>
      <c r="G1147" s="23">
        <f>IF(E1147 = "NO CAPITAL", 1, VLOOKUP(C1147,'[7]Tariff Schedule Lookup Table'!I$7:L$287,4,FALSE))</f>
        <v>1</v>
      </c>
      <c r="H1147" s="23" t="str">
        <f t="shared" si="199"/>
        <v>2-Unmetered, Funded by Others, CE Maintained</v>
      </c>
      <c r="I1147" s="374">
        <f>VLOOKUP(F1147,'Maintenance Model'!$A$57:$B$61,2,FALSE)</f>
        <v>0</v>
      </c>
      <c r="J1147" s="374">
        <f>IF(D1147=1,VLOOKUP(C1147,'Capital Code Schedules'!A$15:F$300,2,FALSE),IF(D1147=2,VLOOKUP(C1147,'Capital Code Schedules'!A$15:F$300,3,FALSE),0))</f>
        <v>0</v>
      </c>
      <c r="K1147" s="374">
        <f>IF(D1147=1,VLOOKUP(C1147,'Capital Code Schedules'!E$15:G$300,2,FALSE),IF(D1147=2,VLOOKUP(C1147,'Capital Code Schedules'!E$15:G$300,3,FALSE),0))</f>
        <v>0</v>
      </c>
      <c r="L1147" s="374">
        <f>VLOOKUP(LEFT(A1147,10),'Streetlight Tariff Schedule'!B$11:H$260,7, FALSE)+I1147</f>
        <v>34.043325938034037</v>
      </c>
      <c r="M1147" s="410">
        <f t="shared" si="192"/>
        <v>34.043325938034037</v>
      </c>
      <c r="N1147" s="411">
        <f t="shared" si="193"/>
        <v>35.461864435190435</v>
      </c>
      <c r="O1147" s="411">
        <v>44.131084484810671</v>
      </c>
      <c r="P1147" s="411">
        <v>44.131084484810671</v>
      </c>
      <c r="Q1147" s="411">
        <v>46.290809551277128</v>
      </c>
      <c r="R1147" s="411">
        <v>46.290809551277128</v>
      </c>
      <c r="S1147" s="411">
        <f t="shared" si="194"/>
        <v>37.197327735456184</v>
      </c>
      <c r="T1147" s="411">
        <v>48.192027957581857</v>
      </c>
      <c r="U1147" s="411">
        <v>48.368087467563342</v>
      </c>
      <c r="V1147" s="411">
        <f t="shared" si="195"/>
        <v>38.866540008880165</v>
      </c>
      <c r="W1147" s="411">
        <v>49.946348231163803</v>
      </c>
      <c r="X1147" s="411">
        <v>50.576415622194737</v>
      </c>
      <c r="Y1147" s="411">
        <f t="shared" si="196"/>
        <v>40.641058685730414</v>
      </c>
      <c r="Z1147" s="411">
        <v>51.389078929082125</v>
      </c>
      <c r="AA1147" s="411">
        <v>52.227772552693992</v>
      </c>
      <c r="AB1147" s="441">
        <f t="shared" si="197"/>
        <v>41.52324364142293</v>
      </c>
      <c r="AC1147" s="438">
        <f t="shared" si="198"/>
        <v>42.764749646416703</v>
      </c>
      <c r="AD1147" s="410"/>
      <c r="AE1147" s="411"/>
      <c r="AF1147" s="411"/>
      <c r="AG1147" s="411"/>
    </row>
    <row r="1148" spans="1:33" s="409" customFormat="1" x14ac:dyDescent="0.2">
      <c r="A1148" s="409" t="s">
        <v>398</v>
      </c>
      <c r="B1148" s="23" t="str">
        <f>VLOOKUP(LEFT(A1148,7),'[7]Tariff Schedule Lookup Table'!$A$8:$G$186,2,FALSE)</f>
        <v>Fluorescent 3x40</v>
      </c>
      <c r="C1148" s="375">
        <f t="shared" si="200"/>
        <v>810</v>
      </c>
      <c r="D1148" s="23">
        <f t="shared" si="201"/>
        <v>2</v>
      </c>
      <c r="E1148" s="23" t="str">
        <f>VLOOKUP(C1148,'[7]Tariff Schedule Lookup Table'!I$7:L$287,2,FALSE)</f>
        <v>MERCURY VAPOUR 80W</v>
      </c>
      <c r="F1148" s="23" t="str">
        <f>IF(E1148 = "BULKHEADS ETC", "SHARED OR NO POLE", VLOOKUP(C1148,'[7]Tariff Schedule Lookup Table'!I$7:L$287,3,FALSE))</f>
        <v>WOOD POLE</v>
      </c>
      <c r="G1148" s="23">
        <f>IF(E1148 = "NO CAPITAL", 1, VLOOKUP(C1148,'[7]Tariff Schedule Lookup Table'!I$7:L$287,4,FALSE))</f>
        <v>1</v>
      </c>
      <c r="H1148" s="23" t="str">
        <f t="shared" si="199"/>
        <v>2-Unmetered, Funded by Others, CE Maintained</v>
      </c>
      <c r="I1148" s="374">
        <f>VLOOKUP(F1148,'Maintenance Model'!$A$57:$B$61,2,FALSE)</f>
        <v>10.731618231111112</v>
      </c>
      <c r="J1148" s="374">
        <f>IF(D1148=1,VLOOKUP(C1148,'Capital Code Schedules'!A$15:F$300,2,FALSE),IF(D1148=2,VLOOKUP(C1148,'Capital Code Schedules'!A$15:F$300,3,FALSE),0))</f>
        <v>0</v>
      </c>
      <c r="K1148" s="374">
        <f>IF(D1148=1,VLOOKUP(C1148,'Capital Code Schedules'!E$15:G$300,2,FALSE),IF(D1148=2,VLOOKUP(C1148,'Capital Code Schedules'!E$15:G$300,3,FALSE),0))</f>
        <v>0</v>
      </c>
      <c r="L1148" s="374">
        <f>VLOOKUP(LEFT(A1148,10),'Streetlight Tariff Schedule'!B$11:H$260,7, FALSE)+I1148</f>
        <v>44.774944169145151</v>
      </c>
      <c r="M1148" s="410">
        <f t="shared" si="192"/>
        <v>44.774944169145151</v>
      </c>
      <c r="N1148" s="411">
        <f t="shared" si="193"/>
        <v>46.640654415187839</v>
      </c>
      <c r="O1148" s="411">
        <v>54.52728456023484</v>
      </c>
      <c r="P1148" s="411">
        <v>54.52728456023484</v>
      </c>
      <c r="Q1148" s="411">
        <v>57.195787830568499</v>
      </c>
      <c r="R1148" s="411">
        <v>57.195787830568499</v>
      </c>
      <c r="S1148" s="411">
        <f t="shared" si="194"/>
        <v>48.923194978893008</v>
      </c>
      <c r="T1148" s="411">
        <v>59.544886618009706</v>
      </c>
      <c r="U1148" s="411">
        <v>59.762421426237687</v>
      </c>
      <c r="V1148" s="411">
        <f t="shared" si="195"/>
        <v>51.118599930954716</v>
      </c>
      <c r="W1148" s="411">
        <v>61.712481679044664</v>
      </c>
      <c r="X1148" s="411">
        <v>62.490977479089942</v>
      </c>
      <c r="Y1148" s="411">
        <f t="shared" si="196"/>
        <v>53.452507458900087</v>
      </c>
      <c r="Z1148" s="411">
        <v>63.49508430999191</v>
      </c>
      <c r="AA1148" s="411">
        <v>64.531353561187828</v>
      </c>
      <c r="AB1148" s="441">
        <f t="shared" si="197"/>
        <v>54.612787221514637</v>
      </c>
      <c r="AC1148" s="438">
        <f t="shared" si="198"/>
        <v>56.2456582917631</v>
      </c>
      <c r="AD1148" s="410"/>
      <c r="AE1148" s="411"/>
      <c r="AF1148" s="411"/>
      <c r="AG1148" s="411"/>
    </row>
    <row r="1149" spans="1:33" s="409" customFormat="1" x14ac:dyDescent="0.2">
      <c r="A1149" s="409" t="s">
        <v>399</v>
      </c>
      <c r="B1149" s="23" t="str">
        <f>VLOOKUP(LEFT(A1149,7),'[7]Tariff Schedule Lookup Table'!$A$8:$G$186,2,FALSE)</f>
        <v>Fluorescent 4x40</v>
      </c>
      <c r="C1149" s="375">
        <f t="shared" si="200"/>
        <v>10</v>
      </c>
      <c r="D1149" s="23">
        <f t="shared" si="201"/>
        <v>1</v>
      </c>
      <c r="E1149" s="23" t="str">
        <f>VLOOKUP(C1149,'[7]Tariff Schedule Lookup Table'!I$7:L$287,2,FALSE)</f>
        <v>MERCURY VAPOUR 80W</v>
      </c>
      <c r="F1149" s="23" t="str">
        <f>IF(E1149 = "BULKHEADS ETC", "SHARED OR NO POLE", VLOOKUP(C1149,'[7]Tariff Schedule Lookup Table'!I$7:L$287,3,FALSE))</f>
        <v>SHARED OR NO POLE</v>
      </c>
      <c r="G1149" s="23">
        <f>IF(E1149 = "NO CAPITAL", 1, VLOOKUP(C1149,'[7]Tariff Schedule Lookup Table'!I$7:L$287,4,FALSE))</f>
        <v>1</v>
      </c>
      <c r="H1149" s="23" t="str">
        <f t="shared" si="199"/>
        <v>1-Unmetered, CE Funded, CE Maintained</v>
      </c>
      <c r="I1149" s="374">
        <f>VLOOKUP(F1149,'Maintenance Model'!$A$57:$B$61,2,FALSE)</f>
        <v>0</v>
      </c>
      <c r="J1149" s="374">
        <f>IF(D1149=1,VLOOKUP(C1149,'Capital Code Schedules'!A$15:F$300,2,FALSE),IF(D1149=2,VLOOKUP(C1149,'Capital Code Schedules'!A$15:F$300,3,FALSE),0))</f>
        <v>17.255027166785979</v>
      </c>
      <c r="K1149" s="374">
        <f>IF(D1149=1,VLOOKUP(C1149,'Capital Code Schedules'!E$15:G$300,2,FALSE),IF(D1149=2,VLOOKUP(C1149,'Capital Code Schedules'!E$15:G$300,3,FALSE),0))</f>
        <v>21.887497717034414</v>
      </c>
      <c r="L1149" s="374">
        <f>VLOOKUP(LEFT(A1149,10),'Streetlight Tariff Schedule'!B$11:H$260,7, FALSE)+I1149</f>
        <v>38.094772404850701</v>
      </c>
      <c r="M1149" s="410">
        <f t="shared" si="192"/>
        <v>59.982270121885115</v>
      </c>
      <c r="N1149" s="411">
        <f t="shared" si="193"/>
        <v>57.364218184575776</v>
      </c>
      <c r="O1149" s="411">
        <v>72.034649488001037</v>
      </c>
      <c r="P1149" s="411">
        <v>71.041692660808224</v>
      </c>
      <c r="Q1149" s="411">
        <v>73.975855123519054</v>
      </c>
      <c r="R1149" s="411">
        <v>74.993387632184891</v>
      </c>
      <c r="S1149" s="411">
        <f t="shared" si="194"/>
        <v>59.743848140847177</v>
      </c>
      <c r="T1149" s="411">
        <v>76.638999553513813</v>
      </c>
      <c r="U1149" s="411">
        <v>77.965660887349287</v>
      </c>
      <c r="V1149" s="411">
        <f t="shared" si="195"/>
        <v>62.128122970071438</v>
      </c>
      <c r="W1149" s="411">
        <v>79.154408076507693</v>
      </c>
      <c r="X1149" s="411">
        <v>81.235091683106177</v>
      </c>
      <c r="Y1149" s="411">
        <f t="shared" si="196"/>
        <v>64.745589424425788</v>
      </c>
      <c r="Z1149" s="411">
        <v>81.341013732910952</v>
      </c>
      <c r="AA1149" s="411">
        <v>83.781538624629547</v>
      </c>
      <c r="AB1149" s="441">
        <f t="shared" si="197"/>
        <v>66.071876922636989</v>
      </c>
      <c r="AC1149" s="438">
        <f t="shared" si="198"/>
        <v>68.031696813607823</v>
      </c>
      <c r="AD1149" s="410"/>
      <c r="AE1149" s="411"/>
      <c r="AF1149" s="411"/>
      <c r="AG1149" s="411"/>
    </row>
    <row r="1150" spans="1:33" s="409" customFormat="1" x14ac:dyDescent="0.2">
      <c r="A1150" s="409" t="s">
        <v>400</v>
      </c>
      <c r="B1150" s="23" t="str">
        <f>VLOOKUP(LEFT(A1150,7),'[7]Tariff Schedule Lookup Table'!$A$8:$G$186,2,FALSE)</f>
        <v>Fluorescent 4x40</v>
      </c>
      <c r="C1150" s="375">
        <f t="shared" si="200"/>
        <v>10</v>
      </c>
      <c r="D1150" s="23">
        <f t="shared" si="201"/>
        <v>2</v>
      </c>
      <c r="E1150" s="23" t="str">
        <f>VLOOKUP(C1150,'[7]Tariff Schedule Lookup Table'!I$7:L$287,2,FALSE)</f>
        <v>MERCURY VAPOUR 80W</v>
      </c>
      <c r="F1150" s="23" t="str">
        <f>IF(E1150 = "BULKHEADS ETC", "SHARED OR NO POLE", VLOOKUP(C1150,'[7]Tariff Schedule Lookup Table'!I$7:L$287,3,FALSE))</f>
        <v>SHARED OR NO POLE</v>
      </c>
      <c r="G1150" s="23">
        <f>IF(E1150 = "NO CAPITAL", 1, VLOOKUP(C1150,'[7]Tariff Schedule Lookup Table'!I$7:L$287,4,FALSE))</f>
        <v>1</v>
      </c>
      <c r="H1150" s="23" t="str">
        <f t="shared" si="199"/>
        <v>2-Unmetered, Funded by Others, CE Maintained</v>
      </c>
      <c r="I1150" s="374">
        <f>VLOOKUP(F1150,'Maintenance Model'!$A$57:$B$61,2,FALSE)</f>
        <v>0</v>
      </c>
      <c r="J1150" s="374">
        <f>IF(D1150=1,VLOOKUP(C1150,'Capital Code Schedules'!A$15:F$300,2,FALSE),IF(D1150=2,VLOOKUP(C1150,'Capital Code Schedules'!A$15:F$300,3,FALSE),0))</f>
        <v>0</v>
      </c>
      <c r="K1150" s="374">
        <f>IF(D1150=1,VLOOKUP(C1150,'Capital Code Schedules'!E$15:G$300,2,FALSE),IF(D1150=2,VLOOKUP(C1150,'Capital Code Schedules'!E$15:G$300,3,FALSE),0))</f>
        <v>0</v>
      </c>
      <c r="L1150" s="374">
        <f>VLOOKUP(LEFT(A1150,10),'Streetlight Tariff Schedule'!B$11:H$260,7, FALSE)+I1150</f>
        <v>38.094772404850701</v>
      </c>
      <c r="M1150" s="410">
        <f t="shared" si="192"/>
        <v>38.094772404850701</v>
      </c>
      <c r="N1150" s="411">
        <f t="shared" si="193"/>
        <v>39.682129095411845</v>
      </c>
      <c r="O1150" s="411">
        <v>48.612479375277196</v>
      </c>
      <c r="P1150" s="411">
        <v>48.612479375277196</v>
      </c>
      <c r="Q1150" s="411">
        <v>50.99151880917114</v>
      </c>
      <c r="R1150" s="411">
        <v>50.99151880917114</v>
      </c>
      <c r="S1150" s="411">
        <f t="shared" si="194"/>
        <v>41.624127346726439</v>
      </c>
      <c r="T1150" s="411">
        <v>53.085800915385782</v>
      </c>
      <c r="U1150" s="411">
        <v>53.279738802879628</v>
      </c>
      <c r="V1150" s="411">
        <f t="shared" si="195"/>
        <v>43.491990133318254</v>
      </c>
      <c r="W1150" s="411">
        <v>55.018267772085999</v>
      </c>
      <c r="X1150" s="411">
        <v>55.712316839973006</v>
      </c>
      <c r="Y1150" s="411">
        <f t="shared" si="196"/>
        <v>45.477691684506681</v>
      </c>
      <c r="Z1150" s="411">
        <v>56.607503955954833</v>
      </c>
      <c r="AA1150" s="411">
        <v>57.53136469846708</v>
      </c>
      <c r="AB1150" s="441">
        <f t="shared" si="197"/>
        <v>46.46486418249529</v>
      </c>
      <c r="AC1150" s="438">
        <f t="shared" si="198"/>
        <v>47.85412000272801</v>
      </c>
      <c r="AD1150" s="410"/>
      <c r="AE1150" s="411"/>
      <c r="AF1150" s="411"/>
      <c r="AG1150" s="411"/>
    </row>
    <row r="1151" spans="1:33" s="409" customFormat="1" x14ac:dyDescent="0.2">
      <c r="A1151" s="409" t="s">
        <v>402</v>
      </c>
      <c r="B1151" s="23" t="str">
        <f>VLOOKUP(LEFT(A1151,7),'[7]Tariff Schedule Lookup Table'!$A$8:$G$186,2,FALSE)</f>
        <v>Fluorescent 4x40</v>
      </c>
      <c r="C1151" s="375">
        <f t="shared" si="200"/>
        <v>990</v>
      </c>
      <c r="D1151" s="23">
        <f t="shared" si="201"/>
        <v>1</v>
      </c>
      <c r="E1151" s="23" t="str">
        <f>VLOOKUP(C1151,'[7]Tariff Schedule Lookup Table'!I$7:L$287,2,FALSE)</f>
        <v>MERCURY VAPOUR 80W</v>
      </c>
      <c r="F1151" s="23" t="str">
        <f>IF(E1151 = "BULKHEADS ETC", "SHARED OR NO POLE", VLOOKUP(C1151,'[7]Tariff Schedule Lookup Table'!I$7:L$287,3,FALSE))</f>
        <v>STEEL POLE</v>
      </c>
      <c r="G1151" s="23">
        <f>IF(E1151 = "NO CAPITAL", 1, VLOOKUP(C1151,'[7]Tariff Schedule Lookup Table'!I$7:L$287,4,FALSE))</f>
        <v>1</v>
      </c>
      <c r="H1151" s="23" t="str">
        <f t="shared" si="199"/>
        <v>1-Unmetered, CE Funded, CE Maintained</v>
      </c>
      <c r="I1151" s="374">
        <f>VLOOKUP(F1151,'Maintenance Model'!$A$57:$B$61,2,FALSE)</f>
        <v>9.9616182311111103</v>
      </c>
      <c r="J1151" s="374">
        <f>IF(D1151=1,VLOOKUP(C1151,'Capital Code Schedules'!A$15:F$300,2,FALSE),IF(D1151=2,VLOOKUP(C1151,'Capital Code Schedules'!A$15:F$300,3,FALSE),0))</f>
        <v>86.253661186307269</v>
      </c>
      <c r="K1151" s="374">
        <f>IF(D1151=1,VLOOKUP(C1151,'Capital Code Schedules'!E$15:G$300,2,FALSE),IF(D1151=2,VLOOKUP(C1151,'Capital Code Schedules'!E$15:G$300,3,FALSE),0))</f>
        <v>109.41024862221688</v>
      </c>
      <c r="L1151" s="374">
        <f>VLOOKUP(LEFT(A1151,10),'Streetlight Tariff Schedule'!B$11:H$260,7, FALSE)+I1151</f>
        <v>48.056390635961812</v>
      </c>
      <c r="M1151" s="410">
        <f t="shared" si="192"/>
        <v>157.4666392581787</v>
      </c>
      <c r="N1151" s="411">
        <f t="shared" si="193"/>
        <v>138.44727353675262</v>
      </c>
      <c r="O1151" s="411">
        <v>175.28829524408758</v>
      </c>
      <c r="P1151" s="411">
        <v>170.32474688699313</v>
      </c>
      <c r="Q1151" s="411">
        <v>175.94823567407633</v>
      </c>
      <c r="R1151" s="411">
        <v>181.03463185300888</v>
      </c>
      <c r="S1151" s="411">
        <f t="shared" si="194"/>
        <v>143.08470980469875</v>
      </c>
      <c r="T1151" s="411">
        <v>181.29944705888565</v>
      </c>
      <c r="U1151" s="411">
        <v>187.19386786061565</v>
      </c>
      <c r="V1151" s="411">
        <f t="shared" si="195"/>
        <v>148.02242814726827</v>
      </c>
      <c r="W1151" s="411">
        <v>186.52728667217841</v>
      </c>
      <c r="X1151" s="411">
        <v>194.28975960557713</v>
      </c>
      <c r="Y1151" s="411">
        <f t="shared" si="196"/>
        <v>153.68542032265543</v>
      </c>
      <c r="Z1151" s="411">
        <v>191.41627699070725</v>
      </c>
      <c r="AA1151" s="411">
        <v>200.10390324912743</v>
      </c>
      <c r="AB1151" s="441">
        <f t="shared" si="197"/>
        <v>156.62588711696651</v>
      </c>
      <c r="AC1151" s="438">
        <f t="shared" si="198"/>
        <v>161.23053758728406</v>
      </c>
      <c r="AD1151" s="410"/>
      <c r="AE1151" s="411"/>
      <c r="AF1151" s="411"/>
      <c r="AG1151" s="411"/>
    </row>
    <row r="1152" spans="1:33" s="409" customFormat="1" x14ac:dyDescent="0.2">
      <c r="A1152" s="409" t="s">
        <v>403</v>
      </c>
      <c r="B1152" s="23" t="str">
        <f>VLOOKUP(LEFT(A1152,7),'[7]Tariff Schedule Lookup Table'!$A$8:$G$186,2,FALSE)</f>
        <v>Fluorescent 4x40</v>
      </c>
      <c r="C1152" s="375">
        <f t="shared" si="200"/>
        <v>990</v>
      </c>
      <c r="D1152" s="23">
        <f t="shared" si="201"/>
        <v>2</v>
      </c>
      <c r="E1152" s="23" t="str">
        <f>VLOOKUP(C1152,'[7]Tariff Schedule Lookup Table'!I$7:L$287,2,FALSE)</f>
        <v>MERCURY VAPOUR 80W</v>
      </c>
      <c r="F1152" s="23" t="str">
        <f>IF(E1152 = "BULKHEADS ETC", "SHARED OR NO POLE", VLOOKUP(C1152,'[7]Tariff Schedule Lookup Table'!I$7:L$287,3,FALSE))</f>
        <v>STEEL POLE</v>
      </c>
      <c r="G1152" s="23">
        <f>IF(E1152 = "NO CAPITAL", 1, VLOOKUP(C1152,'[7]Tariff Schedule Lookup Table'!I$7:L$287,4,FALSE))</f>
        <v>1</v>
      </c>
      <c r="H1152" s="23" t="str">
        <f t="shared" si="199"/>
        <v>2-Unmetered, Funded by Others, CE Maintained</v>
      </c>
      <c r="I1152" s="374">
        <f>VLOOKUP(F1152,'Maintenance Model'!$A$57:$B$61,2,FALSE)</f>
        <v>9.9616182311111103</v>
      </c>
      <c r="J1152" s="374">
        <f>IF(D1152=1,VLOOKUP(C1152,'Capital Code Schedules'!A$15:F$300,2,FALSE),IF(D1152=2,VLOOKUP(C1152,'Capital Code Schedules'!A$15:F$300,3,FALSE),0))</f>
        <v>0</v>
      </c>
      <c r="K1152" s="374">
        <f>IF(D1152=1,VLOOKUP(C1152,'Capital Code Schedules'!E$15:G$300,2,FALSE),IF(D1152=2,VLOOKUP(C1152,'Capital Code Schedules'!E$15:G$300,3,FALSE),0))</f>
        <v>0</v>
      </c>
      <c r="L1152" s="374">
        <f>VLOOKUP(LEFT(A1152,10),'Streetlight Tariff Schedule'!B$11:H$260,7, FALSE)+I1152</f>
        <v>48.056390635961812</v>
      </c>
      <c r="M1152" s="410">
        <f t="shared" si="192"/>
        <v>48.056390635961812</v>
      </c>
      <c r="N1152" s="411">
        <f t="shared" si="193"/>
        <v>50.058834236084238</v>
      </c>
      <c r="O1152" s="411">
        <v>58.20659461137636</v>
      </c>
      <c r="P1152" s="411">
        <v>58.20659461137636</v>
      </c>
      <c r="Q1152" s="411">
        <v>61.055159129638056</v>
      </c>
      <c r="R1152" s="411">
        <v>61.055159129638056</v>
      </c>
      <c r="S1152" s="411">
        <f t="shared" si="194"/>
        <v>52.508656631338802</v>
      </c>
      <c r="T1152" s="411">
        <v>63.562766869972535</v>
      </c>
      <c r="U1152" s="411">
        <v>63.794980164628761</v>
      </c>
      <c r="V1152" s="411">
        <f t="shared" si="195"/>
        <v>54.864957458467593</v>
      </c>
      <c r="W1152" s="411">
        <v>65.876623648589657</v>
      </c>
      <c r="X1152" s="411">
        <v>66.707649616696273</v>
      </c>
      <c r="Y1152" s="411">
        <f t="shared" si="196"/>
        <v>57.369911377504408</v>
      </c>
      <c r="Z1152" s="411">
        <v>67.77951005728471</v>
      </c>
      <c r="AA1152" s="411">
        <v>68.885703125563467</v>
      </c>
      <c r="AB1152" s="441">
        <f t="shared" si="197"/>
        <v>58.615225214380835</v>
      </c>
      <c r="AC1152" s="438">
        <f t="shared" si="198"/>
        <v>60.367765423333125</v>
      </c>
      <c r="AD1152" s="410"/>
      <c r="AE1152" s="411"/>
      <c r="AF1152" s="411"/>
      <c r="AG1152" s="411"/>
    </row>
    <row r="1153" spans="1:33" s="409" customFormat="1" x14ac:dyDescent="0.2">
      <c r="A1153" s="409" t="s">
        <v>404</v>
      </c>
      <c r="B1153" s="23" t="str">
        <f>VLOOKUP(LEFT(A1153,7),'[7]Tariff Schedule Lookup Table'!$A$8:$G$186,2,FALSE)</f>
        <v>Fluorescent 6x40</v>
      </c>
      <c r="C1153" s="375">
        <f t="shared" si="200"/>
        <v>10</v>
      </c>
      <c r="D1153" s="23">
        <f t="shared" si="201"/>
        <v>2</v>
      </c>
      <c r="E1153" s="23" t="str">
        <f>VLOOKUP(C1153,'[7]Tariff Schedule Lookup Table'!I$7:L$287,2,FALSE)</f>
        <v>MERCURY VAPOUR 80W</v>
      </c>
      <c r="F1153" s="23" t="str">
        <f>IF(E1153 = "BULKHEADS ETC", "SHARED OR NO POLE", VLOOKUP(C1153,'[7]Tariff Schedule Lookup Table'!I$7:L$287,3,FALSE))</f>
        <v>SHARED OR NO POLE</v>
      </c>
      <c r="G1153" s="23">
        <f>IF(E1153 = "NO CAPITAL", 1, VLOOKUP(C1153,'[7]Tariff Schedule Lookup Table'!I$7:L$287,4,FALSE))</f>
        <v>1</v>
      </c>
      <c r="H1153" s="23" t="str">
        <f t="shared" si="199"/>
        <v>2-Unmetered, Funded by Others, CE Maintained</v>
      </c>
      <c r="I1153" s="374">
        <f>VLOOKUP(F1153,'Maintenance Model'!$A$57:$B$61,2,FALSE)</f>
        <v>0</v>
      </c>
      <c r="J1153" s="374">
        <f>IF(D1153=1,VLOOKUP(C1153,'Capital Code Schedules'!A$15:F$300,2,FALSE),IF(D1153=2,VLOOKUP(C1153,'Capital Code Schedules'!A$15:F$300,3,FALSE),0))</f>
        <v>0</v>
      </c>
      <c r="K1153" s="374">
        <f>IF(D1153=1,VLOOKUP(C1153,'Capital Code Schedules'!E$15:G$300,2,FALSE),IF(D1153=2,VLOOKUP(C1153,'Capital Code Schedules'!E$15:G$300,3,FALSE),0))</f>
        <v>0</v>
      </c>
      <c r="L1153" s="374">
        <f>VLOOKUP(LEFT(A1153,10),'Streetlight Tariff Schedule'!B$11:H$260,7, FALSE)+I1153</f>
        <v>46.197665338484036</v>
      </c>
      <c r="M1153" s="410">
        <f t="shared" si="192"/>
        <v>46.197665338484036</v>
      </c>
      <c r="N1153" s="411">
        <f t="shared" si="193"/>
        <v>48.122658415854666</v>
      </c>
      <c r="O1153" s="411">
        <v>57.575269156210247</v>
      </c>
      <c r="P1153" s="411">
        <v>57.575269156210247</v>
      </c>
      <c r="Q1153" s="411">
        <v>60.392937324959163</v>
      </c>
      <c r="R1153" s="411">
        <v>60.392937324959163</v>
      </c>
      <c r="S1153" s="411">
        <f t="shared" si="194"/>
        <v>50.477726569266942</v>
      </c>
      <c r="T1153" s="411">
        <v>62.873346830993654</v>
      </c>
      <c r="U1153" s="411">
        <v>63.103041473512206</v>
      </c>
      <c r="V1153" s="411">
        <f t="shared" si="195"/>
        <v>52.742890382194453</v>
      </c>
      <c r="W1153" s="411">
        <v>65.162106853930368</v>
      </c>
      <c r="X1153" s="411">
        <v>65.984119275529551</v>
      </c>
      <c r="Y1153" s="411">
        <f t="shared" si="196"/>
        <v>55.150957682059207</v>
      </c>
      <c r="Z1153" s="411">
        <v>67.044354009700228</v>
      </c>
      <c r="AA1153" s="411">
        <v>68.138548990013277</v>
      </c>
      <c r="AB1153" s="441">
        <f t="shared" si="197"/>
        <v>56.348105264640012</v>
      </c>
      <c r="AC1153" s="438">
        <f t="shared" si="198"/>
        <v>58.032860715350623</v>
      </c>
      <c r="AD1153" s="410"/>
      <c r="AE1153" s="411"/>
      <c r="AF1153" s="411"/>
      <c r="AG1153" s="411"/>
    </row>
    <row r="1154" spans="1:33" s="409" customFormat="1" x14ac:dyDescent="0.2">
      <c r="A1154" s="409" t="s">
        <v>406</v>
      </c>
      <c r="B1154" s="23" t="str">
        <f>VLOOKUP(LEFT(A1154,7),'[7]Tariff Schedule Lookup Table'!$A$8:$G$186,2,FALSE)</f>
        <v>Fluorescent 2x58</v>
      </c>
      <c r="C1154" s="375">
        <f t="shared" si="200"/>
        <v>10</v>
      </c>
      <c r="D1154" s="23">
        <f t="shared" si="201"/>
        <v>1</v>
      </c>
      <c r="E1154" s="23" t="str">
        <f>VLOOKUP(C1154,'[7]Tariff Schedule Lookup Table'!I$7:L$287,2,FALSE)</f>
        <v>MERCURY VAPOUR 80W</v>
      </c>
      <c r="F1154" s="23" t="str">
        <f>IF(E1154 = "BULKHEADS ETC", "SHARED OR NO POLE", VLOOKUP(C1154,'[7]Tariff Schedule Lookup Table'!I$7:L$287,3,FALSE))</f>
        <v>SHARED OR NO POLE</v>
      </c>
      <c r="G1154" s="23">
        <f>IF(E1154 = "NO CAPITAL", 1, VLOOKUP(C1154,'[7]Tariff Schedule Lookup Table'!I$7:L$287,4,FALSE))</f>
        <v>1</v>
      </c>
      <c r="H1154" s="23" t="str">
        <f t="shared" si="199"/>
        <v>1-Unmetered, CE Funded, CE Maintained</v>
      </c>
      <c r="I1154" s="374">
        <f>VLOOKUP(F1154,'Maintenance Model'!$A$57:$B$61,2,FALSE)</f>
        <v>0</v>
      </c>
      <c r="J1154" s="374">
        <f>IF(D1154=1,VLOOKUP(C1154,'Capital Code Schedules'!A$15:F$300,2,FALSE),IF(D1154=2,VLOOKUP(C1154,'Capital Code Schedules'!A$15:F$300,3,FALSE),0))</f>
        <v>17.255027166785979</v>
      </c>
      <c r="K1154" s="374">
        <f>IF(D1154=1,VLOOKUP(C1154,'Capital Code Schedules'!E$15:G$300,2,FALSE),IF(D1154=2,VLOOKUP(C1154,'Capital Code Schedules'!E$15:G$300,3,FALSE),0))</f>
        <v>21.887497717034414</v>
      </c>
      <c r="L1154" s="374">
        <f>VLOOKUP(LEFT(A1154,10),'Streetlight Tariff Schedule'!B$11:H$260,7, FALSE)+I1154</f>
        <v>29.991879471217374</v>
      </c>
      <c r="M1154" s="410">
        <f t="shared" si="192"/>
        <v>51.879377188251787</v>
      </c>
      <c r="N1154" s="411">
        <f t="shared" si="193"/>
        <v>48.923688864132963</v>
      </c>
      <c r="O1154" s="411">
        <v>63.071859707067993</v>
      </c>
      <c r="P1154" s="411">
        <v>62.078902879875166</v>
      </c>
      <c r="Q1154" s="411">
        <v>64.57443660773103</v>
      </c>
      <c r="R1154" s="411">
        <v>65.591969116396882</v>
      </c>
      <c r="S1154" s="411">
        <f t="shared" si="194"/>
        <v>50.890248918306682</v>
      </c>
      <c r="T1154" s="411">
        <v>66.851453637905948</v>
      </c>
      <c r="U1154" s="411">
        <v>68.142358216716701</v>
      </c>
      <c r="V1154" s="411">
        <f t="shared" si="195"/>
        <v>52.877222721195253</v>
      </c>
      <c r="W1154" s="411">
        <v>69.010568994663316</v>
      </c>
      <c r="X1154" s="411">
        <v>70.963289247549653</v>
      </c>
      <c r="Y1154" s="411">
        <f t="shared" si="196"/>
        <v>55.072323426873275</v>
      </c>
      <c r="Z1154" s="411">
        <v>70.904163679165549</v>
      </c>
      <c r="AA1154" s="411">
        <v>73.174354333083372</v>
      </c>
      <c r="AB1154" s="441">
        <f t="shared" si="197"/>
        <v>56.18863584049226</v>
      </c>
      <c r="AC1154" s="438">
        <f t="shared" si="198"/>
        <v>57.852956100985217</v>
      </c>
      <c r="AD1154" s="410"/>
      <c r="AE1154" s="411"/>
      <c r="AF1154" s="411"/>
      <c r="AG1154" s="411"/>
    </row>
    <row r="1155" spans="1:33" s="409" customFormat="1" x14ac:dyDescent="0.2">
      <c r="A1155" s="409" t="s">
        <v>407</v>
      </c>
      <c r="B1155" s="23" t="str">
        <f>VLOOKUP(LEFT(A1155,7),'[7]Tariff Schedule Lookup Table'!$A$8:$G$186,2,FALSE)</f>
        <v>Fluorescent 2x58</v>
      </c>
      <c r="C1155" s="375">
        <f t="shared" si="200"/>
        <v>10</v>
      </c>
      <c r="D1155" s="23">
        <f t="shared" si="201"/>
        <v>2</v>
      </c>
      <c r="E1155" s="23" t="str">
        <f>VLOOKUP(C1155,'[7]Tariff Schedule Lookup Table'!I$7:L$287,2,FALSE)</f>
        <v>MERCURY VAPOUR 80W</v>
      </c>
      <c r="F1155" s="23" t="str">
        <f>IF(E1155 = "BULKHEADS ETC", "SHARED OR NO POLE", VLOOKUP(C1155,'[7]Tariff Schedule Lookup Table'!I$7:L$287,3,FALSE))</f>
        <v>SHARED OR NO POLE</v>
      </c>
      <c r="G1155" s="23">
        <f>IF(E1155 = "NO CAPITAL", 1, VLOOKUP(C1155,'[7]Tariff Schedule Lookup Table'!I$7:L$287,4,FALSE))</f>
        <v>1</v>
      </c>
      <c r="H1155" s="23" t="str">
        <f t="shared" si="199"/>
        <v>2-Unmetered, Funded by Others, CE Maintained</v>
      </c>
      <c r="I1155" s="374">
        <f>VLOOKUP(F1155,'Maintenance Model'!$A$57:$B$61,2,FALSE)</f>
        <v>0</v>
      </c>
      <c r="J1155" s="374">
        <f>IF(D1155=1,VLOOKUP(C1155,'Capital Code Schedules'!A$15:F$300,2,FALSE),IF(D1155=2,VLOOKUP(C1155,'Capital Code Schedules'!A$15:F$300,3,FALSE),0))</f>
        <v>0</v>
      </c>
      <c r="K1155" s="374">
        <f>IF(D1155=1,VLOOKUP(C1155,'Capital Code Schedules'!E$15:G$300,2,FALSE),IF(D1155=2,VLOOKUP(C1155,'Capital Code Schedules'!E$15:G$300,3,FALSE),0))</f>
        <v>0</v>
      </c>
      <c r="L1155" s="374">
        <f>VLOOKUP(LEFT(A1155,10),'Streetlight Tariff Schedule'!B$11:H$260,7, FALSE)+I1155</f>
        <v>29.991879471217374</v>
      </c>
      <c r="M1155" s="410">
        <f t="shared" si="192"/>
        <v>29.991879471217374</v>
      </c>
      <c r="N1155" s="411">
        <f t="shared" si="193"/>
        <v>31.241599774969032</v>
      </c>
      <c r="O1155" s="411">
        <v>39.649689594344146</v>
      </c>
      <c r="P1155" s="411">
        <v>39.649689594344146</v>
      </c>
      <c r="Q1155" s="411">
        <v>41.590100293383117</v>
      </c>
      <c r="R1155" s="411">
        <v>41.590100293383117</v>
      </c>
      <c r="S1155" s="411">
        <f t="shared" si="194"/>
        <v>32.770528124185937</v>
      </c>
      <c r="T1155" s="411">
        <v>43.298254999777917</v>
      </c>
      <c r="U1155" s="411">
        <v>43.456436132247049</v>
      </c>
      <c r="V1155" s="411">
        <f t="shared" si="195"/>
        <v>34.241089884442069</v>
      </c>
      <c r="W1155" s="411">
        <v>44.874428690241622</v>
      </c>
      <c r="X1155" s="411">
        <v>45.440514404416469</v>
      </c>
      <c r="Y1155" s="411">
        <f t="shared" si="196"/>
        <v>35.804425686954161</v>
      </c>
      <c r="Z1155" s="411">
        <v>46.170653902209423</v>
      </c>
      <c r="AA1155" s="411">
        <v>46.924180406920897</v>
      </c>
      <c r="AB1155" s="441">
        <f t="shared" si="197"/>
        <v>36.581623100350569</v>
      </c>
      <c r="AC1155" s="438">
        <f t="shared" si="198"/>
        <v>37.675379290105397</v>
      </c>
      <c r="AD1155" s="410"/>
      <c r="AE1155" s="411"/>
      <c r="AF1155" s="411"/>
      <c r="AG1155" s="411"/>
    </row>
    <row r="1156" spans="1:33" s="409" customFormat="1" x14ac:dyDescent="0.2">
      <c r="A1156" s="409" t="s">
        <v>408</v>
      </c>
      <c r="B1156" s="23" t="str">
        <f>VLOOKUP(LEFT(A1156,7),'[7]Tariff Schedule Lookup Table'!$A$8:$G$186,2,FALSE)</f>
        <v>Fluorescent 4x58</v>
      </c>
      <c r="C1156" s="375">
        <f t="shared" si="200"/>
        <v>10</v>
      </c>
      <c r="D1156" s="23">
        <f t="shared" si="201"/>
        <v>2</v>
      </c>
      <c r="E1156" s="23" t="str">
        <f>VLOOKUP(C1156,'[7]Tariff Schedule Lookup Table'!I$7:L$287,2,FALSE)</f>
        <v>MERCURY VAPOUR 80W</v>
      </c>
      <c r="F1156" s="23" t="str">
        <f>IF(E1156 = "BULKHEADS ETC", "SHARED OR NO POLE", VLOOKUP(C1156,'[7]Tariff Schedule Lookup Table'!I$7:L$287,3,FALSE))</f>
        <v>SHARED OR NO POLE</v>
      </c>
      <c r="G1156" s="23">
        <f>IF(E1156 = "NO CAPITAL", 1, VLOOKUP(C1156,'[7]Tariff Schedule Lookup Table'!I$7:L$287,4,FALSE))</f>
        <v>1</v>
      </c>
      <c r="H1156" s="23" t="str">
        <f t="shared" si="199"/>
        <v>2-Unmetered, Funded by Others, CE Maintained</v>
      </c>
      <c r="I1156" s="374">
        <f>VLOOKUP(F1156,'Maintenance Model'!$A$57:$B$61,2,FALSE)</f>
        <v>0</v>
      </c>
      <c r="J1156" s="374">
        <f>IF(D1156=1,VLOOKUP(C1156,'Capital Code Schedules'!A$15:F$300,2,FALSE),IF(D1156=2,VLOOKUP(C1156,'Capital Code Schedules'!A$15:F$300,3,FALSE),0))</f>
        <v>0</v>
      </c>
      <c r="K1156" s="374">
        <f>IF(D1156=1,VLOOKUP(C1156,'Capital Code Schedules'!E$15:G$300,2,FALSE),IF(D1156=2,VLOOKUP(C1156,'Capital Code Schedules'!E$15:G$300,3,FALSE),0))</f>
        <v>0</v>
      </c>
      <c r="L1156" s="374">
        <f>VLOOKUP(LEFT(A1156,10),'Streetlight Tariff Schedule'!B$11:H$260,7, FALSE)+I1156</f>
        <v>38.094772404850701</v>
      </c>
      <c r="M1156" s="410">
        <f t="shared" si="192"/>
        <v>38.094772404850701</v>
      </c>
      <c r="N1156" s="411">
        <f t="shared" si="193"/>
        <v>39.682129095411845</v>
      </c>
      <c r="O1156" s="411">
        <v>48.612479375277196</v>
      </c>
      <c r="P1156" s="411">
        <v>48.612479375277196</v>
      </c>
      <c r="Q1156" s="411">
        <v>50.99151880917114</v>
      </c>
      <c r="R1156" s="411">
        <v>50.99151880917114</v>
      </c>
      <c r="S1156" s="411">
        <f t="shared" si="194"/>
        <v>41.624127346726439</v>
      </c>
      <c r="T1156" s="411">
        <v>53.085800915385782</v>
      </c>
      <c r="U1156" s="411">
        <v>53.279738802879628</v>
      </c>
      <c r="V1156" s="411">
        <f t="shared" si="195"/>
        <v>43.491990133318254</v>
      </c>
      <c r="W1156" s="411">
        <v>55.018267772085999</v>
      </c>
      <c r="X1156" s="411">
        <v>55.712316839973006</v>
      </c>
      <c r="Y1156" s="411">
        <f t="shared" si="196"/>
        <v>45.477691684506681</v>
      </c>
      <c r="Z1156" s="411">
        <v>56.607503955954833</v>
      </c>
      <c r="AA1156" s="411">
        <v>57.53136469846708</v>
      </c>
      <c r="AB1156" s="441">
        <f t="shared" si="197"/>
        <v>46.46486418249529</v>
      </c>
      <c r="AC1156" s="438">
        <f t="shared" si="198"/>
        <v>47.85412000272801</v>
      </c>
      <c r="AD1156" s="410"/>
      <c r="AE1156" s="411"/>
      <c r="AF1156" s="411"/>
      <c r="AG1156" s="411"/>
    </row>
    <row r="1157" spans="1:33" s="409" customFormat="1" x14ac:dyDescent="0.2">
      <c r="A1157" s="409" t="s">
        <v>409</v>
      </c>
      <c r="B1157" s="23" t="str">
        <f>VLOOKUP(LEFT(A1157,7),'[7]Tariff Schedule Lookup Table'!$A$8:$G$186,2,FALSE)</f>
        <v>Fluorescent 80</v>
      </c>
      <c r="C1157" s="375">
        <f t="shared" si="200"/>
        <v>10</v>
      </c>
      <c r="D1157" s="23">
        <f t="shared" si="201"/>
        <v>1</v>
      </c>
      <c r="E1157" s="23" t="str">
        <f>VLOOKUP(C1157,'[7]Tariff Schedule Lookup Table'!I$7:L$287,2,FALSE)</f>
        <v>MERCURY VAPOUR 80W</v>
      </c>
      <c r="F1157" s="23" t="str">
        <f>IF(E1157 = "BULKHEADS ETC", "SHARED OR NO POLE", VLOOKUP(C1157,'[7]Tariff Schedule Lookup Table'!I$7:L$287,3,FALSE))</f>
        <v>SHARED OR NO POLE</v>
      </c>
      <c r="G1157" s="23">
        <f>IF(E1157 = "NO CAPITAL", 1, VLOOKUP(C1157,'[7]Tariff Schedule Lookup Table'!I$7:L$287,4,FALSE))</f>
        <v>1</v>
      </c>
      <c r="H1157" s="23" t="str">
        <f t="shared" si="199"/>
        <v>1-Unmetered, CE Funded, CE Maintained</v>
      </c>
      <c r="I1157" s="374">
        <f>VLOOKUP(F1157,'Maintenance Model'!$A$57:$B$61,2,FALSE)</f>
        <v>0</v>
      </c>
      <c r="J1157" s="374">
        <f>IF(D1157=1,VLOOKUP(C1157,'Capital Code Schedules'!A$15:F$300,2,FALSE),IF(D1157=2,VLOOKUP(C1157,'Capital Code Schedules'!A$15:F$300,3,FALSE),0))</f>
        <v>17.255027166785979</v>
      </c>
      <c r="K1157" s="374">
        <f>IF(D1157=1,VLOOKUP(C1157,'Capital Code Schedules'!E$15:G$300,2,FALSE),IF(D1157=2,VLOOKUP(C1157,'Capital Code Schedules'!E$15:G$300,3,FALSE),0))</f>
        <v>21.887497717034414</v>
      </c>
      <c r="L1157" s="374">
        <f>VLOOKUP(LEFT(A1157,10),'Streetlight Tariff Schedule'!B$11:H$260,7, FALSE)+I1157</f>
        <v>25.940433004400706</v>
      </c>
      <c r="M1157" s="410">
        <f t="shared" si="192"/>
        <v>47.827930721435123</v>
      </c>
      <c r="N1157" s="411">
        <f t="shared" si="193"/>
        <v>44.703424203911553</v>
      </c>
      <c r="O1157" s="411">
        <v>58.590464816601475</v>
      </c>
      <c r="P1157" s="411">
        <v>57.597507989408641</v>
      </c>
      <c r="Q1157" s="411">
        <v>59.873727349837019</v>
      </c>
      <c r="R1157" s="411">
        <v>60.89125985850287</v>
      </c>
      <c r="S1157" s="411">
        <f t="shared" si="194"/>
        <v>46.46344930703642</v>
      </c>
      <c r="T1157" s="411">
        <v>61.957680680102008</v>
      </c>
      <c r="U1157" s="411">
        <v>63.230706881400415</v>
      </c>
      <c r="V1157" s="411">
        <f t="shared" si="195"/>
        <v>48.251772596757156</v>
      </c>
      <c r="W1157" s="411">
        <v>63.938649453741121</v>
      </c>
      <c r="X1157" s="411">
        <v>65.827388029771384</v>
      </c>
      <c r="Y1157" s="411">
        <f t="shared" si="196"/>
        <v>50.235690428097001</v>
      </c>
      <c r="Z1157" s="411">
        <v>65.685738652292841</v>
      </c>
      <c r="AA1157" s="411">
        <v>67.870762187310277</v>
      </c>
      <c r="AB1157" s="441">
        <f t="shared" si="197"/>
        <v>51.247015299419893</v>
      </c>
      <c r="AC1157" s="438">
        <f t="shared" si="198"/>
        <v>52.763585744673911</v>
      </c>
      <c r="AD1157" s="410"/>
      <c r="AE1157" s="411"/>
      <c r="AF1157" s="411"/>
      <c r="AG1157" s="411"/>
    </row>
    <row r="1158" spans="1:33" s="409" customFormat="1" x14ac:dyDescent="0.2">
      <c r="A1158" s="409" t="s">
        <v>410</v>
      </c>
      <c r="B1158" s="23" t="str">
        <f>VLOOKUP(LEFT(A1158,7),'[7]Tariff Schedule Lookup Table'!$A$8:$G$186,2,FALSE)</f>
        <v>Fluorescent 80</v>
      </c>
      <c r="C1158" s="375">
        <f t="shared" si="200"/>
        <v>10</v>
      </c>
      <c r="D1158" s="23">
        <f t="shared" si="201"/>
        <v>2</v>
      </c>
      <c r="E1158" s="23" t="str">
        <f>VLOOKUP(C1158,'[7]Tariff Schedule Lookup Table'!I$7:L$287,2,FALSE)</f>
        <v>MERCURY VAPOUR 80W</v>
      </c>
      <c r="F1158" s="23" t="str">
        <f>IF(E1158 = "BULKHEADS ETC", "SHARED OR NO POLE", VLOOKUP(C1158,'[7]Tariff Schedule Lookup Table'!I$7:L$287,3,FALSE))</f>
        <v>SHARED OR NO POLE</v>
      </c>
      <c r="G1158" s="23">
        <f>IF(E1158 = "NO CAPITAL", 1, VLOOKUP(C1158,'[7]Tariff Schedule Lookup Table'!I$7:L$287,4,FALSE))</f>
        <v>1</v>
      </c>
      <c r="H1158" s="23" t="str">
        <f t="shared" si="199"/>
        <v>2-Unmetered, Funded by Others, CE Maintained</v>
      </c>
      <c r="I1158" s="374">
        <f>VLOOKUP(F1158,'Maintenance Model'!$A$57:$B$61,2,FALSE)</f>
        <v>0</v>
      </c>
      <c r="J1158" s="374">
        <f>IF(D1158=1,VLOOKUP(C1158,'Capital Code Schedules'!A$15:F$300,2,FALSE),IF(D1158=2,VLOOKUP(C1158,'Capital Code Schedules'!A$15:F$300,3,FALSE),0))</f>
        <v>0</v>
      </c>
      <c r="K1158" s="374">
        <f>IF(D1158=1,VLOOKUP(C1158,'Capital Code Schedules'!E$15:G$300,2,FALSE),IF(D1158=2,VLOOKUP(C1158,'Capital Code Schedules'!E$15:G$300,3,FALSE),0))</f>
        <v>0</v>
      </c>
      <c r="L1158" s="374">
        <f>VLOOKUP(LEFT(A1158,10),'Streetlight Tariff Schedule'!B$11:H$260,7, FALSE)+I1158</f>
        <v>25.940433004400706</v>
      </c>
      <c r="M1158" s="410">
        <f t="shared" si="192"/>
        <v>25.940433004400706</v>
      </c>
      <c r="N1158" s="411">
        <f t="shared" si="193"/>
        <v>27.021335114747622</v>
      </c>
      <c r="O1158" s="411">
        <v>35.168294703877628</v>
      </c>
      <c r="P1158" s="411">
        <v>35.168294703877628</v>
      </c>
      <c r="Q1158" s="411">
        <v>36.889391035489098</v>
      </c>
      <c r="R1158" s="411">
        <v>36.889391035489098</v>
      </c>
      <c r="S1158" s="411">
        <f t="shared" si="194"/>
        <v>28.343728512915682</v>
      </c>
      <c r="T1158" s="411">
        <v>38.404482041973985</v>
      </c>
      <c r="U1158" s="411">
        <v>38.544784796930763</v>
      </c>
      <c r="V1158" s="411">
        <f t="shared" si="195"/>
        <v>29.61563976000398</v>
      </c>
      <c r="W1158" s="411">
        <v>39.802509149319427</v>
      </c>
      <c r="X1158" s="411">
        <v>40.3046131866382</v>
      </c>
      <c r="Y1158" s="411">
        <f t="shared" si="196"/>
        <v>30.967792688177894</v>
      </c>
      <c r="Z1158" s="411">
        <v>40.952228875336722</v>
      </c>
      <c r="AA1158" s="411">
        <v>41.620588261147809</v>
      </c>
      <c r="AB1158" s="441">
        <f t="shared" si="197"/>
        <v>31.640002559278212</v>
      </c>
      <c r="AC1158" s="438">
        <f t="shared" si="198"/>
        <v>32.586008933794091</v>
      </c>
      <c r="AD1158" s="410"/>
      <c r="AE1158" s="411"/>
      <c r="AF1158" s="411"/>
      <c r="AG1158" s="411"/>
    </row>
    <row r="1159" spans="1:33" s="409" customFormat="1" x14ac:dyDescent="0.2">
      <c r="A1159" s="409" t="s">
        <v>411</v>
      </c>
      <c r="B1159" s="23" t="str">
        <f>VLOOKUP(LEFT(A1159,7),'[7]Tariff Schedule Lookup Table'!$A$8:$G$186,2,FALSE)</f>
        <v>Fluorescent 80</v>
      </c>
      <c r="C1159" s="375">
        <f t="shared" si="200"/>
        <v>990</v>
      </c>
      <c r="D1159" s="23">
        <f t="shared" si="201"/>
        <v>1</v>
      </c>
      <c r="E1159" s="23" t="str">
        <f>VLOOKUP(C1159,'[7]Tariff Schedule Lookup Table'!I$7:L$287,2,FALSE)</f>
        <v>MERCURY VAPOUR 80W</v>
      </c>
      <c r="F1159" s="23" t="str">
        <f>IF(E1159 = "BULKHEADS ETC", "SHARED OR NO POLE", VLOOKUP(C1159,'[7]Tariff Schedule Lookup Table'!I$7:L$287,3,FALSE))</f>
        <v>STEEL POLE</v>
      </c>
      <c r="G1159" s="23">
        <f>IF(E1159 = "NO CAPITAL", 1, VLOOKUP(C1159,'[7]Tariff Schedule Lookup Table'!I$7:L$287,4,FALSE))</f>
        <v>1</v>
      </c>
      <c r="H1159" s="23" t="str">
        <f t="shared" si="199"/>
        <v>1-Unmetered, CE Funded, CE Maintained</v>
      </c>
      <c r="I1159" s="374">
        <f>VLOOKUP(F1159,'Maintenance Model'!$A$57:$B$61,2,FALSE)</f>
        <v>9.9616182311111103</v>
      </c>
      <c r="J1159" s="374">
        <f>IF(D1159=1,VLOOKUP(C1159,'Capital Code Schedules'!A$15:F$300,2,FALSE),IF(D1159=2,VLOOKUP(C1159,'Capital Code Schedules'!A$15:F$300,3,FALSE),0))</f>
        <v>86.253661186307269</v>
      </c>
      <c r="K1159" s="374">
        <f>IF(D1159=1,VLOOKUP(C1159,'Capital Code Schedules'!E$15:G$300,2,FALSE),IF(D1159=2,VLOOKUP(C1159,'Capital Code Schedules'!E$15:G$300,3,FALSE),0))</f>
        <v>109.41024862221688</v>
      </c>
      <c r="L1159" s="374">
        <f>VLOOKUP(LEFT(A1159,10),'Streetlight Tariff Schedule'!B$11:H$260,7, FALSE)+I1159</f>
        <v>35.90205123551182</v>
      </c>
      <c r="M1159" s="410">
        <f t="shared" si="192"/>
        <v>145.3122998577287</v>
      </c>
      <c r="N1159" s="411">
        <f t="shared" si="193"/>
        <v>125.78647955608841</v>
      </c>
      <c r="O1159" s="411">
        <v>161.84411057268801</v>
      </c>
      <c r="P1159" s="411">
        <v>156.88056221559356</v>
      </c>
      <c r="Q1159" s="411">
        <v>161.84610790039429</v>
      </c>
      <c r="R1159" s="411">
        <v>166.93250407932683</v>
      </c>
      <c r="S1159" s="411">
        <f t="shared" si="194"/>
        <v>129.80431097088797</v>
      </c>
      <c r="T1159" s="411">
        <v>166.61812818547386</v>
      </c>
      <c r="U1159" s="411">
        <v>172.45891385466678</v>
      </c>
      <c r="V1159" s="411">
        <f t="shared" si="195"/>
        <v>134.146077773954</v>
      </c>
      <c r="W1159" s="411">
        <v>171.31152804941181</v>
      </c>
      <c r="X1159" s="411">
        <v>178.8820559522423</v>
      </c>
      <c r="Y1159" s="411">
        <f t="shared" si="196"/>
        <v>139.17552132632665</v>
      </c>
      <c r="Z1159" s="411">
        <v>175.76100191008913</v>
      </c>
      <c r="AA1159" s="411">
        <v>184.19312681180816</v>
      </c>
      <c r="AB1159" s="441">
        <f t="shared" si="197"/>
        <v>141.80102549374945</v>
      </c>
      <c r="AC1159" s="438">
        <f t="shared" si="198"/>
        <v>145.96242651835016</v>
      </c>
      <c r="AD1159" s="410"/>
      <c r="AE1159" s="411"/>
      <c r="AF1159" s="411"/>
      <c r="AG1159" s="411"/>
    </row>
    <row r="1160" spans="1:33" s="409" customFormat="1" x14ac:dyDescent="0.2">
      <c r="A1160" s="409" t="s">
        <v>412</v>
      </c>
      <c r="B1160" s="23" t="str">
        <f>VLOOKUP(LEFT(A1160,7),'[7]Tariff Schedule Lookup Table'!$A$8:$G$186,2,FALSE)</f>
        <v>Fluorescent 80</v>
      </c>
      <c r="C1160" s="375">
        <f t="shared" si="200"/>
        <v>990</v>
      </c>
      <c r="D1160" s="23">
        <f t="shared" si="201"/>
        <v>2</v>
      </c>
      <c r="E1160" s="23" t="str">
        <f>VLOOKUP(C1160,'[7]Tariff Schedule Lookup Table'!I$7:L$287,2,FALSE)</f>
        <v>MERCURY VAPOUR 80W</v>
      </c>
      <c r="F1160" s="23" t="str">
        <f>IF(E1160 = "BULKHEADS ETC", "SHARED OR NO POLE", VLOOKUP(C1160,'[7]Tariff Schedule Lookup Table'!I$7:L$287,3,FALSE))</f>
        <v>STEEL POLE</v>
      </c>
      <c r="G1160" s="23">
        <f>IF(E1160 = "NO CAPITAL", 1, VLOOKUP(C1160,'[7]Tariff Schedule Lookup Table'!I$7:L$287,4,FALSE))</f>
        <v>1</v>
      </c>
      <c r="H1160" s="23" t="str">
        <f t="shared" si="199"/>
        <v>2-Unmetered, Funded by Others, CE Maintained</v>
      </c>
      <c r="I1160" s="374">
        <f>VLOOKUP(F1160,'Maintenance Model'!$A$57:$B$61,2,FALSE)</f>
        <v>9.9616182311111103</v>
      </c>
      <c r="J1160" s="374">
        <f>IF(D1160=1,VLOOKUP(C1160,'Capital Code Schedules'!A$15:F$300,2,FALSE),IF(D1160=2,VLOOKUP(C1160,'Capital Code Schedules'!A$15:F$300,3,FALSE),0))</f>
        <v>0</v>
      </c>
      <c r="K1160" s="374">
        <f>IF(D1160=1,VLOOKUP(C1160,'Capital Code Schedules'!E$15:G$300,2,FALSE),IF(D1160=2,VLOOKUP(C1160,'Capital Code Schedules'!E$15:G$300,3,FALSE),0))</f>
        <v>0</v>
      </c>
      <c r="L1160" s="374">
        <f>VLOOKUP(LEFT(A1160,10),'Streetlight Tariff Schedule'!B$11:H$260,7, FALSE)+I1160</f>
        <v>35.90205123551182</v>
      </c>
      <c r="M1160" s="410">
        <f t="shared" si="192"/>
        <v>35.90205123551182</v>
      </c>
      <c r="N1160" s="411">
        <f t="shared" si="193"/>
        <v>37.398040255420021</v>
      </c>
      <c r="O1160" s="411">
        <v>44.762409939976784</v>
      </c>
      <c r="P1160" s="411">
        <v>44.762409939976784</v>
      </c>
      <c r="Q1160" s="411">
        <v>46.953031355956014</v>
      </c>
      <c r="R1160" s="411">
        <v>46.953031355956014</v>
      </c>
      <c r="S1160" s="411">
        <f t="shared" si="194"/>
        <v>39.228257797528059</v>
      </c>
      <c r="T1160" s="411">
        <v>48.881447996560738</v>
      </c>
      <c r="U1160" s="411">
        <v>49.060026158679896</v>
      </c>
      <c r="V1160" s="411">
        <f t="shared" si="195"/>
        <v>40.988607085153319</v>
      </c>
      <c r="W1160" s="411">
        <v>50.660865025823085</v>
      </c>
      <c r="X1160" s="411">
        <v>51.299945963361466</v>
      </c>
      <c r="Y1160" s="411">
        <f t="shared" si="196"/>
        <v>42.860012381175629</v>
      </c>
      <c r="Z1160" s="411">
        <v>52.124234976666614</v>
      </c>
      <c r="AA1160" s="411">
        <v>52.974926688244203</v>
      </c>
      <c r="AB1160" s="441">
        <f t="shared" si="197"/>
        <v>43.790363591163754</v>
      </c>
      <c r="AC1160" s="438">
        <f t="shared" si="198"/>
        <v>45.099654354399213</v>
      </c>
      <c r="AD1160" s="410"/>
      <c r="AE1160" s="411"/>
      <c r="AF1160" s="411"/>
      <c r="AG1160" s="411"/>
    </row>
    <row r="1161" spans="1:33" s="409" customFormat="1" x14ac:dyDescent="0.2">
      <c r="A1161" s="409" t="s">
        <v>413</v>
      </c>
      <c r="B1161" s="23" t="str">
        <f>VLOOKUP(LEFT(A1161,7),'[7]Tariff Schedule Lookup Table'!$A$8:$G$186,2,FALSE)</f>
        <v>Fluorescent 80</v>
      </c>
      <c r="C1161" s="375">
        <f t="shared" si="200"/>
        <v>1000</v>
      </c>
      <c r="D1161" s="23">
        <f t="shared" si="201"/>
        <v>2</v>
      </c>
      <c r="E1161" s="23" t="str">
        <f>VLOOKUP(C1161,'[7]Tariff Schedule Lookup Table'!I$7:L$287,2,FALSE)</f>
        <v>MERCURY VAPOUR 80W</v>
      </c>
      <c r="F1161" s="23" t="str">
        <f>IF(E1161 = "BULKHEADS ETC", "SHARED OR NO POLE", VLOOKUP(C1161,'[7]Tariff Schedule Lookup Table'!I$7:L$287,3,FALSE))</f>
        <v>STEEL POLE</v>
      </c>
      <c r="G1161" s="23">
        <f>IF(E1161 = "NO CAPITAL", 1, VLOOKUP(C1161,'[7]Tariff Schedule Lookup Table'!I$7:L$287,4,FALSE))</f>
        <v>2</v>
      </c>
      <c r="H1161" s="23" t="str">
        <f t="shared" si="199"/>
        <v>2-Unmetered, Funded by Others, CE Maintained</v>
      </c>
      <c r="I1161" s="374">
        <f>VLOOKUP(F1161,'Maintenance Model'!$A$57:$B$61,2,FALSE)</f>
        <v>9.9616182311111103</v>
      </c>
      <c r="J1161" s="374">
        <f>IF(D1161=1,VLOOKUP(C1161,'Capital Code Schedules'!A$15:F$300,2,FALSE),IF(D1161=2,VLOOKUP(C1161,'Capital Code Schedules'!A$15:F$300,3,FALSE),0))</f>
        <v>0</v>
      </c>
      <c r="K1161" s="374">
        <f>IF(D1161=1,VLOOKUP(C1161,'Capital Code Schedules'!E$15:G$300,2,FALSE),IF(D1161=2,VLOOKUP(C1161,'Capital Code Schedules'!E$15:G$300,3,FALSE),0))</f>
        <v>0</v>
      </c>
      <c r="L1161" s="374">
        <f>VLOOKUP(LEFT(A1161,10),'Streetlight Tariff Schedule'!B$11:H$260,7, FALSE)+I1161</f>
        <v>35.90205123551182</v>
      </c>
      <c r="M1161" s="410">
        <f t="shared" si="192"/>
        <v>35.90205123551182</v>
      </c>
      <c r="N1161" s="411">
        <f t="shared" si="193"/>
        <v>37.398040255420021</v>
      </c>
      <c r="O1161" s="411">
        <v>44.762409939976784</v>
      </c>
      <c r="P1161" s="411">
        <v>44.762409939976784</v>
      </c>
      <c r="Q1161" s="411">
        <v>46.953031355956014</v>
      </c>
      <c r="R1161" s="411">
        <v>46.953031355956014</v>
      </c>
      <c r="S1161" s="411">
        <f t="shared" si="194"/>
        <v>39.228257797528059</v>
      </c>
      <c r="T1161" s="411">
        <v>48.881447996560738</v>
      </c>
      <c r="U1161" s="411">
        <v>49.060026158679896</v>
      </c>
      <c r="V1161" s="411">
        <f t="shared" si="195"/>
        <v>40.988607085153319</v>
      </c>
      <c r="W1161" s="411">
        <v>50.660865025823085</v>
      </c>
      <c r="X1161" s="411">
        <v>51.299945963361466</v>
      </c>
      <c r="Y1161" s="411">
        <f t="shared" si="196"/>
        <v>42.860012381175629</v>
      </c>
      <c r="Z1161" s="411">
        <v>52.124234976666614</v>
      </c>
      <c r="AA1161" s="411">
        <v>52.974926688244203</v>
      </c>
      <c r="AB1161" s="441">
        <f t="shared" si="197"/>
        <v>43.790363591163754</v>
      </c>
      <c r="AC1161" s="438">
        <f t="shared" si="198"/>
        <v>45.099654354399213</v>
      </c>
      <c r="AD1161" s="410"/>
      <c r="AE1161" s="411"/>
      <c r="AF1161" s="411"/>
      <c r="AG1161" s="411"/>
    </row>
    <row r="1162" spans="1:33" s="409" customFormat="1" x14ac:dyDescent="0.2">
      <c r="A1162" s="409" t="s">
        <v>414</v>
      </c>
      <c r="B1162" s="23" t="str">
        <f>VLOOKUP(LEFT(A1162,7),'[7]Tariff Schedule Lookup Table'!$A$8:$G$186,2,FALSE)</f>
        <v>Fluorescent 80</v>
      </c>
      <c r="C1162" s="375">
        <f t="shared" si="200"/>
        <v>1260</v>
      </c>
      <c r="D1162" s="23">
        <f t="shared" si="201"/>
        <v>2</v>
      </c>
      <c r="E1162" s="23" t="str">
        <f>VLOOKUP(C1162,'[7]Tariff Schedule Lookup Table'!I$7:L$287,2,FALSE)</f>
        <v>MERCURY VAPOUR 80W</v>
      </c>
      <c r="F1162" s="23" t="str">
        <f>IF(E1162 = "BULKHEADS ETC", "SHARED OR NO POLE", VLOOKUP(C1162,'[7]Tariff Schedule Lookup Table'!I$7:L$287,3,FALSE))</f>
        <v>WOOD POLE</v>
      </c>
      <c r="G1162" s="23">
        <f>IF(E1162 = "NO CAPITAL", 1, VLOOKUP(C1162,'[7]Tariff Schedule Lookup Table'!I$7:L$287,4,FALSE))</f>
        <v>2</v>
      </c>
      <c r="H1162" s="23" t="str">
        <f t="shared" si="199"/>
        <v>2-Unmetered, Funded by Others, CE Maintained</v>
      </c>
      <c r="I1162" s="374">
        <f>VLOOKUP(F1162,'Maintenance Model'!$A$57:$B$61,2,FALSE)</f>
        <v>10.731618231111112</v>
      </c>
      <c r="J1162" s="374">
        <f>IF(D1162=1,VLOOKUP(C1162,'Capital Code Schedules'!A$15:F$300,2,FALSE),IF(D1162=2,VLOOKUP(C1162,'Capital Code Schedules'!A$15:F$300,3,FALSE),0))</f>
        <v>0</v>
      </c>
      <c r="K1162" s="374">
        <f>IF(D1162=1,VLOOKUP(C1162,'Capital Code Schedules'!E$15:G$300,2,FALSE),IF(D1162=2,VLOOKUP(C1162,'Capital Code Schedules'!E$15:G$300,3,FALSE),0))</f>
        <v>0</v>
      </c>
      <c r="L1162" s="374">
        <f>VLOOKUP(LEFT(A1162,10),'Streetlight Tariff Schedule'!B$11:H$260,7, FALSE)+I1162</f>
        <v>36.672051235511816</v>
      </c>
      <c r="M1162" s="410">
        <f t="shared" si="192"/>
        <v>36.672051235511816</v>
      </c>
      <c r="N1162" s="411">
        <f t="shared" si="193"/>
        <v>38.200125094745019</v>
      </c>
      <c r="O1162" s="411">
        <v>45.564494779301789</v>
      </c>
      <c r="P1162" s="411">
        <v>45.564494779301789</v>
      </c>
      <c r="Q1162" s="411">
        <v>47.794369314780475</v>
      </c>
      <c r="R1162" s="411">
        <v>47.794369314780475</v>
      </c>
      <c r="S1162" s="411">
        <f t="shared" si="194"/>
        <v>40.069595756352506</v>
      </c>
      <c r="T1162" s="411">
        <v>49.757340702401834</v>
      </c>
      <c r="U1162" s="411">
        <v>49.939118755605101</v>
      </c>
      <c r="V1162" s="411">
        <f t="shared" si="195"/>
        <v>41.867699682078523</v>
      </c>
      <c r="W1162" s="411">
        <v>51.568642597200295</v>
      </c>
      <c r="X1162" s="411">
        <v>52.219175043533404</v>
      </c>
      <c r="Y1162" s="411">
        <f t="shared" si="196"/>
        <v>43.77924146134756</v>
      </c>
      <c r="Z1162" s="411">
        <v>53.058234256246507</v>
      </c>
      <c r="AA1162" s="411">
        <v>53.924169269641645</v>
      </c>
      <c r="AB1162" s="441">
        <f t="shared" si="197"/>
        <v>44.729546139369916</v>
      </c>
      <c r="AC1162" s="438">
        <f t="shared" si="198"/>
        <v>46.06691757914048</v>
      </c>
      <c r="AD1162" s="410"/>
      <c r="AE1162" s="411"/>
      <c r="AF1162" s="411"/>
      <c r="AG1162" s="411"/>
    </row>
    <row r="1163" spans="1:33" s="409" customFormat="1" x14ac:dyDescent="0.2">
      <c r="A1163" s="409" t="s">
        <v>415</v>
      </c>
      <c r="B1163" s="23" t="str">
        <f>VLOOKUP(LEFT(A1163,7),'[7]Tariff Schedule Lookup Table'!$A$8:$G$186,2,FALSE)</f>
        <v>Fluorescent 2x80</v>
      </c>
      <c r="C1163" s="375">
        <f t="shared" si="200"/>
        <v>10</v>
      </c>
      <c r="D1163" s="23">
        <f t="shared" si="201"/>
        <v>1</v>
      </c>
      <c r="E1163" s="23" t="str">
        <f>VLOOKUP(C1163,'[7]Tariff Schedule Lookup Table'!I$7:L$287,2,FALSE)</f>
        <v>MERCURY VAPOUR 80W</v>
      </c>
      <c r="F1163" s="23" t="str">
        <f>IF(E1163 = "BULKHEADS ETC", "SHARED OR NO POLE", VLOOKUP(C1163,'[7]Tariff Schedule Lookup Table'!I$7:L$287,3,FALSE))</f>
        <v>SHARED OR NO POLE</v>
      </c>
      <c r="G1163" s="23">
        <f>IF(E1163 = "NO CAPITAL", 1, VLOOKUP(C1163,'[7]Tariff Schedule Lookup Table'!I$7:L$287,4,FALSE))</f>
        <v>1</v>
      </c>
      <c r="H1163" s="23" t="str">
        <f t="shared" si="199"/>
        <v>1-Unmetered, CE Funded, CE Maintained</v>
      </c>
      <c r="I1163" s="374">
        <f>VLOOKUP(F1163,'Maintenance Model'!$A$57:$B$61,2,FALSE)</f>
        <v>0</v>
      </c>
      <c r="J1163" s="374">
        <f>IF(D1163=1,VLOOKUP(C1163,'Capital Code Schedules'!A$15:F$300,2,FALSE),IF(D1163=2,VLOOKUP(C1163,'Capital Code Schedules'!A$15:F$300,3,FALSE),0))</f>
        <v>17.255027166785979</v>
      </c>
      <c r="K1163" s="374">
        <f>IF(D1163=1,VLOOKUP(C1163,'Capital Code Schedules'!E$15:G$300,2,FALSE),IF(D1163=2,VLOOKUP(C1163,'Capital Code Schedules'!E$15:G$300,3,FALSE),0))</f>
        <v>21.887497717034414</v>
      </c>
      <c r="L1163" s="374">
        <f>VLOOKUP(LEFT(A1163,10),'Streetlight Tariff Schedule'!B$11:H$260,7, FALSE)+I1163</f>
        <v>29.991879471217374</v>
      </c>
      <c r="M1163" s="410">
        <f t="shared" si="192"/>
        <v>51.879377188251787</v>
      </c>
      <c r="N1163" s="411">
        <f t="shared" si="193"/>
        <v>48.923688864132963</v>
      </c>
      <c r="O1163" s="411">
        <v>63.071859707067993</v>
      </c>
      <c r="P1163" s="411">
        <v>62.078902879875166</v>
      </c>
      <c r="Q1163" s="411">
        <v>64.57443660773103</v>
      </c>
      <c r="R1163" s="411">
        <v>65.591969116396882</v>
      </c>
      <c r="S1163" s="411">
        <f t="shared" si="194"/>
        <v>50.890248918306682</v>
      </c>
      <c r="T1163" s="411">
        <v>66.851453637905948</v>
      </c>
      <c r="U1163" s="411">
        <v>68.142358216716701</v>
      </c>
      <c r="V1163" s="411">
        <f t="shared" si="195"/>
        <v>52.877222721195253</v>
      </c>
      <c r="W1163" s="411">
        <v>69.010568994663316</v>
      </c>
      <c r="X1163" s="411">
        <v>70.963289247549653</v>
      </c>
      <c r="Y1163" s="411">
        <f t="shared" si="196"/>
        <v>55.072323426873275</v>
      </c>
      <c r="Z1163" s="411">
        <v>70.904163679165549</v>
      </c>
      <c r="AA1163" s="411">
        <v>73.174354333083372</v>
      </c>
      <c r="AB1163" s="441">
        <f t="shared" si="197"/>
        <v>56.18863584049226</v>
      </c>
      <c r="AC1163" s="438">
        <f t="shared" si="198"/>
        <v>57.852956100985217</v>
      </c>
      <c r="AD1163" s="410"/>
      <c r="AE1163" s="411"/>
      <c r="AF1163" s="411"/>
      <c r="AG1163" s="411"/>
    </row>
    <row r="1164" spans="1:33" s="409" customFormat="1" x14ac:dyDescent="0.2">
      <c r="A1164" s="409" t="s">
        <v>416</v>
      </c>
      <c r="B1164" s="23" t="str">
        <f>VLOOKUP(LEFT(A1164,7),'[7]Tariff Schedule Lookup Table'!$A$8:$G$186,2,FALSE)</f>
        <v>Fluorescent 2x80</v>
      </c>
      <c r="C1164" s="375">
        <f t="shared" si="200"/>
        <v>10</v>
      </c>
      <c r="D1164" s="23">
        <f t="shared" si="201"/>
        <v>2</v>
      </c>
      <c r="E1164" s="23" t="str">
        <f>VLOOKUP(C1164,'[7]Tariff Schedule Lookup Table'!I$7:L$287,2,FALSE)</f>
        <v>MERCURY VAPOUR 80W</v>
      </c>
      <c r="F1164" s="23" t="str">
        <f>IF(E1164 = "BULKHEADS ETC", "SHARED OR NO POLE", VLOOKUP(C1164,'[7]Tariff Schedule Lookup Table'!I$7:L$287,3,FALSE))</f>
        <v>SHARED OR NO POLE</v>
      </c>
      <c r="G1164" s="23">
        <f>IF(E1164 = "NO CAPITAL", 1, VLOOKUP(C1164,'[7]Tariff Schedule Lookup Table'!I$7:L$287,4,FALSE))</f>
        <v>1</v>
      </c>
      <c r="H1164" s="23" t="str">
        <f t="shared" si="199"/>
        <v>2-Unmetered, Funded by Others, CE Maintained</v>
      </c>
      <c r="I1164" s="374">
        <f>VLOOKUP(F1164,'Maintenance Model'!$A$57:$B$61,2,FALSE)</f>
        <v>0</v>
      </c>
      <c r="J1164" s="374">
        <f>IF(D1164=1,VLOOKUP(C1164,'Capital Code Schedules'!A$15:F$300,2,FALSE),IF(D1164=2,VLOOKUP(C1164,'Capital Code Schedules'!A$15:F$300,3,FALSE),0))</f>
        <v>0</v>
      </c>
      <c r="K1164" s="374">
        <f>IF(D1164=1,VLOOKUP(C1164,'Capital Code Schedules'!E$15:G$300,2,FALSE),IF(D1164=2,VLOOKUP(C1164,'Capital Code Schedules'!E$15:G$300,3,FALSE),0))</f>
        <v>0</v>
      </c>
      <c r="L1164" s="374">
        <f>VLOOKUP(LEFT(A1164,10),'Streetlight Tariff Schedule'!B$11:H$260,7, FALSE)+I1164</f>
        <v>29.991879471217374</v>
      </c>
      <c r="M1164" s="410">
        <f t="shared" si="192"/>
        <v>29.991879471217374</v>
      </c>
      <c r="N1164" s="411">
        <f t="shared" si="193"/>
        <v>31.241599774969032</v>
      </c>
      <c r="O1164" s="411">
        <v>39.649689594344146</v>
      </c>
      <c r="P1164" s="411">
        <v>39.649689594344146</v>
      </c>
      <c r="Q1164" s="411">
        <v>41.590100293383117</v>
      </c>
      <c r="R1164" s="411">
        <v>41.590100293383117</v>
      </c>
      <c r="S1164" s="411">
        <f t="shared" si="194"/>
        <v>32.770528124185937</v>
      </c>
      <c r="T1164" s="411">
        <v>43.298254999777917</v>
      </c>
      <c r="U1164" s="411">
        <v>43.456436132247049</v>
      </c>
      <c r="V1164" s="411">
        <f t="shared" si="195"/>
        <v>34.241089884442069</v>
      </c>
      <c r="W1164" s="411">
        <v>44.874428690241622</v>
      </c>
      <c r="X1164" s="411">
        <v>45.440514404416469</v>
      </c>
      <c r="Y1164" s="411">
        <f t="shared" si="196"/>
        <v>35.804425686954161</v>
      </c>
      <c r="Z1164" s="411">
        <v>46.170653902209423</v>
      </c>
      <c r="AA1164" s="411">
        <v>46.924180406920897</v>
      </c>
      <c r="AB1164" s="441">
        <f t="shared" si="197"/>
        <v>36.581623100350569</v>
      </c>
      <c r="AC1164" s="438">
        <f t="shared" si="198"/>
        <v>37.675379290105397</v>
      </c>
      <c r="AD1164" s="410"/>
      <c r="AE1164" s="411"/>
      <c r="AF1164" s="411"/>
      <c r="AG1164" s="411"/>
    </row>
    <row r="1165" spans="1:33" s="409" customFormat="1" x14ac:dyDescent="0.2">
      <c r="A1165" s="409" t="s">
        <v>417</v>
      </c>
      <c r="B1165" s="23" t="str">
        <f>VLOOKUP(LEFT(A1165,7),'[7]Tariff Schedule Lookup Table'!$A$8:$G$186,2,FALSE)</f>
        <v>Fluorescent 3x80</v>
      </c>
      <c r="C1165" s="375">
        <f t="shared" si="200"/>
        <v>10</v>
      </c>
      <c r="D1165" s="23">
        <f t="shared" si="201"/>
        <v>2</v>
      </c>
      <c r="E1165" s="23" t="str">
        <f>VLOOKUP(C1165,'[7]Tariff Schedule Lookup Table'!I$7:L$287,2,FALSE)</f>
        <v>MERCURY VAPOUR 80W</v>
      </c>
      <c r="F1165" s="23" t="str">
        <f>IF(E1165 = "BULKHEADS ETC", "SHARED OR NO POLE", VLOOKUP(C1165,'[7]Tariff Schedule Lookup Table'!I$7:L$287,3,FALSE))</f>
        <v>SHARED OR NO POLE</v>
      </c>
      <c r="G1165" s="23">
        <f>IF(E1165 = "NO CAPITAL", 1, VLOOKUP(C1165,'[7]Tariff Schedule Lookup Table'!I$7:L$287,4,FALSE))</f>
        <v>1</v>
      </c>
      <c r="H1165" s="23" t="str">
        <f t="shared" si="199"/>
        <v>2-Unmetered, Funded by Others, CE Maintained</v>
      </c>
      <c r="I1165" s="374">
        <f>VLOOKUP(F1165,'Maintenance Model'!$A$57:$B$61,2,FALSE)</f>
        <v>0</v>
      </c>
      <c r="J1165" s="374">
        <f>IF(D1165=1,VLOOKUP(C1165,'Capital Code Schedules'!A$15:F$300,2,FALSE),IF(D1165=2,VLOOKUP(C1165,'Capital Code Schedules'!A$15:F$300,3,FALSE),0))</f>
        <v>0</v>
      </c>
      <c r="K1165" s="374">
        <f>IF(D1165=1,VLOOKUP(C1165,'Capital Code Schedules'!E$15:G$300,2,FALSE),IF(D1165=2,VLOOKUP(C1165,'Capital Code Schedules'!E$15:G$300,3,FALSE),0))</f>
        <v>0</v>
      </c>
      <c r="L1165" s="374">
        <f>VLOOKUP(LEFT(A1165,10),'Streetlight Tariff Schedule'!B$11:H$260,7, FALSE)+I1165</f>
        <v>34.043325938034037</v>
      </c>
      <c r="M1165" s="410">
        <f t="shared" si="192"/>
        <v>34.043325938034037</v>
      </c>
      <c r="N1165" s="411">
        <f t="shared" si="193"/>
        <v>35.461864435190435</v>
      </c>
      <c r="O1165" s="411">
        <v>44.131084484810671</v>
      </c>
      <c r="P1165" s="411">
        <v>44.131084484810671</v>
      </c>
      <c r="Q1165" s="411">
        <v>46.290809551277128</v>
      </c>
      <c r="R1165" s="411">
        <v>46.290809551277128</v>
      </c>
      <c r="S1165" s="411">
        <f t="shared" si="194"/>
        <v>37.197327735456184</v>
      </c>
      <c r="T1165" s="411">
        <v>48.192027957581857</v>
      </c>
      <c r="U1165" s="411">
        <v>48.368087467563342</v>
      </c>
      <c r="V1165" s="411">
        <f t="shared" si="195"/>
        <v>38.866540008880165</v>
      </c>
      <c r="W1165" s="411">
        <v>49.946348231163803</v>
      </c>
      <c r="X1165" s="411">
        <v>50.576415622194737</v>
      </c>
      <c r="Y1165" s="411">
        <f t="shared" si="196"/>
        <v>40.641058685730414</v>
      </c>
      <c r="Z1165" s="411">
        <v>51.389078929082125</v>
      </c>
      <c r="AA1165" s="411">
        <v>52.227772552693992</v>
      </c>
      <c r="AB1165" s="441">
        <f t="shared" si="197"/>
        <v>41.52324364142293</v>
      </c>
      <c r="AC1165" s="438">
        <f t="shared" si="198"/>
        <v>42.764749646416703</v>
      </c>
      <c r="AD1165" s="410"/>
      <c r="AE1165" s="411"/>
      <c r="AF1165" s="411"/>
      <c r="AG1165" s="411"/>
    </row>
    <row r="1166" spans="1:33" s="409" customFormat="1" x14ac:dyDescent="0.2">
      <c r="A1166" s="409" t="s">
        <v>418</v>
      </c>
      <c r="B1166" s="23" t="str">
        <f>VLOOKUP(LEFT(A1166,7),'[7]Tariff Schedule Lookup Table'!$A$8:$G$186,2,FALSE)</f>
        <v>Fluorescent 4x80</v>
      </c>
      <c r="C1166" s="375">
        <f t="shared" si="200"/>
        <v>10</v>
      </c>
      <c r="D1166" s="23">
        <f t="shared" si="201"/>
        <v>2</v>
      </c>
      <c r="E1166" s="23" t="str">
        <f>VLOOKUP(C1166,'[7]Tariff Schedule Lookup Table'!I$7:L$287,2,FALSE)</f>
        <v>MERCURY VAPOUR 80W</v>
      </c>
      <c r="F1166" s="23" t="str">
        <f>IF(E1166 = "BULKHEADS ETC", "SHARED OR NO POLE", VLOOKUP(C1166,'[7]Tariff Schedule Lookup Table'!I$7:L$287,3,FALSE))</f>
        <v>SHARED OR NO POLE</v>
      </c>
      <c r="G1166" s="23">
        <f>IF(E1166 = "NO CAPITAL", 1, VLOOKUP(C1166,'[7]Tariff Schedule Lookup Table'!I$7:L$287,4,FALSE))</f>
        <v>1</v>
      </c>
      <c r="H1166" s="23" t="str">
        <f t="shared" si="199"/>
        <v>2-Unmetered, Funded by Others, CE Maintained</v>
      </c>
      <c r="I1166" s="374">
        <f>VLOOKUP(F1166,'Maintenance Model'!$A$57:$B$61,2,FALSE)</f>
        <v>0</v>
      </c>
      <c r="J1166" s="374">
        <f>IF(D1166=1,VLOOKUP(C1166,'Capital Code Schedules'!A$15:F$300,2,FALSE),IF(D1166=2,VLOOKUP(C1166,'Capital Code Schedules'!A$15:F$300,3,FALSE),0))</f>
        <v>0</v>
      </c>
      <c r="K1166" s="374">
        <f>IF(D1166=1,VLOOKUP(C1166,'Capital Code Schedules'!E$15:G$300,2,FALSE),IF(D1166=2,VLOOKUP(C1166,'Capital Code Schedules'!E$15:G$300,3,FALSE),0))</f>
        <v>0</v>
      </c>
      <c r="L1166" s="374">
        <f>VLOOKUP(LEFT(A1166,10),'Streetlight Tariff Schedule'!B$11:H$260,7, FALSE)+I1166</f>
        <v>38.094772404850701</v>
      </c>
      <c r="M1166" s="410">
        <f t="shared" si="192"/>
        <v>38.094772404850701</v>
      </c>
      <c r="N1166" s="411">
        <f t="shared" si="193"/>
        <v>39.682129095411845</v>
      </c>
      <c r="O1166" s="411">
        <v>48.612479375277196</v>
      </c>
      <c r="P1166" s="411">
        <v>48.612479375277196</v>
      </c>
      <c r="Q1166" s="411">
        <v>50.99151880917114</v>
      </c>
      <c r="R1166" s="411">
        <v>50.99151880917114</v>
      </c>
      <c r="S1166" s="411">
        <f t="shared" si="194"/>
        <v>41.624127346726439</v>
      </c>
      <c r="T1166" s="411">
        <v>53.085800915385782</v>
      </c>
      <c r="U1166" s="411">
        <v>53.279738802879628</v>
      </c>
      <c r="V1166" s="411">
        <f t="shared" si="195"/>
        <v>43.491990133318254</v>
      </c>
      <c r="W1166" s="411">
        <v>55.018267772085999</v>
      </c>
      <c r="X1166" s="411">
        <v>55.712316839973006</v>
      </c>
      <c r="Y1166" s="411">
        <f t="shared" si="196"/>
        <v>45.477691684506681</v>
      </c>
      <c r="Z1166" s="411">
        <v>56.607503955954833</v>
      </c>
      <c r="AA1166" s="411">
        <v>57.53136469846708</v>
      </c>
      <c r="AB1166" s="441">
        <f t="shared" si="197"/>
        <v>46.46486418249529</v>
      </c>
      <c r="AC1166" s="438">
        <f t="shared" si="198"/>
        <v>47.85412000272801</v>
      </c>
      <c r="AD1166" s="410"/>
      <c r="AE1166" s="411"/>
      <c r="AF1166" s="411"/>
      <c r="AG1166" s="411"/>
    </row>
    <row r="1167" spans="1:33" s="409" customFormat="1" x14ac:dyDescent="0.2">
      <c r="A1167" s="409" t="s">
        <v>419</v>
      </c>
      <c r="B1167" s="23" t="str">
        <f>VLOOKUP(LEFT(A1167,7),'[7]Tariff Schedule Lookup Table'!$A$8:$G$186,2,FALSE)</f>
        <v>Fluorescent 2x125</v>
      </c>
      <c r="C1167" s="375">
        <f t="shared" si="200"/>
        <v>10</v>
      </c>
      <c r="D1167" s="23">
        <f t="shared" si="201"/>
        <v>2</v>
      </c>
      <c r="E1167" s="23" t="str">
        <f>VLOOKUP(C1167,'[7]Tariff Schedule Lookup Table'!I$7:L$287,2,FALSE)</f>
        <v>MERCURY VAPOUR 80W</v>
      </c>
      <c r="F1167" s="23" t="str">
        <f>IF(E1167 = "BULKHEADS ETC", "SHARED OR NO POLE", VLOOKUP(C1167,'[7]Tariff Schedule Lookup Table'!I$7:L$287,3,FALSE))</f>
        <v>SHARED OR NO POLE</v>
      </c>
      <c r="G1167" s="23">
        <f>IF(E1167 = "NO CAPITAL", 1, VLOOKUP(C1167,'[7]Tariff Schedule Lookup Table'!I$7:L$287,4,FALSE))</f>
        <v>1</v>
      </c>
      <c r="H1167" s="23" t="str">
        <f t="shared" si="199"/>
        <v>2-Unmetered, Funded by Others, CE Maintained</v>
      </c>
      <c r="I1167" s="374">
        <f>VLOOKUP(F1167,'Maintenance Model'!$A$57:$B$61,2,FALSE)</f>
        <v>0</v>
      </c>
      <c r="J1167" s="374">
        <f>IF(D1167=1,VLOOKUP(C1167,'Capital Code Schedules'!A$15:F$300,2,FALSE),IF(D1167=2,VLOOKUP(C1167,'Capital Code Schedules'!A$15:F$300,3,FALSE),0))</f>
        <v>0</v>
      </c>
      <c r="K1167" s="374">
        <f>IF(D1167=1,VLOOKUP(C1167,'Capital Code Schedules'!E$15:G$300,2,FALSE),IF(D1167=2,VLOOKUP(C1167,'Capital Code Schedules'!E$15:G$300,3,FALSE),0))</f>
        <v>0</v>
      </c>
      <c r="L1167" s="374">
        <f>VLOOKUP(LEFT(A1167,10),'Streetlight Tariff Schedule'!B$11:H$260,7, FALSE)+I1167</f>
        <v>29.991879471217374</v>
      </c>
      <c r="M1167" s="410">
        <f t="shared" si="192"/>
        <v>29.991879471217374</v>
      </c>
      <c r="N1167" s="411">
        <f t="shared" si="193"/>
        <v>31.241599774969032</v>
      </c>
      <c r="O1167" s="411">
        <v>39.649689594344146</v>
      </c>
      <c r="P1167" s="411">
        <v>39.649689594344146</v>
      </c>
      <c r="Q1167" s="411">
        <v>41.590100293383117</v>
      </c>
      <c r="R1167" s="411">
        <v>41.590100293383117</v>
      </c>
      <c r="S1167" s="411">
        <f t="shared" si="194"/>
        <v>32.770528124185937</v>
      </c>
      <c r="T1167" s="411">
        <v>43.298254999777917</v>
      </c>
      <c r="U1167" s="411">
        <v>43.456436132247049</v>
      </c>
      <c r="V1167" s="411">
        <f t="shared" si="195"/>
        <v>34.241089884442069</v>
      </c>
      <c r="W1167" s="411">
        <v>44.874428690241622</v>
      </c>
      <c r="X1167" s="411">
        <v>45.440514404416469</v>
      </c>
      <c r="Y1167" s="411">
        <f t="shared" si="196"/>
        <v>35.804425686954161</v>
      </c>
      <c r="Z1167" s="411">
        <v>46.170653902209423</v>
      </c>
      <c r="AA1167" s="411">
        <v>46.924180406920897</v>
      </c>
      <c r="AB1167" s="441">
        <f t="shared" si="197"/>
        <v>36.581623100350569</v>
      </c>
      <c r="AC1167" s="438">
        <f t="shared" si="198"/>
        <v>37.675379290105397</v>
      </c>
      <c r="AD1167" s="410"/>
      <c r="AE1167" s="411"/>
      <c r="AF1167" s="411"/>
      <c r="AG1167" s="411"/>
    </row>
    <row r="1168" spans="1:33" s="409" customFormat="1" x14ac:dyDescent="0.2">
      <c r="A1168" s="409" t="s">
        <v>420</v>
      </c>
      <c r="B1168" s="23" t="str">
        <f>VLOOKUP(LEFT(A1168,7),'[7]Tariff Schedule Lookup Table'!$A$8:$G$186,2,FALSE)</f>
        <v>High Pressure Sodium 50</v>
      </c>
      <c r="C1168" s="375">
        <f t="shared" si="200"/>
        <v>40</v>
      </c>
      <c r="D1168" s="23">
        <f t="shared" si="201"/>
        <v>1</v>
      </c>
      <c r="E1168" s="23" t="str">
        <f>VLOOKUP(C1168,'[7]Tariff Schedule Lookup Table'!I$7:L$287,2,FALSE)</f>
        <v>HIGH PRESSURE SODIUM 70W (100)</v>
      </c>
      <c r="F1168" s="23" t="str">
        <f>IF(E1168 = "BULKHEADS ETC", "SHARED OR NO POLE", VLOOKUP(C1168,'[7]Tariff Schedule Lookup Table'!I$7:L$287,3,FALSE))</f>
        <v>SHARED OR NO POLE</v>
      </c>
      <c r="G1168" s="23">
        <f>IF(E1168 = "NO CAPITAL", 1, VLOOKUP(C1168,'[7]Tariff Schedule Lookup Table'!I$7:L$287,4,FALSE))</f>
        <v>1</v>
      </c>
      <c r="H1168" s="23" t="str">
        <f t="shared" si="199"/>
        <v>1-Unmetered, CE Funded, CE Maintained</v>
      </c>
      <c r="I1168" s="374">
        <f>VLOOKUP(F1168,'Maintenance Model'!$A$57:$B$61,2,FALSE)</f>
        <v>0</v>
      </c>
      <c r="J1168" s="374">
        <f>IF(D1168=1,VLOOKUP(C1168,'Capital Code Schedules'!A$15:F$300,2,FALSE),IF(D1168=2,VLOOKUP(C1168,'Capital Code Schedules'!A$15:F$300,3,FALSE),0))</f>
        <v>18.483521869130684</v>
      </c>
      <c r="K1168" s="374">
        <f>IF(D1168=1,VLOOKUP(C1168,'Capital Code Schedules'!E$15:G$300,2,FALSE),IF(D1168=2,VLOOKUP(C1168,'Capital Code Schedules'!E$15:G$300,3,FALSE),0))</f>
        <v>23.445807346631316</v>
      </c>
      <c r="L1168" s="374">
        <f>VLOOKUP(LEFT(A1168,10),'Streetlight Tariff Schedule'!B$11:H$260,7, FALSE)+I1168</f>
        <v>52.432928256339267</v>
      </c>
      <c r="M1168" s="410">
        <f t="shared" si="192"/>
        <v>75.878735602970579</v>
      </c>
      <c r="N1168" s="411">
        <f t="shared" si="193"/>
        <v>73.558725185813927</v>
      </c>
      <c r="O1168" s="411">
        <v>58.07534624569054</v>
      </c>
      <c r="P1168" s="411">
        <v>57.011694531142716</v>
      </c>
      <c r="Q1168" s="411">
        <v>59.220618190374537</v>
      </c>
      <c r="R1168" s="411">
        <v>60.310595284857428</v>
      </c>
      <c r="S1168" s="411">
        <f t="shared" si="194"/>
        <v>76.700444532689943</v>
      </c>
      <c r="T1168" s="411">
        <v>61.251039557763349</v>
      </c>
      <c r="U1168" s="411">
        <v>62.596003742565195</v>
      </c>
      <c r="V1168" s="411">
        <f t="shared" si="195"/>
        <v>79.824514429275609</v>
      </c>
      <c r="W1168" s="411">
        <v>63.186744240621685</v>
      </c>
      <c r="X1168" s="411">
        <v>65.143043440800156</v>
      </c>
      <c r="Y1168" s="411">
        <f t="shared" si="196"/>
        <v>83.234340946642362</v>
      </c>
      <c r="Z1168" s="411">
        <v>64.905007548477073</v>
      </c>
      <c r="AA1168" s="411">
        <v>67.156530838109845</v>
      </c>
      <c r="AB1168" s="441">
        <f t="shared" si="197"/>
        <v>84.956325351791634</v>
      </c>
      <c r="AC1168" s="438">
        <f t="shared" si="198"/>
        <v>87.479657075524301</v>
      </c>
      <c r="AD1168" s="410"/>
      <c r="AE1168" s="411"/>
      <c r="AF1168" s="411"/>
      <c r="AG1168" s="411"/>
    </row>
    <row r="1169" spans="1:33" s="409" customFormat="1" x14ac:dyDescent="0.2">
      <c r="A1169" s="409" t="s">
        <v>421</v>
      </c>
      <c r="B1169" s="23" t="str">
        <f>VLOOKUP(LEFT(A1169,7),'[7]Tariff Schedule Lookup Table'!$A$8:$G$186,2,FALSE)</f>
        <v>High Pressure Sodium 50</v>
      </c>
      <c r="C1169" s="375">
        <f t="shared" si="200"/>
        <v>40</v>
      </c>
      <c r="D1169" s="23">
        <f t="shared" si="201"/>
        <v>2</v>
      </c>
      <c r="E1169" s="23" t="str">
        <f>VLOOKUP(C1169,'[7]Tariff Schedule Lookup Table'!I$7:L$287,2,FALSE)</f>
        <v>HIGH PRESSURE SODIUM 70W (100)</v>
      </c>
      <c r="F1169" s="23" t="str">
        <f>IF(E1169 = "BULKHEADS ETC", "SHARED OR NO POLE", VLOOKUP(C1169,'[7]Tariff Schedule Lookup Table'!I$7:L$287,3,FALSE))</f>
        <v>SHARED OR NO POLE</v>
      </c>
      <c r="G1169" s="23">
        <f>IF(E1169 = "NO CAPITAL", 1, VLOOKUP(C1169,'[7]Tariff Schedule Lookup Table'!I$7:L$287,4,FALSE))</f>
        <v>1</v>
      </c>
      <c r="H1169" s="23" t="str">
        <f t="shared" si="199"/>
        <v>2-Unmetered, Funded by Others, CE Maintained</v>
      </c>
      <c r="I1169" s="374">
        <f>VLOOKUP(F1169,'Maintenance Model'!$A$57:$B$61,2,FALSE)</f>
        <v>0</v>
      </c>
      <c r="J1169" s="374">
        <f>IF(D1169=1,VLOOKUP(C1169,'Capital Code Schedules'!A$15:F$300,2,FALSE),IF(D1169=2,VLOOKUP(C1169,'Capital Code Schedules'!A$15:F$300,3,FALSE),0))</f>
        <v>0</v>
      </c>
      <c r="K1169" s="374">
        <f>IF(D1169=1,VLOOKUP(C1169,'Capital Code Schedules'!E$15:G$300,2,FALSE),IF(D1169=2,VLOOKUP(C1169,'Capital Code Schedules'!E$15:G$300,3,FALSE),0))</f>
        <v>0</v>
      </c>
      <c r="L1169" s="374">
        <f>VLOOKUP(LEFT(A1169,10),'Streetlight Tariff Schedule'!B$11:H$260,7, FALSE)+I1169</f>
        <v>52.432928256339267</v>
      </c>
      <c r="M1169" s="410">
        <f t="shared" si="192"/>
        <v>52.432928256339267</v>
      </c>
      <c r="N1169" s="411">
        <f t="shared" si="193"/>
        <v>54.617736150422253</v>
      </c>
      <c r="O1169" s="411">
        <v>32.985603452682277</v>
      </c>
      <c r="P1169" s="411">
        <v>32.985603452682277</v>
      </c>
      <c r="Q1169" s="411">
        <v>34.599881357722204</v>
      </c>
      <c r="R1169" s="411">
        <v>34.599881357722204</v>
      </c>
      <c r="S1169" s="411">
        <f t="shared" si="194"/>
        <v>57.290666018672326</v>
      </c>
      <c r="T1169" s="411">
        <v>36.020939488502862</v>
      </c>
      <c r="U1169" s="411">
        <v>36.152534468506623</v>
      </c>
      <c r="V1169" s="411">
        <f t="shared" si="195"/>
        <v>59.861557227608508</v>
      </c>
      <c r="W1169" s="411">
        <v>37.332199194647011</v>
      </c>
      <c r="X1169" s="411">
        <v>37.803140558350997</v>
      </c>
      <c r="Y1169" s="411">
        <f t="shared" si="196"/>
        <v>62.594639495838742</v>
      </c>
      <c r="Z1169" s="411">
        <v>38.410562512614526</v>
      </c>
      <c r="AA1169" s="411">
        <v>39.037440723510883</v>
      </c>
      <c r="AB1169" s="441">
        <f t="shared" si="197"/>
        <v>63.953365155453852</v>
      </c>
      <c r="AC1169" s="438">
        <f t="shared" si="198"/>
        <v>65.865510737473102</v>
      </c>
      <c r="AD1169" s="410"/>
      <c r="AE1169" s="411"/>
      <c r="AF1169" s="411"/>
      <c r="AG1169" s="411"/>
    </row>
    <row r="1170" spans="1:33" s="409" customFormat="1" x14ac:dyDescent="0.2">
      <c r="A1170" s="409" t="s">
        <v>422</v>
      </c>
      <c r="B1170" s="23" t="str">
        <f>VLOOKUP(LEFT(A1170,7),'[7]Tariff Schedule Lookup Table'!$A$8:$G$186,2,FALSE)</f>
        <v>High Pressure Sodium 50</v>
      </c>
      <c r="C1170" s="375">
        <f t="shared" si="200"/>
        <v>90</v>
      </c>
      <c r="D1170" s="23">
        <f t="shared" si="201"/>
        <v>2</v>
      </c>
      <c r="E1170" s="23" t="str">
        <f>VLOOKUP(C1170,'[7]Tariff Schedule Lookup Table'!I$7:L$287,2,FALSE)</f>
        <v>HIGH PRESSURE SODIUM 70W TWIN ARC</v>
      </c>
      <c r="F1170" s="23" t="str">
        <f>IF(E1170 = "BULKHEADS ETC", "SHARED OR NO POLE", VLOOKUP(C1170,'[7]Tariff Schedule Lookup Table'!I$7:L$287,3,FALSE))</f>
        <v>SHARED OR NO POLE</v>
      </c>
      <c r="G1170" s="23">
        <f>IF(E1170 = "NO CAPITAL", 1, VLOOKUP(C1170,'[7]Tariff Schedule Lookup Table'!I$7:L$287,4,FALSE))</f>
        <v>1</v>
      </c>
      <c r="H1170" s="23" t="str">
        <f t="shared" si="199"/>
        <v>2-Unmetered, Funded by Others, CE Maintained</v>
      </c>
      <c r="I1170" s="374">
        <f>VLOOKUP(F1170,'Maintenance Model'!$A$57:$B$61,2,FALSE)</f>
        <v>0</v>
      </c>
      <c r="J1170" s="374">
        <f>IF(D1170=1,VLOOKUP(C1170,'Capital Code Schedules'!A$15:F$300,2,FALSE),IF(D1170=2,VLOOKUP(C1170,'Capital Code Schedules'!A$15:F$300,3,FALSE),0))</f>
        <v>0</v>
      </c>
      <c r="K1170" s="374">
        <f>IF(D1170=1,VLOOKUP(C1170,'Capital Code Schedules'!E$15:G$300,2,FALSE),IF(D1170=2,VLOOKUP(C1170,'Capital Code Schedules'!E$15:G$300,3,FALSE),0))</f>
        <v>0</v>
      </c>
      <c r="L1170" s="374">
        <f>VLOOKUP(LEFT(A1170,10),'Streetlight Tariff Schedule'!B$11:H$260,7, FALSE)+I1170</f>
        <v>52.432928256339267</v>
      </c>
      <c r="M1170" s="410">
        <f t="shared" si="192"/>
        <v>52.432928256339267</v>
      </c>
      <c r="N1170" s="411">
        <f t="shared" si="193"/>
        <v>54.617736150422253</v>
      </c>
      <c r="O1170" s="411">
        <v>32.985603452682277</v>
      </c>
      <c r="P1170" s="411">
        <v>32.985603452682277</v>
      </c>
      <c r="Q1170" s="411">
        <v>34.599881357722204</v>
      </c>
      <c r="R1170" s="411">
        <v>34.599881357722204</v>
      </c>
      <c r="S1170" s="411">
        <f t="shared" si="194"/>
        <v>57.290666018672326</v>
      </c>
      <c r="T1170" s="411">
        <v>36.020939488502862</v>
      </c>
      <c r="U1170" s="411">
        <v>36.152534468506623</v>
      </c>
      <c r="V1170" s="411">
        <f t="shared" si="195"/>
        <v>59.861557227608508</v>
      </c>
      <c r="W1170" s="411">
        <v>37.332199194647011</v>
      </c>
      <c r="X1170" s="411">
        <v>37.803140558350997</v>
      </c>
      <c r="Y1170" s="411">
        <f t="shared" si="196"/>
        <v>62.594639495838742</v>
      </c>
      <c r="Z1170" s="411">
        <v>38.410562512614526</v>
      </c>
      <c r="AA1170" s="411">
        <v>39.037440723510883</v>
      </c>
      <c r="AB1170" s="441">
        <f t="shared" si="197"/>
        <v>63.953365155453852</v>
      </c>
      <c r="AC1170" s="438">
        <f t="shared" si="198"/>
        <v>65.865510737473102</v>
      </c>
      <c r="AD1170" s="410"/>
      <c r="AE1170" s="411"/>
      <c r="AF1170" s="411"/>
      <c r="AG1170" s="411"/>
    </row>
    <row r="1171" spans="1:33" s="409" customFormat="1" x14ac:dyDescent="0.2">
      <c r="A1171" s="409" t="s">
        <v>424</v>
      </c>
      <c r="B1171" s="23" t="str">
        <f>VLOOKUP(LEFT(A1171,7),'[7]Tariff Schedule Lookup Table'!$A$8:$G$186,2,FALSE)</f>
        <v>High Pressure Sodium 50</v>
      </c>
      <c r="C1171" s="375">
        <f t="shared" si="200"/>
        <v>350</v>
      </c>
      <c r="D1171" s="23">
        <f t="shared" si="201"/>
        <v>2</v>
      </c>
      <c r="E1171" s="23" t="str">
        <f>VLOOKUP(C1171,'[7]Tariff Schedule Lookup Table'!I$7:L$287,2,FALSE)</f>
        <v>HIGH PRESSURE SODIUM 70W (100)</v>
      </c>
      <c r="F1171" s="23" t="str">
        <f>IF(E1171 = "BULKHEADS ETC", "SHARED OR NO POLE", VLOOKUP(C1171,'[7]Tariff Schedule Lookup Table'!I$7:L$287,3,FALSE))</f>
        <v>WOOD POLE</v>
      </c>
      <c r="G1171" s="23">
        <f>IF(E1171 = "NO CAPITAL", 1, VLOOKUP(C1171,'[7]Tariff Schedule Lookup Table'!I$7:L$287,4,FALSE))</f>
        <v>1</v>
      </c>
      <c r="H1171" s="23" t="str">
        <f t="shared" si="199"/>
        <v>2-Unmetered, Funded by Others, CE Maintained</v>
      </c>
      <c r="I1171" s="374">
        <f>VLOOKUP(F1171,'Maintenance Model'!$A$57:$B$61,2,FALSE)</f>
        <v>10.731618231111112</v>
      </c>
      <c r="J1171" s="374">
        <f>IF(D1171=1,VLOOKUP(C1171,'Capital Code Schedules'!A$15:F$300,2,FALSE),IF(D1171=2,VLOOKUP(C1171,'Capital Code Schedules'!A$15:F$300,3,FALSE),0))</f>
        <v>0</v>
      </c>
      <c r="K1171" s="374">
        <f>IF(D1171=1,VLOOKUP(C1171,'Capital Code Schedules'!E$15:G$300,2,FALSE),IF(D1171=2,VLOOKUP(C1171,'Capital Code Schedules'!E$15:G$300,3,FALSE),0))</f>
        <v>0</v>
      </c>
      <c r="L1171" s="374">
        <f>VLOOKUP(LEFT(A1171,10),'Streetlight Tariff Schedule'!B$11:H$260,7, FALSE)+I1171</f>
        <v>63.16454648745038</v>
      </c>
      <c r="M1171" s="410">
        <f t="shared" ref="M1171:M1234" si="202">IF(VLOOKUP(D1171,A$11:D$15,3,FALSE)="Y",IF(VLOOKUP(D1171,A$11:D$15,4,FALSE)="Y",K1171+L1171,K1171),IF(VLOOKUP(D1171,A$11:D$15,4,FALSE)="Y",L1171,0))</f>
        <v>63.16454648745038</v>
      </c>
      <c r="N1171" s="411">
        <f t="shared" ref="N1171:N1234" si="203">($J1171+$L1171+$L1171*$M$10*$M$14)*(1+$M$12)</f>
        <v>65.79652613041965</v>
      </c>
      <c r="O1171" s="411">
        <v>43.381803528106438</v>
      </c>
      <c r="P1171" s="411">
        <v>43.381803528106438</v>
      </c>
      <c r="Q1171" s="411">
        <v>45.504859637013574</v>
      </c>
      <c r="R1171" s="411">
        <v>45.504859637013574</v>
      </c>
      <c r="S1171" s="411">
        <f t="shared" ref="S1171:S1234" si="204">($J1171+$L1171+$L1171*$N$10*$N$14)*(1+$N$12)</f>
        <v>69.016533262109149</v>
      </c>
      <c r="T1171" s="411">
        <v>47.37379814893071</v>
      </c>
      <c r="U1171" s="411">
        <v>47.546868427180954</v>
      </c>
      <c r="V1171" s="411">
        <f t="shared" ref="V1171:V1234" si="205">($J1171+$L1171+$L1171*$O$10*$O$14)*(1+$O$12)</f>
        <v>72.113617149683051</v>
      </c>
      <c r="W1171" s="411">
        <v>49.098332642527865</v>
      </c>
      <c r="X1171" s="411">
        <v>49.717702415246187</v>
      </c>
      <c r="Y1171" s="411">
        <f t="shared" ref="Y1171:Y1234" si="206">($J1171+$L1171+$L1171*$P$10*$P$14)*(1+$P$12)</f>
        <v>75.406088269008407</v>
      </c>
      <c r="Z1171" s="411">
        <v>50.516567893524304</v>
      </c>
      <c r="AA1171" s="411">
        <v>51.341021732004712</v>
      </c>
      <c r="AB1171" s="441">
        <f t="shared" ref="AB1171:AB1234" si="207">($J1171+$L1171+$L1171*$Q$10*$Q$14)*(1+$Q$12)</f>
        <v>77.042908735545552</v>
      </c>
      <c r="AC1171" s="438">
        <f t="shared" ref="AC1171:AC1234" si="208">($J1171+$L1171+$L1171*$R$10*$R$14)*(1+$R$12)</f>
        <v>79.346419382819491</v>
      </c>
      <c r="AD1171" s="410"/>
      <c r="AE1171" s="411"/>
      <c r="AF1171" s="411"/>
      <c r="AG1171" s="411"/>
    </row>
    <row r="1172" spans="1:33" s="409" customFormat="1" x14ac:dyDescent="0.2">
      <c r="A1172" s="409" t="s">
        <v>425</v>
      </c>
      <c r="B1172" s="23" t="str">
        <f>VLOOKUP(LEFT(A1172,7),'[7]Tariff Schedule Lookup Table'!$A$8:$G$186,2,FALSE)</f>
        <v>High Pressure Sodium 50</v>
      </c>
      <c r="C1172" s="375">
        <f t="shared" si="200"/>
        <v>360</v>
      </c>
      <c r="D1172" s="23">
        <f t="shared" si="201"/>
        <v>1</v>
      </c>
      <c r="E1172" s="23" t="str">
        <f>VLOOKUP(C1172,'[7]Tariff Schedule Lookup Table'!I$7:L$287,2,FALSE)</f>
        <v>HIGH PRESSURE SODIUM 70W (100)</v>
      </c>
      <c r="F1172" s="23" t="str">
        <f>IF(E1172 = "BULKHEADS ETC", "SHARED OR NO POLE", VLOOKUP(C1172,'[7]Tariff Schedule Lookup Table'!I$7:L$287,3,FALSE))</f>
        <v>STEEL POLE</v>
      </c>
      <c r="G1172" s="23">
        <f>IF(E1172 = "NO CAPITAL", 1, VLOOKUP(C1172,'[7]Tariff Schedule Lookup Table'!I$7:L$287,4,FALSE))</f>
        <v>1</v>
      </c>
      <c r="H1172" s="23" t="str">
        <f t="shared" si="199"/>
        <v>1-Unmetered, CE Funded, CE Maintained</v>
      </c>
      <c r="I1172" s="374">
        <f>VLOOKUP(F1172,'Maintenance Model'!$A$57:$B$61,2,FALSE)</f>
        <v>9.9616182311111103</v>
      </c>
      <c r="J1172" s="374">
        <f>IF(D1172=1,VLOOKUP(C1172,'Capital Code Schedules'!A$15:F$300,2,FALSE),IF(D1172=2,VLOOKUP(C1172,'Capital Code Schedules'!A$15:F$300,3,FALSE),0))</f>
        <v>87.482155888651974</v>
      </c>
      <c r="K1172" s="374">
        <f>IF(D1172=1,VLOOKUP(C1172,'Capital Code Schedules'!E$15:G$300,2,FALSE),IF(D1172=2,VLOOKUP(C1172,'Capital Code Schedules'!E$15:G$300,3,FALSE),0))</f>
        <v>110.96855825181379</v>
      </c>
      <c r="L1172" s="374">
        <f>VLOOKUP(LEFT(A1172,10),'Streetlight Tariff Schedule'!B$11:H$260,7, FALSE)+I1172</f>
        <v>62.394546487450377</v>
      </c>
      <c r="M1172" s="410">
        <f t="shared" si="202"/>
        <v>173.36310473926417</v>
      </c>
      <c r="N1172" s="411">
        <f t="shared" si="203"/>
        <v>154.64178053799077</v>
      </c>
      <c r="O1172" s="411">
        <v>161.32899200177712</v>
      </c>
      <c r="P1172" s="411">
        <v>156.29474875732762</v>
      </c>
      <c r="Q1172" s="411">
        <v>161.19299874093181</v>
      </c>
      <c r="R1172" s="411">
        <v>166.35183950568143</v>
      </c>
      <c r="S1172" s="411">
        <f t="shared" si="204"/>
        <v>160.04130619654148</v>
      </c>
      <c r="T1172" s="411">
        <v>165.91148706313518</v>
      </c>
      <c r="U1172" s="411">
        <v>171.82421071583161</v>
      </c>
      <c r="V1172" s="411">
        <f t="shared" si="205"/>
        <v>165.71881960647247</v>
      </c>
      <c r="W1172" s="411">
        <v>170.55962283629239</v>
      </c>
      <c r="X1172" s="411">
        <v>178.19771136327111</v>
      </c>
      <c r="Y1172" s="411">
        <f t="shared" si="206"/>
        <v>172.17417184487198</v>
      </c>
      <c r="Z1172" s="411">
        <v>174.98027080627338</v>
      </c>
      <c r="AA1172" s="411">
        <v>183.47889546260774</v>
      </c>
      <c r="AB1172" s="441">
        <f t="shared" si="207"/>
        <v>175.51033554612115</v>
      </c>
      <c r="AC1172" s="438">
        <f t="shared" si="208"/>
        <v>180.67849784920051</v>
      </c>
      <c r="AD1172" s="410"/>
      <c r="AE1172" s="411"/>
      <c r="AF1172" s="411"/>
      <c r="AG1172" s="411"/>
    </row>
    <row r="1173" spans="1:33" s="409" customFormat="1" x14ac:dyDescent="0.2">
      <c r="A1173" s="409" t="s">
        <v>426</v>
      </c>
      <c r="B1173" s="23" t="str">
        <f>VLOOKUP(LEFT(A1173,7),'[7]Tariff Schedule Lookup Table'!$A$8:$G$186,2,FALSE)</f>
        <v>High Pressure Sodium 50</v>
      </c>
      <c r="C1173" s="375">
        <f t="shared" si="200"/>
        <v>360</v>
      </c>
      <c r="D1173" s="23">
        <f t="shared" si="201"/>
        <v>2</v>
      </c>
      <c r="E1173" s="23" t="str">
        <f>VLOOKUP(C1173,'[7]Tariff Schedule Lookup Table'!I$7:L$287,2,FALSE)</f>
        <v>HIGH PRESSURE SODIUM 70W (100)</v>
      </c>
      <c r="F1173" s="23" t="str">
        <f>IF(E1173 = "BULKHEADS ETC", "SHARED OR NO POLE", VLOOKUP(C1173,'[7]Tariff Schedule Lookup Table'!I$7:L$287,3,FALSE))</f>
        <v>STEEL POLE</v>
      </c>
      <c r="G1173" s="23">
        <f>IF(E1173 = "NO CAPITAL", 1, VLOOKUP(C1173,'[7]Tariff Schedule Lookup Table'!I$7:L$287,4,FALSE))</f>
        <v>1</v>
      </c>
      <c r="H1173" s="23" t="str">
        <f t="shared" si="199"/>
        <v>2-Unmetered, Funded by Others, CE Maintained</v>
      </c>
      <c r="I1173" s="374">
        <f>VLOOKUP(F1173,'Maintenance Model'!$A$57:$B$61,2,FALSE)</f>
        <v>9.9616182311111103</v>
      </c>
      <c r="J1173" s="374">
        <f>IF(D1173=1,VLOOKUP(C1173,'Capital Code Schedules'!A$15:F$300,2,FALSE),IF(D1173=2,VLOOKUP(C1173,'Capital Code Schedules'!A$15:F$300,3,FALSE),0))</f>
        <v>0</v>
      </c>
      <c r="K1173" s="374">
        <f>IF(D1173=1,VLOOKUP(C1173,'Capital Code Schedules'!E$15:G$300,2,FALSE),IF(D1173=2,VLOOKUP(C1173,'Capital Code Schedules'!E$15:G$300,3,FALSE),0))</f>
        <v>0</v>
      </c>
      <c r="L1173" s="374">
        <f>VLOOKUP(LEFT(A1173,10),'Streetlight Tariff Schedule'!B$11:H$260,7, FALSE)+I1173</f>
        <v>62.394546487450377</v>
      </c>
      <c r="M1173" s="410">
        <f t="shared" si="202"/>
        <v>62.394546487450377</v>
      </c>
      <c r="N1173" s="411">
        <f t="shared" si="203"/>
        <v>64.994441291094645</v>
      </c>
      <c r="O1173" s="411">
        <v>42.579718688781441</v>
      </c>
      <c r="P1173" s="411">
        <v>42.579718688781441</v>
      </c>
      <c r="Q1173" s="411">
        <v>44.66352167818912</v>
      </c>
      <c r="R1173" s="411">
        <v>44.66352167818912</v>
      </c>
      <c r="S1173" s="411">
        <f t="shared" si="204"/>
        <v>68.175195303284696</v>
      </c>
      <c r="T1173" s="411">
        <v>46.497905443089607</v>
      </c>
      <c r="U1173" s="411">
        <v>46.667775830255756</v>
      </c>
      <c r="V1173" s="411">
        <f t="shared" si="205"/>
        <v>71.234524552757847</v>
      </c>
      <c r="W1173" s="411">
        <v>48.190555071150669</v>
      </c>
      <c r="X1173" s="411">
        <v>48.798473335074263</v>
      </c>
      <c r="Y1173" s="411">
        <f t="shared" si="206"/>
        <v>74.486859188836462</v>
      </c>
      <c r="Z1173" s="411">
        <v>49.582568613944417</v>
      </c>
      <c r="AA1173" s="411">
        <v>50.391779150607277</v>
      </c>
      <c r="AB1173" s="441">
        <f t="shared" si="207"/>
        <v>76.10372618733939</v>
      </c>
      <c r="AC1173" s="438">
        <f t="shared" si="208"/>
        <v>78.379156158078203</v>
      </c>
      <c r="AD1173" s="410"/>
      <c r="AE1173" s="411"/>
      <c r="AF1173" s="411"/>
      <c r="AG1173" s="411"/>
    </row>
    <row r="1174" spans="1:33" s="409" customFormat="1" x14ac:dyDescent="0.2">
      <c r="A1174" s="409" t="s">
        <v>427</v>
      </c>
      <c r="B1174" s="23" t="str">
        <f>VLOOKUP(LEFT(A1174,7),'[7]Tariff Schedule Lookup Table'!$A$8:$G$186,2,FALSE)</f>
        <v>High Pressure Sodium 50</v>
      </c>
      <c r="C1174" s="375">
        <f t="shared" si="200"/>
        <v>750</v>
      </c>
      <c r="D1174" s="23">
        <f t="shared" si="201"/>
        <v>1</v>
      </c>
      <c r="E1174" s="23" t="str">
        <f>VLOOKUP(C1174,'[7]Tariff Schedule Lookup Table'!I$7:L$287,2,FALSE)</f>
        <v>HIGH PRESSURE SODIUM 70W (100)</v>
      </c>
      <c r="F1174" s="23" t="str">
        <f>IF(E1174 = "BULKHEADS ETC", "SHARED OR NO POLE", VLOOKUP(C1174,'[7]Tariff Schedule Lookup Table'!I$7:L$287,3,FALSE))</f>
        <v>SHARED OR NO POLE</v>
      </c>
      <c r="G1174" s="23">
        <f>IF(E1174 = "NO CAPITAL", 1, VLOOKUP(C1174,'[7]Tariff Schedule Lookup Table'!I$7:L$287,4,FALSE))</f>
        <v>3</v>
      </c>
      <c r="H1174" s="23" t="str">
        <f t="shared" si="199"/>
        <v>1-Unmetered, CE Funded, CE Maintained</v>
      </c>
      <c r="I1174" s="374">
        <f>VLOOKUP(F1174,'Maintenance Model'!$A$57:$B$61,2,FALSE)</f>
        <v>0</v>
      </c>
      <c r="J1174" s="374">
        <f>IF(D1174=1,VLOOKUP(C1174,'Capital Code Schedules'!A$15:F$300,2,FALSE),IF(D1174=2,VLOOKUP(C1174,'Capital Code Schedules'!A$15:F$300,3,FALSE),0))</f>
        <v>34.270019010909252</v>
      </c>
      <c r="K1174" s="374">
        <f>IF(D1174=1,VLOOKUP(C1174,'Capital Code Schedules'!E$15:G$300,2,FALSE),IF(D1174=2,VLOOKUP(C1174,'Capital Code Schedules'!E$15:G$300,3,FALSE),0))</f>
        <v>43.47051764182865</v>
      </c>
      <c r="L1174" s="374">
        <f>VLOOKUP(LEFT(A1174,10),'Streetlight Tariff Schedule'!B$11:H$260,7, FALSE)+I1174</f>
        <v>52.432928256339267</v>
      </c>
      <c r="M1174" s="410">
        <f t="shared" si="202"/>
        <v>95.903445898167917</v>
      </c>
      <c r="N1174" s="411">
        <f t="shared" si="203"/>
        <v>89.735938131851512</v>
      </c>
      <c r="O1174" s="411">
        <v>79.504117001294006</v>
      </c>
      <c r="P1174" s="411">
        <v>77.532016406146184</v>
      </c>
      <c r="Q1174" s="411">
        <v>80.248818031784339</v>
      </c>
      <c r="R1174" s="411">
        <v>82.269728116662066</v>
      </c>
      <c r="S1174" s="411">
        <f t="shared" si="204"/>
        <v>93.278043499141958</v>
      </c>
      <c r="T1174" s="411">
        <v>82.799687345248032</v>
      </c>
      <c r="U1174" s="411">
        <v>85.180971860076269</v>
      </c>
      <c r="V1174" s="411">
        <f t="shared" si="205"/>
        <v>96.87457496627151</v>
      </c>
      <c r="W1174" s="411">
        <v>85.26872106084663</v>
      </c>
      <c r="X1174" s="411">
        <v>88.493641977494846</v>
      </c>
      <c r="Y1174" s="411">
        <f t="shared" si="206"/>
        <v>100.86239853584243</v>
      </c>
      <c r="Z1174" s="411">
        <v>87.533513295002578</v>
      </c>
      <c r="AA1174" s="411">
        <v>91.172621433100346</v>
      </c>
      <c r="AB1174" s="441">
        <f t="shared" si="207"/>
        <v>102.89463675456162</v>
      </c>
      <c r="AC1174" s="438">
        <f t="shared" si="208"/>
        <v>105.93997334011489</v>
      </c>
      <c r="AD1174" s="410"/>
      <c r="AE1174" s="411"/>
      <c r="AF1174" s="411"/>
      <c r="AG1174" s="411"/>
    </row>
    <row r="1175" spans="1:33" s="409" customFormat="1" x14ac:dyDescent="0.2">
      <c r="A1175" s="409" t="s">
        <v>428</v>
      </c>
      <c r="B1175" s="23" t="str">
        <f>VLOOKUP(LEFT(A1175,7),'[7]Tariff Schedule Lookup Table'!$A$8:$G$186,2,FALSE)</f>
        <v>High Pressure Sodium 50</v>
      </c>
      <c r="C1175" s="375">
        <f t="shared" si="200"/>
        <v>90</v>
      </c>
      <c r="D1175" s="23">
        <f t="shared" si="201"/>
        <v>1</v>
      </c>
      <c r="E1175" s="23" t="str">
        <f>VLOOKUP(C1175,'[7]Tariff Schedule Lookup Table'!I$7:L$287,2,FALSE)</f>
        <v>HIGH PRESSURE SODIUM 70W TWIN ARC</v>
      </c>
      <c r="F1175" s="23" t="str">
        <f>IF(E1175 = "BULKHEADS ETC", "SHARED OR NO POLE", VLOOKUP(C1175,'[7]Tariff Schedule Lookup Table'!I$7:L$287,3,FALSE))</f>
        <v>SHARED OR NO POLE</v>
      </c>
      <c r="G1175" s="23">
        <f>IF(E1175 = "NO CAPITAL", 1, VLOOKUP(C1175,'[7]Tariff Schedule Lookup Table'!I$7:L$287,4,FALSE))</f>
        <v>1</v>
      </c>
      <c r="H1175" s="23" t="str">
        <f t="shared" si="199"/>
        <v>1-Unmetered, CE Funded, CE Maintained</v>
      </c>
      <c r="I1175" s="374">
        <f>VLOOKUP(F1175,'Maintenance Model'!$A$57:$B$61,2,FALSE)</f>
        <v>0</v>
      </c>
      <c r="J1175" s="374">
        <f>IF(D1175=1,VLOOKUP(C1175,'Capital Code Schedules'!A$15:F$300,2,FALSE),IF(D1175=2,VLOOKUP(C1175,'Capital Code Schedules'!A$15:F$300,3,FALSE),0))</f>
        <v>19.562845754409921</v>
      </c>
      <c r="K1175" s="374">
        <f>IF(D1175=1,VLOOKUP(C1175,'Capital Code Schedules'!E$15:G$300,2,FALSE),IF(D1175=2,VLOOKUP(C1175,'Capital Code Schedules'!E$15:G$300,3,FALSE),0))</f>
        <v>24.814898154002691</v>
      </c>
      <c r="L1175" s="374">
        <f>VLOOKUP(LEFT(A1175,10),'Streetlight Tariff Schedule'!B$11:H$260,7, FALSE)+I1175</f>
        <v>52.391185538666328</v>
      </c>
      <c r="M1175" s="410">
        <f t="shared" si="202"/>
        <v>77.206083692669011</v>
      </c>
      <c r="N1175" s="411">
        <f t="shared" si="203"/>
        <v>74.621280258036037</v>
      </c>
      <c r="O1175" s="411">
        <v>52.522136611558871</v>
      </c>
      <c r="P1175" s="411">
        <v>51.396374185142491</v>
      </c>
      <c r="Q1175" s="411">
        <v>53.296554066682567</v>
      </c>
      <c r="R1175" s="411">
        <v>54.45017911315275</v>
      </c>
      <c r="S1175" s="411">
        <f t="shared" si="204"/>
        <v>77.788246060923115</v>
      </c>
      <c r="T1175" s="411">
        <v>55.060202141154591</v>
      </c>
      <c r="U1175" s="411">
        <v>56.448020355889184</v>
      </c>
      <c r="V1175" s="411">
        <f t="shared" si="205"/>
        <v>80.942571458450544</v>
      </c>
      <c r="W1175" s="411">
        <v>56.753375853929228</v>
      </c>
      <c r="X1175" s="411">
        <v>58.696209337144253</v>
      </c>
      <c r="Y1175" s="411">
        <f t="shared" si="206"/>
        <v>84.389739821858043</v>
      </c>
      <c r="Z1175" s="411">
        <v>58.279563675895545</v>
      </c>
      <c r="AA1175" s="411">
        <v>60.492576322688734</v>
      </c>
      <c r="AB1175" s="441">
        <f t="shared" si="207"/>
        <v>86.131854597508152</v>
      </c>
      <c r="AC1175" s="438">
        <f t="shared" si="208"/>
        <v>88.689353538625156</v>
      </c>
      <c r="AD1175" s="410"/>
      <c r="AE1175" s="411"/>
      <c r="AF1175" s="411"/>
      <c r="AG1175" s="411"/>
    </row>
    <row r="1176" spans="1:33" s="409" customFormat="1" x14ac:dyDescent="0.2">
      <c r="A1176" s="409" t="s">
        <v>429</v>
      </c>
      <c r="B1176" s="23" t="str">
        <f>VLOOKUP(LEFT(A1176,7),'[7]Tariff Schedule Lookup Table'!$A$8:$G$186,2,FALSE)</f>
        <v>High Pressure Sodium 50</v>
      </c>
      <c r="C1176" s="375">
        <f t="shared" si="200"/>
        <v>90</v>
      </c>
      <c r="D1176" s="23">
        <f t="shared" si="201"/>
        <v>2</v>
      </c>
      <c r="E1176" s="23" t="str">
        <f>VLOOKUP(C1176,'[7]Tariff Schedule Lookup Table'!I$7:L$287,2,FALSE)</f>
        <v>HIGH PRESSURE SODIUM 70W TWIN ARC</v>
      </c>
      <c r="F1176" s="23" t="str">
        <f>IF(E1176 = "BULKHEADS ETC", "SHARED OR NO POLE", VLOOKUP(C1176,'[7]Tariff Schedule Lookup Table'!I$7:L$287,3,FALSE))</f>
        <v>SHARED OR NO POLE</v>
      </c>
      <c r="G1176" s="23">
        <f>IF(E1176 = "NO CAPITAL", 1, VLOOKUP(C1176,'[7]Tariff Schedule Lookup Table'!I$7:L$287,4,FALSE))</f>
        <v>1</v>
      </c>
      <c r="H1176" s="23" t="str">
        <f t="shared" si="199"/>
        <v>2-Unmetered, Funded by Others, CE Maintained</v>
      </c>
      <c r="I1176" s="374">
        <f>VLOOKUP(F1176,'Maintenance Model'!$A$57:$B$61,2,FALSE)</f>
        <v>0</v>
      </c>
      <c r="J1176" s="374">
        <f>IF(D1176=1,VLOOKUP(C1176,'Capital Code Schedules'!A$15:F$300,2,FALSE),IF(D1176=2,VLOOKUP(C1176,'Capital Code Schedules'!A$15:F$300,3,FALSE),0))</f>
        <v>0</v>
      </c>
      <c r="K1176" s="374">
        <f>IF(D1176=1,VLOOKUP(C1176,'Capital Code Schedules'!E$15:G$300,2,FALSE),IF(D1176=2,VLOOKUP(C1176,'Capital Code Schedules'!E$15:G$300,3,FALSE),0))</f>
        <v>0</v>
      </c>
      <c r="L1176" s="374">
        <f>VLOOKUP(LEFT(A1176,10),'Streetlight Tariff Schedule'!B$11:H$260,7, FALSE)+I1176</f>
        <v>52.391185538666328</v>
      </c>
      <c r="M1176" s="410">
        <f t="shared" si="202"/>
        <v>52.391185538666328</v>
      </c>
      <c r="N1176" s="411">
        <f t="shared" si="203"/>
        <v>54.574254071204479</v>
      </c>
      <c r="O1176" s="411">
        <v>25.967307301828239</v>
      </c>
      <c r="P1176" s="411">
        <v>25.967307301828239</v>
      </c>
      <c r="Q1176" s="411">
        <v>27.238117778006284</v>
      </c>
      <c r="R1176" s="411">
        <v>27.238117778006284</v>
      </c>
      <c r="S1176" s="411">
        <f t="shared" si="204"/>
        <v>57.245055975967475</v>
      </c>
      <c r="T1176" s="411">
        <v>28.356819554333562</v>
      </c>
      <c r="U1176" s="411">
        <v>28.460415272691041</v>
      </c>
      <c r="V1176" s="411">
        <f t="shared" si="205"/>
        <v>59.813900456073668</v>
      </c>
      <c r="W1176" s="411">
        <v>29.389084548084384</v>
      </c>
      <c r="X1176" s="411">
        <v>29.759824441625696</v>
      </c>
      <c r="Y1176" s="411">
        <f t="shared" si="206"/>
        <v>62.544806872500594</v>
      </c>
      <c r="Z1176" s="411">
        <v>30.238006160231052</v>
      </c>
      <c r="AA1176" s="411">
        <v>30.731504457647898</v>
      </c>
      <c r="AB1176" s="441">
        <f t="shared" si="207"/>
        <v>63.90245082824201</v>
      </c>
      <c r="AC1176" s="438">
        <f t="shared" si="208"/>
        <v>65.81307411967336</v>
      </c>
      <c r="AD1176" s="410"/>
      <c r="AE1176" s="411"/>
      <c r="AF1176" s="411"/>
      <c r="AG1176" s="411"/>
    </row>
    <row r="1177" spans="1:33" s="409" customFormat="1" x14ac:dyDescent="0.2">
      <c r="A1177" s="409" t="s">
        <v>430</v>
      </c>
      <c r="B1177" s="23" t="str">
        <f>VLOOKUP(LEFT(A1177,7),'[7]Tariff Schedule Lookup Table'!$A$8:$G$186,2,FALSE)</f>
        <v>High Pressure Sodium 50</v>
      </c>
      <c r="C1177" s="375">
        <f t="shared" si="200"/>
        <v>140</v>
      </c>
      <c r="D1177" s="23">
        <f t="shared" si="201"/>
        <v>1</v>
      </c>
      <c r="E1177" s="23" t="str">
        <f>VLOOKUP(C1177,'[7]Tariff Schedule Lookup Table'!I$7:L$287,2,FALSE)</f>
        <v>HIGH PRESSURE SODIUM 50W TWIN ARC</v>
      </c>
      <c r="F1177" s="23" t="str">
        <f>IF(E1177 = "BULKHEADS ETC", "SHARED OR NO POLE", VLOOKUP(C1177,'[7]Tariff Schedule Lookup Table'!I$7:L$287,3,FALSE))</f>
        <v>WOOD POLE</v>
      </c>
      <c r="G1177" s="23">
        <f>IF(E1177 = "NO CAPITAL", 1, VLOOKUP(C1177,'[7]Tariff Schedule Lookup Table'!I$7:L$287,4,FALSE))</f>
        <v>1</v>
      </c>
      <c r="H1177" s="23" t="str">
        <f t="shared" si="199"/>
        <v>1-Unmetered, CE Funded, CE Maintained</v>
      </c>
      <c r="I1177" s="374">
        <f>VLOOKUP(F1177,'Maintenance Model'!$A$57:$B$61,2,FALSE)</f>
        <v>10.731618231111112</v>
      </c>
      <c r="J1177" s="374">
        <f>IF(D1177=1,VLOOKUP(C1177,'Capital Code Schedules'!A$15:F$300,2,FALSE),IF(D1177=2,VLOOKUP(C1177,'Capital Code Schedules'!A$15:F$300,3,FALSE),0))</f>
        <v>53.463964116286228</v>
      </c>
      <c r="K1177" s="374">
        <f>IF(D1177=1,VLOOKUP(C1177,'Capital Code Schedules'!E$15:G$300,2,FALSE),IF(D1177=2,VLOOKUP(C1177,'Capital Code Schedules'!E$15:G$300,3,FALSE),0))</f>
        <v>67.817476102924729</v>
      </c>
      <c r="L1177" s="374">
        <f>VLOOKUP(LEFT(A1177,10),'Streetlight Tariff Schedule'!B$11:H$260,7, FALSE)+I1177</f>
        <v>63.122803769777441</v>
      </c>
      <c r="M1177" s="410">
        <f t="shared" si="202"/>
        <v>130.94027987270218</v>
      </c>
      <c r="N1177" s="411">
        <f t="shared" si="203"/>
        <v>120.54024127936619</v>
      </c>
      <c r="O1177" s="411">
        <v>108.93610029919502</v>
      </c>
      <c r="P1177" s="411">
        <v>105.85946601372451</v>
      </c>
      <c r="Q1177" s="411">
        <v>109.35907967002245</v>
      </c>
      <c r="R1177" s="411">
        <v>112.51186065405835</v>
      </c>
      <c r="S1177" s="411">
        <f t="shared" si="204"/>
        <v>125.11410357896568</v>
      </c>
      <c r="T1177" s="411">
        <v>112.68825742190116</v>
      </c>
      <c r="U1177" s="411">
        <v>116.34302361913376</v>
      </c>
      <c r="V1177" s="411">
        <f t="shared" si="205"/>
        <v>129.8092213779571</v>
      </c>
      <c r="W1177" s="411">
        <v>115.9400170384817</v>
      </c>
      <c r="X1177" s="411">
        <v>120.75561318803463</v>
      </c>
      <c r="Y1177" s="411">
        <f t="shared" si="206"/>
        <v>135.05701319337265</v>
      </c>
      <c r="Z1177" s="411">
        <v>118.97973435995955</v>
      </c>
      <c r="AA1177" s="411">
        <v>124.3701273220066</v>
      </c>
      <c r="AB1177" s="441">
        <f t="shared" si="207"/>
        <v>137.74348528887566</v>
      </c>
      <c r="AC1177" s="438">
        <f t="shared" si="208"/>
        <v>141.81334203018551</v>
      </c>
      <c r="AD1177" s="410"/>
      <c r="AE1177" s="411"/>
      <c r="AF1177" s="411"/>
      <c r="AG1177" s="411"/>
    </row>
    <row r="1178" spans="1:33" s="409" customFormat="1" x14ac:dyDescent="0.2">
      <c r="A1178" s="409" t="s">
        <v>432</v>
      </c>
      <c r="B1178" s="23" t="str">
        <f>VLOOKUP(LEFT(A1178,7),'[7]Tariff Schedule Lookup Table'!$A$8:$G$186,2,FALSE)</f>
        <v>High Pressure Sodium 50</v>
      </c>
      <c r="C1178" s="375">
        <f t="shared" si="200"/>
        <v>170</v>
      </c>
      <c r="D1178" s="23">
        <f t="shared" si="201"/>
        <v>2</v>
      </c>
      <c r="E1178" s="23" t="str">
        <f>VLOOKUP(C1178,'[7]Tariff Schedule Lookup Table'!I$7:L$287,2,FALSE)</f>
        <v>HIGH PRESSURE SODIUM 50W TWIN ARC</v>
      </c>
      <c r="F1178" s="23" t="str">
        <f>IF(E1178 = "BULKHEADS ETC", "SHARED OR NO POLE", VLOOKUP(C1178,'[7]Tariff Schedule Lookup Table'!I$7:L$287,3,FALSE))</f>
        <v>STEEL POLE</v>
      </c>
      <c r="G1178" s="23">
        <f>IF(E1178 = "NO CAPITAL", 1, VLOOKUP(C1178,'[7]Tariff Schedule Lookup Table'!I$7:L$287,4,FALSE))</f>
        <v>1</v>
      </c>
      <c r="H1178" s="23" t="str">
        <f t="shared" si="199"/>
        <v>2-Unmetered, Funded by Others, CE Maintained</v>
      </c>
      <c r="I1178" s="374">
        <f>VLOOKUP(F1178,'Maintenance Model'!$A$57:$B$61,2,FALSE)</f>
        <v>9.9616182311111103</v>
      </c>
      <c r="J1178" s="374">
        <f>IF(D1178=1,VLOOKUP(C1178,'Capital Code Schedules'!A$15:F$300,2,FALSE),IF(D1178=2,VLOOKUP(C1178,'Capital Code Schedules'!A$15:F$300,3,FALSE),0))</f>
        <v>0</v>
      </c>
      <c r="K1178" s="374">
        <f>IF(D1178=1,VLOOKUP(C1178,'Capital Code Schedules'!E$15:G$300,2,FALSE),IF(D1178=2,VLOOKUP(C1178,'Capital Code Schedules'!E$15:G$300,3,FALSE),0))</f>
        <v>0</v>
      </c>
      <c r="L1178" s="374">
        <f>VLOOKUP(LEFT(A1178,10),'Streetlight Tariff Schedule'!B$11:H$260,7, FALSE)+I1178</f>
        <v>62.352803769777438</v>
      </c>
      <c r="M1178" s="410">
        <f t="shared" si="202"/>
        <v>62.352803769777438</v>
      </c>
      <c r="N1178" s="411">
        <f t="shared" si="203"/>
        <v>64.950959211876878</v>
      </c>
      <c r="O1178" s="411">
        <v>35.561422537927406</v>
      </c>
      <c r="P1178" s="411">
        <v>35.561422537927406</v>
      </c>
      <c r="Q1178" s="411">
        <v>37.301758098473208</v>
      </c>
      <c r="R1178" s="411">
        <v>37.301758098473208</v>
      </c>
      <c r="S1178" s="411">
        <f t="shared" si="204"/>
        <v>68.129585260579844</v>
      </c>
      <c r="T1178" s="411">
        <v>38.833785508920315</v>
      </c>
      <c r="U1178" s="411">
        <v>38.975656634440178</v>
      </c>
      <c r="V1178" s="411">
        <f t="shared" si="205"/>
        <v>71.186867781223015</v>
      </c>
      <c r="W1178" s="411">
        <v>40.247440424588042</v>
      </c>
      <c r="X1178" s="411">
        <v>40.755157218348963</v>
      </c>
      <c r="Y1178" s="411">
        <f t="shared" si="206"/>
        <v>74.437026565498329</v>
      </c>
      <c r="Z1178" s="411">
        <v>41.410012261560937</v>
      </c>
      <c r="AA1178" s="411">
        <v>42.085842884744295</v>
      </c>
      <c r="AB1178" s="441">
        <f t="shared" si="207"/>
        <v>76.052811860127548</v>
      </c>
      <c r="AC1178" s="438">
        <f t="shared" si="208"/>
        <v>78.326719540278489</v>
      </c>
      <c r="AD1178" s="410"/>
      <c r="AE1178" s="411"/>
      <c r="AF1178" s="411"/>
      <c r="AG1178" s="411"/>
    </row>
    <row r="1179" spans="1:33" s="409" customFormat="1" x14ac:dyDescent="0.2">
      <c r="A1179" s="409" t="s">
        <v>433</v>
      </c>
      <c r="B1179" s="23" t="str">
        <f>VLOOKUP(LEFT(A1179,7),'[7]Tariff Schedule Lookup Table'!$A$8:$G$186,2,FALSE)</f>
        <v>High Pressure Sodium 50</v>
      </c>
      <c r="C1179" s="375">
        <f t="shared" si="200"/>
        <v>1180</v>
      </c>
      <c r="D1179" s="23">
        <f t="shared" si="201"/>
        <v>1</v>
      </c>
      <c r="E1179" s="23" t="str">
        <f>VLOOKUP(C1179,'[7]Tariff Schedule Lookup Table'!I$7:L$287,2,FALSE)</f>
        <v>HIGH PRESSURE SODIUM 70W TWIN ARC</v>
      </c>
      <c r="F1179" s="23" t="str">
        <f>IF(E1179 = "BULKHEADS ETC", "SHARED OR NO POLE", VLOOKUP(C1179,'[7]Tariff Schedule Lookup Table'!I$7:L$287,3,FALSE))</f>
        <v>SHARED OR NO POLE</v>
      </c>
      <c r="G1179" s="23">
        <f>IF(E1179 = "NO CAPITAL", 1, VLOOKUP(C1179,'[7]Tariff Schedule Lookup Table'!I$7:L$287,4,FALSE))</f>
        <v>2</v>
      </c>
      <c r="H1179" s="23" t="str">
        <f t="shared" ref="H1179:H1242" si="209">VLOOKUP(D1179,A$11:B$15, 2, FALSE)</f>
        <v>1-Unmetered, CE Funded, CE Maintained</v>
      </c>
      <c r="I1179" s="374">
        <f>VLOOKUP(F1179,'Maintenance Model'!$A$57:$B$61,2,FALSE)</f>
        <v>0</v>
      </c>
      <c r="J1179" s="374">
        <f>IF(D1179=1,VLOOKUP(C1179,'Capital Code Schedules'!A$15:F$300,2,FALSE),IF(D1179=2,VLOOKUP(C1179,'Capital Code Schedules'!A$15:F$300,3,FALSE),0))</f>
        <v>28.535418210578442</v>
      </c>
      <c r="K1179" s="374">
        <f>IF(D1179=1,VLOOKUP(C1179,'Capital Code Schedules'!E$15:G$300,2,FALSE),IF(D1179=2,VLOOKUP(C1179,'Capital Code Schedules'!E$15:G$300,3,FALSE),0))</f>
        <v>36.196344108972738</v>
      </c>
      <c r="L1179" s="374">
        <f>VLOOKUP(LEFT(A1179,10),'Streetlight Tariff Schedule'!B$11:H$260,7, FALSE)+I1179</f>
        <v>52.391185538666328</v>
      </c>
      <c r="M1179" s="410">
        <f t="shared" si="202"/>
        <v>88.587529647639059</v>
      </c>
      <c r="N1179" s="411">
        <f t="shared" si="203"/>
        <v>83.815923882494744</v>
      </c>
      <c r="O1179" s="411">
        <v>64.701608506082977</v>
      </c>
      <c r="P1179" s="411">
        <v>63.059510927498053</v>
      </c>
      <c r="Q1179" s="411">
        <v>65.248353443411418</v>
      </c>
      <c r="R1179" s="411">
        <v>66.931092937066325</v>
      </c>
      <c r="S1179" s="411">
        <f t="shared" si="204"/>
        <v>87.210457115087181</v>
      </c>
      <c r="T1179" s="411">
        <v>67.307808552457487</v>
      </c>
      <c r="U1179" s="411">
        <v>69.284640223784308</v>
      </c>
      <c r="V1179" s="411">
        <f t="shared" si="205"/>
        <v>90.633315527658283</v>
      </c>
      <c r="W1179" s="411">
        <v>69.304110523911874</v>
      </c>
      <c r="X1179" s="411">
        <v>71.967990618561004</v>
      </c>
      <c r="Y1179" s="411">
        <f t="shared" si="206"/>
        <v>94.409000115011921</v>
      </c>
      <c r="Z1179" s="411">
        <v>71.140929028960258</v>
      </c>
      <c r="AA1179" s="411">
        <v>74.142603370625864</v>
      </c>
      <c r="AB1179" s="441">
        <f t="shared" si="207"/>
        <v>96.327453871821533</v>
      </c>
      <c r="AC1179" s="438">
        <f t="shared" si="208"/>
        <v>99.181644751821054</v>
      </c>
      <c r="AD1179" s="410"/>
      <c r="AE1179" s="411"/>
      <c r="AF1179" s="411"/>
      <c r="AG1179" s="411"/>
    </row>
    <row r="1180" spans="1:33" s="409" customFormat="1" x14ac:dyDescent="0.2">
      <c r="A1180" s="409" t="s">
        <v>434</v>
      </c>
      <c r="B1180" s="23" t="str">
        <f>VLOOKUP(LEFT(A1180,7),'[7]Tariff Schedule Lookup Table'!$A$8:$G$186,2,FALSE)</f>
        <v>High Pressure Sodium 50</v>
      </c>
      <c r="C1180" s="375">
        <f t="shared" si="200"/>
        <v>1200</v>
      </c>
      <c r="D1180" s="23">
        <f t="shared" si="201"/>
        <v>1</v>
      </c>
      <c r="E1180" s="23" t="str">
        <f>VLOOKUP(C1180,'[7]Tariff Schedule Lookup Table'!I$7:L$287,2,FALSE)</f>
        <v>HIGH PRESSURE SODIUM 70W TWIN ARC</v>
      </c>
      <c r="F1180" s="23" t="str">
        <f>IF(E1180 = "BULKHEADS ETC", "SHARED OR NO POLE", VLOOKUP(C1180,'[7]Tariff Schedule Lookup Table'!I$7:L$287,3,FALSE))</f>
        <v>SHARED OR NO POLE</v>
      </c>
      <c r="G1180" s="23">
        <f>IF(E1180 = "NO CAPITAL", 1, VLOOKUP(C1180,'[7]Tariff Schedule Lookup Table'!I$7:L$287,4,FALSE))</f>
        <v>4</v>
      </c>
      <c r="H1180" s="23" t="str">
        <f t="shared" si="209"/>
        <v>1-Unmetered, CE Funded, CE Maintained</v>
      </c>
      <c r="I1180" s="374">
        <f>VLOOKUP(F1180,'Maintenance Model'!$A$57:$B$61,2,FALSE)</f>
        <v>0</v>
      </c>
      <c r="J1180" s="374">
        <f>IF(D1180=1,VLOOKUP(C1180,'Capital Code Schedules'!A$15:F$300,2,FALSE),IF(D1180=2,VLOOKUP(C1180,'Capital Code Schedules'!A$15:F$300,3,FALSE),0))</f>
        <v>46.480563122915477</v>
      </c>
      <c r="K1180" s="374">
        <f>IF(D1180=1,VLOOKUP(C1180,'Capital Code Schedules'!E$15:G$300,2,FALSE),IF(D1180=2,VLOOKUP(C1180,'Capital Code Schedules'!E$15:G$300,3,FALSE),0))</f>
        <v>58.959236018912797</v>
      </c>
      <c r="L1180" s="374">
        <f>VLOOKUP(LEFT(A1180,10),'Streetlight Tariff Schedule'!B$11:H$260,7, FALSE)+I1180</f>
        <v>52.391185538666328</v>
      </c>
      <c r="M1180" s="410">
        <f t="shared" si="202"/>
        <v>111.35042155757912</v>
      </c>
      <c r="N1180" s="411">
        <f t="shared" si="203"/>
        <v>102.20521113141211</v>
      </c>
      <c r="O1180" s="411">
        <v>89.060552295131146</v>
      </c>
      <c r="P1180" s="411">
        <v>86.385784412209134</v>
      </c>
      <c r="Q1180" s="411">
        <v>89.151952196869104</v>
      </c>
      <c r="R1180" s="411">
        <v>91.892920584893446</v>
      </c>
      <c r="S1180" s="411">
        <f t="shared" si="204"/>
        <v>106.05487922341526</v>
      </c>
      <c r="T1180" s="411">
        <v>91.803021375063238</v>
      </c>
      <c r="U1180" s="411">
        <v>94.957879959574498</v>
      </c>
      <c r="V1180" s="411">
        <f t="shared" si="205"/>
        <v>110.0148036660737</v>
      </c>
      <c r="W1180" s="411">
        <v>94.405579863877136</v>
      </c>
      <c r="X1180" s="411">
        <v>98.511553181394476</v>
      </c>
      <c r="Y1180" s="411">
        <f t="shared" si="206"/>
        <v>114.44752070131963</v>
      </c>
      <c r="Z1180" s="411">
        <v>96.863659735089655</v>
      </c>
      <c r="AA1180" s="411">
        <v>101.44265746650009</v>
      </c>
      <c r="AB1180" s="441">
        <f t="shared" si="207"/>
        <v>116.71865242044827</v>
      </c>
      <c r="AC1180" s="438">
        <f t="shared" si="208"/>
        <v>120.16622717821282</v>
      </c>
      <c r="AD1180" s="410"/>
      <c r="AE1180" s="411"/>
      <c r="AF1180" s="411"/>
      <c r="AG1180" s="411"/>
    </row>
    <row r="1181" spans="1:33" s="409" customFormat="1" x14ac:dyDescent="0.2">
      <c r="A1181" s="409" t="s">
        <v>435</v>
      </c>
      <c r="B1181" s="23" t="str">
        <f>VLOOKUP(LEFT(A1181,7),'[7]Tariff Schedule Lookup Table'!$A$8:$G$186,2,FALSE)</f>
        <v>High Pressure Sodium 70</v>
      </c>
      <c r="C1181" s="375">
        <f t="shared" si="200"/>
        <v>40</v>
      </c>
      <c r="D1181" s="23">
        <f t="shared" si="201"/>
        <v>1</v>
      </c>
      <c r="E1181" s="23" t="str">
        <f>VLOOKUP(C1181,'[7]Tariff Schedule Lookup Table'!I$7:L$287,2,FALSE)</f>
        <v>HIGH PRESSURE SODIUM 70W (100)</v>
      </c>
      <c r="F1181" s="23" t="str">
        <f>IF(E1181 = "BULKHEADS ETC", "SHARED OR NO POLE", VLOOKUP(C1181,'[7]Tariff Schedule Lookup Table'!I$7:L$287,3,FALSE))</f>
        <v>SHARED OR NO POLE</v>
      </c>
      <c r="G1181" s="23">
        <f>IF(E1181 = "NO CAPITAL", 1, VLOOKUP(C1181,'[7]Tariff Schedule Lookup Table'!I$7:L$287,4,FALSE))</f>
        <v>1</v>
      </c>
      <c r="H1181" s="23" t="str">
        <f t="shared" si="209"/>
        <v>1-Unmetered, CE Funded, CE Maintained</v>
      </c>
      <c r="I1181" s="374">
        <f>VLOOKUP(F1181,'Maintenance Model'!$A$57:$B$61,2,FALSE)</f>
        <v>0</v>
      </c>
      <c r="J1181" s="374">
        <f>IF(D1181=1,VLOOKUP(C1181,'Capital Code Schedules'!A$15:F$300,2,FALSE),IF(D1181=2,VLOOKUP(C1181,'Capital Code Schedules'!A$15:F$300,3,FALSE),0))</f>
        <v>18.483521869130684</v>
      </c>
      <c r="K1181" s="374">
        <f>IF(D1181=1,VLOOKUP(C1181,'Capital Code Schedules'!E$15:G$300,2,FALSE),IF(D1181=2,VLOOKUP(C1181,'Capital Code Schedules'!E$15:G$300,3,FALSE),0))</f>
        <v>23.445807346631316</v>
      </c>
      <c r="L1181" s="374">
        <f>VLOOKUP(LEFT(A1181,10),'Streetlight Tariff Schedule'!B$11:H$260,7, FALSE)+I1181</f>
        <v>52.135530877055935</v>
      </c>
      <c r="M1181" s="410">
        <f t="shared" si="202"/>
        <v>75.581338223687254</v>
      </c>
      <c r="N1181" s="411">
        <f t="shared" si="203"/>
        <v>73.248935667400744</v>
      </c>
      <c r="O1181" s="411">
        <v>57.96132046770726</v>
      </c>
      <c r="P1181" s="411">
        <v>56.897668753159429</v>
      </c>
      <c r="Q1181" s="411">
        <v>59.101012120544617</v>
      </c>
      <c r="R1181" s="411">
        <v>60.190989215027507</v>
      </c>
      <c r="S1181" s="411">
        <f t="shared" si="204"/>
        <v>76.375494267695146</v>
      </c>
      <c r="T1181" s="411">
        <v>61.126521124903462</v>
      </c>
      <c r="U1181" s="411">
        <v>62.47103040761462</v>
      </c>
      <c r="V1181" s="411">
        <f t="shared" si="205"/>
        <v>79.484982176713345</v>
      </c>
      <c r="W1181" s="411">
        <v>63.057692999734037</v>
      </c>
      <c r="X1181" s="411">
        <v>65.012364233473818</v>
      </c>
      <c r="Y1181" s="411">
        <f t="shared" si="206"/>
        <v>82.879306765598002</v>
      </c>
      <c r="Z1181" s="411">
        <v>64.772228583873343</v>
      </c>
      <c r="AA1181" s="411">
        <v>67.02158485916604</v>
      </c>
      <c r="AB1181" s="441">
        <f t="shared" si="207"/>
        <v>84.593584535551145</v>
      </c>
      <c r="AC1181" s="438">
        <f t="shared" si="208"/>
        <v>87.106070649400664</v>
      </c>
      <c r="AD1181" s="410"/>
      <c r="AE1181" s="411"/>
      <c r="AF1181" s="411"/>
      <c r="AG1181" s="411"/>
    </row>
    <row r="1182" spans="1:33" s="409" customFormat="1" x14ac:dyDescent="0.2">
      <c r="A1182" s="409" t="s">
        <v>436</v>
      </c>
      <c r="B1182" s="23" t="str">
        <f>VLOOKUP(LEFT(A1182,7),'[7]Tariff Schedule Lookup Table'!$A$8:$G$186,2,FALSE)</f>
        <v>High Pressure Sodium 70</v>
      </c>
      <c r="C1182" s="375">
        <f t="shared" si="200"/>
        <v>40</v>
      </c>
      <c r="D1182" s="23">
        <f t="shared" si="201"/>
        <v>2</v>
      </c>
      <c r="E1182" s="23" t="str">
        <f>VLOOKUP(C1182,'[7]Tariff Schedule Lookup Table'!I$7:L$287,2,FALSE)</f>
        <v>HIGH PRESSURE SODIUM 70W (100)</v>
      </c>
      <c r="F1182" s="23" t="str">
        <f>IF(E1182 = "BULKHEADS ETC", "SHARED OR NO POLE", VLOOKUP(C1182,'[7]Tariff Schedule Lookup Table'!I$7:L$287,3,FALSE))</f>
        <v>SHARED OR NO POLE</v>
      </c>
      <c r="G1182" s="23">
        <f>IF(E1182 = "NO CAPITAL", 1, VLOOKUP(C1182,'[7]Tariff Schedule Lookup Table'!I$7:L$287,4,FALSE))</f>
        <v>1</v>
      </c>
      <c r="H1182" s="23" t="str">
        <f t="shared" si="209"/>
        <v>2-Unmetered, Funded by Others, CE Maintained</v>
      </c>
      <c r="I1182" s="374">
        <f>VLOOKUP(F1182,'Maintenance Model'!$A$57:$B$61,2,FALSE)</f>
        <v>0</v>
      </c>
      <c r="J1182" s="374">
        <f>IF(D1182=1,VLOOKUP(C1182,'Capital Code Schedules'!A$15:F$300,2,FALSE),IF(D1182=2,VLOOKUP(C1182,'Capital Code Schedules'!A$15:F$300,3,FALSE),0))</f>
        <v>0</v>
      </c>
      <c r="K1182" s="374">
        <f>IF(D1182=1,VLOOKUP(C1182,'Capital Code Schedules'!E$15:G$300,2,FALSE),IF(D1182=2,VLOOKUP(C1182,'Capital Code Schedules'!E$15:G$300,3,FALSE),0))</f>
        <v>0</v>
      </c>
      <c r="L1182" s="374">
        <f>VLOOKUP(LEFT(A1182,10),'Streetlight Tariff Schedule'!B$11:H$260,7, FALSE)+I1182</f>
        <v>52.135530877055935</v>
      </c>
      <c r="M1182" s="410">
        <f t="shared" si="202"/>
        <v>52.135530877055935</v>
      </c>
      <c r="N1182" s="411">
        <f t="shared" si="203"/>
        <v>54.30794663200907</v>
      </c>
      <c r="O1182" s="411">
        <v>32.871577674698983</v>
      </c>
      <c r="P1182" s="411">
        <v>32.871577674698983</v>
      </c>
      <c r="Q1182" s="411">
        <v>34.480275287892276</v>
      </c>
      <c r="R1182" s="411">
        <v>34.480275287892276</v>
      </c>
      <c r="S1182" s="411">
        <f t="shared" si="204"/>
        <v>56.965715753677543</v>
      </c>
      <c r="T1182" s="411">
        <v>35.896421055642975</v>
      </c>
      <c r="U1182" s="411">
        <v>36.027561133556041</v>
      </c>
      <c r="V1182" s="411">
        <f t="shared" si="205"/>
        <v>59.522024975046243</v>
      </c>
      <c r="W1182" s="411">
        <v>37.203147953759348</v>
      </c>
      <c r="X1182" s="411">
        <v>37.672461351024651</v>
      </c>
      <c r="Y1182" s="411">
        <f t="shared" si="206"/>
        <v>62.239605314794382</v>
      </c>
      <c r="Z1182" s="411">
        <v>38.277783548010788</v>
      </c>
      <c r="AA1182" s="411">
        <v>38.902494744567065</v>
      </c>
      <c r="AB1182" s="441">
        <f t="shared" si="207"/>
        <v>63.590624339213392</v>
      </c>
      <c r="AC1182" s="438">
        <f t="shared" si="208"/>
        <v>65.491924311349464</v>
      </c>
      <c r="AD1182" s="410"/>
      <c r="AE1182" s="411"/>
      <c r="AF1182" s="411"/>
      <c r="AG1182" s="411"/>
    </row>
    <row r="1183" spans="1:33" s="409" customFormat="1" x14ac:dyDescent="0.2">
      <c r="A1183" s="409" t="s">
        <v>437</v>
      </c>
      <c r="B1183" s="23" t="str">
        <f>VLOOKUP(LEFT(A1183,7),'[7]Tariff Schedule Lookup Table'!$A$8:$G$186,2,FALSE)</f>
        <v>High Pressure Sodium 70</v>
      </c>
      <c r="C1183" s="375">
        <f t="shared" ref="C1183:C1246" si="210">1*MID(A1183,12,4)</f>
        <v>170</v>
      </c>
      <c r="D1183" s="23">
        <f t="shared" ref="D1183:D1246" si="211">1*(MID(A1183,17,3))</f>
        <v>2</v>
      </c>
      <c r="E1183" s="23" t="str">
        <f>VLOOKUP(C1183,'[7]Tariff Schedule Lookup Table'!I$7:L$287,2,FALSE)</f>
        <v>HIGH PRESSURE SODIUM 50W TWIN ARC</v>
      </c>
      <c r="F1183" s="23" t="str">
        <f>IF(E1183 = "BULKHEADS ETC", "SHARED OR NO POLE", VLOOKUP(C1183,'[7]Tariff Schedule Lookup Table'!I$7:L$287,3,FALSE))</f>
        <v>STEEL POLE</v>
      </c>
      <c r="G1183" s="23">
        <f>IF(E1183 = "NO CAPITAL", 1, VLOOKUP(C1183,'[7]Tariff Schedule Lookup Table'!I$7:L$287,4,FALSE))</f>
        <v>1</v>
      </c>
      <c r="H1183" s="23" t="str">
        <f t="shared" si="209"/>
        <v>2-Unmetered, Funded by Others, CE Maintained</v>
      </c>
      <c r="I1183" s="374">
        <f>VLOOKUP(F1183,'Maintenance Model'!$A$57:$B$61,2,FALSE)</f>
        <v>9.9616182311111103</v>
      </c>
      <c r="J1183" s="374">
        <f>IF(D1183=1,VLOOKUP(C1183,'Capital Code Schedules'!A$15:F$300,2,FALSE),IF(D1183=2,VLOOKUP(C1183,'Capital Code Schedules'!A$15:F$300,3,FALSE),0))</f>
        <v>0</v>
      </c>
      <c r="K1183" s="374">
        <f>IF(D1183=1,VLOOKUP(C1183,'Capital Code Schedules'!E$15:G$300,2,FALSE),IF(D1183=2,VLOOKUP(C1183,'Capital Code Schedules'!E$15:G$300,3,FALSE),0))</f>
        <v>0</v>
      </c>
      <c r="L1183" s="374">
        <f>VLOOKUP(LEFT(A1183,10),'Streetlight Tariff Schedule'!B$11:H$260,7, FALSE)+I1183</f>
        <v>62.097149108167045</v>
      </c>
      <c r="M1183" s="410">
        <f t="shared" si="202"/>
        <v>62.097149108167045</v>
      </c>
      <c r="N1183" s="411">
        <f t="shared" si="203"/>
        <v>64.684651772681477</v>
      </c>
      <c r="O1183" s="411">
        <v>42.465692910798147</v>
      </c>
      <c r="P1183" s="411">
        <v>42.465692910798147</v>
      </c>
      <c r="Q1183" s="411">
        <v>44.543915608359193</v>
      </c>
      <c r="R1183" s="411">
        <v>44.543915608359193</v>
      </c>
      <c r="S1183" s="411">
        <f t="shared" si="204"/>
        <v>67.850245038289913</v>
      </c>
      <c r="T1183" s="411">
        <v>46.373387010229727</v>
      </c>
      <c r="U1183" s="411">
        <v>46.542802495305168</v>
      </c>
      <c r="V1183" s="411">
        <f t="shared" si="205"/>
        <v>70.894992300195582</v>
      </c>
      <c r="W1183" s="411">
        <v>48.061503830263007</v>
      </c>
      <c r="X1183" s="411">
        <v>48.667794127747918</v>
      </c>
      <c r="Y1183" s="411">
        <f t="shared" si="206"/>
        <v>74.131825007792102</v>
      </c>
      <c r="Z1183" s="411">
        <v>49.449789649340673</v>
      </c>
      <c r="AA1183" s="411">
        <v>50.256833171663452</v>
      </c>
      <c r="AB1183" s="441">
        <f t="shared" si="207"/>
        <v>75.74098537109893</v>
      </c>
      <c r="AC1183" s="438">
        <f t="shared" si="208"/>
        <v>78.005569731954566</v>
      </c>
      <c r="AD1183" s="410"/>
      <c r="AE1183" s="411"/>
      <c r="AF1183" s="411"/>
      <c r="AG1183" s="411"/>
    </row>
    <row r="1184" spans="1:33" s="409" customFormat="1" x14ac:dyDescent="0.2">
      <c r="A1184" s="409" t="s">
        <v>446</v>
      </c>
      <c r="B1184" s="23" t="str">
        <f>VLOOKUP(LEFT(A1184,7),'[7]Tariff Schedule Lookup Table'!$A$8:$G$186,2,FALSE)</f>
        <v>High Pressure Sodium 70</v>
      </c>
      <c r="C1184" s="375">
        <f t="shared" si="210"/>
        <v>350</v>
      </c>
      <c r="D1184" s="23">
        <f t="shared" si="211"/>
        <v>1</v>
      </c>
      <c r="E1184" s="23" t="str">
        <f>VLOOKUP(C1184,'[7]Tariff Schedule Lookup Table'!I$7:L$287,2,FALSE)</f>
        <v>HIGH PRESSURE SODIUM 70W (100)</v>
      </c>
      <c r="F1184" s="23" t="str">
        <f>IF(E1184 = "BULKHEADS ETC", "SHARED OR NO POLE", VLOOKUP(C1184,'[7]Tariff Schedule Lookup Table'!I$7:L$287,3,FALSE))</f>
        <v>WOOD POLE</v>
      </c>
      <c r="G1184" s="23">
        <f>IF(E1184 = "NO CAPITAL", 1, VLOOKUP(C1184,'[7]Tariff Schedule Lookup Table'!I$7:L$287,4,FALSE))</f>
        <v>1</v>
      </c>
      <c r="H1184" s="23" t="str">
        <f t="shared" si="209"/>
        <v>1-Unmetered, CE Funded, CE Maintained</v>
      </c>
      <c r="I1184" s="374">
        <f>VLOOKUP(F1184,'Maintenance Model'!$A$57:$B$61,2,FALSE)</f>
        <v>10.731618231111112</v>
      </c>
      <c r="J1184" s="374">
        <f>IF(D1184=1,VLOOKUP(C1184,'Capital Code Schedules'!A$15:F$300,2,FALSE),IF(D1184=2,VLOOKUP(C1184,'Capital Code Schedules'!A$15:F$300,3,FALSE),0))</f>
        <v>52.384640231006998</v>
      </c>
      <c r="K1184" s="374">
        <f>IF(D1184=1,VLOOKUP(C1184,'Capital Code Schedules'!E$15:G$300,2,FALSE),IF(D1184=2,VLOOKUP(C1184,'Capital Code Schedules'!E$15:G$300,3,FALSE),0))</f>
        <v>66.448385295553337</v>
      </c>
      <c r="L1184" s="374">
        <f>VLOOKUP(LEFT(A1184,10),'Streetlight Tariff Schedule'!B$11:H$260,7, FALSE)+I1184</f>
        <v>62.867149108167048</v>
      </c>
      <c r="M1184" s="410">
        <f t="shared" si="202"/>
        <v>129.31553440372039</v>
      </c>
      <c r="N1184" s="411">
        <f t="shared" si="203"/>
        <v>119.16789668873091</v>
      </c>
      <c r="O1184" s="411">
        <v>114.37528415534339</v>
      </c>
      <c r="P1184" s="411">
        <v>111.36076058174143</v>
      </c>
      <c r="Q1184" s="411">
        <v>115.16353772388447</v>
      </c>
      <c r="R1184" s="411">
        <v>118.2526707559331</v>
      </c>
      <c r="S1184" s="411">
        <f t="shared" si="204"/>
        <v>123.70135178573773</v>
      </c>
      <c r="T1184" s="411">
        <v>118.75457640565001</v>
      </c>
      <c r="U1184" s="411">
        <v>122.36603367085918</v>
      </c>
      <c r="V1184" s="411">
        <f t="shared" si="205"/>
        <v>128.35163209621993</v>
      </c>
      <c r="W1184" s="411">
        <v>122.24433418428647</v>
      </c>
      <c r="X1184" s="411">
        <v>127.07176808436415</v>
      </c>
      <c r="Y1184" s="411">
        <f t="shared" si="206"/>
        <v>133.54658013711264</v>
      </c>
      <c r="Z1184" s="411">
        <v>125.47239926793732</v>
      </c>
      <c r="AA1184" s="411">
        <v>130.89913585848387</v>
      </c>
      <c r="AB1184" s="441">
        <f t="shared" si="207"/>
        <v>136.20521522691871</v>
      </c>
      <c r="AC1184" s="438">
        <f t="shared" si="208"/>
        <v>140.23005914096103</v>
      </c>
      <c r="AD1184" s="410"/>
      <c r="AE1184" s="411"/>
      <c r="AF1184" s="411"/>
      <c r="AG1184" s="411"/>
    </row>
    <row r="1185" spans="1:33" s="409" customFormat="1" x14ac:dyDescent="0.2">
      <c r="A1185" s="409" t="s">
        <v>447</v>
      </c>
      <c r="B1185" s="23" t="str">
        <f>VLOOKUP(LEFT(A1185,7),'[7]Tariff Schedule Lookup Table'!$A$8:$G$186,2,FALSE)</f>
        <v>High Pressure Sodium 70</v>
      </c>
      <c r="C1185" s="375">
        <f t="shared" si="210"/>
        <v>350</v>
      </c>
      <c r="D1185" s="23">
        <f t="shared" si="211"/>
        <v>2</v>
      </c>
      <c r="E1185" s="23" t="str">
        <f>VLOOKUP(C1185,'[7]Tariff Schedule Lookup Table'!I$7:L$287,2,FALSE)</f>
        <v>HIGH PRESSURE SODIUM 70W (100)</v>
      </c>
      <c r="F1185" s="23" t="str">
        <f>IF(E1185 = "BULKHEADS ETC", "SHARED OR NO POLE", VLOOKUP(C1185,'[7]Tariff Schedule Lookup Table'!I$7:L$287,3,FALSE))</f>
        <v>WOOD POLE</v>
      </c>
      <c r="G1185" s="23">
        <f>IF(E1185 = "NO CAPITAL", 1, VLOOKUP(C1185,'[7]Tariff Schedule Lookup Table'!I$7:L$287,4,FALSE))</f>
        <v>1</v>
      </c>
      <c r="H1185" s="23" t="str">
        <f t="shared" si="209"/>
        <v>2-Unmetered, Funded by Others, CE Maintained</v>
      </c>
      <c r="I1185" s="374">
        <f>VLOOKUP(F1185,'Maintenance Model'!$A$57:$B$61,2,FALSE)</f>
        <v>10.731618231111112</v>
      </c>
      <c r="J1185" s="374">
        <f>IF(D1185=1,VLOOKUP(C1185,'Capital Code Schedules'!A$15:F$300,2,FALSE),IF(D1185=2,VLOOKUP(C1185,'Capital Code Schedules'!A$15:F$300,3,FALSE),0))</f>
        <v>0</v>
      </c>
      <c r="K1185" s="374">
        <f>IF(D1185=1,VLOOKUP(C1185,'Capital Code Schedules'!E$15:G$300,2,FALSE),IF(D1185=2,VLOOKUP(C1185,'Capital Code Schedules'!E$15:G$300,3,FALSE),0))</f>
        <v>0</v>
      </c>
      <c r="L1185" s="374">
        <f>VLOOKUP(LEFT(A1185,10),'Streetlight Tariff Schedule'!B$11:H$260,7, FALSE)+I1185</f>
        <v>62.867149108167048</v>
      </c>
      <c r="M1185" s="410">
        <f t="shared" si="202"/>
        <v>62.867149108167048</v>
      </c>
      <c r="N1185" s="411">
        <f t="shared" si="203"/>
        <v>65.486736612006467</v>
      </c>
      <c r="O1185" s="411">
        <v>43.267777750123152</v>
      </c>
      <c r="P1185" s="411">
        <v>43.267777750123152</v>
      </c>
      <c r="Q1185" s="411">
        <v>45.385253567183653</v>
      </c>
      <c r="R1185" s="411">
        <v>45.385253567183653</v>
      </c>
      <c r="S1185" s="411">
        <f t="shared" si="204"/>
        <v>68.691582997114381</v>
      </c>
      <c r="T1185" s="411">
        <v>47.249279716070831</v>
      </c>
      <c r="U1185" s="411">
        <v>47.421895092230379</v>
      </c>
      <c r="V1185" s="411">
        <f t="shared" si="205"/>
        <v>71.774084897120787</v>
      </c>
      <c r="W1185" s="411">
        <v>48.969281401640217</v>
      </c>
      <c r="X1185" s="411">
        <v>49.587023207919856</v>
      </c>
      <c r="Y1185" s="411">
        <f t="shared" si="206"/>
        <v>75.051054087964047</v>
      </c>
      <c r="Z1185" s="411">
        <v>50.383788928920566</v>
      </c>
      <c r="AA1185" s="411">
        <v>51.206075753060894</v>
      </c>
      <c r="AB1185" s="441">
        <f t="shared" si="207"/>
        <v>76.680167919305106</v>
      </c>
      <c r="AC1185" s="438">
        <f t="shared" si="208"/>
        <v>78.972832956695854</v>
      </c>
      <c r="AD1185" s="410"/>
      <c r="AE1185" s="411"/>
      <c r="AF1185" s="411"/>
      <c r="AG1185" s="411"/>
    </row>
    <row r="1186" spans="1:33" s="409" customFormat="1" x14ac:dyDescent="0.2">
      <c r="A1186" s="409" t="s">
        <v>448</v>
      </c>
      <c r="B1186" s="23" t="str">
        <f>VLOOKUP(LEFT(A1186,7),'[7]Tariff Schedule Lookup Table'!$A$8:$G$186,2,FALSE)</f>
        <v>High Pressure Sodium 70</v>
      </c>
      <c r="C1186" s="375">
        <f t="shared" si="210"/>
        <v>360</v>
      </c>
      <c r="D1186" s="23">
        <f t="shared" si="211"/>
        <v>1</v>
      </c>
      <c r="E1186" s="23" t="str">
        <f>VLOOKUP(C1186,'[7]Tariff Schedule Lookup Table'!I$7:L$287,2,FALSE)</f>
        <v>HIGH PRESSURE SODIUM 70W (100)</v>
      </c>
      <c r="F1186" s="23" t="str">
        <f>IF(E1186 = "BULKHEADS ETC", "SHARED OR NO POLE", VLOOKUP(C1186,'[7]Tariff Schedule Lookup Table'!I$7:L$287,3,FALSE))</f>
        <v>STEEL POLE</v>
      </c>
      <c r="G1186" s="23">
        <f>IF(E1186 = "NO CAPITAL", 1, VLOOKUP(C1186,'[7]Tariff Schedule Lookup Table'!I$7:L$287,4,FALSE))</f>
        <v>1</v>
      </c>
      <c r="H1186" s="23" t="str">
        <f t="shared" si="209"/>
        <v>1-Unmetered, CE Funded, CE Maintained</v>
      </c>
      <c r="I1186" s="374">
        <f>VLOOKUP(F1186,'Maintenance Model'!$A$57:$B$61,2,FALSE)</f>
        <v>9.9616182311111103</v>
      </c>
      <c r="J1186" s="374">
        <f>IF(D1186=1,VLOOKUP(C1186,'Capital Code Schedules'!A$15:F$300,2,FALSE),IF(D1186=2,VLOOKUP(C1186,'Capital Code Schedules'!A$15:F$300,3,FALSE),0))</f>
        <v>87.482155888651974</v>
      </c>
      <c r="K1186" s="374">
        <f>IF(D1186=1,VLOOKUP(C1186,'Capital Code Schedules'!E$15:G$300,2,FALSE),IF(D1186=2,VLOOKUP(C1186,'Capital Code Schedules'!E$15:G$300,3,FALSE),0))</f>
        <v>110.96855825181379</v>
      </c>
      <c r="L1186" s="374">
        <f>VLOOKUP(LEFT(A1186,10),'Streetlight Tariff Schedule'!B$11:H$260,7, FALSE)+I1186</f>
        <v>62.097149108167045</v>
      </c>
      <c r="M1186" s="410">
        <f t="shared" si="202"/>
        <v>173.06570735998082</v>
      </c>
      <c r="N1186" s="411">
        <f t="shared" si="203"/>
        <v>154.33199101957757</v>
      </c>
      <c r="O1186" s="411">
        <v>161.21496622379379</v>
      </c>
      <c r="P1186" s="411">
        <v>156.18072297934432</v>
      </c>
      <c r="Q1186" s="411">
        <v>161.07339267110189</v>
      </c>
      <c r="R1186" s="411">
        <v>166.2322334358515</v>
      </c>
      <c r="S1186" s="411">
        <f t="shared" si="204"/>
        <v>159.7163559315467</v>
      </c>
      <c r="T1186" s="411">
        <v>165.78696863027531</v>
      </c>
      <c r="U1186" s="411">
        <v>171.69923738088099</v>
      </c>
      <c r="V1186" s="411">
        <f t="shared" si="205"/>
        <v>165.3792873539102</v>
      </c>
      <c r="W1186" s="411">
        <v>170.43057159540473</v>
      </c>
      <c r="X1186" s="411">
        <v>178.06703215594476</v>
      </c>
      <c r="Y1186" s="411">
        <f t="shared" si="206"/>
        <v>171.81913766382763</v>
      </c>
      <c r="Z1186" s="411">
        <v>174.84749184166964</v>
      </c>
      <c r="AA1186" s="411">
        <v>183.34394948366392</v>
      </c>
      <c r="AB1186" s="441">
        <f t="shared" si="207"/>
        <v>175.14759472988069</v>
      </c>
      <c r="AC1186" s="438">
        <f t="shared" si="208"/>
        <v>180.3049114230769</v>
      </c>
      <c r="AD1186" s="410"/>
      <c r="AE1186" s="411"/>
      <c r="AF1186" s="411"/>
      <c r="AG1186" s="411"/>
    </row>
    <row r="1187" spans="1:33" s="409" customFormat="1" x14ac:dyDescent="0.2">
      <c r="A1187" s="409" t="s">
        <v>449</v>
      </c>
      <c r="B1187" s="23" t="str">
        <f>VLOOKUP(LEFT(A1187,7),'[7]Tariff Schedule Lookup Table'!$A$8:$G$186,2,FALSE)</f>
        <v>High Pressure Sodium 70</v>
      </c>
      <c r="C1187" s="375">
        <f t="shared" si="210"/>
        <v>360</v>
      </c>
      <c r="D1187" s="23">
        <f t="shared" si="211"/>
        <v>2</v>
      </c>
      <c r="E1187" s="23" t="str">
        <f>VLOOKUP(C1187,'[7]Tariff Schedule Lookup Table'!I$7:L$287,2,FALSE)</f>
        <v>HIGH PRESSURE SODIUM 70W (100)</v>
      </c>
      <c r="F1187" s="23" t="str">
        <f>IF(E1187 = "BULKHEADS ETC", "SHARED OR NO POLE", VLOOKUP(C1187,'[7]Tariff Schedule Lookup Table'!I$7:L$287,3,FALSE))</f>
        <v>STEEL POLE</v>
      </c>
      <c r="G1187" s="23">
        <f>IF(E1187 = "NO CAPITAL", 1, VLOOKUP(C1187,'[7]Tariff Schedule Lookup Table'!I$7:L$287,4,FALSE))</f>
        <v>1</v>
      </c>
      <c r="H1187" s="23" t="str">
        <f t="shared" si="209"/>
        <v>2-Unmetered, Funded by Others, CE Maintained</v>
      </c>
      <c r="I1187" s="374">
        <f>VLOOKUP(F1187,'Maintenance Model'!$A$57:$B$61,2,FALSE)</f>
        <v>9.9616182311111103</v>
      </c>
      <c r="J1187" s="374">
        <f>IF(D1187=1,VLOOKUP(C1187,'Capital Code Schedules'!A$15:F$300,2,FALSE),IF(D1187=2,VLOOKUP(C1187,'Capital Code Schedules'!A$15:F$300,3,FALSE),0))</f>
        <v>0</v>
      </c>
      <c r="K1187" s="374">
        <f>IF(D1187=1,VLOOKUP(C1187,'Capital Code Schedules'!E$15:G$300,2,FALSE),IF(D1187=2,VLOOKUP(C1187,'Capital Code Schedules'!E$15:G$300,3,FALSE),0))</f>
        <v>0</v>
      </c>
      <c r="L1187" s="374">
        <f>VLOOKUP(LEFT(A1187,10),'Streetlight Tariff Schedule'!B$11:H$260,7, FALSE)+I1187</f>
        <v>62.097149108167045</v>
      </c>
      <c r="M1187" s="410">
        <f t="shared" si="202"/>
        <v>62.097149108167045</v>
      </c>
      <c r="N1187" s="411">
        <f t="shared" si="203"/>
        <v>64.684651772681477</v>
      </c>
      <c r="O1187" s="411">
        <v>42.465692910798147</v>
      </c>
      <c r="P1187" s="411">
        <v>42.465692910798147</v>
      </c>
      <c r="Q1187" s="411">
        <v>44.543915608359193</v>
      </c>
      <c r="R1187" s="411">
        <v>44.543915608359193</v>
      </c>
      <c r="S1187" s="411">
        <f t="shared" si="204"/>
        <v>67.850245038289913</v>
      </c>
      <c r="T1187" s="411">
        <v>46.373387010229727</v>
      </c>
      <c r="U1187" s="411">
        <v>46.542802495305168</v>
      </c>
      <c r="V1187" s="411">
        <f t="shared" si="205"/>
        <v>70.894992300195582</v>
      </c>
      <c r="W1187" s="411">
        <v>48.061503830263007</v>
      </c>
      <c r="X1187" s="411">
        <v>48.667794127747918</v>
      </c>
      <c r="Y1187" s="411">
        <f t="shared" si="206"/>
        <v>74.131825007792102</v>
      </c>
      <c r="Z1187" s="411">
        <v>49.449789649340673</v>
      </c>
      <c r="AA1187" s="411">
        <v>50.256833171663452</v>
      </c>
      <c r="AB1187" s="441">
        <f t="shared" si="207"/>
        <v>75.74098537109893</v>
      </c>
      <c r="AC1187" s="438">
        <f t="shared" si="208"/>
        <v>78.005569731954566</v>
      </c>
      <c r="AD1187" s="410"/>
      <c r="AE1187" s="411"/>
      <c r="AF1187" s="411"/>
      <c r="AG1187" s="411"/>
    </row>
    <row r="1188" spans="1:33" s="409" customFormat="1" x14ac:dyDescent="0.2">
      <c r="A1188" s="409" t="s">
        <v>450</v>
      </c>
      <c r="B1188" s="23" t="str">
        <f>VLOOKUP(LEFT(A1188,7),'[7]Tariff Schedule Lookup Table'!$A$8:$G$186,2,FALSE)</f>
        <v>High Pressure Sodium 70</v>
      </c>
      <c r="C1188" s="375">
        <f t="shared" si="210"/>
        <v>730</v>
      </c>
      <c r="D1188" s="23">
        <f t="shared" si="211"/>
        <v>1</v>
      </c>
      <c r="E1188" s="23" t="str">
        <f>VLOOKUP(C1188,'[7]Tariff Schedule Lookup Table'!I$7:L$287,2,FALSE)</f>
        <v>HIGH PRESSURE SODIUM 70W (100)</v>
      </c>
      <c r="F1188" s="23" t="str">
        <f>IF(E1188 = "BULKHEADS ETC", "SHARED OR NO POLE", VLOOKUP(C1188,'[7]Tariff Schedule Lookup Table'!I$7:L$287,3,FALSE))</f>
        <v>STEEL POLE</v>
      </c>
      <c r="G1188" s="23">
        <f>IF(E1188 = "NO CAPITAL", 1, VLOOKUP(C1188,'[7]Tariff Schedule Lookup Table'!I$7:L$287,4,FALSE))</f>
        <v>2</v>
      </c>
      <c r="H1188" s="23" t="str">
        <f t="shared" si="209"/>
        <v>1-Unmetered, CE Funded, CE Maintained</v>
      </c>
      <c r="I1188" s="374">
        <f>VLOOKUP(F1188,'Maintenance Model'!$A$57:$B$61,2,FALSE)</f>
        <v>9.9616182311111103</v>
      </c>
      <c r="J1188" s="374">
        <f>IF(D1188=1,VLOOKUP(C1188,'Capital Code Schedules'!A$15:F$300,2,FALSE),IF(D1188=2,VLOOKUP(C1188,'Capital Code Schedules'!A$15:F$300,3,FALSE),0))</f>
        <v>95.375404459541258</v>
      </c>
      <c r="K1188" s="374">
        <f>IF(D1188=1,VLOOKUP(C1188,'Capital Code Schedules'!E$15:G$300,2,FALSE),IF(D1188=2,VLOOKUP(C1188,'Capital Code Schedules'!E$15:G$300,3,FALSE),0))</f>
        <v>120.98091339941246</v>
      </c>
      <c r="L1188" s="374">
        <f>VLOOKUP(LEFT(A1188,10),'Streetlight Tariff Schedule'!B$11:H$260,7, FALSE)+I1188</f>
        <v>62.097149108167045</v>
      </c>
      <c r="M1188" s="410">
        <f t="shared" si="202"/>
        <v>183.07806250757949</v>
      </c>
      <c r="N1188" s="411">
        <f t="shared" si="203"/>
        <v>162.42059749259636</v>
      </c>
      <c r="O1188" s="411">
        <v>171.92935160159553</v>
      </c>
      <c r="P1188" s="411">
        <v>166.44088391684608</v>
      </c>
      <c r="Q1188" s="411">
        <v>171.58749259180681</v>
      </c>
      <c r="R1188" s="411">
        <v>177.2117998517538</v>
      </c>
      <c r="S1188" s="411">
        <f t="shared" si="204"/>
        <v>168.0051554147727</v>
      </c>
      <c r="T1188" s="411">
        <v>176.56129252401766</v>
      </c>
      <c r="U1188" s="411">
        <v>182.99172143963651</v>
      </c>
      <c r="V1188" s="411">
        <f t="shared" si="205"/>
        <v>173.90431762240814</v>
      </c>
      <c r="W1188" s="411">
        <v>181.4715600055172</v>
      </c>
      <c r="X1188" s="411">
        <v>189.7423314242921</v>
      </c>
      <c r="Y1188" s="411">
        <f t="shared" si="206"/>
        <v>180.63316645842767</v>
      </c>
      <c r="Z1188" s="411">
        <v>186.16174471493238</v>
      </c>
      <c r="AA1188" s="411">
        <v>195.35199478115916</v>
      </c>
      <c r="AB1188" s="441">
        <f t="shared" si="207"/>
        <v>184.1167504312657</v>
      </c>
      <c r="AC1188" s="438">
        <f t="shared" si="208"/>
        <v>189.53506955537219</v>
      </c>
      <c r="AD1188" s="410"/>
      <c r="AE1188" s="411"/>
      <c r="AF1188" s="411"/>
      <c r="AG1188" s="411"/>
    </row>
    <row r="1189" spans="1:33" s="409" customFormat="1" x14ac:dyDescent="0.2">
      <c r="A1189" s="409" t="s">
        <v>451</v>
      </c>
      <c r="B1189" s="23" t="str">
        <f>VLOOKUP(LEFT(A1189,7),'[7]Tariff Schedule Lookup Table'!$A$8:$G$186,2,FALSE)</f>
        <v>High Pressure Sodium 70</v>
      </c>
      <c r="C1189" s="375">
        <f t="shared" si="210"/>
        <v>730</v>
      </c>
      <c r="D1189" s="23">
        <f t="shared" si="211"/>
        <v>2</v>
      </c>
      <c r="E1189" s="23" t="str">
        <f>VLOOKUP(C1189,'[7]Tariff Schedule Lookup Table'!I$7:L$287,2,FALSE)</f>
        <v>HIGH PRESSURE SODIUM 70W (100)</v>
      </c>
      <c r="F1189" s="23" t="str">
        <f>IF(E1189 = "BULKHEADS ETC", "SHARED OR NO POLE", VLOOKUP(C1189,'[7]Tariff Schedule Lookup Table'!I$7:L$287,3,FALSE))</f>
        <v>STEEL POLE</v>
      </c>
      <c r="G1189" s="23">
        <f>IF(E1189 = "NO CAPITAL", 1, VLOOKUP(C1189,'[7]Tariff Schedule Lookup Table'!I$7:L$287,4,FALSE))</f>
        <v>2</v>
      </c>
      <c r="H1189" s="23" t="str">
        <f t="shared" si="209"/>
        <v>2-Unmetered, Funded by Others, CE Maintained</v>
      </c>
      <c r="I1189" s="374">
        <f>VLOOKUP(F1189,'Maintenance Model'!$A$57:$B$61,2,FALSE)</f>
        <v>9.9616182311111103</v>
      </c>
      <c r="J1189" s="374">
        <f>IF(D1189=1,VLOOKUP(C1189,'Capital Code Schedules'!A$15:F$300,2,FALSE),IF(D1189=2,VLOOKUP(C1189,'Capital Code Schedules'!A$15:F$300,3,FALSE),0))</f>
        <v>0</v>
      </c>
      <c r="K1189" s="374">
        <f>IF(D1189=1,VLOOKUP(C1189,'Capital Code Schedules'!E$15:G$300,2,FALSE),IF(D1189=2,VLOOKUP(C1189,'Capital Code Schedules'!E$15:G$300,3,FALSE),0))</f>
        <v>0</v>
      </c>
      <c r="L1189" s="374">
        <f>VLOOKUP(LEFT(A1189,10),'Streetlight Tariff Schedule'!B$11:H$260,7, FALSE)+I1189</f>
        <v>62.097149108167045</v>
      </c>
      <c r="M1189" s="410">
        <f t="shared" si="202"/>
        <v>62.097149108167045</v>
      </c>
      <c r="N1189" s="411">
        <f t="shared" si="203"/>
        <v>64.684651772681477</v>
      </c>
      <c r="O1189" s="411">
        <v>42.465692910798147</v>
      </c>
      <c r="P1189" s="411">
        <v>42.465692910798147</v>
      </c>
      <c r="Q1189" s="411">
        <v>44.543915608359193</v>
      </c>
      <c r="R1189" s="411">
        <v>44.543915608359193</v>
      </c>
      <c r="S1189" s="411">
        <f t="shared" si="204"/>
        <v>67.850245038289913</v>
      </c>
      <c r="T1189" s="411">
        <v>46.373387010229727</v>
      </c>
      <c r="U1189" s="411">
        <v>46.542802495305168</v>
      </c>
      <c r="V1189" s="411">
        <f t="shared" si="205"/>
        <v>70.894992300195582</v>
      </c>
      <c r="W1189" s="411">
        <v>48.061503830263007</v>
      </c>
      <c r="X1189" s="411">
        <v>48.667794127747918</v>
      </c>
      <c r="Y1189" s="411">
        <f t="shared" si="206"/>
        <v>74.131825007792102</v>
      </c>
      <c r="Z1189" s="411">
        <v>49.449789649340673</v>
      </c>
      <c r="AA1189" s="411">
        <v>50.256833171663452</v>
      </c>
      <c r="AB1189" s="441">
        <f t="shared" si="207"/>
        <v>75.74098537109893</v>
      </c>
      <c r="AC1189" s="438">
        <f t="shared" si="208"/>
        <v>78.005569731954566</v>
      </c>
      <c r="AD1189" s="410"/>
      <c r="AE1189" s="411"/>
      <c r="AF1189" s="411"/>
      <c r="AG1189" s="411"/>
    </row>
    <row r="1190" spans="1:33" s="409" customFormat="1" x14ac:dyDescent="0.2">
      <c r="A1190" s="409" t="s">
        <v>452</v>
      </c>
      <c r="B1190" s="23" t="str">
        <f>VLOOKUP(LEFT(A1190,7),'[7]Tariff Schedule Lookup Table'!$A$8:$G$186,2,FALSE)</f>
        <v>High Pressure Sodium 70</v>
      </c>
      <c r="C1190" s="375">
        <f t="shared" si="210"/>
        <v>750</v>
      </c>
      <c r="D1190" s="23">
        <f t="shared" si="211"/>
        <v>2</v>
      </c>
      <c r="E1190" s="23" t="str">
        <f>VLOOKUP(C1190,'[7]Tariff Schedule Lookup Table'!I$7:L$287,2,FALSE)</f>
        <v>HIGH PRESSURE SODIUM 70W (100)</v>
      </c>
      <c r="F1190" s="23" t="str">
        <f>IF(E1190 = "BULKHEADS ETC", "SHARED OR NO POLE", VLOOKUP(C1190,'[7]Tariff Schedule Lookup Table'!I$7:L$287,3,FALSE))</f>
        <v>SHARED OR NO POLE</v>
      </c>
      <c r="G1190" s="23">
        <f>IF(E1190 = "NO CAPITAL", 1, VLOOKUP(C1190,'[7]Tariff Schedule Lookup Table'!I$7:L$287,4,FALSE))</f>
        <v>3</v>
      </c>
      <c r="H1190" s="23" t="str">
        <f t="shared" si="209"/>
        <v>2-Unmetered, Funded by Others, CE Maintained</v>
      </c>
      <c r="I1190" s="374">
        <f>VLOOKUP(F1190,'Maintenance Model'!$A$57:$B$61,2,FALSE)</f>
        <v>0</v>
      </c>
      <c r="J1190" s="374">
        <f>IF(D1190=1,VLOOKUP(C1190,'Capital Code Schedules'!A$15:F$300,2,FALSE),IF(D1190=2,VLOOKUP(C1190,'Capital Code Schedules'!A$15:F$300,3,FALSE),0))</f>
        <v>0</v>
      </c>
      <c r="K1190" s="374">
        <f>IF(D1190=1,VLOOKUP(C1190,'Capital Code Schedules'!E$15:G$300,2,FALSE),IF(D1190=2,VLOOKUP(C1190,'Capital Code Schedules'!E$15:G$300,3,FALSE),0))</f>
        <v>0</v>
      </c>
      <c r="L1190" s="374">
        <f>VLOOKUP(LEFT(A1190,10),'Streetlight Tariff Schedule'!B$11:H$260,7, FALSE)+I1190</f>
        <v>52.135530877055935</v>
      </c>
      <c r="M1190" s="410">
        <f t="shared" si="202"/>
        <v>52.135530877055935</v>
      </c>
      <c r="N1190" s="411">
        <f t="shared" si="203"/>
        <v>54.30794663200907</v>
      </c>
      <c r="O1190" s="411">
        <v>32.871577674698983</v>
      </c>
      <c r="P1190" s="411">
        <v>32.871577674698983</v>
      </c>
      <c r="Q1190" s="411">
        <v>34.480275287892276</v>
      </c>
      <c r="R1190" s="411">
        <v>34.480275287892276</v>
      </c>
      <c r="S1190" s="411">
        <f t="shared" si="204"/>
        <v>56.965715753677543</v>
      </c>
      <c r="T1190" s="411">
        <v>35.896421055642975</v>
      </c>
      <c r="U1190" s="411">
        <v>36.027561133556041</v>
      </c>
      <c r="V1190" s="411">
        <f t="shared" si="205"/>
        <v>59.522024975046243</v>
      </c>
      <c r="W1190" s="411">
        <v>37.203147953759348</v>
      </c>
      <c r="X1190" s="411">
        <v>37.672461351024651</v>
      </c>
      <c r="Y1190" s="411">
        <f t="shared" si="206"/>
        <v>62.239605314794382</v>
      </c>
      <c r="Z1190" s="411">
        <v>38.277783548010788</v>
      </c>
      <c r="AA1190" s="411">
        <v>38.902494744567065</v>
      </c>
      <c r="AB1190" s="441">
        <f t="shared" si="207"/>
        <v>63.590624339213392</v>
      </c>
      <c r="AC1190" s="438">
        <f t="shared" si="208"/>
        <v>65.491924311349464</v>
      </c>
      <c r="AD1190" s="410"/>
      <c r="AE1190" s="411"/>
      <c r="AF1190" s="411"/>
      <c r="AG1190" s="411"/>
    </row>
    <row r="1191" spans="1:33" s="409" customFormat="1" x14ac:dyDescent="0.2">
      <c r="A1191" s="409" t="s">
        <v>453</v>
      </c>
      <c r="B1191" s="23" t="str">
        <f>VLOOKUP(LEFT(A1191,7),'[7]Tariff Schedule Lookup Table'!$A$8:$G$186,2,FALSE)</f>
        <v>High Pressure Sodium 70</v>
      </c>
      <c r="C1191" s="375">
        <f t="shared" si="210"/>
        <v>880</v>
      </c>
      <c r="D1191" s="23">
        <f t="shared" si="211"/>
        <v>2</v>
      </c>
      <c r="E1191" s="23" t="str">
        <f>VLOOKUP(C1191,'[7]Tariff Schedule Lookup Table'!I$7:L$287,2,FALSE)</f>
        <v>HIGH PRESSURE SODIUM 70W (100)</v>
      </c>
      <c r="F1191" s="23" t="str">
        <f>IF(E1191 = "BULKHEADS ETC", "SHARED OR NO POLE", VLOOKUP(C1191,'[7]Tariff Schedule Lookup Table'!I$7:L$287,3,FALSE))</f>
        <v>STEEL POLE</v>
      </c>
      <c r="G1191" s="23">
        <f>IF(E1191 = "NO CAPITAL", 1, VLOOKUP(C1191,'[7]Tariff Schedule Lookup Table'!I$7:L$287,4,FALSE))</f>
        <v>4</v>
      </c>
      <c r="H1191" s="23" t="str">
        <f t="shared" si="209"/>
        <v>2-Unmetered, Funded by Others, CE Maintained</v>
      </c>
      <c r="I1191" s="374">
        <f>VLOOKUP(F1191,'Maintenance Model'!$A$57:$B$61,2,FALSE)</f>
        <v>9.9616182311111103</v>
      </c>
      <c r="J1191" s="374">
        <f>IF(D1191=1,VLOOKUP(C1191,'Capital Code Schedules'!A$15:F$300,2,FALSE),IF(D1191=2,VLOOKUP(C1191,'Capital Code Schedules'!A$15:F$300,3,FALSE),0))</f>
        <v>0</v>
      </c>
      <c r="K1191" s="374">
        <f>IF(D1191=1,VLOOKUP(C1191,'Capital Code Schedules'!E$15:G$300,2,FALSE),IF(D1191=2,VLOOKUP(C1191,'Capital Code Schedules'!E$15:G$300,3,FALSE),0))</f>
        <v>0</v>
      </c>
      <c r="L1191" s="374">
        <f>VLOOKUP(LEFT(A1191,10),'Streetlight Tariff Schedule'!B$11:H$260,7, FALSE)+I1191</f>
        <v>62.097149108167045</v>
      </c>
      <c r="M1191" s="410">
        <f t="shared" si="202"/>
        <v>62.097149108167045</v>
      </c>
      <c r="N1191" s="411">
        <f t="shared" si="203"/>
        <v>64.684651772681477</v>
      </c>
      <c r="O1191" s="411">
        <v>42.465692910798147</v>
      </c>
      <c r="P1191" s="411">
        <v>42.465692910798147</v>
      </c>
      <c r="Q1191" s="411">
        <v>44.543915608359193</v>
      </c>
      <c r="R1191" s="411">
        <v>44.543915608359193</v>
      </c>
      <c r="S1191" s="411">
        <f t="shared" si="204"/>
        <v>67.850245038289913</v>
      </c>
      <c r="T1191" s="411">
        <v>46.373387010229727</v>
      </c>
      <c r="U1191" s="411">
        <v>46.542802495305168</v>
      </c>
      <c r="V1191" s="411">
        <f t="shared" si="205"/>
        <v>70.894992300195582</v>
      </c>
      <c r="W1191" s="411">
        <v>48.061503830263007</v>
      </c>
      <c r="X1191" s="411">
        <v>48.667794127747918</v>
      </c>
      <c r="Y1191" s="411">
        <f t="shared" si="206"/>
        <v>74.131825007792102</v>
      </c>
      <c r="Z1191" s="411">
        <v>49.449789649340673</v>
      </c>
      <c r="AA1191" s="411">
        <v>50.256833171663452</v>
      </c>
      <c r="AB1191" s="441">
        <f t="shared" si="207"/>
        <v>75.74098537109893</v>
      </c>
      <c r="AC1191" s="438">
        <f t="shared" si="208"/>
        <v>78.005569731954566</v>
      </c>
      <c r="AD1191" s="410"/>
      <c r="AE1191" s="411"/>
      <c r="AF1191" s="411"/>
      <c r="AG1191" s="411"/>
    </row>
    <row r="1192" spans="1:33" s="409" customFormat="1" x14ac:dyDescent="0.2">
      <c r="A1192" s="409" t="s">
        <v>454</v>
      </c>
      <c r="B1192" s="23" t="str">
        <f>VLOOKUP(LEFT(A1192,7),'[7]Tariff Schedule Lookup Table'!$A$8:$G$186,2,FALSE)</f>
        <v>High Pressure Sodium 70</v>
      </c>
      <c r="C1192" s="375">
        <f t="shared" si="210"/>
        <v>890</v>
      </c>
      <c r="D1192" s="23">
        <f t="shared" si="211"/>
        <v>1</v>
      </c>
      <c r="E1192" s="23" t="str">
        <f>VLOOKUP(C1192,'[7]Tariff Schedule Lookup Table'!I$7:L$287,2,FALSE)</f>
        <v>HIGH PRESSURE SODIUM 70W (100)</v>
      </c>
      <c r="F1192" s="23" t="str">
        <f>IF(E1192 = "BULKHEADS ETC", "SHARED OR NO POLE", VLOOKUP(C1192,'[7]Tariff Schedule Lookup Table'!I$7:L$287,3,FALSE))</f>
        <v>SHARED OR NO POLE</v>
      </c>
      <c r="G1192" s="23">
        <f>IF(E1192 = "NO CAPITAL", 1, VLOOKUP(C1192,'[7]Tariff Schedule Lookup Table'!I$7:L$287,4,FALSE))</f>
        <v>2</v>
      </c>
      <c r="H1192" s="23" t="str">
        <f t="shared" si="209"/>
        <v>1-Unmetered, CE Funded, CE Maintained</v>
      </c>
      <c r="I1192" s="374">
        <f>VLOOKUP(F1192,'Maintenance Model'!$A$57:$B$61,2,FALSE)</f>
        <v>0</v>
      </c>
      <c r="J1192" s="374">
        <f>IF(D1192=1,VLOOKUP(C1192,'Capital Code Schedules'!A$15:F$300,2,FALSE),IF(D1192=2,VLOOKUP(C1192,'Capital Code Schedules'!A$15:F$300,3,FALSE),0))</f>
        <v>26.376770440019968</v>
      </c>
      <c r="K1192" s="374">
        <f>IF(D1192=1,VLOOKUP(C1192,'Capital Code Schedules'!E$15:G$300,2,FALSE),IF(D1192=2,VLOOKUP(C1192,'Capital Code Schedules'!E$15:G$300,3,FALSE),0))</f>
        <v>33.458162494229981</v>
      </c>
      <c r="L1192" s="374">
        <f>VLOOKUP(LEFT(A1192,10),'Streetlight Tariff Schedule'!B$11:H$260,7, FALSE)+I1192</f>
        <v>52.135530877055935</v>
      </c>
      <c r="M1192" s="410">
        <f t="shared" si="202"/>
        <v>85.593693371285923</v>
      </c>
      <c r="N1192" s="411">
        <f t="shared" si="203"/>
        <v>81.337542140419529</v>
      </c>
      <c r="O1192" s="411">
        <v>68.675705845508986</v>
      </c>
      <c r="P1192" s="411">
        <v>67.15782969066116</v>
      </c>
      <c r="Q1192" s="411">
        <v>69.615112041249517</v>
      </c>
      <c r="R1192" s="411">
        <v>71.170555630929826</v>
      </c>
      <c r="S1192" s="411">
        <f t="shared" si="204"/>
        <v>84.664293750921161</v>
      </c>
      <c r="T1192" s="411">
        <v>71.900845018645811</v>
      </c>
      <c r="U1192" s="411">
        <v>73.763514466370154</v>
      </c>
      <c r="V1192" s="411">
        <f t="shared" si="205"/>
        <v>88.010012445211302</v>
      </c>
      <c r="W1192" s="411">
        <v>74.09868140984652</v>
      </c>
      <c r="X1192" s="411">
        <v>76.687663501821149</v>
      </c>
      <c r="Y1192" s="411">
        <f t="shared" si="206"/>
        <v>91.693335560198037</v>
      </c>
      <c r="Z1192" s="411">
        <v>76.086481457136102</v>
      </c>
      <c r="AA1192" s="411">
        <v>79.02963015666127</v>
      </c>
      <c r="AB1192" s="441">
        <f t="shared" si="207"/>
        <v>93.562740236936136</v>
      </c>
      <c r="AC1192" s="438">
        <f t="shared" si="208"/>
        <v>96.336228781695951</v>
      </c>
      <c r="AD1192" s="410"/>
      <c r="AE1192" s="411"/>
      <c r="AF1192" s="411"/>
      <c r="AG1192" s="411"/>
    </row>
    <row r="1193" spans="1:33" s="409" customFormat="1" x14ac:dyDescent="0.2">
      <c r="A1193" s="409" t="s">
        <v>455</v>
      </c>
      <c r="B1193" s="23" t="str">
        <f>VLOOKUP(LEFT(A1193,7),'[7]Tariff Schedule Lookup Table'!$A$8:$G$186,2,FALSE)</f>
        <v>High Pressure Sodium 70</v>
      </c>
      <c r="C1193" s="375">
        <f t="shared" si="210"/>
        <v>890</v>
      </c>
      <c r="D1193" s="23">
        <f t="shared" si="211"/>
        <v>2</v>
      </c>
      <c r="E1193" s="23" t="str">
        <f>VLOOKUP(C1193,'[7]Tariff Schedule Lookup Table'!I$7:L$287,2,FALSE)</f>
        <v>HIGH PRESSURE SODIUM 70W (100)</v>
      </c>
      <c r="F1193" s="23" t="str">
        <f>IF(E1193 = "BULKHEADS ETC", "SHARED OR NO POLE", VLOOKUP(C1193,'[7]Tariff Schedule Lookup Table'!I$7:L$287,3,FALSE))</f>
        <v>SHARED OR NO POLE</v>
      </c>
      <c r="G1193" s="23">
        <f>IF(E1193 = "NO CAPITAL", 1, VLOOKUP(C1193,'[7]Tariff Schedule Lookup Table'!I$7:L$287,4,FALSE))</f>
        <v>2</v>
      </c>
      <c r="H1193" s="23" t="str">
        <f t="shared" si="209"/>
        <v>2-Unmetered, Funded by Others, CE Maintained</v>
      </c>
      <c r="I1193" s="374">
        <f>VLOOKUP(F1193,'Maintenance Model'!$A$57:$B$61,2,FALSE)</f>
        <v>0</v>
      </c>
      <c r="J1193" s="374">
        <f>IF(D1193=1,VLOOKUP(C1193,'Capital Code Schedules'!A$15:F$300,2,FALSE),IF(D1193=2,VLOOKUP(C1193,'Capital Code Schedules'!A$15:F$300,3,FALSE),0))</f>
        <v>0</v>
      </c>
      <c r="K1193" s="374">
        <f>IF(D1193=1,VLOOKUP(C1193,'Capital Code Schedules'!E$15:G$300,2,FALSE),IF(D1193=2,VLOOKUP(C1193,'Capital Code Schedules'!E$15:G$300,3,FALSE),0))</f>
        <v>0</v>
      </c>
      <c r="L1193" s="374">
        <f>VLOOKUP(LEFT(A1193,10),'Streetlight Tariff Schedule'!B$11:H$260,7, FALSE)+I1193</f>
        <v>52.135530877055935</v>
      </c>
      <c r="M1193" s="410">
        <f t="shared" si="202"/>
        <v>52.135530877055935</v>
      </c>
      <c r="N1193" s="411">
        <f t="shared" si="203"/>
        <v>54.30794663200907</v>
      </c>
      <c r="O1193" s="411">
        <v>32.871577674698983</v>
      </c>
      <c r="P1193" s="411">
        <v>32.871577674698983</v>
      </c>
      <c r="Q1193" s="411">
        <v>34.480275287892276</v>
      </c>
      <c r="R1193" s="411">
        <v>34.480275287892276</v>
      </c>
      <c r="S1193" s="411">
        <f t="shared" si="204"/>
        <v>56.965715753677543</v>
      </c>
      <c r="T1193" s="411">
        <v>35.896421055642975</v>
      </c>
      <c r="U1193" s="411">
        <v>36.027561133556041</v>
      </c>
      <c r="V1193" s="411">
        <f t="shared" si="205"/>
        <v>59.522024975046243</v>
      </c>
      <c r="W1193" s="411">
        <v>37.203147953759348</v>
      </c>
      <c r="X1193" s="411">
        <v>37.672461351024651</v>
      </c>
      <c r="Y1193" s="411">
        <f t="shared" si="206"/>
        <v>62.239605314794382</v>
      </c>
      <c r="Z1193" s="411">
        <v>38.277783548010788</v>
      </c>
      <c r="AA1193" s="411">
        <v>38.902494744567065</v>
      </c>
      <c r="AB1193" s="441">
        <f t="shared" si="207"/>
        <v>63.590624339213392</v>
      </c>
      <c r="AC1193" s="438">
        <f t="shared" si="208"/>
        <v>65.491924311349464</v>
      </c>
      <c r="AD1193" s="410"/>
      <c r="AE1193" s="411"/>
      <c r="AF1193" s="411"/>
      <c r="AG1193" s="411"/>
    </row>
    <row r="1194" spans="1:33" s="409" customFormat="1" x14ac:dyDescent="0.2">
      <c r="A1194" s="409" t="s">
        <v>456</v>
      </c>
      <c r="B1194" s="23" t="str">
        <f>VLOOKUP(LEFT(A1194,7),'[7]Tariff Schedule Lookup Table'!$A$8:$G$186,2,FALSE)</f>
        <v>High Pressure Sodium 70</v>
      </c>
      <c r="C1194" s="375">
        <f t="shared" si="210"/>
        <v>910</v>
      </c>
      <c r="D1194" s="23">
        <f t="shared" si="211"/>
        <v>1</v>
      </c>
      <c r="E1194" s="23" t="str">
        <f>VLOOKUP(C1194,'[7]Tariff Schedule Lookup Table'!I$7:L$287,2,FALSE)</f>
        <v>HIGH PRESSURE SODIUM 70W (100)</v>
      </c>
      <c r="F1194" s="23" t="str">
        <f>IF(E1194 = "BULKHEADS ETC", "SHARED OR NO POLE", VLOOKUP(C1194,'[7]Tariff Schedule Lookup Table'!I$7:L$287,3,FALSE))</f>
        <v>WOOD POLE</v>
      </c>
      <c r="G1194" s="23">
        <f>IF(E1194 = "NO CAPITAL", 1, VLOOKUP(C1194,'[7]Tariff Schedule Lookup Table'!I$7:L$287,4,FALSE))</f>
        <v>2</v>
      </c>
      <c r="H1194" s="23" t="str">
        <f t="shared" si="209"/>
        <v>1-Unmetered, CE Funded, CE Maintained</v>
      </c>
      <c r="I1194" s="374">
        <f>VLOOKUP(F1194,'Maintenance Model'!$A$57:$B$61,2,FALSE)</f>
        <v>10.731618231111112</v>
      </c>
      <c r="J1194" s="374">
        <f>IF(D1194=1,VLOOKUP(C1194,'Capital Code Schedules'!A$15:F$300,2,FALSE),IF(D1194=2,VLOOKUP(C1194,'Capital Code Schedules'!A$15:F$300,3,FALSE),0))</f>
        <v>60.277888801896275</v>
      </c>
      <c r="K1194" s="374">
        <f>IF(D1194=1,VLOOKUP(C1194,'Capital Code Schedules'!E$15:G$300,2,FALSE),IF(D1194=2,VLOOKUP(C1194,'Capital Code Schedules'!E$15:G$300,3,FALSE),0))</f>
        <v>76.460740443151991</v>
      </c>
      <c r="L1194" s="374">
        <f>VLOOKUP(LEFT(A1194,10),'Streetlight Tariff Schedule'!B$11:H$260,7, FALSE)+I1194</f>
        <v>62.867149108167048</v>
      </c>
      <c r="M1194" s="410">
        <f t="shared" si="202"/>
        <v>139.32788955131903</v>
      </c>
      <c r="N1194" s="411">
        <f t="shared" si="203"/>
        <v>127.25650316174968</v>
      </c>
      <c r="O1194" s="411">
        <v>125.08966953314511</v>
      </c>
      <c r="P1194" s="411">
        <v>121.62092151924317</v>
      </c>
      <c r="Q1194" s="411">
        <v>125.67763764458938</v>
      </c>
      <c r="R1194" s="411">
        <v>129.23223717183541</v>
      </c>
      <c r="S1194" s="411">
        <f t="shared" si="204"/>
        <v>131.99015126896373</v>
      </c>
      <c r="T1194" s="411">
        <v>129.52890029939235</v>
      </c>
      <c r="U1194" s="411">
        <v>133.65851772961472</v>
      </c>
      <c r="V1194" s="411">
        <f t="shared" si="205"/>
        <v>136.87666236471787</v>
      </c>
      <c r="W1194" s="411">
        <v>133.28532259439893</v>
      </c>
      <c r="X1194" s="411">
        <v>138.7470673527115</v>
      </c>
      <c r="Y1194" s="411">
        <f t="shared" si="206"/>
        <v>142.36060893171265</v>
      </c>
      <c r="Z1194" s="411">
        <v>136.78665214120008</v>
      </c>
      <c r="AA1194" s="411">
        <v>142.90718115597912</v>
      </c>
      <c r="AB1194" s="441">
        <f t="shared" si="207"/>
        <v>145.17437092830369</v>
      </c>
      <c r="AC1194" s="438">
        <f t="shared" si="208"/>
        <v>149.46021727325629</v>
      </c>
      <c r="AD1194" s="410"/>
      <c r="AE1194" s="411"/>
      <c r="AF1194" s="411"/>
      <c r="AG1194" s="411"/>
    </row>
    <row r="1195" spans="1:33" s="409" customFormat="1" x14ac:dyDescent="0.2">
      <c r="A1195" s="409" t="s">
        <v>457</v>
      </c>
      <c r="B1195" s="23" t="str">
        <f>VLOOKUP(LEFT(A1195,7),'[7]Tariff Schedule Lookup Table'!$A$8:$G$186,2,FALSE)</f>
        <v>High Pressure Sodium 70</v>
      </c>
      <c r="C1195" s="375">
        <f t="shared" si="210"/>
        <v>910</v>
      </c>
      <c r="D1195" s="23">
        <f t="shared" si="211"/>
        <v>2</v>
      </c>
      <c r="E1195" s="23" t="str">
        <f>VLOOKUP(C1195,'[7]Tariff Schedule Lookup Table'!I$7:L$287,2,FALSE)</f>
        <v>HIGH PRESSURE SODIUM 70W (100)</v>
      </c>
      <c r="F1195" s="23" t="str">
        <f>IF(E1195 = "BULKHEADS ETC", "SHARED OR NO POLE", VLOOKUP(C1195,'[7]Tariff Schedule Lookup Table'!I$7:L$287,3,FALSE))</f>
        <v>WOOD POLE</v>
      </c>
      <c r="G1195" s="23">
        <f>IF(E1195 = "NO CAPITAL", 1, VLOOKUP(C1195,'[7]Tariff Schedule Lookup Table'!I$7:L$287,4,FALSE))</f>
        <v>2</v>
      </c>
      <c r="H1195" s="23" t="str">
        <f t="shared" si="209"/>
        <v>2-Unmetered, Funded by Others, CE Maintained</v>
      </c>
      <c r="I1195" s="374">
        <f>VLOOKUP(F1195,'Maintenance Model'!$A$57:$B$61,2,FALSE)</f>
        <v>10.731618231111112</v>
      </c>
      <c r="J1195" s="374">
        <f>IF(D1195=1,VLOOKUP(C1195,'Capital Code Schedules'!A$15:F$300,2,FALSE),IF(D1195=2,VLOOKUP(C1195,'Capital Code Schedules'!A$15:F$300,3,FALSE),0))</f>
        <v>0</v>
      </c>
      <c r="K1195" s="374">
        <f>IF(D1195=1,VLOOKUP(C1195,'Capital Code Schedules'!E$15:G$300,2,FALSE),IF(D1195=2,VLOOKUP(C1195,'Capital Code Schedules'!E$15:G$300,3,FALSE),0))</f>
        <v>0</v>
      </c>
      <c r="L1195" s="374">
        <f>VLOOKUP(LEFT(A1195,10),'Streetlight Tariff Schedule'!B$11:H$260,7, FALSE)+I1195</f>
        <v>62.867149108167048</v>
      </c>
      <c r="M1195" s="410">
        <f t="shared" si="202"/>
        <v>62.867149108167048</v>
      </c>
      <c r="N1195" s="411">
        <f t="shared" si="203"/>
        <v>65.486736612006467</v>
      </c>
      <c r="O1195" s="411">
        <v>43.267777750123152</v>
      </c>
      <c r="P1195" s="411">
        <v>43.267777750123152</v>
      </c>
      <c r="Q1195" s="411">
        <v>45.385253567183653</v>
      </c>
      <c r="R1195" s="411">
        <v>45.385253567183653</v>
      </c>
      <c r="S1195" s="411">
        <f t="shared" si="204"/>
        <v>68.691582997114381</v>
      </c>
      <c r="T1195" s="411">
        <v>47.249279716070831</v>
      </c>
      <c r="U1195" s="411">
        <v>47.421895092230379</v>
      </c>
      <c r="V1195" s="411">
        <f t="shared" si="205"/>
        <v>71.774084897120787</v>
      </c>
      <c r="W1195" s="411">
        <v>48.969281401640217</v>
      </c>
      <c r="X1195" s="411">
        <v>49.587023207919856</v>
      </c>
      <c r="Y1195" s="411">
        <f t="shared" si="206"/>
        <v>75.051054087964047</v>
      </c>
      <c r="Z1195" s="411">
        <v>50.383788928920566</v>
      </c>
      <c r="AA1195" s="411">
        <v>51.206075753060894</v>
      </c>
      <c r="AB1195" s="441">
        <f t="shared" si="207"/>
        <v>76.680167919305106</v>
      </c>
      <c r="AC1195" s="438">
        <f t="shared" si="208"/>
        <v>78.972832956695854</v>
      </c>
      <c r="AD1195" s="410"/>
      <c r="AE1195" s="411"/>
      <c r="AF1195" s="411"/>
      <c r="AG1195" s="411"/>
    </row>
    <row r="1196" spans="1:33" s="409" customFormat="1" x14ac:dyDescent="0.2">
      <c r="A1196" s="409" t="s">
        <v>458</v>
      </c>
      <c r="B1196" s="23" t="str">
        <f>VLOOKUP(LEFT(A1196,7),'[7]Tariff Schedule Lookup Table'!$A$8:$G$186,2,FALSE)</f>
        <v>High Pressure Sodium 70</v>
      </c>
      <c r="C1196" s="375">
        <f t="shared" si="210"/>
        <v>90</v>
      </c>
      <c r="D1196" s="23">
        <f t="shared" si="211"/>
        <v>1</v>
      </c>
      <c r="E1196" s="23" t="str">
        <f>VLOOKUP(C1196,'[7]Tariff Schedule Lookup Table'!I$7:L$287,2,FALSE)</f>
        <v>HIGH PRESSURE SODIUM 70W TWIN ARC</v>
      </c>
      <c r="F1196" s="23" t="str">
        <f>IF(E1196 = "BULKHEADS ETC", "SHARED OR NO POLE", VLOOKUP(C1196,'[7]Tariff Schedule Lookup Table'!I$7:L$287,3,FALSE))</f>
        <v>SHARED OR NO POLE</v>
      </c>
      <c r="G1196" s="23">
        <f>IF(E1196 = "NO CAPITAL", 1, VLOOKUP(C1196,'[7]Tariff Schedule Lookup Table'!I$7:L$287,4,FALSE))</f>
        <v>1</v>
      </c>
      <c r="H1196" s="23" t="str">
        <f t="shared" si="209"/>
        <v>1-Unmetered, CE Funded, CE Maintained</v>
      </c>
      <c r="I1196" s="374">
        <f>VLOOKUP(F1196,'Maintenance Model'!$A$57:$B$61,2,FALSE)</f>
        <v>0</v>
      </c>
      <c r="J1196" s="374">
        <f>IF(D1196=1,VLOOKUP(C1196,'Capital Code Schedules'!A$15:F$300,2,FALSE),IF(D1196=2,VLOOKUP(C1196,'Capital Code Schedules'!A$15:F$300,3,FALSE),0))</f>
        <v>19.562845754409921</v>
      </c>
      <c r="K1196" s="374">
        <f>IF(D1196=1,VLOOKUP(C1196,'Capital Code Schedules'!E$15:G$300,2,FALSE),IF(D1196=2,VLOOKUP(C1196,'Capital Code Schedules'!E$15:G$300,3,FALSE),0))</f>
        <v>24.814898154002691</v>
      </c>
      <c r="L1196" s="374">
        <f>VLOOKUP(LEFT(A1196,10),'Streetlight Tariff Schedule'!B$11:H$260,7, FALSE)+I1196</f>
        <v>57.197674271166328</v>
      </c>
      <c r="M1196" s="410">
        <f t="shared" si="202"/>
        <v>82.012572425169026</v>
      </c>
      <c r="N1196" s="411">
        <f t="shared" si="203"/>
        <v>79.628048755081096</v>
      </c>
      <c r="O1196" s="411">
        <v>57.205069050049644</v>
      </c>
      <c r="P1196" s="411">
        <v>56.079306623633265</v>
      </c>
      <c r="Q1196" s="411">
        <v>58.208663890910557</v>
      </c>
      <c r="R1196" s="411">
        <v>59.36228893738074</v>
      </c>
      <c r="S1196" s="411">
        <f t="shared" si="204"/>
        <v>83.040040111980673</v>
      </c>
      <c r="T1196" s="411">
        <v>60.174058137077139</v>
      </c>
      <c r="U1196" s="411">
        <v>61.58055875674291</v>
      </c>
      <c r="V1196" s="411">
        <f t="shared" si="205"/>
        <v>86.430037253184565</v>
      </c>
      <c r="W1196" s="411">
        <v>62.053390051322822</v>
      </c>
      <c r="X1196" s="411">
        <v>64.063082599034885</v>
      </c>
      <c r="Y1196" s="411">
        <f t="shared" si="206"/>
        <v>90.127745297744752</v>
      </c>
      <c r="Z1196" s="411">
        <v>63.732672012355991</v>
      </c>
      <c r="AA1196" s="411">
        <v>66.034681918605131</v>
      </c>
      <c r="AB1196" s="441">
        <f t="shared" si="207"/>
        <v>91.994413475058224</v>
      </c>
      <c r="AC1196" s="438">
        <f t="shared" si="208"/>
        <v>94.727197423145327</v>
      </c>
      <c r="AD1196" s="410"/>
      <c r="AE1196" s="411"/>
      <c r="AF1196" s="411"/>
      <c r="AG1196" s="411"/>
    </row>
    <row r="1197" spans="1:33" s="409" customFormat="1" x14ac:dyDescent="0.2">
      <c r="A1197" s="409" t="s">
        <v>459</v>
      </c>
      <c r="B1197" s="23" t="str">
        <f>VLOOKUP(LEFT(A1197,7),'[7]Tariff Schedule Lookup Table'!$A$8:$G$186,2,FALSE)</f>
        <v>High Pressure Sodium 70</v>
      </c>
      <c r="C1197" s="375">
        <f t="shared" si="210"/>
        <v>90</v>
      </c>
      <c r="D1197" s="23">
        <f t="shared" si="211"/>
        <v>2</v>
      </c>
      <c r="E1197" s="23" t="str">
        <f>VLOOKUP(C1197,'[7]Tariff Schedule Lookup Table'!I$7:L$287,2,FALSE)</f>
        <v>HIGH PRESSURE SODIUM 70W TWIN ARC</v>
      </c>
      <c r="F1197" s="23" t="str">
        <f>IF(E1197 = "BULKHEADS ETC", "SHARED OR NO POLE", VLOOKUP(C1197,'[7]Tariff Schedule Lookup Table'!I$7:L$287,3,FALSE))</f>
        <v>SHARED OR NO POLE</v>
      </c>
      <c r="G1197" s="23">
        <f>IF(E1197 = "NO CAPITAL", 1, VLOOKUP(C1197,'[7]Tariff Schedule Lookup Table'!I$7:L$287,4,FALSE))</f>
        <v>1</v>
      </c>
      <c r="H1197" s="23" t="str">
        <f t="shared" si="209"/>
        <v>2-Unmetered, Funded by Others, CE Maintained</v>
      </c>
      <c r="I1197" s="374">
        <f>VLOOKUP(F1197,'Maintenance Model'!$A$57:$B$61,2,FALSE)</f>
        <v>0</v>
      </c>
      <c r="J1197" s="374">
        <f>IF(D1197=1,VLOOKUP(C1197,'Capital Code Schedules'!A$15:F$300,2,FALSE),IF(D1197=2,VLOOKUP(C1197,'Capital Code Schedules'!A$15:F$300,3,FALSE),0))</f>
        <v>0</v>
      </c>
      <c r="K1197" s="374">
        <f>IF(D1197=1,VLOOKUP(C1197,'Capital Code Schedules'!E$15:G$300,2,FALSE),IF(D1197=2,VLOOKUP(C1197,'Capital Code Schedules'!E$15:G$300,3,FALSE),0))</f>
        <v>0</v>
      </c>
      <c r="L1197" s="374">
        <f>VLOOKUP(LEFT(A1197,10),'Streetlight Tariff Schedule'!B$11:H$260,7, FALSE)+I1197</f>
        <v>57.197674271166328</v>
      </c>
      <c r="M1197" s="410">
        <f t="shared" si="202"/>
        <v>57.197674271166328</v>
      </c>
      <c r="N1197" s="411">
        <f t="shared" si="203"/>
        <v>59.581022568249523</v>
      </c>
      <c r="O1197" s="411">
        <v>30.650239740319005</v>
      </c>
      <c r="P1197" s="411">
        <v>30.650239740319005</v>
      </c>
      <c r="Q1197" s="411">
        <v>32.150227602234274</v>
      </c>
      <c r="R1197" s="411">
        <v>32.150227602234274</v>
      </c>
      <c r="S1197" s="411">
        <f t="shared" si="204"/>
        <v>62.496850027025012</v>
      </c>
      <c r="T1197" s="411">
        <v>33.470675550256118</v>
      </c>
      <c r="U1197" s="411">
        <v>33.592953673544777</v>
      </c>
      <c r="V1197" s="411">
        <f t="shared" si="205"/>
        <v>65.301366250807689</v>
      </c>
      <c r="W1197" s="411">
        <v>34.689098745477985</v>
      </c>
      <c r="X1197" s="411">
        <v>35.126697703516328</v>
      </c>
      <c r="Y1197" s="411">
        <f t="shared" si="206"/>
        <v>68.282812348387282</v>
      </c>
      <c r="Z1197" s="411">
        <v>35.69111449669149</v>
      </c>
      <c r="AA1197" s="411">
        <v>36.27361005356429</v>
      </c>
      <c r="AB1197" s="441">
        <f t="shared" si="207"/>
        <v>69.765009705792053</v>
      </c>
      <c r="AC1197" s="438">
        <f t="shared" si="208"/>
        <v>71.850918004193531</v>
      </c>
      <c r="AD1197" s="410"/>
      <c r="AE1197" s="411"/>
      <c r="AF1197" s="411"/>
      <c r="AG1197" s="411"/>
    </row>
    <row r="1198" spans="1:33" s="409" customFormat="1" x14ac:dyDescent="0.2">
      <c r="A1198" s="409" t="s">
        <v>461</v>
      </c>
      <c r="B1198" s="23" t="str">
        <f>VLOOKUP(LEFT(A1198,7),'[7]Tariff Schedule Lookup Table'!$A$8:$G$186,2,FALSE)</f>
        <v>High Pressure Sodium 70</v>
      </c>
      <c r="C1198" s="375">
        <f t="shared" si="210"/>
        <v>140</v>
      </c>
      <c r="D1198" s="23">
        <f t="shared" si="211"/>
        <v>2</v>
      </c>
      <c r="E1198" s="23" t="str">
        <f>VLOOKUP(C1198,'[7]Tariff Schedule Lookup Table'!I$7:L$287,2,FALSE)</f>
        <v>HIGH PRESSURE SODIUM 50W TWIN ARC</v>
      </c>
      <c r="F1198" s="23" t="str">
        <f>IF(E1198 = "BULKHEADS ETC", "SHARED OR NO POLE", VLOOKUP(C1198,'[7]Tariff Schedule Lookup Table'!I$7:L$287,3,FALSE))</f>
        <v>WOOD POLE</v>
      </c>
      <c r="G1198" s="23">
        <f>IF(E1198 = "NO CAPITAL", 1, VLOOKUP(C1198,'[7]Tariff Schedule Lookup Table'!I$7:L$287,4,FALSE))</f>
        <v>1</v>
      </c>
      <c r="H1198" s="23" t="str">
        <f t="shared" si="209"/>
        <v>2-Unmetered, Funded by Others, CE Maintained</v>
      </c>
      <c r="I1198" s="374">
        <f>VLOOKUP(F1198,'Maintenance Model'!$A$57:$B$61,2,FALSE)</f>
        <v>10.731618231111112</v>
      </c>
      <c r="J1198" s="374">
        <f>IF(D1198=1,VLOOKUP(C1198,'Capital Code Schedules'!A$15:F$300,2,FALSE),IF(D1198=2,VLOOKUP(C1198,'Capital Code Schedules'!A$15:F$300,3,FALSE),0))</f>
        <v>0</v>
      </c>
      <c r="K1198" s="374">
        <f>IF(D1198=1,VLOOKUP(C1198,'Capital Code Schedules'!E$15:G$300,2,FALSE),IF(D1198=2,VLOOKUP(C1198,'Capital Code Schedules'!E$15:G$300,3,FALSE),0))</f>
        <v>0</v>
      </c>
      <c r="L1198" s="374">
        <f>VLOOKUP(LEFT(A1198,10),'Streetlight Tariff Schedule'!B$11:H$260,7, FALSE)+I1198</f>
        <v>67.929292502277434</v>
      </c>
      <c r="M1198" s="410">
        <f t="shared" si="202"/>
        <v>67.929292502277434</v>
      </c>
      <c r="N1198" s="411">
        <f t="shared" si="203"/>
        <v>70.759812548246913</v>
      </c>
      <c r="O1198" s="411">
        <v>41.04643981574317</v>
      </c>
      <c r="P1198" s="411">
        <v>41.04643981574317</v>
      </c>
      <c r="Q1198" s="411">
        <v>43.055205881525644</v>
      </c>
      <c r="R1198" s="411">
        <v>43.055205881525644</v>
      </c>
      <c r="S1198" s="411">
        <f t="shared" si="204"/>
        <v>74.222717270461828</v>
      </c>
      <c r="T1198" s="411">
        <v>44.823534210683967</v>
      </c>
      <c r="U1198" s="411">
        <v>44.987287632219115</v>
      </c>
      <c r="V1198" s="411">
        <f t="shared" si="205"/>
        <v>77.553426172882226</v>
      </c>
      <c r="W1198" s="411">
        <v>46.455232193358832</v>
      </c>
      <c r="X1198" s="411">
        <v>47.041259560411532</v>
      </c>
      <c r="Y1198" s="411">
        <f t="shared" si="206"/>
        <v>81.09426112155694</v>
      </c>
      <c r="Z1198" s="411">
        <v>47.797119877601268</v>
      </c>
      <c r="AA1198" s="411">
        <v>48.57719106205812</v>
      </c>
      <c r="AB1198" s="441">
        <f t="shared" si="207"/>
        <v>82.854553285883767</v>
      </c>
      <c r="AC1198" s="438">
        <f t="shared" si="208"/>
        <v>85.331826649539906</v>
      </c>
      <c r="AD1198" s="410"/>
      <c r="AE1198" s="411"/>
      <c r="AF1198" s="411"/>
      <c r="AG1198" s="411"/>
    </row>
    <row r="1199" spans="1:33" s="409" customFormat="1" x14ac:dyDescent="0.2">
      <c r="A1199" s="409" t="s">
        <v>462</v>
      </c>
      <c r="B1199" s="23" t="str">
        <f>VLOOKUP(LEFT(A1199,7),'[7]Tariff Schedule Lookup Table'!$A$8:$G$186,2,FALSE)</f>
        <v>High Pressure Sodium 70</v>
      </c>
      <c r="C1199" s="375">
        <f t="shared" si="210"/>
        <v>170</v>
      </c>
      <c r="D1199" s="23">
        <f t="shared" si="211"/>
        <v>1</v>
      </c>
      <c r="E1199" s="23" t="str">
        <f>VLOOKUP(C1199,'[7]Tariff Schedule Lookup Table'!I$7:L$287,2,FALSE)</f>
        <v>HIGH PRESSURE SODIUM 50W TWIN ARC</v>
      </c>
      <c r="F1199" s="23" t="str">
        <f>IF(E1199 = "BULKHEADS ETC", "SHARED OR NO POLE", VLOOKUP(C1199,'[7]Tariff Schedule Lookup Table'!I$7:L$287,3,FALSE))</f>
        <v>STEEL POLE</v>
      </c>
      <c r="G1199" s="23">
        <f>IF(E1199 = "NO CAPITAL", 1, VLOOKUP(C1199,'[7]Tariff Schedule Lookup Table'!I$7:L$287,4,FALSE))</f>
        <v>1</v>
      </c>
      <c r="H1199" s="23" t="str">
        <f t="shared" si="209"/>
        <v>1-Unmetered, CE Funded, CE Maintained</v>
      </c>
      <c r="I1199" s="374">
        <f>VLOOKUP(F1199,'Maintenance Model'!$A$57:$B$61,2,FALSE)</f>
        <v>9.9616182311111103</v>
      </c>
      <c r="J1199" s="374">
        <f>IF(D1199=1,VLOOKUP(C1199,'Capital Code Schedules'!A$15:F$300,2,FALSE),IF(D1199=2,VLOOKUP(C1199,'Capital Code Schedules'!A$15:F$300,3,FALSE),0))</f>
        <v>88.561479773931197</v>
      </c>
      <c r="K1199" s="374">
        <f>IF(D1199=1,VLOOKUP(C1199,'Capital Code Schedules'!E$15:G$300,2,FALSE),IF(D1199=2,VLOOKUP(C1199,'Capital Code Schedules'!E$15:G$300,3,FALSE),0))</f>
        <v>112.33764905918515</v>
      </c>
      <c r="L1199" s="374">
        <f>VLOOKUP(LEFT(A1199,10),'Streetlight Tariff Schedule'!B$11:H$260,7, FALSE)+I1199</f>
        <v>67.159292502277438</v>
      </c>
      <c r="M1199" s="410">
        <f t="shared" si="202"/>
        <v>179.49694156146259</v>
      </c>
      <c r="N1199" s="411">
        <f t="shared" si="203"/>
        <v>160.71110410725791</v>
      </c>
      <c r="O1199" s="411">
        <v>160.45871480613616</v>
      </c>
      <c r="P1199" s="411">
        <v>155.36236084981815</v>
      </c>
      <c r="Q1199" s="411">
        <v>160.18104444146783</v>
      </c>
      <c r="R1199" s="411">
        <v>165.40353315820471</v>
      </c>
      <c r="S1199" s="411">
        <f t="shared" si="204"/>
        <v>166.38090177583217</v>
      </c>
      <c r="T1199" s="411">
        <v>164.83450564244899</v>
      </c>
      <c r="U1199" s="411">
        <v>170.80876573000927</v>
      </c>
      <c r="V1199" s="411">
        <f t="shared" si="205"/>
        <v>172.32434243038139</v>
      </c>
      <c r="W1199" s="411">
        <v>169.42626864699349</v>
      </c>
      <c r="X1199" s="411">
        <v>177.1177505215058</v>
      </c>
      <c r="Y1199" s="411">
        <f t="shared" si="206"/>
        <v>179.06757619597437</v>
      </c>
      <c r="Z1199" s="411">
        <v>173.80793527015229</v>
      </c>
      <c r="AA1199" s="411">
        <v>182.35704654310302</v>
      </c>
      <c r="AB1199" s="441">
        <f t="shared" si="207"/>
        <v>182.54842366938774</v>
      </c>
      <c r="AC1199" s="438">
        <f t="shared" si="208"/>
        <v>187.92603819682157</v>
      </c>
      <c r="AD1199" s="410"/>
      <c r="AE1199" s="411"/>
      <c r="AF1199" s="411"/>
      <c r="AG1199" s="411"/>
    </row>
    <row r="1200" spans="1:33" s="409" customFormat="1" x14ac:dyDescent="0.2">
      <c r="A1200" s="409" t="s">
        <v>463</v>
      </c>
      <c r="B1200" s="23" t="str">
        <f>VLOOKUP(LEFT(A1200,7),'[7]Tariff Schedule Lookup Table'!$A$8:$G$186,2,FALSE)</f>
        <v>High Pressure Sodium 70</v>
      </c>
      <c r="C1200" s="375">
        <f t="shared" si="210"/>
        <v>170</v>
      </c>
      <c r="D1200" s="23">
        <f t="shared" si="211"/>
        <v>2</v>
      </c>
      <c r="E1200" s="23" t="str">
        <f>VLOOKUP(C1200,'[7]Tariff Schedule Lookup Table'!I$7:L$287,2,FALSE)</f>
        <v>HIGH PRESSURE SODIUM 50W TWIN ARC</v>
      </c>
      <c r="F1200" s="23" t="str">
        <f>IF(E1200 = "BULKHEADS ETC", "SHARED OR NO POLE", VLOOKUP(C1200,'[7]Tariff Schedule Lookup Table'!I$7:L$287,3,FALSE))</f>
        <v>STEEL POLE</v>
      </c>
      <c r="G1200" s="23">
        <f>IF(E1200 = "NO CAPITAL", 1, VLOOKUP(C1200,'[7]Tariff Schedule Lookup Table'!I$7:L$287,4,FALSE))</f>
        <v>1</v>
      </c>
      <c r="H1200" s="23" t="str">
        <f t="shared" si="209"/>
        <v>2-Unmetered, Funded by Others, CE Maintained</v>
      </c>
      <c r="I1200" s="374">
        <f>VLOOKUP(F1200,'Maintenance Model'!$A$57:$B$61,2,FALSE)</f>
        <v>9.9616182311111103</v>
      </c>
      <c r="J1200" s="374">
        <f>IF(D1200=1,VLOOKUP(C1200,'Capital Code Schedules'!A$15:F$300,2,FALSE),IF(D1200=2,VLOOKUP(C1200,'Capital Code Schedules'!A$15:F$300,3,FALSE),0))</f>
        <v>0</v>
      </c>
      <c r="K1200" s="374">
        <f>IF(D1200=1,VLOOKUP(C1200,'Capital Code Schedules'!E$15:G$300,2,FALSE),IF(D1200=2,VLOOKUP(C1200,'Capital Code Schedules'!E$15:G$300,3,FALSE),0))</f>
        <v>0</v>
      </c>
      <c r="L1200" s="374">
        <f>VLOOKUP(LEFT(A1200,10),'Streetlight Tariff Schedule'!B$11:H$260,7, FALSE)+I1200</f>
        <v>67.159292502277438</v>
      </c>
      <c r="M1200" s="410">
        <f t="shared" si="202"/>
        <v>67.159292502277438</v>
      </c>
      <c r="N1200" s="411">
        <f t="shared" si="203"/>
        <v>69.957727708921922</v>
      </c>
      <c r="O1200" s="411">
        <v>40.244354976418172</v>
      </c>
      <c r="P1200" s="411">
        <v>40.244354976418172</v>
      </c>
      <c r="Q1200" s="411">
        <v>42.213867922701191</v>
      </c>
      <c r="R1200" s="411">
        <v>42.213867922701191</v>
      </c>
      <c r="S1200" s="411">
        <f t="shared" si="204"/>
        <v>73.381379311637389</v>
      </c>
      <c r="T1200" s="411">
        <v>43.947641504842871</v>
      </c>
      <c r="U1200" s="411">
        <v>44.10819503529391</v>
      </c>
      <c r="V1200" s="411">
        <f t="shared" si="205"/>
        <v>76.674333575957021</v>
      </c>
      <c r="W1200" s="411">
        <v>45.547454621981643</v>
      </c>
      <c r="X1200" s="411">
        <v>46.122030480239602</v>
      </c>
      <c r="Y1200" s="411">
        <f t="shared" si="206"/>
        <v>80.175032041385009</v>
      </c>
      <c r="Z1200" s="411">
        <v>46.863120598021375</v>
      </c>
      <c r="AA1200" s="411">
        <v>47.627948480660685</v>
      </c>
      <c r="AB1200" s="441">
        <f t="shared" si="207"/>
        <v>81.915370737677605</v>
      </c>
      <c r="AC1200" s="438">
        <f t="shared" si="208"/>
        <v>84.364563424798646</v>
      </c>
      <c r="AD1200" s="410"/>
      <c r="AE1200" s="411"/>
      <c r="AF1200" s="411"/>
      <c r="AG1200" s="411"/>
    </row>
    <row r="1201" spans="1:33" s="409" customFormat="1" x14ac:dyDescent="0.2">
      <c r="A1201" s="409" t="s">
        <v>464</v>
      </c>
      <c r="B1201" s="23" t="str">
        <f>VLOOKUP(LEFT(A1201,7),'[7]Tariff Schedule Lookup Table'!$A$8:$G$186,2,FALSE)</f>
        <v>High Pressure Sodium 100</v>
      </c>
      <c r="C1201" s="375">
        <f t="shared" si="210"/>
        <v>40</v>
      </c>
      <c r="D1201" s="23">
        <f t="shared" si="211"/>
        <v>1</v>
      </c>
      <c r="E1201" s="23" t="str">
        <f>VLOOKUP(C1201,'[7]Tariff Schedule Lookup Table'!I$7:L$287,2,FALSE)</f>
        <v>HIGH PRESSURE SODIUM 70W (100)</v>
      </c>
      <c r="F1201" s="23" t="str">
        <f>IF(E1201 = "BULKHEADS ETC", "SHARED OR NO POLE", VLOOKUP(C1201,'[7]Tariff Schedule Lookup Table'!I$7:L$287,3,FALSE))</f>
        <v>SHARED OR NO POLE</v>
      </c>
      <c r="G1201" s="23">
        <f>IF(E1201 = "NO CAPITAL", 1, VLOOKUP(C1201,'[7]Tariff Schedule Lookup Table'!I$7:L$287,4,FALSE))</f>
        <v>1</v>
      </c>
      <c r="H1201" s="23" t="str">
        <f t="shared" si="209"/>
        <v>1-Unmetered, CE Funded, CE Maintained</v>
      </c>
      <c r="I1201" s="374">
        <f>VLOOKUP(F1201,'Maintenance Model'!$A$57:$B$61,2,FALSE)</f>
        <v>0</v>
      </c>
      <c r="J1201" s="374">
        <f>IF(D1201=1,VLOOKUP(C1201,'Capital Code Schedules'!A$15:F$300,2,FALSE),IF(D1201=2,VLOOKUP(C1201,'Capital Code Schedules'!A$15:F$300,3,FALSE),0))</f>
        <v>18.483521869130684</v>
      </c>
      <c r="K1201" s="374">
        <f>IF(D1201=1,VLOOKUP(C1201,'Capital Code Schedules'!E$15:G$300,2,FALSE),IF(D1201=2,VLOOKUP(C1201,'Capital Code Schedules'!E$15:G$300,3,FALSE),0))</f>
        <v>23.445807346631316</v>
      </c>
      <c r="L1201" s="374">
        <f>VLOOKUP(LEFT(A1201,10),'Streetlight Tariff Schedule'!B$11:H$260,7, FALSE)+I1201</f>
        <v>52.135530877055935</v>
      </c>
      <c r="M1201" s="410">
        <f t="shared" si="202"/>
        <v>75.581338223687254</v>
      </c>
      <c r="N1201" s="411">
        <f t="shared" si="203"/>
        <v>73.248935667400744</v>
      </c>
      <c r="O1201" s="411">
        <v>57.96132046770726</v>
      </c>
      <c r="P1201" s="411">
        <v>56.897668753159429</v>
      </c>
      <c r="Q1201" s="411">
        <v>59.101012120544617</v>
      </c>
      <c r="R1201" s="411">
        <v>60.190989215027507</v>
      </c>
      <c r="S1201" s="411">
        <f t="shared" si="204"/>
        <v>76.375494267695146</v>
      </c>
      <c r="T1201" s="411">
        <v>61.126521124903462</v>
      </c>
      <c r="U1201" s="411">
        <v>62.47103040761462</v>
      </c>
      <c r="V1201" s="411">
        <f t="shared" si="205"/>
        <v>79.484982176713345</v>
      </c>
      <c r="W1201" s="411">
        <v>63.057692999734037</v>
      </c>
      <c r="X1201" s="411">
        <v>65.012364233473818</v>
      </c>
      <c r="Y1201" s="411">
        <f t="shared" si="206"/>
        <v>82.879306765598002</v>
      </c>
      <c r="Z1201" s="411">
        <v>64.772228583873343</v>
      </c>
      <c r="AA1201" s="411">
        <v>67.02158485916604</v>
      </c>
      <c r="AB1201" s="441">
        <f t="shared" si="207"/>
        <v>84.593584535551145</v>
      </c>
      <c r="AC1201" s="438">
        <f t="shared" si="208"/>
        <v>87.106070649400664</v>
      </c>
      <c r="AD1201" s="410"/>
      <c r="AE1201" s="411"/>
      <c r="AF1201" s="411"/>
      <c r="AG1201" s="411"/>
    </row>
    <row r="1202" spans="1:33" s="409" customFormat="1" x14ac:dyDescent="0.2">
      <c r="A1202" s="409" t="s">
        <v>465</v>
      </c>
      <c r="B1202" s="23" t="str">
        <f>VLOOKUP(LEFT(A1202,7),'[7]Tariff Schedule Lookup Table'!$A$8:$G$186,2,FALSE)</f>
        <v>High Pressure Sodium 100</v>
      </c>
      <c r="C1202" s="375">
        <f t="shared" si="210"/>
        <v>40</v>
      </c>
      <c r="D1202" s="23">
        <f t="shared" si="211"/>
        <v>2</v>
      </c>
      <c r="E1202" s="23" t="str">
        <f>VLOOKUP(C1202,'[7]Tariff Schedule Lookup Table'!I$7:L$287,2,FALSE)</f>
        <v>HIGH PRESSURE SODIUM 70W (100)</v>
      </c>
      <c r="F1202" s="23" t="str">
        <f>IF(E1202 = "BULKHEADS ETC", "SHARED OR NO POLE", VLOOKUP(C1202,'[7]Tariff Schedule Lookup Table'!I$7:L$287,3,FALSE))</f>
        <v>SHARED OR NO POLE</v>
      </c>
      <c r="G1202" s="23">
        <f>IF(E1202 = "NO CAPITAL", 1, VLOOKUP(C1202,'[7]Tariff Schedule Lookup Table'!I$7:L$287,4,FALSE))</f>
        <v>1</v>
      </c>
      <c r="H1202" s="23" t="str">
        <f t="shared" si="209"/>
        <v>2-Unmetered, Funded by Others, CE Maintained</v>
      </c>
      <c r="I1202" s="374">
        <f>VLOOKUP(F1202,'Maintenance Model'!$A$57:$B$61,2,FALSE)</f>
        <v>0</v>
      </c>
      <c r="J1202" s="374">
        <f>IF(D1202=1,VLOOKUP(C1202,'Capital Code Schedules'!A$15:F$300,2,FALSE),IF(D1202=2,VLOOKUP(C1202,'Capital Code Schedules'!A$15:F$300,3,FALSE),0))</f>
        <v>0</v>
      </c>
      <c r="K1202" s="374">
        <f>IF(D1202=1,VLOOKUP(C1202,'Capital Code Schedules'!E$15:G$300,2,FALSE),IF(D1202=2,VLOOKUP(C1202,'Capital Code Schedules'!E$15:G$300,3,FALSE),0))</f>
        <v>0</v>
      </c>
      <c r="L1202" s="374">
        <f>VLOOKUP(LEFT(A1202,10),'Streetlight Tariff Schedule'!B$11:H$260,7, FALSE)+I1202</f>
        <v>52.135530877055935</v>
      </c>
      <c r="M1202" s="410">
        <f t="shared" si="202"/>
        <v>52.135530877055935</v>
      </c>
      <c r="N1202" s="411">
        <f t="shared" si="203"/>
        <v>54.30794663200907</v>
      </c>
      <c r="O1202" s="411">
        <v>32.871577674698983</v>
      </c>
      <c r="P1202" s="411">
        <v>32.871577674698983</v>
      </c>
      <c r="Q1202" s="411">
        <v>34.480275287892276</v>
      </c>
      <c r="R1202" s="411">
        <v>34.480275287892276</v>
      </c>
      <c r="S1202" s="411">
        <f t="shared" si="204"/>
        <v>56.965715753677543</v>
      </c>
      <c r="T1202" s="411">
        <v>35.896421055642975</v>
      </c>
      <c r="U1202" s="411">
        <v>36.027561133556041</v>
      </c>
      <c r="V1202" s="411">
        <f t="shared" si="205"/>
        <v>59.522024975046243</v>
      </c>
      <c r="W1202" s="411">
        <v>37.203147953759348</v>
      </c>
      <c r="X1202" s="411">
        <v>37.672461351024651</v>
      </c>
      <c r="Y1202" s="411">
        <f t="shared" si="206"/>
        <v>62.239605314794382</v>
      </c>
      <c r="Z1202" s="411">
        <v>38.277783548010788</v>
      </c>
      <c r="AA1202" s="411">
        <v>38.902494744567065</v>
      </c>
      <c r="AB1202" s="441">
        <f t="shared" si="207"/>
        <v>63.590624339213392</v>
      </c>
      <c r="AC1202" s="438">
        <f t="shared" si="208"/>
        <v>65.491924311349464</v>
      </c>
      <c r="AD1202" s="410"/>
      <c r="AE1202" s="411"/>
      <c r="AF1202" s="411"/>
      <c r="AG1202" s="411"/>
    </row>
    <row r="1203" spans="1:33" s="409" customFormat="1" x14ac:dyDescent="0.2">
      <c r="A1203" s="409" t="s">
        <v>472</v>
      </c>
      <c r="B1203" s="23" t="str">
        <f>VLOOKUP(LEFT(A1203,7),'[7]Tariff Schedule Lookup Table'!$A$8:$G$186,2,FALSE)</f>
        <v>High Pressure Sodium 100</v>
      </c>
      <c r="C1203" s="375">
        <f t="shared" si="210"/>
        <v>360</v>
      </c>
      <c r="D1203" s="23">
        <f t="shared" si="211"/>
        <v>2</v>
      </c>
      <c r="E1203" s="23" t="str">
        <f>VLOOKUP(C1203,'[7]Tariff Schedule Lookup Table'!I$7:L$287,2,FALSE)</f>
        <v>HIGH PRESSURE SODIUM 70W (100)</v>
      </c>
      <c r="F1203" s="23" t="str">
        <f>IF(E1203 = "BULKHEADS ETC", "SHARED OR NO POLE", VLOOKUP(C1203,'[7]Tariff Schedule Lookup Table'!I$7:L$287,3,FALSE))</f>
        <v>STEEL POLE</v>
      </c>
      <c r="G1203" s="23">
        <f>IF(E1203 = "NO CAPITAL", 1, VLOOKUP(C1203,'[7]Tariff Schedule Lookup Table'!I$7:L$287,4,FALSE))</f>
        <v>1</v>
      </c>
      <c r="H1203" s="23" t="str">
        <f t="shared" si="209"/>
        <v>2-Unmetered, Funded by Others, CE Maintained</v>
      </c>
      <c r="I1203" s="374">
        <f>VLOOKUP(F1203,'Maintenance Model'!$A$57:$B$61,2,FALSE)</f>
        <v>9.9616182311111103</v>
      </c>
      <c r="J1203" s="374">
        <f>IF(D1203=1,VLOOKUP(C1203,'Capital Code Schedules'!A$15:F$300,2,FALSE),IF(D1203=2,VLOOKUP(C1203,'Capital Code Schedules'!A$15:F$300,3,FALSE),0))</f>
        <v>0</v>
      </c>
      <c r="K1203" s="374">
        <f>IF(D1203=1,VLOOKUP(C1203,'Capital Code Schedules'!E$15:G$300,2,FALSE),IF(D1203=2,VLOOKUP(C1203,'Capital Code Schedules'!E$15:G$300,3,FALSE),0))</f>
        <v>0</v>
      </c>
      <c r="L1203" s="374">
        <f>VLOOKUP(LEFT(A1203,10),'Streetlight Tariff Schedule'!B$11:H$260,7, FALSE)+I1203</f>
        <v>62.097149108167045</v>
      </c>
      <c r="M1203" s="410">
        <f t="shared" si="202"/>
        <v>62.097149108167045</v>
      </c>
      <c r="N1203" s="411">
        <f t="shared" si="203"/>
        <v>64.684651772681477</v>
      </c>
      <c r="O1203" s="411">
        <v>42.465692910798147</v>
      </c>
      <c r="P1203" s="411">
        <v>42.465692910798147</v>
      </c>
      <c r="Q1203" s="411">
        <v>44.543915608359193</v>
      </c>
      <c r="R1203" s="411">
        <v>44.543915608359193</v>
      </c>
      <c r="S1203" s="411">
        <f t="shared" si="204"/>
        <v>67.850245038289913</v>
      </c>
      <c r="T1203" s="411">
        <v>46.373387010229727</v>
      </c>
      <c r="U1203" s="411">
        <v>46.542802495305168</v>
      </c>
      <c r="V1203" s="411">
        <f t="shared" si="205"/>
        <v>70.894992300195582</v>
      </c>
      <c r="W1203" s="411">
        <v>48.061503830263007</v>
      </c>
      <c r="X1203" s="411">
        <v>48.667794127747918</v>
      </c>
      <c r="Y1203" s="411">
        <f t="shared" si="206"/>
        <v>74.131825007792102</v>
      </c>
      <c r="Z1203" s="411">
        <v>49.449789649340673</v>
      </c>
      <c r="AA1203" s="411">
        <v>50.256833171663452</v>
      </c>
      <c r="AB1203" s="441">
        <f t="shared" si="207"/>
        <v>75.74098537109893</v>
      </c>
      <c r="AC1203" s="438">
        <f t="shared" si="208"/>
        <v>78.005569731954566</v>
      </c>
      <c r="AD1203" s="410"/>
      <c r="AE1203" s="411"/>
      <c r="AF1203" s="411"/>
      <c r="AG1203" s="411"/>
    </row>
    <row r="1204" spans="1:33" s="409" customFormat="1" x14ac:dyDescent="0.2">
      <c r="A1204" s="409" t="s">
        <v>473</v>
      </c>
      <c r="B1204" s="23" t="str">
        <f>VLOOKUP(LEFT(A1204,7),'[7]Tariff Schedule Lookup Table'!$A$8:$G$186,2,FALSE)</f>
        <v>High Pressure Sodium 120</v>
      </c>
      <c r="C1204" s="375">
        <f t="shared" si="210"/>
        <v>50</v>
      </c>
      <c r="D1204" s="23">
        <f t="shared" si="211"/>
        <v>1</v>
      </c>
      <c r="E1204" s="23" t="str">
        <f>VLOOKUP(C1204,'[7]Tariff Schedule Lookup Table'!I$7:L$287,2,FALSE)</f>
        <v>HIGH PRESSURE SODIUM 150W</v>
      </c>
      <c r="F1204" s="23" t="str">
        <f>IF(E1204 = "BULKHEADS ETC", "SHARED OR NO POLE", VLOOKUP(C1204,'[7]Tariff Schedule Lookup Table'!I$7:L$287,3,FALSE))</f>
        <v>SHARED OR NO POLE</v>
      </c>
      <c r="G1204" s="23">
        <f>IF(E1204 = "NO CAPITAL", 1, VLOOKUP(C1204,'[7]Tariff Schedule Lookup Table'!I$7:L$287,4,FALSE))</f>
        <v>1</v>
      </c>
      <c r="H1204" s="23" t="str">
        <f t="shared" si="209"/>
        <v>1-Unmetered, CE Funded, CE Maintained</v>
      </c>
      <c r="I1204" s="374">
        <f>VLOOKUP(F1204,'Maintenance Model'!$A$57:$B$61,2,FALSE)</f>
        <v>0</v>
      </c>
      <c r="J1204" s="374">
        <f>IF(D1204=1,VLOOKUP(C1204,'Capital Code Schedules'!A$15:F$300,2,FALSE),IF(D1204=2,VLOOKUP(C1204,'Capital Code Schedules'!A$15:F$300,3,FALSE),0))</f>
        <v>32.009790998230237</v>
      </c>
      <c r="K1204" s="374">
        <f>IF(D1204=1,VLOOKUP(C1204,'Capital Code Schedules'!E$15:G$300,2,FALSE),IF(D1204=2,VLOOKUP(C1204,'Capital Code Schedules'!E$15:G$300,3,FALSE),0))</f>
        <v>40.603484458437606</v>
      </c>
      <c r="L1204" s="374">
        <f>VLOOKUP(LEFT(A1204,10),'Streetlight Tariff Schedule'!B$11:H$260,7, FALSE)+I1204</f>
        <v>56.823264008002603</v>
      </c>
      <c r="M1204" s="410">
        <f t="shared" si="202"/>
        <v>97.426748466440216</v>
      </c>
      <c r="N1204" s="411">
        <f t="shared" si="203"/>
        <v>91.99304447060635</v>
      </c>
      <c r="O1204" s="411">
        <v>80.936756236752643</v>
      </c>
      <c r="P1204" s="411">
        <v>79.094722596267317</v>
      </c>
      <c r="Q1204" s="411">
        <v>81.959067975016993</v>
      </c>
      <c r="R1204" s="411">
        <v>83.846691948104336</v>
      </c>
      <c r="S1204" s="411">
        <f t="shared" si="204"/>
        <v>95.701635538859392</v>
      </c>
      <c r="T1204" s="411">
        <v>84.629317595761023</v>
      </c>
      <c r="U1204" s="411">
        <v>86.880182579659092</v>
      </c>
      <c r="V1204" s="411">
        <f t="shared" si="205"/>
        <v>99.445789363573979</v>
      </c>
      <c r="W1204" s="411">
        <v>87.200905999996422</v>
      </c>
      <c r="X1204" s="411">
        <v>90.30844957813467</v>
      </c>
      <c r="Y1204" s="411">
        <f t="shared" si="206"/>
        <v>103.57970592220248</v>
      </c>
      <c r="Z1204" s="411">
        <v>89.534585640324053</v>
      </c>
      <c r="AA1204" s="411">
        <v>93.060560619568136</v>
      </c>
      <c r="AB1204" s="441">
        <f t="shared" si="207"/>
        <v>105.6812930061093</v>
      </c>
      <c r="AC1204" s="438">
        <f t="shared" si="208"/>
        <v>108.81200023742416</v>
      </c>
      <c r="AD1204" s="410"/>
      <c r="AE1204" s="411"/>
      <c r="AF1204" s="411"/>
      <c r="AG1204" s="411"/>
    </row>
    <row r="1205" spans="1:33" s="409" customFormat="1" x14ac:dyDescent="0.2">
      <c r="A1205" s="409" t="s">
        <v>738</v>
      </c>
      <c r="B1205" s="23" t="str">
        <f>VLOOKUP(LEFT(A1205,7),'[7]Tariff Schedule Lookup Table'!$A$8:$G$186,2,FALSE)</f>
        <v>High Pressure Sodium 150</v>
      </c>
      <c r="C1205" s="375">
        <f t="shared" si="210"/>
        <v>5</v>
      </c>
      <c r="D1205" s="23">
        <f t="shared" si="211"/>
        <v>1</v>
      </c>
      <c r="E1205" s="23" t="str">
        <f>VLOOKUP(C1205,'[7]Tariff Schedule Lookup Table'!I$7:L$287,2,FALSE)</f>
        <v>MAINTENANCE COMPONENT</v>
      </c>
      <c r="F1205" s="23" t="str">
        <f>IF(E1205 = "BULKHEADS ETC", "SHARED OR NO POLE", VLOOKUP(C1205,'[7]Tariff Schedule Lookup Table'!I$7:L$287,3,FALSE))</f>
        <v>NO CAPITAL</v>
      </c>
      <c r="G1205" s="23">
        <f>IF(E1205 = "NO CAPITAL", 1, VLOOKUP(C1205,'[7]Tariff Schedule Lookup Table'!I$7:L$287,4,FALSE))</f>
        <v>1</v>
      </c>
      <c r="H1205" s="23" t="str">
        <f t="shared" si="209"/>
        <v>1-Unmetered, CE Funded, CE Maintained</v>
      </c>
      <c r="I1205" s="374">
        <f>VLOOKUP(F1205,'Maintenance Model'!$A$57:$B$61,2,FALSE)</f>
        <v>0</v>
      </c>
      <c r="J1205" s="374">
        <f>IF(D1205=1,VLOOKUP(C1205,'Capital Code Schedules'!A$15:F$300,2,FALSE),IF(D1205=2,VLOOKUP(C1205,'Capital Code Schedules'!A$15:F$300,3,FALSE),0))</f>
        <v>0</v>
      </c>
      <c r="K1205" s="374">
        <f>IF(D1205=1,VLOOKUP(C1205,'Capital Code Schedules'!E$15:G$300,2,FALSE),IF(D1205=2,VLOOKUP(C1205,'Capital Code Schedules'!E$15:G$300,3,FALSE),0))</f>
        <v>0</v>
      </c>
      <c r="L1205" s="374">
        <f>VLOOKUP(LEFT(A1205,10),'Streetlight Tariff Schedule'!B$11:H$260,7, FALSE)+I1205</f>
        <v>64.695087563558161</v>
      </c>
      <c r="M1205" s="410">
        <f t="shared" si="202"/>
        <v>64.695087563558161</v>
      </c>
      <c r="N1205" s="411">
        <f t="shared" si="203"/>
        <v>67.390842744848513</v>
      </c>
      <c r="O1205" s="411">
        <v>35.021392674980348</v>
      </c>
      <c r="P1205" s="411">
        <v>35.021392674980348</v>
      </c>
      <c r="Q1205" s="411">
        <v>36.735299788428989</v>
      </c>
      <c r="R1205" s="411">
        <v>36.735299788428989</v>
      </c>
      <c r="S1205" s="411">
        <f t="shared" si="204"/>
        <v>70.688873917783852</v>
      </c>
      <c r="T1205" s="411">
        <v>38.244062084787579</v>
      </c>
      <c r="U1205" s="411">
        <v>38.383778778932012</v>
      </c>
      <c r="V1205" s="411">
        <f t="shared" si="205"/>
        <v>73.861003291626304</v>
      </c>
      <c r="W1205" s="411">
        <v>39.636249471434269</v>
      </c>
      <c r="X1205" s="411">
        <v>40.13625616219641</v>
      </c>
      <c r="Y1205" s="411">
        <f t="shared" si="206"/>
        <v>77.233254328171938</v>
      </c>
      <c r="Z1205" s="411">
        <v>40.781166685363978</v>
      </c>
      <c r="AA1205" s="411">
        <v>41.446734256825373</v>
      </c>
      <c r="AB1205" s="441">
        <f t="shared" si="207"/>
        <v>78.909736616056094</v>
      </c>
      <c r="AC1205" s="438">
        <f t="shared" si="208"/>
        <v>81.269063664475311</v>
      </c>
      <c r="AD1205" s="410"/>
      <c r="AE1205" s="411"/>
      <c r="AF1205" s="411"/>
      <c r="AG1205" s="411"/>
    </row>
    <row r="1206" spans="1:33" s="409" customFormat="1" x14ac:dyDescent="0.2">
      <c r="A1206" s="409" t="s">
        <v>475</v>
      </c>
      <c r="B1206" s="23" t="str">
        <f>VLOOKUP(LEFT(A1206,7),'[7]Tariff Schedule Lookup Table'!$A$8:$G$186,2,FALSE)</f>
        <v>High Pressure Sodium 150</v>
      </c>
      <c r="C1206" s="375">
        <f t="shared" si="210"/>
        <v>50</v>
      </c>
      <c r="D1206" s="23">
        <f t="shared" si="211"/>
        <v>1</v>
      </c>
      <c r="E1206" s="23" t="str">
        <f>VLOOKUP(C1206,'[7]Tariff Schedule Lookup Table'!I$7:L$287,2,FALSE)</f>
        <v>HIGH PRESSURE SODIUM 150W</v>
      </c>
      <c r="F1206" s="23" t="str">
        <f>IF(E1206 = "BULKHEADS ETC", "SHARED OR NO POLE", VLOOKUP(C1206,'[7]Tariff Schedule Lookup Table'!I$7:L$287,3,FALSE))</f>
        <v>SHARED OR NO POLE</v>
      </c>
      <c r="G1206" s="23">
        <f>IF(E1206 = "NO CAPITAL", 1, VLOOKUP(C1206,'[7]Tariff Schedule Lookup Table'!I$7:L$287,4,FALSE))</f>
        <v>1</v>
      </c>
      <c r="H1206" s="23" t="str">
        <f t="shared" si="209"/>
        <v>1-Unmetered, CE Funded, CE Maintained</v>
      </c>
      <c r="I1206" s="374">
        <f>VLOOKUP(F1206,'Maintenance Model'!$A$57:$B$61,2,FALSE)</f>
        <v>0</v>
      </c>
      <c r="J1206" s="374">
        <f>IF(D1206=1,VLOOKUP(C1206,'Capital Code Schedules'!A$15:F$300,2,FALSE),IF(D1206=2,VLOOKUP(C1206,'Capital Code Schedules'!A$15:F$300,3,FALSE),0))</f>
        <v>32.009790998230237</v>
      </c>
      <c r="K1206" s="374">
        <f>IF(D1206=1,VLOOKUP(C1206,'Capital Code Schedules'!E$15:G$300,2,FALSE),IF(D1206=2,VLOOKUP(C1206,'Capital Code Schedules'!E$15:G$300,3,FALSE),0))</f>
        <v>40.603484458437606</v>
      </c>
      <c r="L1206" s="374">
        <f>VLOOKUP(LEFT(A1206,10),'Streetlight Tariff Schedule'!B$11:H$260,7, FALSE)+I1206</f>
        <v>64.695087563558161</v>
      </c>
      <c r="M1206" s="410">
        <f t="shared" si="202"/>
        <v>105.29857202199577</v>
      </c>
      <c r="N1206" s="411">
        <f t="shared" si="203"/>
        <v>100.19287607028495</v>
      </c>
      <c r="O1206" s="411">
        <v>78.471847014249619</v>
      </c>
      <c r="P1206" s="411">
        <v>76.629813373764293</v>
      </c>
      <c r="Q1206" s="411">
        <v>79.373528899507832</v>
      </c>
      <c r="R1206" s="411">
        <v>81.261152872595176</v>
      </c>
      <c r="S1206" s="411">
        <f t="shared" si="204"/>
        <v>104.30275756802484</v>
      </c>
      <c r="T1206" s="411">
        <v>81.937587366365634</v>
      </c>
      <c r="U1206" s="411">
        <v>84.178618675996944</v>
      </c>
      <c r="V1206" s="411">
        <f t="shared" si="205"/>
        <v>108.43288262589917</v>
      </c>
      <c r="W1206" s="411">
        <v>84.411189503731379</v>
      </c>
      <c r="X1206" s="411">
        <v>87.48354113177183</v>
      </c>
      <c r="Y1206" s="411">
        <f t="shared" si="206"/>
        <v>112.97712037187665</v>
      </c>
      <c r="Z1206" s="411">
        <v>86.66428648346043</v>
      </c>
      <c r="AA1206" s="411">
        <v>90.143416848033709</v>
      </c>
      <c r="AB1206" s="441">
        <f t="shared" si="207"/>
        <v>115.28269470213</v>
      </c>
      <c r="AC1206" s="438">
        <f t="shared" si="208"/>
        <v>118.70047483085398</v>
      </c>
      <c r="AD1206" s="410"/>
      <c r="AE1206" s="411"/>
      <c r="AF1206" s="411"/>
      <c r="AG1206" s="411"/>
    </row>
    <row r="1207" spans="1:33" s="409" customFormat="1" x14ac:dyDescent="0.2">
      <c r="A1207" s="409" t="s">
        <v>476</v>
      </c>
      <c r="B1207" s="23" t="str">
        <f>VLOOKUP(LEFT(A1207,7),'[7]Tariff Schedule Lookup Table'!$A$8:$G$186,2,FALSE)</f>
        <v>High Pressure Sodium 150</v>
      </c>
      <c r="C1207" s="375">
        <f t="shared" si="210"/>
        <v>50</v>
      </c>
      <c r="D1207" s="23">
        <f t="shared" si="211"/>
        <v>2</v>
      </c>
      <c r="E1207" s="23" t="str">
        <f>VLOOKUP(C1207,'[7]Tariff Schedule Lookup Table'!I$7:L$287,2,FALSE)</f>
        <v>HIGH PRESSURE SODIUM 150W</v>
      </c>
      <c r="F1207" s="23" t="str">
        <f>IF(E1207 = "BULKHEADS ETC", "SHARED OR NO POLE", VLOOKUP(C1207,'[7]Tariff Schedule Lookup Table'!I$7:L$287,3,FALSE))</f>
        <v>SHARED OR NO POLE</v>
      </c>
      <c r="G1207" s="23">
        <f>IF(E1207 = "NO CAPITAL", 1, VLOOKUP(C1207,'[7]Tariff Schedule Lookup Table'!I$7:L$287,4,FALSE))</f>
        <v>1</v>
      </c>
      <c r="H1207" s="23" t="str">
        <f t="shared" si="209"/>
        <v>2-Unmetered, Funded by Others, CE Maintained</v>
      </c>
      <c r="I1207" s="374">
        <f>VLOOKUP(F1207,'Maintenance Model'!$A$57:$B$61,2,FALSE)</f>
        <v>0</v>
      </c>
      <c r="J1207" s="374">
        <f>IF(D1207=1,VLOOKUP(C1207,'Capital Code Schedules'!A$15:F$300,2,FALSE),IF(D1207=2,VLOOKUP(C1207,'Capital Code Schedules'!A$15:F$300,3,FALSE),0))</f>
        <v>0</v>
      </c>
      <c r="K1207" s="374">
        <f>IF(D1207=1,VLOOKUP(C1207,'Capital Code Schedules'!E$15:G$300,2,FALSE),IF(D1207=2,VLOOKUP(C1207,'Capital Code Schedules'!E$15:G$300,3,FALSE),0))</f>
        <v>0</v>
      </c>
      <c r="L1207" s="374">
        <f>VLOOKUP(LEFT(A1207,10),'Streetlight Tariff Schedule'!B$11:H$260,7, FALSE)+I1207</f>
        <v>64.695087563558161</v>
      </c>
      <c r="M1207" s="410">
        <f t="shared" si="202"/>
        <v>64.695087563558161</v>
      </c>
      <c r="N1207" s="411">
        <f t="shared" si="203"/>
        <v>67.390842744848513</v>
      </c>
      <c r="O1207" s="411">
        <v>35.021392674980348</v>
      </c>
      <c r="P1207" s="411">
        <v>35.021392674980348</v>
      </c>
      <c r="Q1207" s="411">
        <v>36.735299788428989</v>
      </c>
      <c r="R1207" s="411">
        <v>36.735299788428989</v>
      </c>
      <c r="S1207" s="411">
        <f t="shared" si="204"/>
        <v>70.688873917783852</v>
      </c>
      <c r="T1207" s="411">
        <v>38.244062084787579</v>
      </c>
      <c r="U1207" s="411">
        <v>38.383778778932012</v>
      </c>
      <c r="V1207" s="411">
        <f t="shared" si="205"/>
        <v>73.861003291626304</v>
      </c>
      <c r="W1207" s="411">
        <v>39.636249471434269</v>
      </c>
      <c r="X1207" s="411">
        <v>40.13625616219641</v>
      </c>
      <c r="Y1207" s="411">
        <f t="shared" si="206"/>
        <v>77.233254328171938</v>
      </c>
      <c r="Z1207" s="411">
        <v>40.781166685363978</v>
      </c>
      <c r="AA1207" s="411">
        <v>41.446734256825373</v>
      </c>
      <c r="AB1207" s="441">
        <f t="shared" si="207"/>
        <v>78.909736616056094</v>
      </c>
      <c r="AC1207" s="438">
        <f t="shared" si="208"/>
        <v>81.269063664475311</v>
      </c>
      <c r="AD1207" s="410"/>
      <c r="AE1207" s="411"/>
      <c r="AF1207" s="411"/>
      <c r="AG1207" s="411"/>
    </row>
    <row r="1208" spans="1:33" s="409" customFormat="1" x14ac:dyDescent="0.2">
      <c r="A1208" s="409" t="s">
        <v>477</v>
      </c>
      <c r="B1208" s="23" t="str">
        <f>VLOOKUP(LEFT(A1208,7),'[7]Tariff Schedule Lookup Table'!$A$8:$G$186,2,FALSE)</f>
        <v>High Pressure Sodium 150</v>
      </c>
      <c r="C1208" s="375">
        <f t="shared" si="210"/>
        <v>220</v>
      </c>
      <c r="D1208" s="23">
        <f t="shared" si="211"/>
        <v>1</v>
      </c>
      <c r="E1208" s="23" t="str">
        <f>VLOOKUP(C1208,'[7]Tariff Schedule Lookup Table'!I$7:L$287,2,FALSE)</f>
        <v>HIGH PRESSURE SODIUM 150W</v>
      </c>
      <c r="F1208" s="23" t="str">
        <f>IF(E1208 = "BULKHEADS ETC", "SHARED OR NO POLE", VLOOKUP(C1208,'[7]Tariff Schedule Lookup Table'!I$7:L$287,3,FALSE))</f>
        <v>WOOD POLE</v>
      </c>
      <c r="G1208" s="23">
        <f>IF(E1208 = "NO CAPITAL", 1, VLOOKUP(C1208,'[7]Tariff Schedule Lookup Table'!I$7:L$287,4,FALSE))</f>
        <v>1</v>
      </c>
      <c r="H1208" s="23" t="str">
        <f t="shared" si="209"/>
        <v>1-Unmetered, CE Funded, CE Maintained</v>
      </c>
      <c r="I1208" s="374">
        <f>VLOOKUP(F1208,'Maintenance Model'!$A$57:$B$61,2,FALSE)</f>
        <v>10.731618231111112</v>
      </c>
      <c r="J1208" s="374">
        <f>IF(D1208=1,VLOOKUP(C1208,'Capital Code Schedules'!A$15:F$300,2,FALSE),IF(D1208=2,VLOOKUP(C1208,'Capital Code Schedules'!A$15:F$300,3,FALSE),0))</f>
        <v>65.91090936010653</v>
      </c>
      <c r="K1208" s="374">
        <f>IF(D1208=1,VLOOKUP(C1208,'Capital Code Schedules'!E$15:G$300,2,FALSE),IF(D1208=2,VLOOKUP(C1208,'Capital Code Schedules'!E$15:G$300,3,FALSE),0))</f>
        <v>83.606062407359644</v>
      </c>
      <c r="L1208" s="374">
        <f>VLOOKUP(LEFT(A1208,10),'Streetlight Tariff Schedule'!B$11:H$260,7, FALSE)+I1208</f>
        <v>75.426705794669274</v>
      </c>
      <c r="M1208" s="410">
        <f t="shared" si="202"/>
        <v>159.03276820202893</v>
      </c>
      <c r="N1208" s="411">
        <f t="shared" si="203"/>
        <v>146.11183709161506</v>
      </c>
      <c r="O1208" s="411">
        <v>134.88581070188579</v>
      </c>
      <c r="P1208" s="411">
        <v>131.09290520234632</v>
      </c>
      <c r="Q1208" s="411">
        <v>135.43605450284772</v>
      </c>
      <c r="R1208" s="411">
        <v>139.3228344135008</v>
      </c>
      <c r="S1208" s="411">
        <f t="shared" si="204"/>
        <v>151.62861508606736</v>
      </c>
      <c r="T1208" s="411">
        <v>139.56564264711221</v>
      </c>
      <c r="U1208" s="411">
        <v>144.07362193924152</v>
      </c>
      <c r="V1208" s="411">
        <f t="shared" si="205"/>
        <v>157.29953254540567</v>
      </c>
      <c r="W1208" s="411">
        <v>143.59783068828386</v>
      </c>
      <c r="X1208" s="411">
        <v>149.54294498266222</v>
      </c>
      <c r="Y1208" s="411">
        <f t="shared" si="206"/>
        <v>163.64439374339122</v>
      </c>
      <c r="Z1208" s="411">
        <v>147.36445716752442</v>
      </c>
      <c r="AA1208" s="411">
        <v>154.02096784735159</v>
      </c>
      <c r="AB1208" s="441">
        <f t="shared" si="207"/>
        <v>166.89432539349747</v>
      </c>
      <c r="AC1208" s="438">
        <f t="shared" si="208"/>
        <v>171.82446332241426</v>
      </c>
      <c r="AD1208" s="410"/>
      <c r="AE1208" s="411"/>
      <c r="AF1208" s="411"/>
      <c r="AG1208" s="411"/>
    </row>
    <row r="1209" spans="1:33" s="409" customFormat="1" x14ac:dyDescent="0.2">
      <c r="A1209" s="409" t="s">
        <v>478</v>
      </c>
      <c r="B1209" s="23" t="str">
        <f>VLOOKUP(LEFT(A1209,7),'[7]Tariff Schedule Lookup Table'!$A$8:$G$186,2,FALSE)</f>
        <v>High Pressure Sodium 150</v>
      </c>
      <c r="C1209" s="375">
        <f t="shared" si="210"/>
        <v>220</v>
      </c>
      <c r="D1209" s="23">
        <f t="shared" si="211"/>
        <v>2</v>
      </c>
      <c r="E1209" s="23" t="str">
        <f>VLOOKUP(C1209,'[7]Tariff Schedule Lookup Table'!I$7:L$287,2,FALSE)</f>
        <v>HIGH PRESSURE SODIUM 150W</v>
      </c>
      <c r="F1209" s="23" t="str">
        <f>IF(E1209 = "BULKHEADS ETC", "SHARED OR NO POLE", VLOOKUP(C1209,'[7]Tariff Schedule Lookup Table'!I$7:L$287,3,FALSE))</f>
        <v>WOOD POLE</v>
      </c>
      <c r="G1209" s="23">
        <f>IF(E1209 = "NO CAPITAL", 1, VLOOKUP(C1209,'[7]Tariff Schedule Lookup Table'!I$7:L$287,4,FALSE))</f>
        <v>1</v>
      </c>
      <c r="H1209" s="23" t="str">
        <f t="shared" si="209"/>
        <v>2-Unmetered, Funded by Others, CE Maintained</v>
      </c>
      <c r="I1209" s="374">
        <f>VLOOKUP(F1209,'Maintenance Model'!$A$57:$B$61,2,FALSE)</f>
        <v>10.731618231111112</v>
      </c>
      <c r="J1209" s="374">
        <f>IF(D1209=1,VLOOKUP(C1209,'Capital Code Schedules'!A$15:F$300,2,FALSE),IF(D1209=2,VLOOKUP(C1209,'Capital Code Schedules'!A$15:F$300,3,FALSE),0))</f>
        <v>0</v>
      </c>
      <c r="K1209" s="374">
        <f>IF(D1209=1,VLOOKUP(C1209,'Capital Code Schedules'!E$15:G$300,2,FALSE),IF(D1209=2,VLOOKUP(C1209,'Capital Code Schedules'!E$15:G$300,3,FALSE),0))</f>
        <v>0</v>
      </c>
      <c r="L1209" s="374">
        <f>VLOOKUP(LEFT(A1209,10),'Streetlight Tariff Schedule'!B$11:H$260,7, FALSE)+I1209</f>
        <v>75.426705794669274</v>
      </c>
      <c r="M1209" s="410">
        <f t="shared" si="202"/>
        <v>75.426705794669274</v>
      </c>
      <c r="N1209" s="411">
        <f t="shared" si="203"/>
        <v>78.569632724845917</v>
      </c>
      <c r="O1209" s="411">
        <v>45.417592750404523</v>
      </c>
      <c r="P1209" s="411">
        <v>45.417592750404523</v>
      </c>
      <c r="Q1209" s="411">
        <v>47.640278067720359</v>
      </c>
      <c r="R1209" s="411">
        <v>47.640278067720359</v>
      </c>
      <c r="S1209" s="411">
        <f t="shared" si="204"/>
        <v>82.414741161220675</v>
      </c>
      <c r="T1209" s="411">
        <v>49.596920745215442</v>
      </c>
      <c r="U1209" s="411">
        <v>49.778112737606357</v>
      </c>
      <c r="V1209" s="411">
        <f t="shared" si="205"/>
        <v>86.113063213700855</v>
      </c>
      <c r="W1209" s="411">
        <v>51.40238291931513</v>
      </c>
      <c r="X1209" s="411">
        <v>52.050818019091615</v>
      </c>
      <c r="Y1209" s="411">
        <f t="shared" si="206"/>
        <v>90.044703101341597</v>
      </c>
      <c r="Z1209" s="411">
        <v>52.887172066273756</v>
      </c>
      <c r="AA1209" s="411">
        <v>53.750315265319209</v>
      </c>
      <c r="AB1209" s="441">
        <f t="shared" si="207"/>
        <v>91.999280196147794</v>
      </c>
      <c r="AC1209" s="438">
        <f t="shared" si="208"/>
        <v>94.7499723098217</v>
      </c>
      <c r="AD1209" s="410"/>
      <c r="AE1209" s="411"/>
      <c r="AF1209" s="411"/>
      <c r="AG1209" s="411"/>
    </row>
    <row r="1210" spans="1:33" s="409" customFormat="1" x14ac:dyDescent="0.2">
      <c r="A1210" s="409" t="s">
        <v>479</v>
      </c>
      <c r="B1210" s="23" t="str">
        <f>VLOOKUP(LEFT(A1210,7),'[7]Tariff Schedule Lookup Table'!$A$8:$G$186,2,FALSE)</f>
        <v>High Pressure Sodium 150</v>
      </c>
      <c r="C1210" s="375">
        <f t="shared" si="210"/>
        <v>310</v>
      </c>
      <c r="D1210" s="23">
        <f t="shared" si="211"/>
        <v>1</v>
      </c>
      <c r="E1210" s="23" t="str">
        <f>VLOOKUP(C1210,'[7]Tariff Schedule Lookup Table'!I$7:L$287,2,FALSE)</f>
        <v>HIGH PRESSURE SODIUM 150W</v>
      </c>
      <c r="F1210" s="23" t="str">
        <f>IF(E1210 = "BULKHEADS ETC", "SHARED OR NO POLE", VLOOKUP(C1210,'[7]Tariff Schedule Lookup Table'!I$7:L$287,3,FALSE))</f>
        <v>STEEL POLE</v>
      </c>
      <c r="G1210" s="23">
        <f>IF(E1210 = "NO CAPITAL", 1, VLOOKUP(C1210,'[7]Tariff Schedule Lookup Table'!I$7:L$287,4,FALSE))</f>
        <v>1</v>
      </c>
      <c r="H1210" s="23" t="str">
        <f t="shared" si="209"/>
        <v>1-Unmetered, CE Funded, CE Maintained</v>
      </c>
      <c r="I1210" s="374">
        <f>VLOOKUP(F1210,'Maintenance Model'!$A$57:$B$61,2,FALSE)</f>
        <v>9.9616182311111103</v>
      </c>
      <c r="J1210" s="374">
        <f>IF(D1210=1,VLOOKUP(C1210,'Capital Code Schedules'!A$15:F$300,2,FALSE),IF(D1210=2,VLOOKUP(C1210,'Capital Code Schedules'!A$15:F$300,3,FALSE),0))</f>
        <v>92.1941745337366</v>
      </c>
      <c r="K1210" s="374">
        <f>IF(D1210=1,VLOOKUP(C1210,'Capital Code Schedules'!E$15:G$300,2,FALSE),IF(D1210=2,VLOOKUP(C1210,'Capital Code Schedules'!E$15:G$300,3,FALSE),0))</f>
        <v>116.94561620368043</v>
      </c>
      <c r="L1210" s="374">
        <f>VLOOKUP(LEFT(A1210,10),'Streetlight Tariff Schedule'!B$11:H$260,7, FALSE)+I1210</f>
        <v>74.656705794669278</v>
      </c>
      <c r="M1210" s="410">
        <f t="shared" si="202"/>
        <v>191.60232199834971</v>
      </c>
      <c r="N1210" s="411">
        <f t="shared" si="203"/>
        <v>172.24352823896751</v>
      </c>
      <c r="O1210" s="411">
        <v>169.76092892136424</v>
      </c>
      <c r="P1210" s="411">
        <v>164.45552811580106</v>
      </c>
      <c r="Q1210" s="411">
        <v>169.60500081368428</v>
      </c>
      <c r="R1210" s="411">
        <v>175.04171028918518</v>
      </c>
      <c r="S1210" s="411">
        <f t="shared" si="204"/>
        <v>178.38766406959061</v>
      </c>
      <c r="T1210" s="411">
        <v>174.56653874660623</v>
      </c>
      <c r="U1210" s="411">
        <v>180.79670927110865</v>
      </c>
      <c r="V1210" s="411">
        <f t="shared" si="205"/>
        <v>184.80743791868505</v>
      </c>
      <c r="W1210" s="411">
        <v>179.45479244517381</v>
      </c>
      <c r="X1210" s="411">
        <v>187.50060973086866</v>
      </c>
      <c r="Y1210" s="411">
        <f t="shared" si="206"/>
        <v>192.07448186461383</v>
      </c>
      <c r="Z1210" s="411">
        <v>184.10512451458632</v>
      </c>
      <c r="AA1210" s="411">
        <v>193.05661056844133</v>
      </c>
      <c r="AB1210" s="441">
        <f t="shared" si="207"/>
        <v>195.8210080294304</v>
      </c>
      <c r="AC1210" s="438">
        <f t="shared" si="208"/>
        <v>201.59216195867054</v>
      </c>
      <c r="AD1210" s="410"/>
      <c r="AE1210" s="411"/>
      <c r="AF1210" s="411"/>
      <c r="AG1210" s="411"/>
    </row>
    <row r="1211" spans="1:33" s="409" customFormat="1" x14ac:dyDescent="0.2">
      <c r="A1211" s="409" t="s">
        <v>480</v>
      </c>
      <c r="B1211" s="23" t="str">
        <f>VLOOKUP(LEFT(A1211,7),'[7]Tariff Schedule Lookup Table'!$A$8:$G$186,2,FALSE)</f>
        <v>High Pressure Sodium 150</v>
      </c>
      <c r="C1211" s="375">
        <f t="shared" si="210"/>
        <v>310</v>
      </c>
      <c r="D1211" s="23">
        <f t="shared" si="211"/>
        <v>2</v>
      </c>
      <c r="E1211" s="23" t="str">
        <f>VLOOKUP(C1211,'[7]Tariff Schedule Lookup Table'!I$7:L$287,2,FALSE)</f>
        <v>HIGH PRESSURE SODIUM 150W</v>
      </c>
      <c r="F1211" s="23" t="str">
        <f>IF(E1211 = "BULKHEADS ETC", "SHARED OR NO POLE", VLOOKUP(C1211,'[7]Tariff Schedule Lookup Table'!I$7:L$287,3,FALSE))</f>
        <v>STEEL POLE</v>
      </c>
      <c r="G1211" s="23">
        <f>IF(E1211 = "NO CAPITAL", 1, VLOOKUP(C1211,'[7]Tariff Schedule Lookup Table'!I$7:L$287,4,FALSE))</f>
        <v>1</v>
      </c>
      <c r="H1211" s="23" t="str">
        <f t="shared" si="209"/>
        <v>2-Unmetered, Funded by Others, CE Maintained</v>
      </c>
      <c r="I1211" s="374">
        <f>VLOOKUP(F1211,'Maintenance Model'!$A$57:$B$61,2,FALSE)</f>
        <v>9.9616182311111103</v>
      </c>
      <c r="J1211" s="374">
        <f>IF(D1211=1,VLOOKUP(C1211,'Capital Code Schedules'!A$15:F$300,2,FALSE),IF(D1211=2,VLOOKUP(C1211,'Capital Code Schedules'!A$15:F$300,3,FALSE),0))</f>
        <v>0</v>
      </c>
      <c r="K1211" s="374">
        <f>IF(D1211=1,VLOOKUP(C1211,'Capital Code Schedules'!E$15:G$300,2,FALSE),IF(D1211=2,VLOOKUP(C1211,'Capital Code Schedules'!E$15:G$300,3,FALSE),0))</f>
        <v>0</v>
      </c>
      <c r="L1211" s="374">
        <f>VLOOKUP(LEFT(A1211,10),'Streetlight Tariff Schedule'!B$11:H$260,7, FALSE)+I1211</f>
        <v>74.656705794669278</v>
      </c>
      <c r="M1211" s="410">
        <f t="shared" si="202"/>
        <v>74.656705794669278</v>
      </c>
      <c r="N1211" s="411">
        <f t="shared" si="203"/>
        <v>77.767547885520926</v>
      </c>
      <c r="O1211" s="411">
        <v>44.615507911079519</v>
      </c>
      <c r="P1211" s="411">
        <v>44.615507911079519</v>
      </c>
      <c r="Q1211" s="411">
        <v>46.798940108895906</v>
      </c>
      <c r="R1211" s="411">
        <v>46.798940108895906</v>
      </c>
      <c r="S1211" s="411">
        <f t="shared" si="204"/>
        <v>81.573403202396221</v>
      </c>
      <c r="T1211" s="411">
        <v>48.721028039374332</v>
      </c>
      <c r="U1211" s="411">
        <v>48.899020140681145</v>
      </c>
      <c r="V1211" s="411">
        <f t="shared" si="205"/>
        <v>85.23397061677565</v>
      </c>
      <c r="W1211" s="411">
        <v>50.49460534793792</v>
      </c>
      <c r="X1211" s="411">
        <v>51.131588938919677</v>
      </c>
      <c r="Y1211" s="411">
        <f t="shared" si="206"/>
        <v>89.125474021169666</v>
      </c>
      <c r="Z1211" s="411">
        <v>51.953172786693862</v>
      </c>
      <c r="AA1211" s="411">
        <v>52.801072683921767</v>
      </c>
      <c r="AB1211" s="441">
        <f t="shared" si="207"/>
        <v>91.060097647941632</v>
      </c>
      <c r="AC1211" s="438">
        <f t="shared" si="208"/>
        <v>93.782709085080441</v>
      </c>
      <c r="AD1211" s="410"/>
      <c r="AE1211" s="411"/>
      <c r="AF1211" s="411"/>
      <c r="AG1211" s="411"/>
    </row>
    <row r="1212" spans="1:33" s="409" customFormat="1" x14ac:dyDescent="0.2">
      <c r="A1212" s="409" t="s">
        <v>481</v>
      </c>
      <c r="B1212" s="23" t="str">
        <f>VLOOKUP(LEFT(A1212,7),'[7]Tariff Schedule Lookup Table'!$A$8:$G$186,2,FALSE)</f>
        <v>High Pressure Sodium 150</v>
      </c>
      <c r="C1212" s="375">
        <f t="shared" si="210"/>
        <v>690</v>
      </c>
      <c r="D1212" s="23">
        <f t="shared" si="211"/>
        <v>1</v>
      </c>
      <c r="E1212" s="23" t="str">
        <f>VLOOKUP(C1212,'[7]Tariff Schedule Lookup Table'!I$7:L$287,2,FALSE)</f>
        <v>HIGH PRESSURE SODIUM 150W</v>
      </c>
      <c r="F1212" s="23" t="str">
        <f>IF(E1212 = "BULKHEADS ETC", "SHARED OR NO POLE", VLOOKUP(C1212,'[7]Tariff Schedule Lookup Table'!I$7:L$287,3,FALSE))</f>
        <v>STEEL POLE</v>
      </c>
      <c r="G1212" s="23">
        <f>IF(E1212 = "NO CAPITAL", 1, VLOOKUP(C1212,'[7]Tariff Schedule Lookup Table'!I$7:L$287,4,FALSE))</f>
        <v>2</v>
      </c>
      <c r="H1212" s="23" t="str">
        <f t="shared" si="209"/>
        <v>1-Unmetered, CE Funded, CE Maintained</v>
      </c>
      <c r="I1212" s="374">
        <f>VLOOKUP(F1212,'Maintenance Model'!$A$57:$B$61,2,FALSE)</f>
        <v>9.9616182311111103</v>
      </c>
      <c r="J1212" s="374">
        <f>IF(D1212=1,VLOOKUP(C1212,'Capital Code Schedules'!A$15:F$300,2,FALSE),IF(D1212=2,VLOOKUP(C1212,'Capital Code Schedules'!A$15:F$300,3,FALSE),0))</f>
        <v>104.79944174971051</v>
      </c>
      <c r="K1212" s="374">
        <f>IF(D1212=1,VLOOKUP(C1212,'Capital Code Schedules'!E$15:G$300,2,FALSE),IF(D1212=2,VLOOKUP(C1212,'Capital Code Schedules'!E$15:G$300,3,FALSE),0))</f>
        <v>132.93502930314577</v>
      </c>
      <c r="L1212" s="374">
        <f>VLOOKUP(LEFT(A1212,10),'Streetlight Tariff Schedule'!B$11:H$260,7, FALSE)+I1212</f>
        <v>74.656705794669278</v>
      </c>
      <c r="M1212" s="410">
        <f t="shared" si="202"/>
        <v>207.59173509781505</v>
      </c>
      <c r="N1212" s="411">
        <f t="shared" si="203"/>
        <v>185.16077581853679</v>
      </c>
      <c r="O1212" s="411">
        <v>186.87146199645505</v>
      </c>
      <c r="P1212" s="411">
        <v>180.84067918947815</v>
      </c>
      <c r="Q1212" s="411">
        <v>186.3956843764349</v>
      </c>
      <c r="R1212" s="411">
        <v>192.57572905788447</v>
      </c>
      <c r="S1212" s="411">
        <f t="shared" si="204"/>
        <v>191.62461352675422</v>
      </c>
      <c r="T1212" s="411">
        <v>191.77279172753492</v>
      </c>
      <c r="U1212" s="411">
        <v>198.83044757471589</v>
      </c>
      <c r="V1212" s="411">
        <f t="shared" si="205"/>
        <v>198.42164043537784</v>
      </c>
      <c r="W1212" s="411">
        <v>197.08690018738048</v>
      </c>
      <c r="X1212" s="411">
        <v>206.14569176296817</v>
      </c>
      <c r="Y1212" s="411">
        <f t="shared" si="206"/>
        <v>206.1502058466225</v>
      </c>
      <c r="Z1212" s="411">
        <v>202.1736269234126</v>
      </c>
      <c r="AA1212" s="411">
        <v>212.23307743845567</v>
      </c>
      <c r="AB1212" s="441">
        <f t="shared" si="207"/>
        <v>210.14446475352244</v>
      </c>
      <c r="AC1212" s="438">
        <f t="shared" si="208"/>
        <v>216.33243127343366</v>
      </c>
      <c r="AD1212" s="410"/>
      <c r="AE1212" s="411"/>
      <c r="AF1212" s="411"/>
      <c r="AG1212" s="411"/>
    </row>
    <row r="1213" spans="1:33" s="409" customFormat="1" x14ac:dyDescent="0.2">
      <c r="A1213" s="409" t="s">
        <v>482</v>
      </c>
      <c r="B1213" s="23" t="str">
        <f>VLOOKUP(LEFT(A1213,7),'[7]Tariff Schedule Lookup Table'!$A$8:$G$186,2,FALSE)</f>
        <v>High Pressure Sodium 150</v>
      </c>
      <c r="C1213" s="375">
        <f t="shared" si="210"/>
        <v>690</v>
      </c>
      <c r="D1213" s="23">
        <f t="shared" si="211"/>
        <v>2</v>
      </c>
      <c r="E1213" s="23" t="str">
        <f>VLOOKUP(C1213,'[7]Tariff Schedule Lookup Table'!I$7:L$287,2,FALSE)</f>
        <v>HIGH PRESSURE SODIUM 150W</v>
      </c>
      <c r="F1213" s="23" t="str">
        <f>IF(E1213 = "BULKHEADS ETC", "SHARED OR NO POLE", VLOOKUP(C1213,'[7]Tariff Schedule Lookup Table'!I$7:L$287,3,FALSE))</f>
        <v>STEEL POLE</v>
      </c>
      <c r="G1213" s="23">
        <f>IF(E1213 = "NO CAPITAL", 1, VLOOKUP(C1213,'[7]Tariff Schedule Lookup Table'!I$7:L$287,4,FALSE))</f>
        <v>2</v>
      </c>
      <c r="H1213" s="23" t="str">
        <f t="shared" si="209"/>
        <v>2-Unmetered, Funded by Others, CE Maintained</v>
      </c>
      <c r="I1213" s="374">
        <f>VLOOKUP(F1213,'Maintenance Model'!$A$57:$B$61,2,FALSE)</f>
        <v>9.9616182311111103</v>
      </c>
      <c r="J1213" s="374">
        <f>IF(D1213=1,VLOOKUP(C1213,'Capital Code Schedules'!A$15:F$300,2,FALSE),IF(D1213=2,VLOOKUP(C1213,'Capital Code Schedules'!A$15:F$300,3,FALSE),0))</f>
        <v>0</v>
      </c>
      <c r="K1213" s="374">
        <f>IF(D1213=1,VLOOKUP(C1213,'Capital Code Schedules'!E$15:G$300,2,FALSE),IF(D1213=2,VLOOKUP(C1213,'Capital Code Schedules'!E$15:G$300,3,FALSE),0))</f>
        <v>0</v>
      </c>
      <c r="L1213" s="374">
        <f>VLOOKUP(LEFT(A1213,10),'Streetlight Tariff Schedule'!B$11:H$260,7, FALSE)+I1213</f>
        <v>74.656705794669278</v>
      </c>
      <c r="M1213" s="410">
        <f t="shared" si="202"/>
        <v>74.656705794669278</v>
      </c>
      <c r="N1213" s="411">
        <f t="shared" si="203"/>
        <v>77.767547885520926</v>
      </c>
      <c r="O1213" s="411">
        <v>44.615507911079519</v>
      </c>
      <c r="P1213" s="411">
        <v>44.615507911079519</v>
      </c>
      <c r="Q1213" s="411">
        <v>46.798940108895906</v>
      </c>
      <c r="R1213" s="411">
        <v>46.798940108895906</v>
      </c>
      <c r="S1213" s="411">
        <f t="shared" si="204"/>
        <v>81.573403202396221</v>
      </c>
      <c r="T1213" s="411">
        <v>48.721028039374332</v>
      </c>
      <c r="U1213" s="411">
        <v>48.899020140681145</v>
      </c>
      <c r="V1213" s="411">
        <f t="shared" si="205"/>
        <v>85.23397061677565</v>
      </c>
      <c r="W1213" s="411">
        <v>50.49460534793792</v>
      </c>
      <c r="X1213" s="411">
        <v>51.131588938919677</v>
      </c>
      <c r="Y1213" s="411">
        <f t="shared" si="206"/>
        <v>89.125474021169666</v>
      </c>
      <c r="Z1213" s="411">
        <v>51.953172786693862</v>
      </c>
      <c r="AA1213" s="411">
        <v>52.801072683921767</v>
      </c>
      <c r="AB1213" s="441">
        <f t="shared" si="207"/>
        <v>91.060097647941632</v>
      </c>
      <c r="AC1213" s="438">
        <f t="shared" si="208"/>
        <v>93.782709085080441</v>
      </c>
      <c r="AD1213" s="410"/>
      <c r="AE1213" s="411"/>
      <c r="AF1213" s="411"/>
      <c r="AG1213" s="411"/>
    </row>
    <row r="1214" spans="1:33" s="409" customFormat="1" x14ac:dyDescent="0.2">
      <c r="A1214" s="409" t="s">
        <v>483</v>
      </c>
      <c r="B1214" s="23" t="str">
        <f>VLOOKUP(LEFT(A1214,7),'[7]Tariff Schedule Lookup Table'!$A$8:$G$186,2,FALSE)</f>
        <v>High Pressure Sodium 150</v>
      </c>
      <c r="C1214" s="375">
        <f t="shared" si="210"/>
        <v>710</v>
      </c>
      <c r="D1214" s="23">
        <f t="shared" si="211"/>
        <v>2</v>
      </c>
      <c r="E1214" s="23" t="str">
        <f>VLOOKUP(C1214,'[7]Tariff Schedule Lookup Table'!I$7:L$287,2,FALSE)</f>
        <v>HIGH PRESSURE SODIUM 150W</v>
      </c>
      <c r="F1214" s="23" t="str">
        <f>IF(E1214 = "BULKHEADS ETC", "SHARED OR NO POLE", VLOOKUP(C1214,'[7]Tariff Schedule Lookup Table'!I$7:L$287,3,FALSE))</f>
        <v>STEEL POLE</v>
      </c>
      <c r="G1214" s="23">
        <f>IF(E1214 = "NO CAPITAL", 1, VLOOKUP(C1214,'[7]Tariff Schedule Lookup Table'!I$7:L$287,4,FALSE))</f>
        <v>3</v>
      </c>
      <c r="H1214" s="23" t="str">
        <f t="shared" si="209"/>
        <v>2-Unmetered, Funded by Others, CE Maintained</v>
      </c>
      <c r="I1214" s="374">
        <f>VLOOKUP(F1214,'Maintenance Model'!$A$57:$B$61,2,FALSE)</f>
        <v>9.9616182311111103</v>
      </c>
      <c r="J1214" s="374">
        <f>IF(D1214=1,VLOOKUP(C1214,'Capital Code Schedules'!A$15:F$300,2,FALSE),IF(D1214=2,VLOOKUP(C1214,'Capital Code Schedules'!A$15:F$300,3,FALSE),0))</f>
        <v>0</v>
      </c>
      <c r="K1214" s="374">
        <f>IF(D1214=1,VLOOKUP(C1214,'Capital Code Schedules'!E$15:G$300,2,FALSE),IF(D1214=2,VLOOKUP(C1214,'Capital Code Schedules'!E$15:G$300,3,FALSE),0))</f>
        <v>0</v>
      </c>
      <c r="L1214" s="374">
        <f>VLOOKUP(LEFT(A1214,10),'Streetlight Tariff Schedule'!B$11:H$260,7, FALSE)+I1214</f>
        <v>74.656705794669278</v>
      </c>
      <c r="M1214" s="410">
        <f t="shared" si="202"/>
        <v>74.656705794669278</v>
      </c>
      <c r="N1214" s="411">
        <f t="shared" si="203"/>
        <v>77.767547885520926</v>
      </c>
      <c r="O1214" s="411">
        <v>44.615507911079519</v>
      </c>
      <c r="P1214" s="411">
        <v>44.615507911079519</v>
      </c>
      <c r="Q1214" s="411">
        <v>46.798940108895906</v>
      </c>
      <c r="R1214" s="411">
        <v>46.798940108895906</v>
      </c>
      <c r="S1214" s="411">
        <f t="shared" si="204"/>
        <v>81.573403202396221</v>
      </c>
      <c r="T1214" s="411">
        <v>48.721028039374332</v>
      </c>
      <c r="U1214" s="411">
        <v>48.899020140681145</v>
      </c>
      <c r="V1214" s="411">
        <f t="shared" si="205"/>
        <v>85.23397061677565</v>
      </c>
      <c r="W1214" s="411">
        <v>50.49460534793792</v>
      </c>
      <c r="X1214" s="411">
        <v>51.131588938919677</v>
      </c>
      <c r="Y1214" s="411">
        <f t="shared" si="206"/>
        <v>89.125474021169666</v>
      </c>
      <c r="Z1214" s="411">
        <v>51.953172786693862</v>
      </c>
      <c r="AA1214" s="411">
        <v>52.801072683921767</v>
      </c>
      <c r="AB1214" s="441">
        <f t="shared" si="207"/>
        <v>91.060097647941632</v>
      </c>
      <c r="AC1214" s="438">
        <f t="shared" si="208"/>
        <v>93.782709085080441</v>
      </c>
      <c r="AD1214" s="410"/>
      <c r="AE1214" s="411"/>
      <c r="AF1214" s="411"/>
      <c r="AG1214" s="411"/>
    </row>
    <row r="1215" spans="1:33" s="409" customFormat="1" x14ac:dyDescent="0.2">
      <c r="A1215" s="409" t="s">
        <v>484</v>
      </c>
      <c r="B1215" s="23" t="str">
        <f>VLOOKUP(LEFT(A1215,7),'[7]Tariff Schedule Lookup Table'!$A$8:$G$186,2,FALSE)</f>
        <v>High Pressure Sodium 150</v>
      </c>
      <c r="C1215" s="375">
        <f t="shared" si="210"/>
        <v>720</v>
      </c>
      <c r="D1215" s="23">
        <f t="shared" si="211"/>
        <v>1</v>
      </c>
      <c r="E1215" s="23" t="str">
        <f>VLOOKUP(C1215,'[7]Tariff Schedule Lookup Table'!I$7:L$287,2,FALSE)</f>
        <v>HIGH PRESSURE SODIUM 150W</v>
      </c>
      <c r="F1215" s="23" t="str">
        <f>IF(E1215 = "BULKHEADS ETC", "SHARED OR NO POLE", VLOOKUP(C1215,'[7]Tariff Schedule Lookup Table'!I$7:L$287,3,FALSE))</f>
        <v>STEEL POLE</v>
      </c>
      <c r="G1215" s="23">
        <f>IF(E1215 = "NO CAPITAL", 1, VLOOKUP(C1215,'[7]Tariff Schedule Lookup Table'!I$7:L$287,4,FALSE))</f>
        <v>4</v>
      </c>
      <c r="H1215" s="23" t="str">
        <f t="shared" si="209"/>
        <v>1-Unmetered, CE Funded, CE Maintained</v>
      </c>
      <c r="I1215" s="374">
        <f>VLOOKUP(F1215,'Maintenance Model'!$A$57:$B$61,2,FALSE)</f>
        <v>9.9616182311111103</v>
      </c>
      <c r="J1215" s="374">
        <f>IF(D1215=1,VLOOKUP(C1215,'Capital Code Schedules'!A$15:F$300,2,FALSE),IF(D1215=2,VLOOKUP(C1215,'Capital Code Schedules'!A$15:F$300,3,FALSE),0))</f>
        <v>130.00997618165832</v>
      </c>
      <c r="K1215" s="374">
        <f>IF(D1215=1,VLOOKUP(C1215,'Capital Code Schedules'!E$15:G$300,2,FALSE),IF(D1215=2,VLOOKUP(C1215,'Capital Code Schedules'!E$15:G$300,3,FALSE),0))</f>
        <v>164.91385550207639</v>
      </c>
      <c r="L1215" s="374">
        <f>VLOOKUP(LEFT(A1215,10),'Streetlight Tariff Schedule'!B$11:H$260,7, FALSE)+I1215</f>
        <v>74.656705794669278</v>
      </c>
      <c r="M1215" s="410">
        <f t="shared" si="202"/>
        <v>239.57056129674567</v>
      </c>
      <c r="N1215" s="411">
        <f t="shared" si="203"/>
        <v>210.99527097767529</v>
      </c>
      <c r="O1215" s="411">
        <v>221.09252814663662</v>
      </c>
      <c r="P1215" s="411">
        <v>213.61098133683231</v>
      </c>
      <c r="Q1215" s="411">
        <v>219.97705150193607</v>
      </c>
      <c r="R1215" s="411">
        <v>227.64376659528304</v>
      </c>
      <c r="S1215" s="411">
        <f t="shared" si="204"/>
        <v>218.0985124410814</v>
      </c>
      <c r="T1215" s="411">
        <v>226.18529768939223</v>
      </c>
      <c r="U1215" s="411">
        <v>234.89792418193031</v>
      </c>
      <c r="V1215" s="411">
        <f t="shared" si="205"/>
        <v>225.65004546876335</v>
      </c>
      <c r="W1215" s="411">
        <v>232.35111567179376</v>
      </c>
      <c r="X1215" s="411">
        <v>243.43585582716716</v>
      </c>
      <c r="Y1215" s="411">
        <f t="shared" si="206"/>
        <v>234.30165381063978</v>
      </c>
      <c r="Z1215" s="411">
        <v>238.31063174106512</v>
      </c>
      <c r="AA1215" s="411">
        <v>250.58601117848434</v>
      </c>
      <c r="AB1215" s="441">
        <f t="shared" si="207"/>
        <v>238.79137820170641</v>
      </c>
      <c r="AC1215" s="438">
        <f t="shared" si="208"/>
        <v>245.81296990295976</v>
      </c>
      <c r="AD1215" s="410"/>
      <c r="AE1215" s="411"/>
      <c r="AF1215" s="411"/>
      <c r="AG1215" s="411"/>
    </row>
    <row r="1216" spans="1:33" s="409" customFormat="1" x14ac:dyDescent="0.2">
      <c r="A1216" s="409" t="s">
        <v>485</v>
      </c>
      <c r="B1216" s="23" t="str">
        <f>VLOOKUP(LEFT(A1216,7),'[7]Tariff Schedule Lookup Table'!$A$8:$G$186,2,FALSE)</f>
        <v>High Pressure Sodium 150</v>
      </c>
      <c r="C1216" s="375">
        <f t="shared" si="210"/>
        <v>720</v>
      </c>
      <c r="D1216" s="23">
        <f t="shared" si="211"/>
        <v>2</v>
      </c>
      <c r="E1216" s="23" t="str">
        <f>VLOOKUP(C1216,'[7]Tariff Schedule Lookup Table'!I$7:L$287,2,FALSE)</f>
        <v>HIGH PRESSURE SODIUM 150W</v>
      </c>
      <c r="F1216" s="23" t="str">
        <f>IF(E1216 = "BULKHEADS ETC", "SHARED OR NO POLE", VLOOKUP(C1216,'[7]Tariff Schedule Lookup Table'!I$7:L$287,3,FALSE))</f>
        <v>STEEL POLE</v>
      </c>
      <c r="G1216" s="23">
        <f>IF(E1216 = "NO CAPITAL", 1, VLOOKUP(C1216,'[7]Tariff Schedule Lookup Table'!I$7:L$287,4,FALSE))</f>
        <v>4</v>
      </c>
      <c r="H1216" s="23" t="str">
        <f t="shared" si="209"/>
        <v>2-Unmetered, Funded by Others, CE Maintained</v>
      </c>
      <c r="I1216" s="374">
        <f>VLOOKUP(F1216,'Maintenance Model'!$A$57:$B$61,2,FALSE)</f>
        <v>9.9616182311111103</v>
      </c>
      <c r="J1216" s="374">
        <f>IF(D1216=1,VLOOKUP(C1216,'Capital Code Schedules'!A$15:F$300,2,FALSE),IF(D1216=2,VLOOKUP(C1216,'Capital Code Schedules'!A$15:F$300,3,FALSE),0))</f>
        <v>0</v>
      </c>
      <c r="K1216" s="374">
        <f>IF(D1216=1,VLOOKUP(C1216,'Capital Code Schedules'!E$15:G$300,2,FALSE),IF(D1216=2,VLOOKUP(C1216,'Capital Code Schedules'!E$15:G$300,3,FALSE),0))</f>
        <v>0</v>
      </c>
      <c r="L1216" s="374">
        <f>VLOOKUP(LEFT(A1216,10),'Streetlight Tariff Schedule'!B$11:H$260,7, FALSE)+I1216</f>
        <v>74.656705794669278</v>
      </c>
      <c r="M1216" s="410">
        <f t="shared" si="202"/>
        <v>74.656705794669278</v>
      </c>
      <c r="N1216" s="411">
        <f t="shared" si="203"/>
        <v>77.767547885520926</v>
      </c>
      <c r="O1216" s="411">
        <v>44.615507911079519</v>
      </c>
      <c r="P1216" s="411">
        <v>44.615507911079519</v>
      </c>
      <c r="Q1216" s="411">
        <v>46.798940108895906</v>
      </c>
      <c r="R1216" s="411">
        <v>46.798940108895906</v>
      </c>
      <c r="S1216" s="411">
        <f t="shared" si="204"/>
        <v>81.573403202396221</v>
      </c>
      <c r="T1216" s="411">
        <v>48.721028039374332</v>
      </c>
      <c r="U1216" s="411">
        <v>48.899020140681145</v>
      </c>
      <c r="V1216" s="411">
        <f t="shared" si="205"/>
        <v>85.23397061677565</v>
      </c>
      <c r="W1216" s="411">
        <v>50.49460534793792</v>
      </c>
      <c r="X1216" s="411">
        <v>51.131588938919677</v>
      </c>
      <c r="Y1216" s="411">
        <f t="shared" si="206"/>
        <v>89.125474021169666</v>
      </c>
      <c r="Z1216" s="411">
        <v>51.953172786693862</v>
      </c>
      <c r="AA1216" s="411">
        <v>52.801072683921767</v>
      </c>
      <c r="AB1216" s="441">
        <f t="shared" si="207"/>
        <v>91.060097647941632</v>
      </c>
      <c r="AC1216" s="438">
        <f t="shared" si="208"/>
        <v>93.782709085080441</v>
      </c>
      <c r="AD1216" s="410"/>
      <c r="AE1216" s="411"/>
      <c r="AF1216" s="411"/>
      <c r="AG1216" s="411"/>
    </row>
    <row r="1217" spans="1:33" s="409" customFormat="1" x14ac:dyDescent="0.2">
      <c r="A1217" s="409" t="s">
        <v>486</v>
      </c>
      <c r="B1217" s="23" t="str">
        <f>VLOOKUP(LEFT(A1217,7),'[7]Tariff Schedule Lookup Table'!$A$8:$G$186,2,FALSE)</f>
        <v>High Pressure Sodium 150</v>
      </c>
      <c r="C1217" s="375">
        <f t="shared" si="210"/>
        <v>980</v>
      </c>
      <c r="D1217" s="23">
        <f t="shared" si="211"/>
        <v>2</v>
      </c>
      <c r="E1217" s="23" t="str">
        <f>VLOOKUP(C1217,'[7]Tariff Schedule Lookup Table'!I$7:L$287,2,FALSE)</f>
        <v>HIGH PRESSURE SODIUM 150W</v>
      </c>
      <c r="F1217" s="23" t="str">
        <f>IF(E1217 = "BULKHEADS ETC", "SHARED OR NO POLE", VLOOKUP(C1217,'[7]Tariff Schedule Lookup Table'!I$7:L$287,3,FALSE))</f>
        <v>WOOD POLE</v>
      </c>
      <c r="G1217" s="23">
        <f>IF(E1217 = "NO CAPITAL", 1, VLOOKUP(C1217,'[7]Tariff Schedule Lookup Table'!I$7:L$287,4,FALSE))</f>
        <v>2</v>
      </c>
      <c r="H1217" s="23" t="str">
        <f t="shared" si="209"/>
        <v>2-Unmetered, Funded by Others, CE Maintained</v>
      </c>
      <c r="I1217" s="374">
        <f>VLOOKUP(F1217,'Maintenance Model'!$A$57:$B$61,2,FALSE)</f>
        <v>10.731618231111112</v>
      </c>
      <c r="J1217" s="374">
        <f>IF(D1217=1,VLOOKUP(C1217,'Capital Code Schedules'!A$15:F$300,2,FALSE),IF(D1217=2,VLOOKUP(C1217,'Capital Code Schedules'!A$15:F$300,3,FALSE),0))</f>
        <v>0</v>
      </c>
      <c r="K1217" s="374">
        <f>IF(D1217=1,VLOOKUP(C1217,'Capital Code Schedules'!E$15:G$300,2,FALSE),IF(D1217=2,VLOOKUP(C1217,'Capital Code Schedules'!E$15:G$300,3,FALSE),0))</f>
        <v>0</v>
      </c>
      <c r="L1217" s="374">
        <f>VLOOKUP(LEFT(A1217,10),'Streetlight Tariff Schedule'!B$11:H$260,7, FALSE)+I1217</f>
        <v>75.426705794669274</v>
      </c>
      <c r="M1217" s="410">
        <f t="shared" si="202"/>
        <v>75.426705794669274</v>
      </c>
      <c r="N1217" s="411">
        <f t="shared" si="203"/>
        <v>78.569632724845917</v>
      </c>
      <c r="O1217" s="411">
        <v>45.417592750404523</v>
      </c>
      <c r="P1217" s="411">
        <v>45.417592750404523</v>
      </c>
      <c r="Q1217" s="411">
        <v>47.640278067720359</v>
      </c>
      <c r="R1217" s="411">
        <v>47.640278067720359</v>
      </c>
      <c r="S1217" s="411">
        <f t="shared" si="204"/>
        <v>82.414741161220675</v>
      </c>
      <c r="T1217" s="411">
        <v>49.596920745215442</v>
      </c>
      <c r="U1217" s="411">
        <v>49.778112737606357</v>
      </c>
      <c r="V1217" s="411">
        <f t="shared" si="205"/>
        <v>86.113063213700855</v>
      </c>
      <c r="W1217" s="411">
        <v>51.40238291931513</v>
      </c>
      <c r="X1217" s="411">
        <v>52.050818019091615</v>
      </c>
      <c r="Y1217" s="411">
        <f t="shared" si="206"/>
        <v>90.044703101341597</v>
      </c>
      <c r="Z1217" s="411">
        <v>52.887172066273756</v>
      </c>
      <c r="AA1217" s="411">
        <v>53.750315265319209</v>
      </c>
      <c r="AB1217" s="441">
        <f t="shared" si="207"/>
        <v>91.999280196147794</v>
      </c>
      <c r="AC1217" s="438">
        <f t="shared" si="208"/>
        <v>94.7499723098217</v>
      </c>
      <c r="AD1217" s="410"/>
      <c r="AE1217" s="411"/>
      <c r="AF1217" s="411"/>
      <c r="AG1217" s="411"/>
    </row>
    <row r="1218" spans="1:33" s="409" customFormat="1" x14ac:dyDescent="0.2">
      <c r="A1218" s="409" t="s">
        <v>487</v>
      </c>
      <c r="B1218" s="23" t="str">
        <f>VLOOKUP(LEFT(A1218,7),'[7]Tariff Schedule Lookup Table'!$A$8:$G$186,2,FALSE)</f>
        <v>High Pressure Sodium 150</v>
      </c>
      <c r="C1218" s="375">
        <f t="shared" si="210"/>
        <v>1010</v>
      </c>
      <c r="D1218" s="23">
        <f t="shared" si="211"/>
        <v>1</v>
      </c>
      <c r="E1218" s="23" t="str">
        <f>VLOOKUP(C1218,'[7]Tariff Schedule Lookup Table'!I$7:L$287,2,FALSE)</f>
        <v>HIGH PRESSURE SODIUM 150W</v>
      </c>
      <c r="F1218" s="23" t="str">
        <f>IF(E1218 = "BULKHEADS ETC", "SHARED OR NO POLE", VLOOKUP(C1218,'[7]Tariff Schedule Lookup Table'!I$7:L$287,3,FALSE))</f>
        <v>SHARED OR NO POLE</v>
      </c>
      <c r="G1218" s="23">
        <f>IF(E1218 = "NO CAPITAL", 1, VLOOKUP(C1218,'[7]Tariff Schedule Lookup Table'!I$7:L$287,4,FALSE))</f>
        <v>2</v>
      </c>
      <c r="H1218" s="23" t="str">
        <f t="shared" si="209"/>
        <v>1-Unmetered, CE Funded, CE Maintained</v>
      </c>
      <c r="I1218" s="374">
        <f>VLOOKUP(F1218,'Maintenance Model'!$A$57:$B$61,2,FALSE)</f>
        <v>0</v>
      </c>
      <c r="J1218" s="374">
        <f>IF(D1218=1,VLOOKUP(C1218,'Capital Code Schedules'!A$15:F$300,2,FALSE),IF(D1218=2,VLOOKUP(C1218,'Capital Code Schedules'!A$15:F$300,3,FALSE),0))</f>
        <v>44.61505821420414</v>
      </c>
      <c r="K1218" s="374">
        <f>IF(D1218=1,VLOOKUP(C1218,'Capital Code Schedules'!E$15:G$300,2,FALSE),IF(D1218=2,VLOOKUP(C1218,'Capital Code Schedules'!E$15:G$300,3,FALSE),0))</f>
        <v>56.592897557902937</v>
      </c>
      <c r="L1218" s="374">
        <f>VLOOKUP(LEFT(A1218,10),'Streetlight Tariff Schedule'!B$11:H$260,7, FALSE)+I1218</f>
        <v>64.695087563558161</v>
      </c>
      <c r="M1218" s="410">
        <f t="shared" si="202"/>
        <v>121.28798512146111</v>
      </c>
      <c r="N1218" s="411">
        <f t="shared" si="203"/>
        <v>113.1101236498542</v>
      </c>
      <c r="O1218" s="411">
        <v>95.582380089340447</v>
      </c>
      <c r="P1218" s="411">
        <v>93.0149644474414</v>
      </c>
      <c r="Q1218" s="411">
        <v>96.164212462258448</v>
      </c>
      <c r="R1218" s="411">
        <v>98.795171641294488</v>
      </c>
      <c r="S1218" s="411">
        <f t="shared" si="204"/>
        <v>117.53970702518843</v>
      </c>
      <c r="T1218" s="411">
        <v>99.143840347294329</v>
      </c>
      <c r="U1218" s="411">
        <v>102.21235697960418</v>
      </c>
      <c r="V1218" s="411">
        <f t="shared" si="205"/>
        <v>122.04708514259191</v>
      </c>
      <c r="W1218" s="411">
        <v>102.04329724593805</v>
      </c>
      <c r="X1218" s="411">
        <v>106.12862316387137</v>
      </c>
      <c r="Y1218" s="411">
        <f t="shared" si="206"/>
        <v>127.05284435388529</v>
      </c>
      <c r="Z1218" s="411">
        <v>104.73278889228672</v>
      </c>
      <c r="AA1218" s="411">
        <v>109.31988371804808</v>
      </c>
      <c r="AB1218" s="441">
        <f t="shared" si="207"/>
        <v>129.606151426222</v>
      </c>
      <c r="AC1218" s="438">
        <f t="shared" si="208"/>
        <v>133.44074414561703</v>
      </c>
      <c r="AD1218" s="410"/>
      <c r="AE1218" s="411"/>
      <c r="AF1218" s="411"/>
      <c r="AG1218" s="411"/>
    </row>
    <row r="1219" spans="1:33" s="409" customFormat="1" x14ac:dyDescent="0.2">
      <c r="A1219" s="409" t="s">
        <v>488</v>
      </c>
      <c r="B1219" s="23" t="str">
        <f>VLOOKUP(LEFT(A1219,7),'[7]Tariff Schedule Lookup Table'!$A$8:$G$186,2,FALSE)</f>
        <v>High Pressure Sodium 150</v>
      </c>
      <c r="C1219" s="375">
        <f t="shared" si="210"/>
        <v>1010</v>
      </c>
      <c r="D1219" s="23">
        <f t="shared" si="211"/>
        <v>2</v>
      </c>
      <c r="E1219" s="23" t="str">
        <f>VLOOKUP(C1219,'[7]Tariff Schedule Lookup Table'!I$7:L$287,2,FALSE)</f>
        <v>HIGH PRESSURE SODIUM 150W</v>
      </c>
      <c r="F1219" s="23" t="str">
        <f>IF(E1219 = "BULKHEADS ETC", "SHARED OR NO POLE", VLOOKUP(C1219,'[7]Tariff Schedule Lookup Table'!I$7:L$287,3,FALSE))</f>
        <v>SHARED OR NO POLE</v>
      </c>
      <c r="G1219" s="23">
        <f>IF(E1219 = "NO CAPITAL", 1, VLOOKUP(C1219,'[7]Tariff Schedule Lookup Table'!I$7:L$287,4,FALSE))</f>
        <v>2</v>
      </c>
      <c r="H1219" s="23" t="str">
        <f t="shared" si="209"/>
        <v>2-Unmetered, Funded by Others, CE Maintained</v>
      </c>
      <c r="I1219" s="374">
        <f>VLOOKUP(F1219,'Maintenance Model'!$A$57:$B$61,2,FALSE)</f>
        <v>0</v>
      </c>
      <c r="J1219" s="374">
        <f>IF(D1219=1,VLOOKUP(C1219,'Capital Code Schedules'!A$15:F$300,2,FALSE),IF(D1219=2,VLOOKUP(C1219,'Capital Code Schedules'!A$15:F$300,3,FALSE),0))</f>
        <v>0</v>
      </c>
      <c r="K1219" s="374">
        <f>IF(D1219=1,VLOOKUP(C1219,'Capital Code Schedules'!E$15:G$300,2,FALSE),IF(D1219=2,VLOOKUP(C1219,'Capital Code Schedules'!E$15:G$300,3,FALSE),0))</f>
        <v>0</v>
      </c>
      <c r="L1219" s="374">
        <f>VLOOKUP(LEFT(A1219,10),'Streetlight Tariff Schedule'!B$11:H$260,7, FALSE)+I1219</f>
        <v>64.695087563558161</v>
      </c>
      <c r="M1219" s="410">
        <f t="shared" si="202"/>
        <v>64.695087563558161</v>
      </c>
      <c r="N1219" s="411">
        <f t="shared" si="203"/>
        <v>67.390842744848513</v>
      </c>
      <c r="O1219" s="411">
        <v>35.021392674980348</v>
      </c>
      <c r="P1219" s="411">
        <v>35.021392674980348</v>
      </c>
      <c r="Q1219" s="411">
        <v>36.735299788428989</v>
      </c>
      <c r="R1219" s="411">
        <v>36.735299788428989</v>
      </c>
      <c r="S1219" s="411">
        <f t="shared" si="204"/>
        <v>70.688873917783852</v>
      </c>
      <c r="T1219" s="411">
        <v>38.244062084787579</v>
      </c>
      <c r="U1219" s="411">
        <v>38.383778778932012</v>
      </c>
      <c r="V1219" s="411">
        <f t="shared" si="205"/>
        <v>73.861003291626304</v>
      </c>
      <c r="W1219" s="411">
        <v>39.636249471434269</v>
      </c>
      <c r="X1219" s="411">
        <v>40.13625616219641</v>
      </c>
      <c r="Y1219" s="411">
        <f t="shared" si="206"/>
        <v>77.233254328171938</v>
      </c>
      <c r="Z1219" s="411">
        <v>40.781166685363978</v>
      </c>
      <c r="AA1219" s="411">
        <v>41.446734256825373</v>
      </c>
      <c r="AB1219" s="441">
        <f t="shared" si="207"/>
        <v>78.909736616056094</v>
      </c>
      <c r="AC1219" s="438">
        <f t="shared" si="208"/>
        <v>81.269063664475311</v>
      </c>
      <c r="AD1219" s="410"/>
      <c r="AE1219" s="411"/>
      <c r="AF1219" s="411"/>
      <c r="AG1219" s="411"/>
    </row>
    <row r="1220" spans="1:33" s="409" customFormat="1" x14ac:dyDescent="0.2">
      <c r="A1220" s="409" t="s">
        <v>489</v>
      </c>
      <c r="B1220" s="23" t="str">
        <f>VLOOKUP(LEFT(A1220,7),'[7]Tariff Schedule Lookup Table'!$A$8:$G$186,2,FALSE)</f>
        <v>High Pressure Sodium 150</v>
      </c>
      <c r="C1220" s="375">
        <f t="shared" si="210"/>
        <v>1360</v>
      </c>
      <c r="D1220" s="23">
        <f t="shared" si="211"/>
        <v>2</v>
      </c>
      <c r="E1220" s="23" t="str">
        <f>VLOOKUP(C1220,'[7]Tariff Schedule Lookup Table'!I$7:L$287,2,FALSE)</f>
        <v>HIGH PRESSURE SODIUM 150W</v>
      </c>
      <c r="F1220" s="23" t="str">
        <f>IF(E1220 = "BULKHEADS ETC", "SHARED OR NO POLE", VLOOKUP(C1220,'[7]Tariff Schedule Lookup Table'!I$7:L$287,3,FALSE))</f>
        <v>R/BOUT COLUMN</v>
      </c>
      <c r="G1220" s="23">
        <f>IF(E1220 = "NO CAPITAL", 1, VLOOKUP(C1220,'[7]Tariff Schedule Lookup Table'!I$7:L$287,4,FALSE))</f>
        <v>3</v>
      </c>
      <c r="H1220" s="23" t="str">
        <f t="shared" si="209"/>
        <v>2-Unmetered, Funded by Others, CE Maintained</v>
      </c>
      <c r="I1220" s="374">
        <f>VLOOKUP(F1220,'Maintenance Model'!$A$57:$B$61,2,FALSE)</f>
        <v>9.9616182311111103</v>
      </c>
      <c r="J1220" s="374">
        <f>IF(D1220=1,VLOOKUP(C1220,'Capital Code Schedules'!A$15:F$300,2,FALSE),IF(D1220=2,VLOOKUP(C1220,'Capital Code Schedules'!A$15:F$300,3,FALSE),0))</f>
        <v>0</v>
      </c>
      <c r="K1220" s="374">
        <f>IF(D1220=1,VLOOKUP(C1220,'Capital Code Schedules'!E$15:G$300,2,FALSE),IF(D1220=2,VLOOKUP(C1220,'Capital Code Schedules'!E$15:G$300,3,FALSE),0))</f>
        <v>0</v>
      </c>
      <c r="L1220" s="374">
        <f>VLOOKUP(LEFT(A1220,10),'Streetlight Tariff Schedule'!B$11:H$260,7, FALSE)+I1220</f>
        <v>74.656705794669278</v>
      </c>
      <c r="M1220" s="410">
        <f t="shared" si="202"/>
        <v>74.656705794669278</v>
      </c>
      <c r="N1220" s="411">
        <f t="shared" si="203"/>
        <v>77.767547885520926</v>
      </c>
      <c r="O1220" s="411">
        <v>44.615507911079519</v>
      </c>
      <c r="P1220" s="411">
        <v>44.615507911079519</v>
      </c>
      <c r="Q1220" s="411">
        <v>46.798940108895906</v>
      </c>
      <c r="R1220" s="411">
        <v>46.798940108895906</v>
      </c>
      <c r="S1220" s="411">
        <f t="shared" si="204"/>
        <v>81.573403202396221</v>
      </c>
      <c r="T1220" s="411">
        <v>48.721028039374332</v>
      </c>
      <c r="U1220" s="411">
        <v>48.899020140681145</v>
      </c>
      <c r="V1220" s="411">
        <f t="shared" si="205"/>
        <v>85.23397061677565</v>
      </c>
      <c r="W1220" s="411">
        <v>50.49460534793792</v>
      </c>
      <c r="X1220" s="411">
        <v>51.131588938919677</v>
      </c>
      <c r="Y1220" s="411">
        <f t="shared" si="206"/>
        <v>89.125474021169666</v>
      </c>
      <c r="Z1220" s="411">
        <v>51.953172786693862</v>
      </c>
      <c r="AA1220" s="411">
        <v>52.801072683921767</v>
      </c>
      <c r="AB1220" s="441">
        <f t="shared" si="207"/>
        <v>91.060097647941632</v>
      </c>
      <c r="AC1220" s="438">
        <f t="shared" si="208"/>
        <v>93.782709085080441</v>
      </c>
      <c r="AD1220" s="410"/>
      <c r="AE1220" s="411"/>
      <c r="AF1220" s="411"/>
      <c r="AG1220" s="411"/>
    </row>
    <row r="1221" spans="1:33" s="409" customFormat="1" x14ac:dyDescent="0.2">
      <c r="A1221" s="409" t="s">
        <v>490</v>
      </c>
      <c r="B1221" s="23" t="str">
        <f>VLOOKUP(LEFT(A1221,7),'[7]Tariff Schedule Lookup Table'!$A$8:$G$186,2,FALSE)</f>
        <v>High Pressure Sodium 150</v>
      </c>
      <c r="C1221" s="375">
        <f t="shared" si="210"/>
        <v>50</v>
      </c>
      <c r="D1221" s="23">
        <f t="shared" si="211"/>
        <v>1</v>
      </c>
      <c r="E1221" s="23" t="str">
        <f>VLOOKUP(C1221,'[7]Tariff Schedule Lookup Table'!I$7:L$287,2,FALSE)</f>
        <v>HIGH PRESSURE SODIUM 150W</v>
      </c>
      <c r="F1221" s="23" t="str">
        <f>IF(E1221 = "BULKHEADS ETC", "SHARED OR NO POLE", VLOOKUP(C1221,'[7]Tariff Schedule Lookup Table'!I$7:L$287,3,FALSE))</f>
        <v>SHARED OR NO POLE</v>
      </c>
      <c r="G1221" s="23">
        <f>IF(E1221 = "NO CAPITAL", 1, VLOOKUP(C1221,'[7]Tariff Schedule Lookup Table'!I$7:L$287,4,FALSE))</f>
        <v>1</v>
      </c>
      <c r="H1221" s="23" t="str">
        <f t="shared" si="209"/>
        <v>1-Unmetered, CE Funded, CE Maintained</v>
      </c>
      <c r="I1221" s="374">
        <f>VLOOKUP(F1221,'Maintenance Model'!$A$57:$B$61,2,FALSE)</f>
        <v>0</v>
      </c>
      <c r="J1221" s="374">
        <f>IF(D1221=1,VLOOKUP(C1221,'Capital Code Schedules'!A$15:F$300,2,FALSE),IF(D1221=2,VLOOKUP(C1221,'Capital Code Schedules'!A$15:F$300,3,FALSE),0))</f>
        <v>32.009790998230237</v>
      </c>
      <c r="K1221" s="374">
        <f>IF(D1221=1,VLOOKUP(C1221,'Capital Code Schedules'!E$15:G$300,2,FALSE),IF(D1221=2,VLOOKUP(C1221,'Capital Code Schedules'!E$15:G$300,3,FALSE),0))</f>
        <v>40.603484458437606</v>
      </c>
      <c r="L1221" s="374">
        <f>VLOOKUP(LEFT(A1221,10),'Streetlight Tariff Schedule'!B$11:H$260,7, FALSE)+I1221</f>
        <v>70.91040576798855</v>
      </c>
      <c r="M1221" s="410">
        <f t="shared" si="202"/>
        <v>111.51389022642616</v>
      </c>
      <c r="N1221" s="411">
        <f t="shared" si="203"/>
        <v>106.66717802269314</v>
      </c>
      <c r="O1221" s="411">
        <v>81.494085279449109</v>
      </c>
      <c r="P1221" s="411">
        <v>79.652051638963769</v>
      </c>
      <c r="Q1221" s="411">
        <v>82.543672066986133</v>
      </c>
      <c r="R1221" s="411">
        <v>84.431296040073491</v>
      </c>
      <c r="S1221" s="411">
        <f t="shared" si="204"/>
        <v>111.09390449212869</v>
      </c>
      <c r="T1221" s="411">
        <v>85.237932070586453</v>
      </c>
      <c r="U1221" s="411">
        <v>87.491020500368563</v>
      </c>
      <c r="V1221" s="411">
        <f t="shared" si="205"/>
        <v>115.52877901687221</v>
      </c>
      <c r="W1221" s="411">
        <v>87.83167568922623</v>
      </c>
      <c r="X1221" s="411">
        <v>90.947176353848448</v>
      </c>
      <c r="Y1221" s="411">
        <f t="shared" si="206"/>
        <v>120.3969921069863</v>
      </c>
      <c r="Z1221" s="411">
        <v>90.183575496316735</v>
      </c>
      <c r="AA1221" s="411">
        <v>93.720142291280268</v>
      </c>
      <c r="AB1221" s="441">
        <f t="shared" si="207"/>
        <v>122.86362767505086</v>
      </c>
      <c r="AC1221" s="438">
        <f t="shared" si="208"/>
        <v>126.50807058307532</v>
      </c>
      <c r="AD1221" s="410"/>
      <c r="AE1221" s="411"/>
      <c r="AF1221" s="411"/>
      <c r="AG1221" s="411"/>
    </row>
    <row r="1222" spans="1:33" s="409" customFormat="1" x14ac:dyDescent="0.2">
      <c r="A1222" s="409" t="s">
        <v>491</v>
      </c>
      <c r="B1222" s="23" t="str">
        <f>VLOOKUP(LEFT(A1222,7),'[7]Tariff Schedule Lookup Table'!$A$8:$G$186,2,FALSE)</f>
        <v>High Pressure Sodium 150</v>
      </c>
      <c r="C1222" s="375">
        <f t="shared" si="210"/>
        <v>50</v>
      </c>
      <c r="D1222" s="23">
        <f t="shared" si="211"/>
        <v>2</v>
      </c>
      <c r="E1222" s="23" t="str">
        <f>VLOOKUP(C1222,'[7]Tariff Schedule Lookup Table'!I$7:L$287,2,FALSE)</f>
        <v>HIGH PRESSURE SODIUM 150W</v>
      </c>
      <c r="F1222" s="23" t="str">
        <f>IF(E1222 = "BULKHEADS ETC", "SHARED OR NO POLE", VLOOKUP(C1222,'[7]Tariff Schedule Lookup Table'!I$7:L$287,3,FALSE))</f>
        <v>SHARED OR NO POLE</v>
      </c>
      <c r="G1222" s="23">
        <f>IF(E1222 = "NO CAPITAL", 1, VLOOKUP(C1222,'[7]Tariff Schedule Lookup Table'!I$7:L$287,4,FALSE))</f>
        <v>1</v>
      </c>
      <c r="H1222" s="23" t="str">
        <f t="shared" si="209"/>
        <v>2-Unmetered, Funded by Others, CE Maintained</v>
      </c>
      <c r="I1222" s="374">
        <f>VLOOKUP(F1222,'Maintenance Model'!$A$57:$B$61,2,FALSE)</f>
        <v>0</v>
      </c>
      <c r="J1222" s="374">
        <f>IF(D1222=1,VLOOKUP(C1222,'Capital Code Schedules'!A$15:F$300,2,FALSE),IF(D1222=2,VLOOKUP(C1222,'Capital Code Schedules'!A$15:F$300,3,FALSE),0))</f>
        <v>0</v>
      </c>
      <c r="K1222" s="374">
        <f>IF(D1222=1,VLOOKUP(C1222,'Capital Code Schedules'!E$15:G$300,2,FALSE),IF(D1222=2,VLOOKUP(C1222,'Capital Code Schedules'!E$15:G$300,3,FALSE),0))</f>
        <v>0</v>
      </c>
      <c r="L1222" s="374">
        <f>VLOOKUP(LEFT(A1222,10),'Streetlight Tariff Schedule'!B$11:H$260,7, FALSE)+I1222</f>
        <v>70.91040576798855</v>
      </c>
      <c r="M1222" s="410">
        <f t="shared" si="202"/>
        <v>70.91040576798855</v>
      </c>
      <c r="N1222" s="411">
        <f t="shared" si="203"/>
        <v>73.865144697256682</v>
      </c>
      <c r="O1222" s="411">
        <v>38.04363094017981</v>
      </c>
      <c r="P1222" s="411">
        <v>38.04363094017981</v>
      </c>
      <c r="Q1222" s="411">
        <v>39.905442955907297</v>
      </c>
      <c r="R1222" s="411">
        <v>39.905442955907297</v>
      </c>
      <c r="S1222" s="411">
        <f t="shared" si="204"/>
        <v>77.480020841887693</v>
      </c>
      <c r="T1222" s="411">
        <v>41.544406789008391</v>
      </c>
      <c r="U1222" s="411">
        <v>41.696180603303624</v>
      </c>
      <c r="V1222" s="411">
        <f t="shared" si="205"/>
        <v>80.956899682599342</v>
      </c>
      <c r="W1222" s="411">
        <v>43.056735656929114</v>
      </c>
      <c r="X1222" s="411">
        <v>43.599891384273015</v>
      </c>
      <c r="Y1222" s="411">
        <f t="shared" si="206"/>
        <v>84.65312606328159</v>
      </c>
      <c r="Z1222" s="411">
        <v>44.300455698220283</v>
      </c>
      <c r="AA1222" s="411">
        <v>45.023459700071939</v>
      </c>
      <c r="AB1222" s="441">
        <f t="shared" si="207"/>
        <v>86.490669588976942</v>
      </c>
      <c r="AC1222" s="438">
        <f t="shared" si="208"/>
        <v>89.076659416696657</v>
      </c>
      <c r="AD1222" s="410"/>
      <c r="AE1222" s="411"/>
      <c r="AF1222" s="411"/>
      <c r="AG1222" s="411"/>
    </row>
    <row r="1223" spans="1:33" s="409" customFormat="1" x14ac:dyDescent="0.2">
      <c r="A1223" s="409" t="s">
        <v>492</v>
      </c>
      <c r="B1223" s="23" t="str">
        <f>VLOOKUP(LEFT(A1223,7),'[7]Tariff Schedule Lookup Table'!$A$8:$G$186,2,FALSE)</f>
        <v>High Pressure Sodium 150</v>
      </c>
      <c r="C1223" s="375">
        <f t="shared" si="210"/>
        <v>220</v>
      </c>
      <c r="D1223" s="23">
        <f t="shared" si="211"/>
        <v>1</v>
      </c>
      <c r="E1223" s="23" t="str">
        <f>VLOOKUP(C1223,'[7]Tariff Schedule Lookup Table'!I$7:L$287,2,FALSE)</f>
        <v>HIGH PRESSURE SODIUM 150W</v>
      </c>
      <c r="F1223" s="23" t="str">
        <f>IF(E1223 = "BULKHEADS ETC", "SHARED OR NO POLE", VLOOKUP(C1223,'[7]Tariff Schedule Lookup Table'!I$7:L$287,3,FALSE))</f>
        <v>WOOD POLE</v>
      </c>
      <c r="G1223" s="23">
        <f>IF(E1223 = "NO CAPITAL", 1, VLOOKUP(C1223,'[7]Tariff Schedule Lookup Table'!I$7:L$287,4,FALSE))</f>
        <v>1</v>
      </c>
      <c r="H1223" s="23" t="str">
        <f t="shared" si="209"/>
        <v>1-Unmetered, CE Funded, CE Maintained</v>
      </c>
      <c r="I1223" s="374">
        <f>VLOOKUP(F1223,'Maintenance Model'!$A$57:$B$61,2,FALSE)</f>
        <v>10.731618231111112</v>
      </c>
      <c r="J1223" s="374">
        <f>IF(D1223=1,VLOOKUP(C1223,'Capital Code Schedules'!A$15:F$300,2,FALSE),IF(D1223=2,VLOOKUP(C1223,'Capital Code Schedules'!A$15:F$300,3,FALSE),0))</f>
        <v>65.91090936010653</v>
      </c>
      <c r="K1223" s="374">
        <f>IF(D1223=1,VLOOKUP(C1223,'Capital Code Schedules'!E$15:G$300,2,FALSE),IF(D1223=2,VLOOKUP(C1223,'Capital Code Schedules'!E$15:G$300,3,FALSE),0))</f>
        <v>83.606062407359644</v>
      </c>
      <c r="L1223" s="374">
        <f>VLOOKUP(LEFT(A1223,10),'Streetlight Tariff Schedule'!B$11:H$260,7, FALSE)+I1223</f>
        <v>81.642023999099663</v>
      </c>
      <c r="M1223" s="410">
        <f t="shared" si="202"/>
        <v>165.24808640645932</v>
      </c>
      <c r="N1223" s="411">
        <f t="shared" si="203"/>
        <v>152.58613904402324</v>
      </c>
      <c r="O1223" s="411">
        <v>137.90804896708525</v>
      </c>
      <c r="P1223" s="411">
        <v>134.11514346754578</v>
      </c>
      <c r="Q1223" s="411">
        <v>138.60619767032603</v>
      </c>
      <c r="R1223" s="411">
        <v>142.4929775809791</v>
      </c>
      <c r="S1223" s="411">
        <f t="shared" si="204"/>
        <v>158.41976201017121</v>
      </c>
      <c r="T1223" s="411">
        <v>142.86598735133302</v>
      </c>
      <c r="U1223" s="411">
        <v>147.38602376361317</v>
      </c>
      <c r="V1223" s="411">
        <f t="shared" si="205"/>
        <v>164.39542893637872</v>
      </c>
      <c r="W1223" s="411">
        <v>147.0183168737787</v>
      </c>
      <c r="X1223" s="411">
        <v>153.00658020473884</v>
      </c>
      <c r="Y1223" s="411">
        <f t="shared" si="206"/>
        <v>171.06426547850086</v>
      </c>
      <c r="Z1223" s="411">
        <v>150.88374618038074</v>
      </c>
      <c r="AA1223" s="411">
        <v>157.59769329059813</v>
      </c>
      <c r="AB1223" s="441">
        <f t="shared" si="207"/>
        <v>174.47525836641833</v>
      </c>
      <c r="AC1223" s="438">
        <f t="shared" si="208"/>
        <v>179.63205907463563</v>
      </c>
      <c r="AD1223" s="410"/>
      <c r="AE1223" s="411"/>
      <c r="AF1223" s="411"/>
      <c r="AG1223" s="411"/>
    </row>
    <row r="1224" spans="1:33" s="409" customFormat="1" x14ac:dyDescent="0.2">
      <c r="A1224" s="409" t="s">
        <v>493</v>
      </c>
      <c r="B1224" s="23" t="str">
        <f>VLOOKUP(LEFT(A1224,7),'[7]Tariff Schedule Lookup Table'!$A$8:$G$186,2,FALSE)</f>
        <v>High Pressure Sodium 150</v>
      </c>
      <c r="C1224" s="375">
        <f t="shared" si="210"/>
        <v>310</v>
      </c>
      <c r="D1224" s="23">
        <f t="shared" si="211"/>
        <v>1</v>
      </c>
      <c r="E1224" s="23" t="str">
        <f>VLOOKUP(C1224,'[7]Tariff Schedule Lookup Table'!I$7:L$287,2,FALSE)</f>
        <v>HIGH PRESSURE SODIUM 150W</v>
      </c>
      <c r="F1224" s="23" t="str">
        <f>IF(E1224 = "BULKHEADS ETC", "SHARED OR NO POLE", VLOOKUP(C1224,'[7]Tariff Schedule Lookup Table'!I$7:L$287,3,FALSE))</f>
        <v>STEEL POLE</v>
      </c>
      <c r="G1224" s="23">
        <f>IF(E1224 = "NO CAPITAL", 1, VLOOKUP(C1224,'[7]Tariff Schedule Lookup Table'!I$7:L$287,4,FALSE))</f>
        <v>1</v>
      </c>
      <c r="H1224" s="23" t="str">
        <f t="shared" si="209"/>
        <v>1-Unmetered, CE Funded, CE Maintained</v>
      </c>
      <c r="I1224" s="374">
        <f>VLOOKUP(F1224,'Maintenance Model'!$A$57:$B$61,2,FALSE)</f>
        <v>9.9616182311111103</v>
      </c>
      <c r="J1224" s="374">
        <f>IF(D1224=1,VLOOKUP(C1224,'Capital Code Schedules'!A$15:F$300,2,FALSE),IF(D1224=2,VLOOKUP(C1224,'Capital Code Schedules'!A$15:F$300,3,FALSE),0))</f>
        <v>92.1941745337366</v>
      </c>
      <c r="K1224" s="374">
        <f>IF(D1224=1,VLOOKUP(C1224,'Capital Code Schedules'!E$15:G$300,2,FALSE),IF(D1224=2,VLOOKUP(C1224,'Capital Code Schedules'!E$15:G$300,3,FALSE),0))</f>
        <v>116.94561620368043</v>
      </c>
      <c r="L1224" s="374">
        <f>VLOOKUP(LEFT(A1224,10),'Streetlight Tariff Schedule'!B$11:H$260,7, FALSE)+I1224</f>
        <v>80.872023999099667</v>
      </c>
      <c r="M1224" s="410">
        <f t="shared" si="202"/>
        <v>197.8176402027801</v>
      </c>
      <c r="N1224" s="411">
        <f t="shared" si="203"/>
        <v>178.7178301913757</v>
      </c>
      <c r="O1224" s="411">
        <v>172.7831671865637</v>
      </c>
      <c r="P1224" s="411">
        <v>167.47776638100052</v>
      </c>
      <c r="Q1224" s="411">
        <v>172.77514398116259</v>
      </c>
      <c r="R1224" s="411">
        <v>178.21185345666348</v>
      </c>
      <c r="S1224" s="411">
        <f t="shared" si="204"/>
        <v>185.17881099369447</v>
      </c>
      <c r="T1224" s="411">
        <v>177.86688345082706</v>
      </c>
      <c r="U1224" s="411">
        <v>184.10911109548027</v>
      </c>
      <c r="V1224" s="411">
        <f t="shared" si="205"/>
        <v>191.90333430965811</v>
      </c>
      <c r="W1224" s="411">
        <v>182.87527863066867</v>
      </c>
      <c r="X1224" s="411">
        <v>190.96424495294528</v>
      </c>
      <c r="Y1224" s="411">
        <f t="shared" si="206"/>
        <v>199.49435359972347</v>
      </c>
      <c r="Z1224" s="411">
        <v>187.62441352744264</v>
      </c>
      <c r="AA1224" s="411">
        <v>196.63333601168787</v>
      </c>
      <c r="AB1224" s="441">
        <f t="shared" si="207"/>
        <v>203.40194100235126</v>
      </c>
      <c r="AC1224" s="438">
        <f t="shared" si="208"/>
        <v>209.39975771089189</v>
      </c>
      <c r="AD1224" s="410"/>
      <c r="AE1224" s="411"/>
      <c r="AF1224" s="411"/>
      <c r="AG1224" s="411"/>
    </row>
    <row r="1225" spans="1:33" s="409" customFormat="1" x14ac:dyDescent="0.2">
      <c r="A1225" s="409" t="s">
        <v>494</v>
      </c>
      <c r="B1225" s="23" t="str">
        <f>VLOOKUP(LEFT(A1225,7),'[7]Tariff Schedule Lookup Table'!$A$8:$G$186,2,FALSE)</f>
        <v>High Pressure Sodium 220</v>
      </c>
      <c r="C1225" s="375">
        <f t="shared" si="210"/>
        <v>60</v>
      </c>
      <c r="D1225" s="23">
        <f t="shared" si="211"/>
        <v>1</v>
      </c>
      <c r="E1225" s="23" t="str">
        <f>VLOOKUP(C1225,'[7]Tariff Schedule Lookup Table'!I$7:L$287,2,FALSE)</f>
        <v>HIGH PRESSURE SODIUM 250W (210/220)</v>
      </c>
      <c r="F1225" s="23" t="str">
        <f>IF(E1225 = "BULKHEADS ETC", "SHARED OR NO POLE", VLOOKUP(C1225,'[7]Tariff Schedule Lookup Table'!I$7:L$287,3,FALSE))</f>
        <v>SHARED OR NO POLE</v>
      </c>
      <c r="G1225" s="23">
        <f>IF(E1225 = "NO CAPITAL", 1, VLOOKUP(C1225,'[7]Tariff Schedule Lookup Table'!I$7:L$287,4,FALSE))</f>
        <v>1</v>
      </c>
      <c r="H1225" s="23" t="str">
        <f t="shared" si="209"/>
        <v>1-Unmetered, CE Funded, CE Maintained</v>
      </c>
      <c r="I1225" s="374">
        <f>VLOOKUP(F1225,'Maintenance Model'!$A$57:$B$61,2,FALSE)</f>
        <v>0</v>
      </c>
      <c r="J1225" s="374">
        <f>IF(D1225=1,VLOOKUP(C1225,'Capital Code Schedules'!A$15:F$300,2,FALSE),IF(D1225=2,VLOOKUP(C1225,'Capital Code Schedules'!A$15:F$300,3,FALSE),0))</f>
        <v>32.138130136529035</v>
      </c>
      <c r="K1225" s="374">
        <f>IF(D1225=1,VLOOKUP(C1225,'Capital Code Schedules'!E$15:G$300,2,FALSE),IF(D1225=2,VLOOKUP(C1225,'Capital Code Schedules'!E$15:G$300,3,FALSE),0))</f>
        <v>40.766278904912198</v>
      </c>
      <c r="L1225" s="374">
        <f>VLOOKUP(LEFT(A1225,10),'Streetlight Tariff Schedule'!B$11:H$260,7, FALSE)+I1225</f>
        <v>65.825701074858159</v>
      </c>
      <c r="M1225" s="410">
        <f t="shared" si="202"/>
        <v>106.59197997977036</v>
      </c>
      <c r="N1225" s="411">
        <f t="shared" si="203"/>
        <v>101.50211622115241</v>
      </c>
      <c r="O1225" s="411">
        <v>87.058158008637022</v>
      </c>
      <c r="P1225" s="411">
        <v>85.208738971285129</v>
      </c>
      <c r="Q1225" s="411">
        <v>88.368262082166183</v>
      </c>
      <c r="R1225" s="411">
        <v>90.263454240692539</v>
      </c>
      <c r="S1225" s="411">
        <f t="shared" si="204"/>
        <v>105.67288923125244</v>
      </c>
      <c r="T1225" s="411">
        <v>91.29895475297721</v>
      </c>
      <c r="U1225" s="411">
        <v>93.581970817372735</v>
      </c>
      <c r="V1225" s="411">
        <f t="shared" si="205"/>
        <v>109.86229148845365</v>
      </c>
      <c r="W1225" s="411">
        <v>94.11129464167341</v>
      </c>
      <c r="X1225" s="411">
        <v>97.314060841302236</v>
      </c>
      <c r="Y1225" s="411">
        <f t="shared" si="206"/>
        <v>114.47016173610227</v>
      </c>
      <c r="Z1225" s="411">
        <v>96.643842646066545</v>
      </c>
      <c r="AA1225" s="411">
        <v>100.29412226502522</v>
      </c>
      <c r="AB1225" s="441">
        <f t="shared" si="207"/>
        <v>116.80755659041739</v>
      </c>
      <c r="AC1225" s="438">
        <f t="shared" si="208"/>
        <v>120.27081212888325</v>
      </c>
      <c r="AD1225" s="410"/>
      <c r="AE1225" s="411"/>
      <c r="AF1225" s="411"/>
      <c r="AG1225" s="411"/>
    </row>
    <row r="1226" spans="1:33" s="409" customFormat="1" x14ac:dyDescent="0.2">
      <c r="A1226" s="409" t="s">
        <v>495</v>
      </c>
      <c r="B1226" s="23" t="str">
        <f>VLOOKUP(LEFT(A1226,7),'[7]Tariff Schedule Lookup Table'!$A$8:$G$186,2,FALSE)</f>
        <v>High Pressure Sodium 220</v>
      </c>
      <c r="C1226" s="375">
        <f t="shared" si="210"/>
        <v>60</v>
      </c>
      <c r="D1226" s="23">
        <f t="shared" si="211"/>
        <v>2</v>
      </c>
      <c r="E1226" s="23" t="str">
        <f>VLOOKUP(C1226,'[7]Tariff Schedule Lookup Table'!I$7:L$287,2,FALSE)</f>
        <v>HIGH PRESSURE SODIUM 250W (210/220)</v>
      </c>
      <c r="F1226" s="23" t="str">
        <f>IF(E1226 = "BULKHEADS ETC", "SHARED OR NO POLE", VLOOKUP(C1226,'[7]Tariff Schedule Lookup Table'!I$7:L$287,3,FALSE))</f>
        <v>SHARED OR NO POLE</v>
      </c>
      <c r="G1226" s="23">
        <f>IF(E1226 = "NO CAPITAL", 1, VLOOKUP(C1226,'[7]Tariff Schedule Lookup Table'!I$7:L$287,4,FALSE))</f>
        <v>1</v>
      </c>
      <c r="H1226" s="23" t="str">
        <f t="shared" si="209"/>
        <v>2-Unmetered, Funded by Others, CE Maintained</v>
      </c>
      <c r="I1226" s="374">
        <f>VLOOKUP(F1226,'Maintenance Model'!$A$57:$B$61,2,FALSE)</f>
        <v>0</v>
      </c>
      <c r="J1226" s="374">
        <f>IF(D1226=1,VLOOKUP(C1226,'Capital Code Schedules'!A$15:F$300,2,FALSE),IF(D1226=2,VLOOKUP(C1226,'Capital Code Schedules'!A$15:F$300,3,FALSE),0))</f>
        <v>0</v>
      </c>
      <c r="K1226" s="374">
        <f>IF(D1226=1,VLOOKUP(C1226,'Capital Code Schedules'!E$15:G$300,2,FALSE),IF(D1226=2,VLOOKUP(C1226,'Capital Code Schedules'!E$15:G$300,3,FALSE),0))</f>
        <v>0</v>
      </c>
      <c r="L1226" s="374">
        <f>VLOOKUP(LEFT(A1226,10),'Streetlight Tariff Schedule'!B$11:H$260,7, FALSE)+I1226</f>
        <v>65.825701074858159</v>
      </c>
      <c r="M1226" s="410">
        <f t="shared" si="202"/>
        <v>65.825701074858159</v>
      </c>
      <c r="N1226" s="411">
        <f t="shared" si="203"/>
        <v>68.568567363744279</v>
      </c>
      <c r="O1226" s="411">
        <v>43.433494663476345</v>
      </c>
      <c r="P1226" s="411">
        <v>43.433494663476345</v>
      </c>
      <c r="Q1226" s="411">
        <v>45.559080477739151</v>
      </c>
      <c r="R1226" s="411">
        <v>45.559080477739151</v>
      </c>
      <c r="S1226" s="411">
        <f t="shared" si="204"/>
        <v>71.92423503962344</v>
      </c>
      <c r="T1226" s="411">
        <v>47.430245903840586</v>
      </c>
      <c r="U1226" s="411">
        <v>47.603522402175159</v>
      </c>
      <c r="V1226" s="411">
        <f t="shared" si="205"/>
        <v>75.151800652363235</v>
      </c>
      <c r="W1226" s="411">
        <v>49.156835248520665</v>
      </c>
      <c r="X1226" s="411">
        <v>49.776943024829478</v>
      </c>
      <c r="Y1226" s="411">
        <f t="shared" si="206"/>
        <v>78.582985260668394</v>
      </c>
      <c r="Z1226" s="411">
        <v>50.576760382933273</v>
      </c>
      <c r="AA1226" s="411">
        <v>51.402196590782978</v>
      </c>
      <c r="AB1226" s="441">
        <f t="shared" si="207"/>
        <v>80.288765809015871</v>
      </c>
      <c r="AC1226" s="438">
        <f t="shared" si="208"/>
        <v>82.689324535742955</v>
      </c>
      <c r="AD1226" s="410"/>
      <c r="AE1226" s="411"/>
      <c r="AF1226" s="411"/>
      <c r="AG1226" s="411"/>
    </row>
    <row r="1227" spans="1:33" s="409" customFormat="1" x14ac:dyDescent="0.2">
      <c r="A1227" s="409" t="s">
        <v>496</v>
      </c>
      <c r="B1227" s="23" t="str">
        <f>VLOOKUP(LEFT(A1227,7),'[7]Tariff Schedule Lookup Table'!$A$8:$G$186,2,FALSE)</f>
        <v>High Pressure Sodium 220</v>
      </c>
      <c r="C1227" s="375">
        <f t="shared" si="210"/>
        <v>230</v>
      </c>
      <c r="D1227" s="23">
        <f t="shared" si="211"/>
        <v>2</v>
      </c>
      <c r="E1227" s="23" t="str">
        <f>VLOOKUP(C1227,'[7]Tariff Schedule Lookup Table'!I$7:L$287,2,FALSE)</f>
        <v>HIGH PRESSURE SODIUM 250W (210/220)</v>
      </c>
      <c r="F1227" s="23" t="str">
        <f>IF(E1227 = "BULKHEADS ETC", "SHARED OR NO POLE", VLOOKUP(C1227,'[7]Tariff Schedule Lookup Table'!I$7:L$287,3,FALSE))</f>
        <v>WOOD POLE</v>
      </c>
      <c r="G1227" s="23">
        <f>IF(E1227 = "NO CAPITAL", 1, VLOOKUP(C1227,'[7]Tariff Schedule Lookup Table'!I$7:L$287,4,FALSE))</f>
        <v>1</v>
      </c>
      <c r="H1227" s="23" t="str">
        <f t="shared" si="209"/>
        <v>2-Unmetered, Funded by Others, CE Maintained</v>
      </c>
      <c r="I1227" s="374">
        <f>VLOOKUP(F1227,'Maintenance Model'!$A$57:$B$61,2,FALSE)</f>
        <v>10.731618231111112</v>
      </c>
      <c r="J1227" s="374">
        <f>IF(D1227=1,VLOOKUP(C1227,'Capital Code Schedules'!A$15:F$300,2,FALSE),IF(D1227=2,VLOOKUP(C1227,'Capital Code Schedules'!A$15:F$300,3,FALSE),0))</f>
        <v>0</v>
      </c>
      <c r="K1227" s="374">
        <f>IF(D1227=1,VLOOKUP(C1227,'Capital Code Schedules'!E$15:G$300,2,FALSE),IF(D1227=2,VLOOKUP(C1227,'Capital Code Schedules'!E$15:G$300,3,FALSE),0))</f>
        <v>0</v>
      </c>
      <c r="L1227" s="374">
        <f>VLOOKUP(LEFT(A1227,10),'Streetlight Tariff Schedule'!B$11:H$260,7, FALSE)+I1227</f>
        <v>76.557319305969273</v>
      </c>
      <c r="M1227" s="410">
        <f t="shared" si="202"/>
        <v>76.557319305969273</v>
      </c>
      <c r="N1227" s="411">
        <f t="shared" si="203"/>
        <v>79.747357343741669</v>
      </c>
      <c r="O1227" s="411">
        <v>53.829694738900514</v>
      </c>
      <c r="P1227" s="411">
        <v>53.829694738900514</v>
      </c>
      <c r="Q1227" s="411">
        <v>56.464058757030521</v>
      </c>
      <c r="R1227" s="411">
        <v>56.464058757030521</v>
      </c>
      <c r="S1227" s="411">
        <f t="shared" si="204"/>
        <v>83.650102283060278</v>
      </c>
      <c r="T1227" s="411">
        <v>58.783104564268442</v>
      </c>
      <c r="U1227" s="411">
        <v>58.997856360849504</v>
      </c>
      <c r="V1227" s="411">
        <f t="shared" si="205"/>
        <v>87.4038605744378</v>
      </c>
      <c r="W1227" s="411">
        <v>60.922968696401526</v>
      </c>
      <c r="X1227" s="411">
        <v>61.691504881724683</v>
      </c>
      <c r="Y1227" s="411">
        <f t="shared" si="206"/>
        <v>91.394434033838039</v>
      </c>
      <c r="Z1227" s="411">
        <v>62.682765763843051</v>
      </c>
      <c r="AA1227" s="411">
        <v>63.705777599276821</v>
      </c>
      <c r="AB1227" s="441">
        <f t="shared" si="207"/>
        <v>93.378309389107585</v>
      </c>
      <c r="AC1227" s="438">
        <f t="shared" si="208"/>
        <v>96.170233181089344</v>
      </c>
      <c r="AD1227" s="410"/>
      <c r="AE1227" s="411"/>
      <c r="AF1227" s="411"/>
      <c r="AG1227" s="411"/>
    </row>
    <row r="1228" spans="1:33" s="409" customFormat="1" x14ac:dyDescent="0.2">
      <c r="A1228" s="409" t="s">
        <v>498</v>
      </c>
      <c r="B1228" s="23" t="str">
        <f>VLOOKUP(LEFT(A1228,7),'[7]Tariff Schedule Lookup Table'!$A$8:$G$186,2,FALSE)</f>
        <v>High Pressure Sodium 220</v>
      </c>
      <c r="C1228" s="375">
        <f t="shared" si="210"/>
        <v>320</v>
      </c>
      <c r="D1228" s="23">
        <f t="shared" si="211"/>
        <v>2</v>
      </c>
      <c r="E1228" s="23" t="str">
        <f>VLOOKUP(C1228,'[7]Tariff Schedule Lookup Table'!I$7:L$287,2,FALSE)</f>
        <v>HIGH PRESSURE SODIUM 250W (210/220)</v>
      </c>
      <c r="F1228" s="23" t="str">
        <f>IF(E1228 = "BULKHEADS ETC", "SHARED OR NO POLE", VLOOKUP(C1228,'[7]Tariff Schedule Lookup Table'!I$7:L$287,3,FALSE))</f>
        <v>STEEL POLE</v>
      </c>
      <c r="G1228" s="23">
        <f>IF(E1228 = "NO CAPITAL", 1, VLOOKUP(C1228,'[7]Tariff Schedule Lookup Table'!I$7:L$287,4,FALSE))</f>
        <v>1</v>
      </c>
      <c r="H1228" s="23" t="str">
        <f t="shared" si="209"/>
        <v>2-Unmetered, Funded by Others, CE Maintained</v>
      </c>
      <c r="I1228" s="374">
        <f>VLOOKUP(F1228,'Maintenance Model'!$A$57:$B$61,2,FALSE)</f>
        <v>9.9616182311111103</v>
      </c>
      <c r="J1228" s="374">
        <f>IF(D1228=1,VLOOKUP(C1228,'Capital Code Schedules'!A$15:F$300,2,FALSE),IF(D1228=2,VLOOKUP(C1228,'Capital Code Schedules'!A$15:F$300,3,FALSE),0))</f>
        <v>0</v>
      </c>
      <c r="K1228" s="374">
        <f>IF(D1228=1,VLOOKUP(C1228,'Capital Code Schedules'!E$15:G$300,2,FALSE),IF(D1228=2,VLOOKUP(C1228,'Capital Code Schedules'!E$15:G$300,3,FALSE),0))</f>
        <v>0</v>
      </c>
      <c r="L1228" s="374">
        <f>VLOOKUP(LEFT(A1228,10),'Streetlight Tariff Schedule'!B$11:H$260,7, FALSE)+I1228</f>
        <v>75.787319305969277</v>
      </c>
      <c r="M1228" s="410">
        <f t="shared" si="202"/>
        <v>75.787319305969277</v>
      </c>
      <c r="N1228" s="411">
        <f t="shared" si="203"/>
        <v>78.945272504416678</v>
      </c>
      <c r="O1228" s="411">
        <v>53.027609899575509</v>
      </c>
      <c r="P1228" s="411">
        <v>53.027609899575509</v>
      </c>
      <c r="Q1228" s="411">
        <v>55.622720798206068</v>
      </c>
      <c r="R1228" s="411">
        <v>55.622720798206068</v>
      </c>
      <c r="S1228" s="411">
        <f t="shared" si="204"/>
        <v>82.808764324235824</v>
      </c>
      <c r="T1228" s="411">
        <v>57.907211858427338</v>
      </c>
      <c r="U1228" s="411">
        <v>58.118763763924292</v>
      </c>
      <c r="V1228" s="411">
        <f t="shared" si="205"/>
        <v>86.524767977512582</v>
      </c>
      <c r="W1228" s="411">
        <v>60.015191125024316</v>
      </c>
      <c r="X1228" s="411">
        <v>60.772275801552745</v>
      </c>
      <c r="Y1228" s="411">
        <f t="shared" si="206"/>
        <v>90.475204953666108</v>
      </c>
      <c r="Z1228" s="411">
        <v>61.74876648426315</v>
      </c>
      <c r="AA1228" s="411">
        <v>62.756535017879372</v>
      </c>
      <c r="AB1228" s="441">
        <f t="shared" si="207"/>
        <v>92.439126840901437</v>
      </c>
      <c r="AC1228" s="438">
        <f t="shared" si="208"/>
        <v>95.202969956348085</v>
      </c>
      <c r="AD1228" s="410"/>
      <c r="AE1228" s="411"/>
      <c r="AF1228" s="411"/>
      <c r="AG1228" s="411"/>
    </row>
    <row r="1229" spans="1:33" s="409" customFormat="1" x14ac:dyDescent="0.2">
      <c r="A1229" s="409" t="s">
        <v>757</v>
      </c>
      <c r="B1229" s="23" t="str">
        <f>VLOOKUP(LEFT(A1229,7),'[7]Tariff Schedule Lookup Table'!$A$8:$G$186,2,FALSE)</f>
        <v>High Pressure Sodium 250</v>
      </c>
      <c r="C1229" s="375">
        <f t="shared" si="210"/>
        <v>5</v>
      </c>
      <c r="D1229" s="23">
        <f t="shared" si="211"/>
        <v>1</v>
      </c>
      <c r="E1229" s="23" t="str">
        <f>VLOOKUP(C1229,'[7]Tariff Schedule Lookup Table'!I$7:L$287,2,FALSE)</f>
        <v>MAINTENANCE COMPONENT</v>
      </c>
      <c r="F1229" s="23" t="str">
        <f>IF(E1229 = "BULKHEADS ETC", "SHARED OR NO POLE", VLOOKUP(C1229,'[7]Tariff Schedule Lookup Table'!I$7:L$287,3,FALSE))</f>
        <v>NO CAPITAL</v>
      </c>
      <c r="G1229" s="23">
        <f>IF(E1229 = "NO CAPITAL", 1, VLOOKUP(C1229,'[7]Tariff Schedule Lookup Table'!I$7:L$287,4,FALSE))</f>
        <v>1</v>
      </c>
      <c r="H1229" s="23" t="str">
        <f t="shared" si="209"/>
        <v>1-Unmetered, CE Funded, CE Maintained</v>
      </c>
      <c r="I1229" s="374">
        <f>VLOOKUP(F1229,'Maintenance Model'!$A$57:$B$61,2,FALSE)</f>
        <v>0</v>
      </c>
      <c r="J1229" s="374">
        <f>IF(D1229=1,VLOOKUP(C1229,'Capital Code Schedules'!A$15:F$300,2,FALSE),IF(D1229=2,VLOOKUP(C1229,'Capital Code Schedules'!A$15:F$300,3,FALSE),0))</f>
        <v>0</v>
      </c>
      <c r="K1229" s="374">
        <f>IF(D1229=1,VLOOKUP(C1229,'Capital Code Schedules'!E$15:G$300,2,FALSE),IF(D1229=2,VLOOKUP(C1229,'Capital Code Schedules'!E$15:G$300,3,FALSE),0))</f>
        <v>0</v>
      </c>
      <c r="L1229" s="374">
        <f>VLOOKUP(LEFT(A1229,10),'Streetlight Tariff Schedule'!B$11:H$260,7, FALSE)+I1229</f>
        <v>65.825701074858159</v>
      </c>
      <c r="M1229" s="410">
        <f t="shared" si="202"/>
        <v>65.825701074858159</v>
      </c>
      <c r="N1229" s="411">
        <f t="shared" si="203"/>
        <v>68.568567363744279</v>
      </c>
      <c r="O1229" s="411">
        <v>36.128452599425493</v>
      </c>
      <c r="P1229" s="411">
        <v>36.128452599425493</v>
      </c>
      <c r="Q1229" s="411">
        <v>37.896537966067243</v>
      </c>
      <c r="R1229" s="411">
        <v>37.896537966067243</v>
      </c>
      <c r="S1229" s="411">
        <f t="shared" si="204"/>
        <v>71.92423503962344</v>
      </c>
      <c r="T1229" s="411">
        <v>39.452993690534583</v>
      </c>
      <c r="U1229" s="411">
        <v>39.597126963833894</v>
      </c>
      <c r="V1229" s="411">
        <f t="shared" si="205"/>
        <v>75.151800652363235</v>
      </c>
      <c r="W1229" s="411">
        <v>40.889189460210986</v>
      </c>
      <c r="X1229" s="411">
        <v>41.405001843637443</v>
      </c>
      <c r="Y1229" s="411">
        <f t="shared" si="206"/>
        <v>78.582985260668394</v>
      </c>
      <c r="Z1229" s="411">
        <v>42.070298609056358</v>
      </c>
      <c r="AA1229" s="411">
        <v>42.75690541194448</v>
      </c>
      <c r="AB1229" s="441">
        <f t="shared" si="207"/>
        <v>80.288765809015871</v>
      </c>
      <c r="AC1229" s="438">
        <f t="shared" si="208"/>
        <v>82.689324535742955</v>
      </c>
      <c r="AD1229" s="410"/>
      <c r="AE1229" s="411"/>
      <c r="AF1229" s="411"/>
      <c r="AG1229" s="411"/>
    </row>
    <row r="1230" spans="1:33" s="409" customFormat="1" x14ac:dyDescent="0.2">
      <c r="A1230" s="409" t="s">
        <v>501</v>
      </c>
      <c r="B1230" s="23" t="str">
        <f>VLOOKUP(LEFT(A1230,7),'[7]Tariff Schedule Lookup Table'!$A$8:$G$186,2,FALSE)</f>
        <v>High Pressure Sodium 250</v>
      </c>
      <c r="C1230" s="375">
        <f t="shared" si="210"/>
        <v>60</v>
      </c>
      <c r="D1230" s="23">
        <f t="shared" si="211"/>
        <v>1</v>
      </c>
      <c r="E1230" s="23" t="str">
        <f>VLOOKUP(C1230,'[7]Tariff Schedule Lookup Table'!I$7:L$287,2,FALSE)</f>
        <v>HIGH PRESSURE SODIUM 250W (210/220)</v>
      </c>
      <c r="F1230" s="23" t="str">
        <f>IF(E1230 = "BULKHEADS ETC", "SHARED OR NO POLE", VLOOKUP(C1230,'[7]Tariff Schedule Lookup Table'!I$7:L$287,3,FALSE))</f>
        <v>SHARED OR NO POLE</v>
      </c>
      <c r="G1230" s="23">
        <f>IF(E1230 = "NO CAPITAL", 1, VLOOKUP(C1230,'[7]Tariff Schedule Lookup Table'!I$7:L$287,4,FALSE))</f>
        <v>1</v>
      </c>
      <c r="H1230" s="23" t="str">
        <f t="shared" si="209"/>
        <v>1-Unmetered, CE Funded, CE Maintained</v>
      </c>
      <c r="I1230" s="374">
        <f>VLOOKUP(F1230,'Maintenance Model'!$A$57:$B$61,2,FALSE)</f>
        <v>0</v>
      </c>
      <c r="J1230" s="374">
        <f>IF(D1230=1,VLOOKUP(C1230,'Capital Code Schedules'!A$15:F$300,2,FALSE),IF(D1230=2,VLOOKUP(C1230,'Capital Code Schedules'!A$15:F$300,3,FALSE),0))</f>
        <v>32.138130136529035</v>
      </c>
      <c r="K1230" s="374">
        <f>IF(D1230=1,VLOOKUP(C1230,'Capital Code Schedules'!E$15:G$300,2,FALSE),IF(D1230=2,VLOOKUP(C1230,'Capital Code Schedules'!E$15:G$300,3,FALSE),0))</f>
        <v>40.766278904912198</v>
      </c>
      <c r="L1230" s="374">
        <f>VLOOKUP(LEFT(A1230,10),'Streetlight Tariff Schedule'!B$11:H$260,7, FALSE)+I1230</f>
        <v>65.825701074858159</v>
      </c>
      <c r="M1230" s="410">
        <f t="shared" si="202"/>
        <v>106.59197997977036</v>
      </c>
      <c r="N1230" s="411">
        <f t="shared" si="203"/>
        <v>101.50211622115241</v>
      </c>
      <c r="O1230" s="411">
        <v>79.75311594458617</v>
      </c>
      <c r="P1230" s="411">
        <v>77.903696907234277</v>
      </c>
      <c r="Q1230" s="411">
        <v>80.705719570494296</v>
      </c>
      <c r="R1230" s="411">
        <v>82.600911729020638</v>
      </c>
      <c r="S1230" s="411">
        <f t="shared" si="204"/>
        <v>105.67288923125244</v>
      </c>
      <c r="T1230" s="411">
        <v>83.321702539671207</v>
      </c>
      <c r="U1230" s="411">
        <v>85.575575379031477</v>
      </c>
      <c r="V1230" s="411">
        <f t="shared" si="205"/>
        <v>109.86229148845365</v>
      </c>
      <c r="W1230" s="411">
        <v>85.843648853363746</v>
      </c>
      <c r="X1230" s="411">
        <v>88.942119660110208</v>
      </c>
      <c r="Y1230" s="411">
        <f t="shared" si="206"/>
        <v>114.47016173610227</v>
      </c>
      <c r="Z1230" s="411">
        <v>88.137380872189638</v>
      </c>
      <c r="AA1230" s="411">
        <v>91.648831086186732</v>
      </c>
      <c r="AB1230" s="441">
        <f t="shared" si="207"/>
        <v>116.80755659041739</v>
      </c>
      <c r="AC1230" s="438">
        <f t="shared" si="208"/>
        <v>120.27081212888325</v>
      </c>
      <c r="AD1230" s="410"/>
      <c r="AE1230" s="411"/>
      <c r="AF1230" s="411"/>
      <c r="AG1230" s="411"/>
    </row>
    <row r="1231" spans="1:33" s="409" customFormat="1" x14ac:dyDescent="0.2">
      <c r="A1231" s="409" t="s">
        <v>502</v>
      </c>
      <c r="B1231" s="23" t="str">
        <f>VLOOKUP(LEFT(A1231,7),'[7]Tariff Schedule Lookup Table'!$A$8:$G$186,2,FALSE)</f>
        <v>High Pressure Sodium 250</v>
      </c>
      <c r="C1231" s="375">
        <f t="shared" si="210"/>
        <v>60</v>
      </c>
      <c r="D1231" s="23">
        <f t="shared" si="211"/>
        <v>2</v>
      </c>
      <c r="E1231" s="23" t="str">
        <f>VLOOKUP(C1231,'[7]Tariff Schedule Lookup Table'!I$7:L$287,2,FALSE)</f>
        <v>HIGH PRESSURE SODIUM 250W (210/220)</v>
      </c>
      <c r="F1231" s="23" t="str">
        <f>IF(E1231 = "BULKHEADS ETC", "SHARED OR NO POLE", VLOOKUP(C1231,'[7]Tariff Schedule Lookup Table'!I$7:L$287,3,FALSE))</f>
        <v>SHARED OR NO POLE</v>
      </c>
      <c r="G1231" s="23">
        <f>IF(E1231 = "NO CAPITAL", 1, VLOOKUP(C1231,'[7]Tariff Schedule Lookup Table'!I$7:L$287,4,FALSE))</f>
        <v>1</v>
      </c>
      <c r="H1231" s="23" t="str">
        <f t="shared" si="209"/>
        <v>2-Unmetered, Funded by Others, CE Maintained</v>
      </c>
      <c r="I1231" s="374">
        <f>VLOOKUP(F1231,'Maintenance Model'!$A$57:$B$61,2,FALSE)</f>
        <v>0</v>
      </c>
      <c r="J1231" s="374">
        <f>IF(D1231=1,VLOOKUP(C1231,'Capital Code Schedules'!A$15:F$300,2,FALSE),IF(D1231=2,VLOOKUP(C1231,'Capital Code Schedules'!A$15:F$300,3,FALSE),0))</f>
        <v>0</v>
      </c>
      <c r="K1231" s="374">
        <f>IF(D1231=1,VLOOKUP(C1231,'Capital Code Schedules'!E$15:G$300,2,FALSE),IF(D1231=2,VLOOKUP(C1231,'Capital Code Schedules'!E$15:G$300,3,FALSE),0))</f>
        <v>0</v>
      </c>
      <c r="L1231" s="374">
        <f>VLOOKUP(LEFT(A1231,10),'Streetlight Tariff Schedule'!B$11:H$260,7, FALSE)+I1231</f>
        <v>65.825701074858159</v>
      </c>
      <c r="M1231" s="410">
        <f t="shared" si="202"/>
        <v>65.825701074858159</v>
      </c>
      <c r="N1231" s="411">
        <f t="shared" si="203"/>
        <v>68.568567363744279</v>
      </c>
      <c r="O1231" s="411">
        <v>36.128452599425493</v>
      </c>
      <c r="P1231" s="411">
        <v>36.128452599425493</v>
      </c>
      <c r="Q1231" s="411">
        <v>37.896537966067243</v>
      </c>
      <c r="R1231" s="411">
        <v>37.896537966067243</v>
      </c>
      <c r="S1231" s="411">
        <f t="shared" si="204"/>
        <v>71.92423503962344</v>
      </c>
      <c r="T1231" s="411">
        <v>39.452993690534583</v>
      </c>
      <c r="U1231" s="411">
        <v>39.597126963833894</v>
      </c>
      <c r="V1231" s="411">
        <f t="shared" si="205"/>
        <v>75.151800652363235</v>
      </c>
      <c r="W1231" s="411">
        <v>40.889189460210986</v>
      </c>
      <c r="X1231" s="411">
        <v>41.405001843637443</v>
      </c>
      <c r="Y1231" s="411">
        <f t="shared" si="206"/>
        <v>78.582985260668394</v>
      </c>
      <c r="Z1231" s="411">
        <v>42.070298609056358</v>
      </c>
      <c r="AA1231" s="411">
        <v>42.75690541194448</v>
      </c>
      <c r="AB1231" s="441">
        <f t="shared" si="207"/>
        <v>80.288765809015871</v>
      </c>
      <c r="AC1231" s="438">
        <f t="shared" si="208"/>
        <v>82.689324535742955</v>
      </c>
      <c r="AD1231" s="410"/>
      <c r="AE1231" s="411"/>
      <c r="AF1231" s="411"/>
      <c r="AG1231" s="411"/>
    </row>
    <row r="1232" spans="1:33" s="409" customFormat="1" x14ac:dyDescent="0.2">
      <c r="A1232" s="409" t="s">
        <v>503</v>
      </c>
      <c r="B1232" s="23" t="str">
        <f>VLOOKUP(LEFT(A1232,7),'[7]Tariff Schedule Lookup Table'!$A$8:$G$186,2,FALSE)</f>
        <v>High Pressure Sodium 250</v>
      </c>
      <c r="C1232" s="375">
        <f t="shared" si="210"/>
        <v>230</v>
      </c>
      <c r="D1232" s="23">
        <f t="shared" si="211"/>
        <v>1</v>
      </c>
      <c r="E1232" s="23" t="str">
        <f>VLOOKUP(C1232,'[7]Tariff Schedule Lookup Table'!I$7:L$287,2,FALSE)</f>
        <v>HIGH PRESSURE SODIUM 250W (210/220)</v>
      </c>
      <c r="F1232" s="23" t="str">
        <f>IF(E1232 = "BULKHEADS ETC", "SHARED OR NO POLE", VLOOKUP(C1232,'[7]Tariff Schedule Lookup Table'!I$7:L$287,3,FALSE))</f>
        <v>WOOD POLE</v>
      </c>
      <c r="G1232" s="23">
        <f>IF(E1232 = "NO CAPITAL", 1, VLOOKUP(C1232,'[7]Tariff Schedule Lookup Table'!I$7:L$287,4,FALSE))</f>
        <v>1</v>
      </c>
      <c r="H1232" s="23" t="str">
        <f t="shared" si="209"/>
        <v>1-Unmetered, CE Funded, CE Maintained</v>
      </c>
      <c r="I1232" s="374">
        <f>VLOOKUP(F1232,'Maintenance Model'!$A$57:$B$61,2,FALSE)</f>
        <v>10.731618231111112</v>
      </c>
      <c r="J1232" s="374">
        <f>IF(D1232=1,VLOOKUP(C1232,'Capital Code Schedules'!A$15:F$300,2,FALSE),IF(D1232=2,VLOOKUP(C1232,'Capital Code Schedules'!A$15:F$300,3,FALSE),0))</f>
        <v>66.039248498405314</v>
      </c>
      <c r="K1232" s="374">
        <f>IF(D1232=1,VLOOKUP(C1232,'Capital Code Schedules'!E$15:G$300,2,FALSE),IF(D1232=2,VLOOKUP(C1232,'Capital Code Schedules'!E$15:G$300,3,FALSE),0))</f>
        <v>83.768856853834222</v>
      </c>
      <c r="L1232" s="374">
        <f>VLOOKUP(LEFT(A1232,10),'Streetlight Tariff Schedule'!B$11:H$260,7, FALSE)+I1232</f>
        <v>76.557319305969273</v>
      </c>
      <c r="M1232" s="410">
        <f t="shared" si="202"/>
        <v>160.32617615980348</v>
      </c>
      <c r="N1232" s="411">
        <f t="shared" si="203"/>
        <v>147.42107724248251</v>
      </c>
      <c r="O1232" s="411">
        <v>136.16707963222228</v>
      </c>
      <c r="P1232" s="411">
        <v>132.36678873581627</v>
      </c>
      <c r="Q1232" s="411">
        <v>136.76824517383417</v>
      </c>
      <c r="R1232" s="411">
        <v>140.66259326992622</v>
      </c>
      <c r="S1232" s="411">
        <f t="shared" si="204"/>
        <v>152.99874674929498</v>
      </c>
      <c r="T1232" s="411">
        <v>140.94975782041774</v>
      </c>
      <c r="U1232" s="411">
        <v>145.470578642276</v>
      </c>
      <c r="V1232" s="411">
        <f t="shared" si="205"/>
        <v>158.72894140796015</v>
      </c>
      <c r="W1232" s="411">
        <v>145.03029003791619</v>
      </c>
      <c r="X1232" s="411">
        <v>151.00152351100053</v>
      </c>
      <c r="Y1232" s="411">
        <f t="shared" si="206"/>
        <v>165.13743510761682</v>
      </c>
      <c r="Z1232" s="411">
        <v>148.8375515562536</v>
      </c>
      <c r="AA1232" s="411">
        <v>155.52638208550457</v>
      </c>
      <c r="AB1232" s="441">
        <f t="shared" si="207"/>
        <v>168.41918728178487</v>
      </c>
      <c r="AC1232" s="438">
        <f t="shared" si="208"/>
        <v>173.39480062044356</v>
      </c>
      <c r="AD1232" s="410"/>
      <c r="AE1232" s="411"/>
      <c r="AF1232" s="411"/>
      <c r="AG1232" s="411"/>
    </row>
    <row r="1233" spans="1:33" s="409" customFormat="1" x14ac:dyDescent="0.2">
      <c r="A1233" s="409" t="s">
        <v>504</v>
      </c>
      <c r="B1233" s="23" t="str">
        <f>VLOOKUP(LEFT(A1233,7),'[7]Tariff Schedule Lookup Table'!$A$8:$G$186,2,FALSE)</f>
        <v>High Pressure Sodium 250</v>
      </c>
      <c r="C1233" s="375">
        <f t="shared" si="210"/>
        <v>230</v>
      </c>
      <c r="D1233" s="23">
        <f t="shared" si="211"/>
        <v>2</v>
      </c>
      <c r="E1233" s="23" t="str">
        <f>VLOOKUP(C1233,'[7]Tariff Schedule Lookup Table'!I$7:L$287,2,FALSE)</f>
        <v>HIGH PRESSURE SODIUM 250W (210/220)</v>
      </c>
      <c r="F1233" s="23" t="str">
        <f>IF(E1233 = "BULKHEADS ETC", "SHARED OR NO POLE", VLOOKUP(C1233,'[7]Tariff Schedule Lookup Table'!I$7:L$287,3,FALSE))</f>
        <v>WOOD POLE</v>
      </c>
      <c r="G1233" s="23">
        <f>IF(E1233 = "NO CAPITAL", 1, VLOOKUP(C1233,'[7]Tariff Schedule Lookup Table'!I$7:L$287,4,FALSE))</f>
        <v>1</v>
      </c>
      <c r="H1233" s="23" t="str">
        <f t="shared" si="209"/>
        <v>2-Unmetered, Funded by Others, CE Maintained</v>
      </c>
      <c r="I1233" s="374">
        <f>VLOOKUP(F1233,'Maintenance Model'!$A$57:$B$61,2,FALSE)</f>
        <v>10.731618231111112</v>
      </c>
      <c r="J1233" s="374">
        <f>IF(D1233=1,VLOOKUP(C1233,'Capital Code Schedules'!A$15:F$300,2,FALSE),IF(D1233=2,VLOOKUP(C1233,'Capital Code Schedules'!A$15:F$300,3,FALSE),0))</f>
        <v>0</v>
      </c>
      <c r="K1233" s="374">
        <f>IF(D1233=1,VLOOKUP(C1233,'Capital Code Schedules'!E$15:G$300,2,FALSE),IF(D1233=2,VLOOKUP(C1233,'Capital Code Schedules'!E$15:G$300,3,FALSE),0))</f>
        <v>0</v>
      </c>
      <c r="L1233" s="374">
        <f>VLOOKUP(LEFT(A1233,10),'Streetlight Tariff Schedule'!B$11:H$260,7, FALSE)+I1233</f>
        <v>76.557319305969273</v>
      </c>
      <c r="M1233" s="410">
        <f t="shared" si="202"/>
        <v>76.557319305969273</v>
      </c>
      <c r="N1233" s="411">
        <f t="shared" si="203"/>
        <v>79.747357343741669</v>
      </c>
      <c r="O1233" s="411">
        <v>46.524652674849662</v>
      </c>
      <c r="P1233" s="411">
        <v>46.524652674849662</v>
      </c>
      <c r="Q1233" s="411">
        <v>48.80151624535862</v>
      </c>
      <c r="R1233" s="411">
        <v>48.80151624535862</v>
      </c>
      <c r="S1233" s="411">
        <f t="shared" si="204"/>
        <v>83.650102283060278</v>
      </c>
      <c r="T1233" s="411">
        <v>50.805852350962439</v>
      </c>
      <c r="U1233" s="411">
        <v>50.991460922508246</v>
      </c>
      <c r="V1233" s="411">
        <f t="shared" si="205"/>
        <v>87.4038605744378</v>
      </c>
      <c r="W1233" s="411">
        <v>52.65532290809184</v>
      </c>
      <c r="X1233" s="411">
        <v>53.319563700532647</v>
      </c>
      <c r="Y1233" s="411">
        <f t="shared" si="206"/>
        <v>91.394434033838039</v>
      </c>
      <c r="Z1233" s="411">
        <v>54.176303989966136</v>
      </c>
      <c r="AA1233" s="411">
        <v>55.060486420438323</v>
      </c>
      <c r="AB1233" s="441">
        <f t="shared" si="207"/>
        <v>93.378309389107585</v>
      </c>
      <c r="AC1233" s="438">
        <f t="shared" si="208"/>
        <v>96.170233181089344</v>
      </c>
      <c r="AD1233" s="410"/>
      <c r="AE1233" s="411"/>
      <c r="AF1233" s="411"/>
      <c r="AG1233" s="411"/>
    </row>
    <row r="1234" spans="1:33" s="409" customFormat="1" x14ac:dyDescent="0.2">
      <c r="A1234" s="409" t="s">
        <v>505</v>
      </c>
      <c r="B1234" s="23" t="str">
        <f>VLOOKUP(LEFT(A1234,7),'[7]Tariff Schedule Lookup Table'!$A$8:$G$186,2,FALSE)</f>
        <v>High Pressure Sodium 250</v>
      </c>
      <c r="C1234" s="375">
        <f t="shared" si="210"/>
        <v>320</v>
      </c>
      <c r="D1234" s="23">
        <f t="shared" si="211"/>
        <v>1</v>
      </c>
      <c r="E1234" s="23" t="str">
        <f>VLOOKUP(C1234,'[7]Tariff Schedule Lookup Table'!I$7:L$287,2,FALSE)</f>
        <v>HIGH PRESSURE SODIUM 250W (210/220)</v>
      </c>
      <c r="F1234" s="23" t="str">
        <f>IF(E1234 = "BULKHEADS ETC", "SHARED OR NO POLE", VLOOKUP(C1234,'[7]Tariff Schedule Lookup Table'!I$7:L$287,3,FALSE))</f>
        <v>STEEL POLE</v>
      </c>
      <c r="G1234" s="23">
        <f>IF(E1234 = "NO CAPITAL", 1, VLOOKUP(C1234,'[7]Tariff Schedule Lookup Table'!I$7:L$287,4,FALSE))</f>
        <v>1</v>
      </c>
      <c r="H1234" s="23" t="str">
        <f t="shared" si="209"/>
        <v>1-Unmetered, CE Funded, CE Maintained</v>
      </c>
      <c r="I1234" s="374">
        <f>VLOOKUP(F1234,'Maintenance Model'!$A$57:$B$61,2,FALSE)</f>
        <v>9.9616182311111103</v>
      </c>
      <c r="J1234" s="374">
        <f>IF(D1234=1,VLOOKUP(C1234,'Capital Code Schedules'!A$15:F$300,2,FALSE),IF(D1234=2,VLOOKUP(C1234,'Capital Code Schedules'!A$15:F$300,3,FALSE),0))</f>
        <v>92.322513672035399</v>
      </c>
      <c r="K1234" s="374">
        <f>IF(D1234=1,VLOOKUP(C1234,'Capital Code Schedules'!E$15:G$300,2,FALSE),IF(D1234=2,VLOOKUP(C1234,'Capital Code Schedules'!E$15:G$300,3,FALSE),0))</f>
        <v>117.10841065015505</v>
      </c>
      <c r="L1234" s="374">
        <f>VLOOKUP(LEFT(A1234,10),'Streetlight Tariff Schedule'!B$11:H$260,7, FALSE)+I1234</f>
        <v>75.787319305969277</v>
      </c>
      <c r="M1234" s="410">
        <f t="shared" si="202"/>
        <v>192.89572995612434</v>
      </c>
      <c r="N1234" s="411">
        <f t="shared" si="203"/>
        <v>173.55276838983494</v>
      </c>
      <c r="O1234" s="411">
        <v>171.04219785170076</v>
      </c>
      <c r="P1234" s="411">
        <v>165.72941164927104</v>
      </c>
      <c r="Q1234" s="411">
        <v>170.93719148467076</v>
      </c>
      <c r="R1234" s="411">
        <v>176.38146914561062</v>
      </c>
      <c r="S1234" s="411">
        <f t="shared" si="204"/>
        <v>179.75779573281818</v>
      </c>
      <c r="T1234" s="411">
        <v>175.95065391991184</v>
      </c>
      <c r="U1234" s="411">
        <v>182.19366597414316</v>
      </c>
      <c r="V1234" s="411">
        <f t="shared" si="205"/>
        <v>186.23684678123956</v>
      </c>
      <c r="W1234" s="411">
        <v>180.88725179480622</v>
      </c>
      <c r="X1234" s="411">
        <v>188.95918825920705</v>
      </c>
      <c r="Y1234" s="411">
        <f t="shared" si="206"/>
        <v>193.56752322883943</v>
      </c>
      <c r="Z1234" s="411">
        <v>185.57821890331556</v>
      </c>
      <c r="AA1234" s="411">
        <v>194.56202480659437</v>
      </c>
      <c r="AB1234" s="441">
        <f t="shared" si="207"/>
        <v>197.34586991771781</v>
      </c>
      <c r="AC1234" s="438">
        <f t="shared" si="208"/>
        <v>203.16249925669982</v>
      </c>
      <c r="AD1234" s="410"/>
      <c r="AE1234" s="411"/>
      <c r="AF1234" s="411"/>
      <c r="AG1234" s="411"/>
    </row>
    <row r="1235" spans="1:33" s="409" customFormat="1" x14ac:dyDescent="0.2">
      <c r="A1235" s="409" t="s">
        <v>506</v>
      </c>
      <c r="B1235" s="23" t="str">
        <f>VLOOKUP(LEFT(A1235,7),'[7]Tariff Schedule Lookup Table'!$A$8:$G$186,2,FALSE)</f>
        <v>High Pressure Sodium 250</v>
      </c>
      <c r="C1235" s="375">
        <f t="shared" si="210"/>
        <v>320</v>
      </c>
      <c r="D1235" s="23">
        <f t="shared" si="211"/>
        <v>2</v>
      </c>
      <c r="E1235" s="23" t="str">
        <f>VLOOKUP(C1235,'[7]Tariff Schedule Lookup Table'!I$7:L$287,2,FALSE)</f>
        <v>HIGH PRESSURE SODIUM 250W (210/220)</v>
      </c>
      <c r="F1235" s="23" t="str">
        <f>IF(E1235 = "BULKHEADS ETC", "SHARED OR NO POLE", VLOOKUP(C1235,'[7]Tariff Schedule Lookup Table'!I$7:L$287,3,FALSE))</f>
        <v>STEEL POLE</v>
      </c>
      <c r="G1235" s="23">
        <f>IF(E1235 = "NO CAPITAL", 1, VLOOKUP(C1235,'[7]Tariff Schedule Lookup Table'!I$7:L$287,4,FALSE))</f>
        <v>1</v>
      </c>
      <c r="H1235" s="23" t="str">
        <f t="shared" si="209"/>
        <v>2-Unmetered, Funded by Others, CE Maintained</v>
      </c>
      <c r="I1235" s="374">
        <f>VLOOKUP(F1235,'Maintenance Model'!$A$57:$B$61,2,FALSE)</f>
        <v>9.9616182311111103</v>
      </c>
      <c r="J1235" s="374">
        <f>IF(D1235=1,VLOOKUP(C1235,'Capital Code Schedules'!A$15:F$300,2,FALSE),IF(D1235=2,VLOOKUP(C1235,'Capital Code Schedules'!A$15:F$300,3,FALSE),0))</f>
        <v>0</v>
      </c>
      <c r="K1235" s="374">
        <f>IF(D1235=1,VLOOKUP(C1235,'Capital Code Schedules'!E$15:G$300,2,FALSE),IF(D1235=2,VLOOKUP(C1235,'Capital Code Schedules'!E$15:G$300,3,FALSE),0))</f>
        <v>0</v>
      </c>
      <c r="L1235" s="374">
        <f>VLOOKUP(LEFT(A1235,10),'Streetlight Tariff Schedule'!B$11:H$260,7, FALSE)+I1235</f>
        <v>75.787319305969277</v>
      </c>
      <c r="M1235" s="410">
        <f t="shared" ref="M1235:M1298" si="212">IF(VLOOKUP(D1235,A$11:D$15,3,FALSE)="Y",IF(VLOOKUP(D1235,A$11:D$15,4,FALSE)="Y",K1235+L1235,K1235),IF(VLOOKUP(D1235,A$11:D$15,4,FALSE)="Y",L1235,0))</f>
        <v>75.787319305969277</v>
      </c>
      <c r="N1235" s="411">
        <f t="shared" ref="N1235:N1298" si="213">($J1235+$L1235+$L1235*$M$10*$M$14)*(1+$M$12)</f>
        <v>78.945272504416678</v>
      </c>
      <c r="O1235" s="411">
        <v>45.722567835524657</v>
      </c>
      <c r="P1235" s="411">
        <v>45.722567835524657</v>
      </c>
      <c r="Q1235" s="411">
        <v>47.960178286534159</v>
      </c>
      <c r="R1235" s="411">
        <v>47.960178286534159</v>
      </c>
      <c r="S1235" s="411">
        <f t="shared" ref="S1235:S1298" si="214">($J1235+$L1235+$L1235*$N$10*$N$14)*(1+$N$12)</f>
        <v>82.808764324235824</v>
      </c>
      <c r="T1235" s="411">
        <v>49.929959645121336</v>
      </c>
      <c r="U1235" s="411">
        <v>50.112368325583027</v>
      </c>
      <c r="V1235" s="411">
        <f t="shared" ref="V1235:V1298" si="215">($J1235+$L1235+$L1235*$O$10*$O$14)*(1+$O$12)</f>
        <v>86.524767977512582</v>
      </c>
      <c r="W1235" s="411">
        <v>51.747545336714637</v>
      </c>
      <c r="X1235" s="411">
        <v>52.400334620360709</v>
      </c>
      <c r="Y1235" s="411">
        <f t="shared" ref="Y1235:Y1298" si="216">($J1235+$L1235+$L1235*$P$10*$P$14)*(1+$P$12)</f>
        <v>90.475204953666108</v>
      </c>
      <c r="Z1235" s="411">
        <v>53.242304710386243</v>
      </c>
      <c r="AA1235" s="411">
        <v>54.111243839040881</v>
      </c>
      <c r="AB1235" s="441">
        <f t="shared" ref="AB1235:AB1298" si="217">($J1235+$L1235+$L1235*$Q$10*$Q$14)*(1+$Q$12)</f>
        <v>92.439126840901437</v>
      </c>
      <c r="AC1235" s="438">
        <f t="shared" ref="AC1235:AC1298" si="218">($J1235+$L1235+$L1235*$R$10*$R$14)*(1+$R$12)</f>
        <v>95.202969956348085</v>
      </c>
      <c r="AD1235" s="410"/>
      <c r="AE1235" s="411"/>
      <c r="AF1235" s="411"/>
      <c r="AG1235" s="411"/>
    </row>
    <row r="1236" spans="1:33" s="409" customFormat="1" x14ac:dyDescent="0.2">
      <c r="A1236" s="409" t="s">
        <v>507</v>
      </c>
      <c r="B1236" s="23" t="str">
        <f>VLOOKUP(LEFT(A1236,7),'[7]Tariff Schedule Lookup Table'!$A$8:$G$186,2,FALSE)</f>
        <v>High Pressure Sodium 250</v>
      </c>
      <c r="C1236" s="375">
        <f t="shared" si="210"/>
        <v>390</v>
      </c>
      <c r="D1236" s="23">
        <f t="shared" si="211"/>
        <v>1</v>
      </c>
      <c r="E1236" s="23" t="str">
        <f>VLOOKUP(C1236,'[7]Tariff Schedule Lookup Table'!I$7:L$287,2,FALSE)</f>
        <v>HIGH PRESSURE SODIUM 250W (210/220)</v>
      </c>
      <c r="F1236" s="23" t="str">
        <f>IF(E1236 = "BULKHEADS ETC", "SHARED OR NO POLE", VLOOKUP(C1236,'[7]Tariff Schedule Lookup Table'!I$7:L$287,3,FALSE))</f>
        <v>STEEL POLE</v>
      </c>
      <c r="G1236" s="23">
        <f>IF(E1236 = "NO CAPITAL", 1, VLOOKUP(C1236,'[7]Tariff Schedule Lookup Table'!I$7:L$287,4,FALSE))</f>
        <v>2</v>
      </c>
      <c r="H1236" s="23" t="str">
        <f t="shared" si="209"/>
        <v>1-Unmetered, CE Funded, CE Maintained</v>
      </c>
      <c r="I1236" s="374">
        <f>VLOOKUP(F1236,'Maintenance Model'!$A$57:$B$61,2,FALSE)</f>
        <v>9.9616182311111103</v>
      </c>
      <c r="J1236" s="374">
        <f>IF(D1236=1,VLOOKUP(C1236,'Capital Code Schedules'!A$15:F$300,2,FALSE),IF(D1236=2,VLOOKUP(C1236,'Capital Code Schedules'!A$15:F$300,3,FALSE),0))</f>
        <v>105.05612002630808</v>
      </c>
      <c r="K1236" s="374">
        <f>IF(D1236=1,VLOOKUP(C1236,'Capital Code Schedules'!E$15:G$300,2,FALSE),IF(D1236=2,VLOOKUP(C1236,'Capital Code Schedules'!E$15:G$300,3,FALSE),0))</f>
        <v>133.26061819609492</v>
      </c>
      <c r="L1236" s="374">
        <f>VLOOKUP(LEFT(A1236,10),'Streetlight Tariff Schedule'!B$11:H$260,7, FALSE)+I1236</f>
        <v>75.787319305969277</v>
      </c>
      <c r="M1236" s="410">
        <f t="shared" si="212"/>
        <v>209.0479375020642</v>
      </c>
      <c r="N1236" s="411">
        <f t="shared" si="213"/>
        <v>186.60153150137586</v>
      </c>
      <c r="O1236" s="411">
        <v>188.32693993268293</v>
      </c>
      <c r="P1236" s="411">
        <v>182.28138633197295</v>
      </c>
      <c r="Q1236" s="411">
        <v>187.89882754076953</v>
      </c>
      <c r="R1236" s="411">
        <v>194.0940085930971</v>
      </c>
      <c r="S1236" s="411">
        <f t="shared" si="214"/>
        <v>193.12951573136974</v>
      </c>
      <c r="T1236" s="411">
        <v>193.33209046839906</v>
      </c>
      <c r="U1236" s="411">
        <v>200.41101279588298</v>
      </c>
      <c r="V1236" s="411">
        <f t="shared" si="215"/>
        <v>199.98966079974983</v>
      </c>
      <c r="W1236" s="411">
        <v>198.6988788978685</v>
      </c>
      <c r="X1236" s="411">
        <v>207.79410313820387</v>
      </c>
      <c r="Y1236" s="411">
        <f t="shared" si="216"/>
        <v>207.78655764257721</v>
      </c>
      <c r="Z1236" s="411">
        <v>203.83068377717862</v>
      </c>
      <c r="AA1236" s="411">
        <v>213.93373475964259</v>
      </c>
      <c r="AB1236" s="441">
        <f t="shared" si="217"/>
        <v>211.81515933713737</v>
      </c>
      <c r="AC1236" s="438">
        <f t="shared" si="218"/>
        <v>218.05284499822449</v>
      </c>
      <c r="AD1236" s="410"/>
      <c r="AE1236" s="411"/>
      <c r="AF1236" s="411"/>
      <c r="AG1236" s="411"/>
    </row>
    <row r="1237" spans="1:33" s="409" customFormat="1" x14ac:dyDescent="0.2">
      <c r="A1237" s="409" t="s">
        <v>508</v>
      </c>
      <c r="B1237" s="23" t="str">
        <f>VLOOKUP(LEFT(A1237,7),'[7]Tariff Schedule Lookup Table'!$A$8:$G$186,2,FALSE)</f>
        <v>High Pressure Sodium 250</v>
      </c>
      <c r="C1237" s="375">
        <f t="shared" si="210"/>
        <v>390</v>
      </c>
      <c r="D1237" s="23">
        <f t="shared" si="211"/>
        <v>2</v>
      </c>
      <c r="E1237" s="23" t="str">
        <f>VLOOKUP(C1237,'[7]Tariff Schedule Lookup Table'!I$7:L$287,2,FALSE)</f>
        <v>HIGH PRESSURE SODIUM 250W (210/220)</v>
      </c>
      <c r="F1237" s="23" t="str">
        <f>IF(E1237 = "BULKHEADS ETC", "SHARED OR NO POLE", VLOOKUP(C1237,'[7]Tariff Schedule Lookup Table'!I$7:L$287,3,FALSE))</f>
        <v>STEEL POLE</v>
      </c>
      <c r="G1237" s="23">
        <f>IF(E1237 = "NO CAPITAL", 1, VLOOKUP(C1237,'[7]Tariff Schedule Lookup Table'!I$7:L$287,4,FALSE))</f>
        <v>2</v>
      </c>
      <c r="H1237" s="23" t="str">
        <f t="shared" si="209"/>
        <v>2-Unmetered, Funded by Others, CE Maintained</v>
      </c>
      <c r="I1237" s="374">
        <f>VLOOKUP(F1237,'Maintenance Model'!$A$57:$B$61,2,FALSE)</f>
        <v>9.9616182311111103</v>
      </c>
      <c r="J1237" s="374">
        <f>IF(D1237=1,VLOOKUP(C1237,'Capital Code Schedules'!A$15:F$300,2,FALSE),IF(D1237=2,VLOOKUP(C1237,'Capital Code Schedules'!A$15:F$300,3,FALSE),0))</f>
        <v>0</v>
      </c>
      <c r="K1237" s="374">
        <f>IF(D1237=1,VLOOKUP(C1237,'Capital Code Schedules'!E$15:G$300,2,FALSE),IF(D1237=2,VLOOKUP(C1237,'Capital Code Schedules'!E$15:G$300,3,FALSE),0))</f>
        <v>0</v>
      </c>
      <c r="L1237" s="374">
        <f>VLOOKUP(LEFT(A1237,10),'Streetlight Tariff Schedule'!B$11:H$260,7, FALSE)+I1237</f>
        <v>75.787319305969277</v>
      </c>
      <c r="M1237" s="410">
        <f t="shared" si="212"/>
        <v>75.787319305969277</v>
      </c>
      <c r="N1237" s="411">
        <f t="shared" si="213"/>
        <v>78.945272504416678</v>
      </c>
      <c r="O1237" s="411">
        <v>45.722567835524657</v>
      </c>
      <c r="P1237" s="411">
        <v>45.722567835524657</v>
      </c>
      <c r="Q1237" s="411">
        <v>47.960178286534159</v>
      </c>
      <c r="R1237" s="411">
        <v>47.960178286534159</v>
      </c>
      <c r="S1237" s="411">
        <f t="shared" si="214"/>
        <v>82.808764324235824</v>
      </c>
      <c r="T1237" s="411">
        <v>49.929959645121336</v>
      </c>
      <c r="U1237" s="411">
        <v>50.112368325583027</v>
      </c>
      <c r="V1237" s="411">
        <f t="shared" si="215"/>
        <v>86.524767977512582</v>
      </c>
      <c r="W1237" s="411">
        <v>51.747545336714637</v>
      </c>
      <c r="X1237" s="411">
        <v>52.400334620360709</v>
      </c>
      <c r="Y1237" s="411">
        <f t="shared" si="216"/>
        <v>90.475204953666108</v>
      </c>
      <c r="Z1237" s="411">
        <v>53.242304710386243</v>
      </c>
      <c r="AA1237" s="411">
        <v>54.111243839040881</v>
      </c>
      <c r="AB1237" s="441">
        <f t="shared" si="217"/>
        <v>92.439126840901437</v>
      </c>
      <c r="AC1237" s="438">
        <f t="shared" si="218"/>
        <v>95.202969956348085</v>
      </c>
      <c r="AD1237" s="410"/>
      <c r="AE1237" s="411"/>
      <c r="AF1237" s="411"/>
      <c r="AG1237" s="411"/>
    </row>
    <row r="1238" spans="1:33" s="409" customFormat="1" x14ac:dyDescent="0.2">
      <c r="A1238" s="409" t="s">
        <v>510</v>
      </c>
      <c r="B1238" s="23" t="str">
        <f>VLOOKUP(LEFT(A1238,7),'[7]Tariff Schedule Lookup Table'!$A$8:$G$186,2,FALSE)</f>
        <v>High Pressure Sodium 250</v>
      </c>
      <c r="C1238" s="375">
        <f t="shared" si="210"/>
        <v>470</v>
      </c>
      <c r="D1238" s="23">
        <f t="shared" si="211"/>
        <v>1</v>
      </c>
      <c r="E1238" s="23" t="str">
        <f>VLOOKUP(C1238,'[7]Tariff Schedule Lookup Table'!I$7:L$287,2,FALSE)</f>
        <v>HIGH PRESSURE SODIUM 250W (210/220)</v>
      </c>
      <c r="F1238" s="23" t="str">
        <f>IF(E1238 = "BULKHEADS ETC", "SHARED OR NO POLE", VLOOKUP(C1238,'[7]Tariff Schedule Lookup Table'!I$7:L$287,3,FALSE))</f>
        <v>STEEL POLE</v>
      </c>
      <c r="G1238" s="23">
        <f>IF(E1238 = "NO CAPITAL", 1, VLOOKUP(C1238,'[7]Tariff Schedule Lookup Table'!I$7:L$287,4,FALSE))</f>
        <v>4</v>
      </c>
      <c r="H1238" s="23" t="str">
        <f t="shared" si="209"/>
        <v>1-Unmetered, CE Funded, CE Maintained</v>
      </c>
      <c r="I1238" s="374">
        <f>VLOOKUP(F1238,'Maintenance Model'!$A$57:$B$61,2,FALSE)</f>
        <v>9.9616182311111103</v>
      </c>
      <c r="J1238" s="374">
        <f>IF(D1238=1,VLOOKUP(C1238,'Capital Code Schedules'!A$15:F$300,2,FALSE),IF(D1238=2,VLOOKUP(C1238,'Capital Code Schedules'!A$15:F$300,3,FALSE),0))</f>
        <v>130.52333273485345</v>
      </c>
      <c r="K1238" s="374">
        <f>IF(D1238=1,VLOOKUP(C1238,'Capital Code Schedules'!E$15:G$300,2,FALSE),IF(D1238=2,VLOOKUP(C1238,'Capital Code Schedules'!E$15:G$300,3,FALSE),0))</f>
        <v>165.56503328797476</v>
      </c>
      <c r="L1238" s="374">
        <f>VLOOKUP(LEFT(A1238,10),'Streetlight Tariff Schedule'!B$11:H$260,7, FALSE)+I1238</f>
        <v>75.787319305969277</v>
      </c>
      <c r="M1238" s="410">
        <f t="shared" si="212"/>
        <v>241.35235259394403</v>
      </c>
      <c r="N1238" s="411">
        <f t="shared" si="213"/>
        <v>212.69905772445776</v>
      </c>
      <c r="O1238" s="411">
        <v>222.89642409464736</v>
      </c>
      <c r="P1238" s="411">
        <v>215.3853356973768</v>
      </c>
      <c r="Q1238" s="411">
        <v>221.82209965296715</v>
      </c>
      <c r="R1238" s="411">
        <v>229.51908748807014</v>
      </c>
      <c r="S1238" s="411">
        <f t="shared" si="214"/>
        <v>219.8729557284729</v>
      </c>
      <c r="T1238" s="411">
        <v>228.09496356537358</v>
      </c>
      <c r="U1238" s="411">
        <v>236.84570643936277</v>
      </c>
      <c r="V1238" s="411">
        <f t="shared" si="215"/>
        <v>227.49528883677044</v>
      </c>
      <c r="W1238" s="411">
        <v>234.32213310399311</v>
      </c>
      <c r="X1238" s="411">
        <v>245.4639328961976</v>
      </c>
      <c r="Y1238" s="411">
        <f t="shared" si="216"/>
        <v>236.22462647005281</v>
      </c>
      <c r="Z1238" s="411">
        <v>240.33561352490483</v>
      </c>
      <c r="AA1238" s="411">
        <v>252.67715466573912</v>
      </c>
      <c r="AB1238" s="441">
        <f t="shared" si="217"/>
        <v>240.75373817597654</v>
      </c>
      <c r="AC1238" s="438">
        <f t="shared" si="218"/>
        <v>247.83353648127388</v>
      </c>
      <c r="AD1238" s="410"/>
      <c r="AE1238" s="411"/>
      <c r="AF1238" s="411"/>
      <c r="AG1238" s="411"/>
    </row>
    <row r="1239" spans="1:33" s="409" customFormat="1" x14ac:dyDescent="0.2">
      <c r="A1239" s="409" t="s">
        <v>511</v>
      </c>
      <c r="B1239" s="23" t="str">
        <f>VLOOKUP(LEFT(A1239,7),'[7]Tariff Schedule Lookup Table'!$A$8:$G$186,2,FALSE)</f>
        <v>High Pressure Sodium 250</v>
      </c>
      <c r="C1239" s="375">
        <f t="shared" si="210"/>
        <v>470</v>
      </c>
      <c r="D1239" s="23">
        <f t="shared" si="211"/>
        <v>2</v>
      </c>
      <c r="E1239" s="23" t="str">
        <f>VLOOKUP(C1239,'[7]Tariff Schedule Lookup Table'!I$7:L$287,2,FALSE)</f>
        <v>HIGH PRESSURE SODIUM 250W (210/220)</v>
      </c>
      <c r="F1239" s="23" t="str">
        <f>IF(E1239 = "BULKHEADS ETC", "SHARED OR NO POLE", VLOOKUP(C1239,'[7]Tariff Schedule Lookup Table'!I$7:L$287,3,FALSE))</f>
        <v>STEEL POLE</v>
      </c>
      <c r="G1239" s="23">
        <f>IF(E1239 = "NO CAPITAL", 1, VLOOKUP(C1239,'[7]Tariff Schedule Lookup Table'!I$7:L$287,4,FALSE))</f>
        <v>4</v>
      </c>
      <c r="H1239" s="23" t="str">
        <f t="shared" si="209"/>
        <v>2-Unmetered, Funded by Others, CE Maintained</v>
      </c>
      <c r="I1239" s="374">
        <f>VLOOKUP(F1239,'Maintenance Model'!$A$57:$B$61,2,FALSE)</f>
        <v>9.9616182311111103</v>
      </c>
      <c r="J1239" s="374">
        <f>IF(D1239=1,VLOOKUP(C1239,'Capital Code Schedules'!A$15:F$300,2,FALSE),IF(D1239=2,VLOOKUP(C1239,'Capital Code Schedules'!A$15:F$300,3,FALSE),0))</f>
        <v>0</v>
      </c>
      <c r="K1239" s="374">
        <f>IF(D1239=1,VLOOKUP(C1239,'Capital Code Schedules'!E$15:G$300,2,FALSE),IF(D1239=2,VLOOKUP(C1239,'Capital Code Schedules'!E$15:G$300,3,FALSE),0))</f>
        <v>0</v>
      </c>
      <c r="L1239" s="374">
        <f>VLOOKUP(LEFT(A1239,10),'Streetlight Tariff Schedule'!B$11:H$260,7, FALSE)+I1239</f>
        <v>75.787319305969277</v>
      </c>
      <c r="M1239" s="410">
        <f t="shared" si="212"/>
        <v>75.787319305969277</v>
      </c>
      <c r="N1239" s="411">
        <f t="shared" si="213"/>
        <v>78.945272504416678</v>
      </c>
      <c r="O1239" s="411">
        <v>45.722567835524657</v>
      </c>
      <c r="P1239" s="411">
        <v>45.722567835524657</v>
      </c>
      <c r="Q1239" s="411">
        <v>47.960178286534159</v>
      </c>
      <c r="R1239" s="411">
        <v>47.960178286534159</v>
      </c>
      <c r="S1239" s="411">
        <f t="shared" si="214"/>
        <v>82.808764324235824</v>
      </c>
      <c r="T1239" s="411">
        <v>49.929959645121336</v>
      </c>
      <c r="U1239" s="411">
        <v>50.112368325583027</v>
      </c>
      <c r="V1239" s="411">
        <f t="shared" si="215"/>
        <v>86.524767977512582</v>
      </c>
      <c r="W1239" s="411">
        <v>51.747545336714637</v>
      </c>
      <c r="X1239" s="411">
        <v>52.400334620360709</v>
      </c>
      <c r="Y1239" s="411">
        <f t="shared" si="216"/>
        <v>90.475204953666108</v>
      </c>
      <c r="Z1239" s="411">
        <v>53.242304710386243</v>
      </c>
      <c r="AA1239" s="411">
        <v>54.111243839040881</v>
      </c>
      <c r="AB1239" s="441">
        <f t="shared" si="217"/>
        <v>92.439126840901437</v>
      </c>
      <c r="AC1239" s="438">
        <f t="shared" si="218"/>
        <v>95.202969956348085</v>
      </c>
      <c r="AD1239" s="410"/>
      <c r="AE1239" s="411"/>
      <c r="AF1239" s="411"/>
      <c r="AG1239" s="411"/>
    </row>
    <row r="1240" spans="1:33" s="409" customFormat="1" x14ac:dyDescent="0.2">
      <c r="A1240" s="409" t="s">
        <v>512</v>
      </c>
      <c r="B1240" s="23" t="str">
        <f>VLOOKUP(LEFT(A1240,7),'[7]Tariff Schedule Lookup Table'!$A$8:$G$186,2,FALSE)</f>
        <v>High Pressure Sodium 250</v>
      </c>
      <c r="C1240" s="375">
        <f t="shared" si="210"/>
        <v>550</v>
      </c>
      <c r="D1240" s="23">
        <f t="shared" si="211"/>
        <v>1</v>
      </c>
      <c r="E1240" s="23" t="str">
        <f>VLOOKUP(C1240,'[7]Tariff Schedule Lookup Table'!I$7:L$287,2,FALSE)</f>
        <v>HIGH PRESSURE SODIUM 250W (210/220)</v>
      </c>
      <c r="F1240" s="23" t="str">
        <f>IF(E1240 = "BULKHEADS ETC", "SHARED OR NO POLE", VLOOKUP(C1240,'[7]Tariff Schedule Lookup Table'!I$7:L$287,3,FALSE))</f>
        <v>R/BOUT COLUMN</v>
      </c>
      <c r="G1240" s="23">
        <f>IF(E1240 = "NO CAPITAL", 1, VLOOKUP(C1240,'[7]Tariff Schedule Lookup Table'!I$7:L$287,4,FALSE))</f>
        <v>3</v>
      </c>
      <c r="H1240" s="23" t="str">
        <f t="shared" si="209"/>
        <v>1-Unmetered, CE Funded, CE Maintained</v>
      </c>
      <c r="I1240" s="374">
        <f>VLOOKUP(F1240,'Maintenance Model'!$A$57:$B$61,2,FALSE)</f>
        <v>9.9616182311111103</v>
      </c>
      <c r="J1240" s="374">
        <f>IF(D1240=1,VLOOKUP(C1240,'Capital Code Schedules'!A$15:F$300,2,FALSE),IF(D1240=2,VLOOKUP(C1240,'Capital Code Schedules'!A$15:F$300,3,FALSE),0))</f>
        <v>177.78992197571316</v>
      </c>
      <c r="K1240" s="374">
        <f>IF(D1240=1,VLOOKUP(C1240,'Capital Code Schedules'!E$15:G$300,2,FALSE),IF(D1240=2,VLOOKUP(C1240,'Capital Code Schedules'!E$15:G$300,3,FALSE),0))</f>
        <v>225.52132046744151</v>
      </c>
      <c r="L1240" s="374">
        <f>VLOOKUP(LEFT(A1240,10),'Streetlight Tariff Schedule'!B$11:H$260,7, FALSE)+I1240</f>
        <v>75.787319305969277</v>
      </c>
      <c r="M1240" s="410">
        <f t="shared" si="212"/>
        <v>301.30863977341079</v>
      </c>
      <c r="N1240" s="411">
        <f t="shared" si="213"/>
        <v>261.13549504902875</v>
      </c>
      <c r="O1240" s="411">
        <v>287.05662987969981</v>
      </c>
      <c r="P1240" s="411">
        <v>276.82554098453534</v>
      </c>
      <c r="Q1240" s="411">
        <v>284.78295002098287</v>
      </c>
      <c r="R1240" s="411">
        <v>295.26725836630266</v>
      </c>
      <c r="S1240" s="411">
        <f t="shared" si="214"/>
        <v>269.50819487682702</v>
      </c>
      <c r="T1240" s="411">
        <v>292.61409497999767</v>
      </c>
      <c r="U1240" s="411">
        <v>304.46770018762487</v>
      </c>
      <c r="V1240" s="411">
        <f t="shared" si="215"/>
        <v>278.54513230085263</v>
      </c>
      <c r="W1240" s="411">
        <v>300.4381130211292</v>
      </c>
      <c r="X1240" s="411">
        <v>315.37831223252579</v>
      </c>
      <c r="Y1240" s="411">
        <f t="shared" si="216"/>
        <v>289.00505962756739</v>
      </c>
      <c r="Z1240" s="411">
        <v>308.08796394499007</v>
      </c>
      <c r="AA1240" s="411">
        <v>324.58409381315272</v>
      </c>
      <c r="AB1240" s="441">
        <f t="shared" si="217"/>
        <v>294.46310695706342</v>
      </c>
      <c r="AC1240" s="438">
        <f t="shared" si="218"/>
        <v>303.10584789389031</v>
      </c>
      <c r="AD1240" s="410"/>
      <c r="AE1240" s="411"/>
      <c r="AF1240" s="411"/>
      <c r="AG1240" s="411"/>
    </row>
    <row r="1241" spans="1:33" s="409" customFormat="1" x14ac:dyDescent="0.2">
      <c r="A1241" s="409" t="s">
        <v>513</v>
      </c>
      <c r="B1241" s="23" t="str">
        <f>VLOOKUP(LEFT(A1241,7),'[7]Tariff Schedule Lookup Table'!$A$8:$G$186,2,FALSE)</f>
        <v>High Pressure Sodium 250</v>
      </c>
      <c r="C1241" s="375">
        <f t="shared" si="210"/>
        <v>550</v>
      </c>
      <c r="D1241" s="23">
        <f t="shared" si="211"/>
        <v>2</v>
      </c>
      <c r="E1241" s="23" t="str">
        <f>VLOOKUP(C1241,'[7]Tariff Schedule Lookup Table'!I$7:L$287,2,FALSE)</f>
        <v>HIGH PRESSURE SODIUM 250W (210/220)</v>
      </c>
      <c r="F1241" s="23" t="str">
        <f>IF(E1241 = "BULKHEADS ETC", "SHARED OR NO POLE", VLOOKUP(C1241,'[7]Tariff Schedule Lookup Table'!I$7:L$287,3,FALSE))</f>
        <v>R/BOUT COLUMN</v>
      </c>
      <c r="G1241" s="23">
        <f>IF(E1241 = "NO CAPITAL", 1, VLOOKUP(C1241,'[7]Tariff Schedule Lookup Table'!I$7:L$287,4,FALSE))</f>
        <v>3</v>
      </c>
      <c r="H1241" s="23" t="str">
        <f t="shared" si="209"/>
        <v>2-Unmetered, Funded by Others, CE Maintained</v>
      </c>
      <c r="I1241" s="374">
        <f>VLOOKUP(F1241,'Maintenance Model'!$A$57:$B$61,2,FALSE)</f>
        <v>9.9616182311111103</v>
      </c>
      <c r="J1241" s="374">
        <f>IF(D1241=1,VLOOKUP(C1241,'Capital Code Schedules'!A$15:F$300,2,FALSE),IF(D1241=2,VLOOKUP(C1241,'Capital Code Schedules'!A$15:F$300,3,FALSE),0))</f>
        <v>0</v>
      </c>
      <c r="K1241" s="374">
        <f>IF(D1241=1,VLOOKUP(C1241,'Capital Code Schedules'!E$15:G$300,2,FALSE),IF(D1241=2,VLOOKUP(C1241,'Capital Code Schedules'!E$15:G$300,3,FALSE),0))</f>
        <v>0</v>
      </c>
      <c r="L1241" s="374">
        <f>VLOOKUP(LEFT(A1241,10),'Streetlight Tariff Schedule'!B$11:H$260,7, FALSE)+I1241</f>
        <v>75.787319305969277</v>
      </c>
      <c r="M1241" s="410">
        <f t="shared" si="212"/>
        <v>75.787319305969277</v>
      </c>
      <c r="N1241" s="411">
        <f t="shared" si="213"/>
        <v>78.945272504416678</v>
      </c>
      <c r="O1241" s="411">
        <v>45.722567835524657</v>
      </c>
      <c r="P1241" s="411">
        <v>45.722567835524657</v>
      </c>
      <c r="Q1241" s="411">
        <v>47.960178286534159</v>
      </c>
      <c r="R1241" s="411">
        <v>47.960178286534159</v>
      </c>
      <c r="S1241" s="411">
        <f t="shared" si="214"/>
        <v>82.808764324235824</v>
      </c>
      <c r="T1241" s="411">
        <v>49.929959645121336</v>
      </c>
      <c r="U1241" s="411">
        <v>50.112368325583027</v>
      </c>
      <c r="V1241" s="411">
        <f t="shared" si="215"/>
        <v>86.524767977512582</v>
      </c>
      <c r="W1241" s="411">
        <v>51.747545336714637</v>
      </c>
      <c r="X1241" s="411">
        <v>52.400334620360709</v>
      </c>
      <c r="Y1241" s="411">
        <f t="shared" si="216"/>
        <v>90.475204953666108</v>
      </c>
      <c r="Z1241" s="411">
        <v>53.242304710386243</v>
      </c>
      <c r="AA1241" s="411">
        <v>54.111243839040881</v>
      </c>
      <c r="AB1241" s="441">
        <f t="shared" si="217"/>
        <v>92.439126840901437</v>
      </c>
      <c r="AC1241" s="438">
        <f t="shared" si="218"/>
        <v>95.202969956348085</v>
      </c>
      <c r="AD1241" s="410"/>
      <c r="AE1241" s="411"/>
      <c r="AF1241" s="411"/>
      <c r="AG1241" s="411"/>
    </row>
    <row r="1242" spans="1:33" s="409" customFormat="1" x14ac:dyDescent="0.2">
      <c r="A1242" s="409" t="s">
        <v>514</v>
      </c>
      <c r="B1242" s="23" t="str">
        <f>VLOOKUP(LEFT(A1242,7),'[7]Tariff Schedule Lookup Table'!$A$8:$G$186,2,FALSE)</f>
        <v>High Pressure Sodium 250</v>
      </c>
      <c r="C1242" s="375">
        <f t="shared" si="210"/>
        <v>590</v>
      </c>
      <c r="D1242" s="23">
        <f t="shared" si="211"/>
        <v>1</v>
      </c>
      <c r="E1242" s="23" t="str">
        <f>VLOOKUP(C1242,'[7]Tariff Schedule Lookup Table'!I$7:L$287,2,FALSE)</f>
        <v>HIGH PRESSURE SODIUM 250W (210/220)</v>
      </c>
      <c r="F1242" s="23" t="str">
        <f>IF(E1242 = "BULKHEADS ETC", "SHARED OR NO POLE", VLOOKUP(C1242,'[7]Tariff Schedule Lookup Table'!I$7:L$287,3,FALSE))</f>
        <v>R/BOUT COLUMN</v>
      </c>
      <c r="G1242" s="23">
        <f>IF(E1242 = "NO CAPITAL", 1, VLOOKUP(C1242,'[7]Tariff Schedule Lookup Table'!I$7:L$287,4,FALSE))</f>
        <v>4</v>
      </c>
      <c r="H1242" s="23" t="str">
        <f t="shared" si="209"/>
        <v>1-Unmetered, CE Funded, CE Maintained</v>
      </c>
      <c r="I1242" s="374">
        <f>VLOOKUP(F1242,'Maintenance Model'!$A$57:$B$61,2,FALSE)</f>
        <v>9.9616182311111103</v>
      </c>
      <c r="J1242" s="374">
        <f>IF(D1242=1,VLOOKUP(C1242,'Capital Code Schedules'!A$15:F$300,2,FALSE),IF(D1242=2,VLOOKUP(C1242,'Capital Code Schedules'!A$15:F$300,3,FALSE),0))</f>
        <v>190.52352832998582</v>
      </c>
      <c r="K1242" s="374">
        <f>IF(D1242=1,VLOOKUP(C1242,'Capital Code Schedules'!E$15:G$300,2,FALSE),IF(D1242=2,VLOOKUP(C1242,'Capital Code Schedules'!E$15:G$300,3,FALSE),0))</f>
        <v>241.67352801338137</v>
      </c>
      <c r="L1242" s="374">
        <f>VLOOKUP(LEFT(A1242,10),'Streetlight Tariff Schedule'!B$11:H$260,7, FALSE)+I1242</f>
        <v>75.787319305969277</v>
      </c>
      <c r="M1242" s="410">
        <f t="shared" si="212"/>
        <v>317.46084731935065</v>
      </c>
      <c r="N1242" s="411">
        <f t="shared" si="213"/>
        <v>274.18425816056964</v>
      </c>
      <c r="O1242" s="411">
        <v>304.3413719606819</v>
      </c>
      <c r="P1242" s="411">
        <v>293.37751566723722</v>
      </c>
      <c r="Q1242" s="411">
        <v>301.74458607708164</v>
      </c>
      <c r="R1242" s="411">
        <v>312.97979781378905</v>
      </c>
      <c r="S1242" s="411">
        <f t="shared" si="214"/>
        <v>282.87991487537863</v>
      </c>
      <c r="T1242" s="411">
        <v>309.99553152848489</v>
      </c>
      <c r="U1242" s="411">
        <v>322.68504700936467</v>
      </c>
      <c r="V1242" s="411">
        <f t="shared" si="215"/>
        <v>292.29794631936289</v>
      </c>
      <c r="W1242" s="411">
        <v>318.24974012419142</v>
      </c>
      <c r="X1242" s="411">
        <v>334.21322711152249</v>
      </c>
      <c r="Y1242" s="411">
        <f t="shared" si="216"/>
        <v>303.22409404130514</v>
      </c>
      <c r="Z1242" s="411">
        <v>326.34042881885307</v>
      </c>
      <c r="AA1242" s="411">
        <v>343.95580376620086</v>
      </c>
      <c r="AB1242" s="441">
        <f t="shared" si="217"/>
        <v>308.93239637648298</v>
      </c>
      <c r="AC1242" s="438">
        <f t="shared" si="218"/>
        <v>317.99619363541501</v>
      </c>
      <c r="AD1242" s="410"/>
      <c r="AE1242" s="411"/>
      <c r="AF1242" s="411"/>
      <c r="AG1242" s="411"/>
    </row>
    <row r="1243" spans="1:33" s="409" customFormat="1" x14ac:dyDescent="0.2">
      <c r="A1243" s="409" t="s">
        <v>515</v>
      </c>
      <c r="B1243" s="23" t="str">
        <f>VLOOKUP(LEFT(A1243,7),'[7]Tariff Schedule Lookup Table'!$A$8:$G$186,2,FALSE)</f>
        <v>High Pressure Sodium 250</v>
      </c>
      <c r="C1243" s="375">
        <f t="shared" si="210"/>
        <v>590</v>
      </c>
      <c r="D1243" s="23">
        <f t="shared" si="211"/>
        <v>2</v>
      </c>
      <c r="E1243" s="23" t="str">
        <f>VLOOKUP(C1243,'[7]Tariff Schedule Lookup Table'!I$7:L$287,2,FALSE)</f>
        <v>HIGH PRESSURE SODIUM 250W (210/220)</v>
      </c>
      <c r="F1243" s="23" t="str">
        <f>IF(E1243 = "BULKHEADS ETC", "SHARED OR NO POLE", VLOOKUP(C1243,'[7]Tariff Schedule Lookup Table'!I$7:L$287,3,FALSE))</f>
        <v>R/BOUT COLUMN</v>
      </c>
      <c r="G1243" s="23">
        <f>IF(E1243 = "NO CAPITAL", 1, VLOOKUP(C1243,'[7]Tariff Schedule Lookup Table'!I$7:L$287,4,FALSE))</f>
        <v>4</v>
      </c>
      <c r="H1243" s="23" t="str">
        <f t="shared" ref="H1243:H1306" si="219">VLOOKUP(D1243,A$11:B$15, 2, FALSE)</f>
        <v>2-Unmetered, Funded by Others, CE Maintained</v>
      </c>
      <c r="I1243" s="374">
        <f>VLOOKUP(F1243,'Maintenance Model'!$A$57:$B$61,2,FALSE)</f>
        <v>9.9616182311111103</v>
      </c>
      <c r="J1243" s="374">
        <f>IF(D1243=1,VLOOKUP(C1243,'Capital Code Schedules'!A$15:F$300,2,FALSE),IF(D1243=2,VLOOKUP(C1243,'Capital Code Schedules'!A$15:F$300,3,FALSE),0))</f>
        <v>0</v>
      </c>
      <c r="K1243" s="374">
        <f>IF(D1243=1,VLOOKUP(C1243,'Capital Code Schedules'!E$15:G$300,2,FALSE),IF(D1243=2,VLOOKUP(C1243,'Capital Code Schedules'!E$15:G$300,3,FALSE),0))</f>
        <v>0</v>
      </c>
      <c r="L1243" s="374">
        <f>VLOOKUP(LEFT(A1243,10),'Streetlight Tariff Schedule'!B$11:H$260,7, FALSE)+I1243</f>
        <v>75.787319305969277</v>
      </c>
      <c r="M1243" s="410">
        <f t="shared" si="212"/>
        <v>75.787319305969277</v>
      </c>
      <c r="N1243" s="411">
        <f t="shared" si="213"/>
        <v>78.945272504416678</v>
      </c>
      <c r="O1243" s="411">
        <v>45.722567835524657</v>
      </c>
      <c r="P1243" s="411">
        <v>45.722567835524657</v>
      </c>
      <c r="Q1243" s="411">
        <v>47.960178286534159</v>
      </c>
      <c r="R1243" s="411">
        <v>47.960178286534159</v>
      </c>
      <c r="S1243" s="411">
        <f t="shared" si="214"/>
        <v>82.808764324235824</v>
      </c>
      <c r="T1243" s="411">
        <v>49.929959645121336</v>
      </c>
      <c r="U1243" s="411">
        <v>50.112368325583027</v>
      </c>
      <c r="V1243" s="411">
        <f t="shared" si="215"/>
        <v>86.524767977512582</v>
      </c>
      <c r="W1243" s="411">
        <v>51.747545336714637</v>
      </c>
      <c r="X1243" s="411">
        <v>52.400334620360709</v>
      </c>
      <c r="Y1243" s="411">
        <f t="shared" si="216"/>
        <v>90.475204953666108</v>
      </c>
      <c r="Z1243" s="411">
        <v>53.242304710386243</v>
      </c>
      <c r="AA1243" s="411">
        <v>54.111243839040881</v>
      </c>
      <c r="AB1243" s="441">
        <f t="shared" si="217"/>
        <v>92.439126840901437</v>
      </c>
      <c r="AC1243" s="438">
        <f t="shared" si="218"/>
        <v>95.202969956348085</v>
      </c>
      <c r="AD1243" s="410"/>
      <c r="AE1243" s="411"/>
      <c r="AF1243" s="411"/>
      <c r="AG1243" s="411"/>
    </row>
    <row r="1244" spans="1:33" s="409" customFormat="1" x14ac:dyDescent="0.2">
      <c r="A1244" s="409" t="s">
        <v>516</v>
      </c>
      <c r="B1244" s="23" t="str">
        <f>VLOOKUP(LEFT(A1244,7),'[7]Tariff Schedule Lookup Table'!$A$8:$G$186,2,FALSE)</f>
        <v>High Pressure Sodium 250</v>
      </c>
      <c r="C1244" s="375">
        <f t="shared" si="210"/>
        <v>610</v>
      </c>
      <c r="D1244" s="23">
        <f t="shared" si="211"/>
        <v>1</v>
      </c>
      <c r="E1244" s="23" t="str">
        <f>VLOOKUP(C1244,'[7]Tariff Schedule Lookup Table'!I$7:L$287,2,FALSE)</f>
        <v>METAL HALIDE/HPS 250W FLOOD (210/220)</v>
      </c>
      <c r="F1244" s="23" t="str">
        <f>IF(E1244 = "BULKHEADS ETC", "SHARED OR NO POLE", VLOOKUP(C1244,'[7]Tariff Schedule Lookup Table'!I$7:L$287,3,FALSE))</f>
        <v>SHARED OR NO POLE</v>
      </c>
      <c r="G1244" s="23">
        <f>IF(E1244 = "NO CAPITAL", 1, VLOOKUP(C1244,'[7]Tariff Schedule Lookup Table'!I$7:L$287,4,FALSE))</f>
        <v>1</v>
      </c>
      <c r="H1244" s="23" t="str">
        <f t="shared" si="219"/>
        <v>1-Unmetered, CE Funded, CE Maintained</v>
      </c>
      <c r="I1244" s="374">
        <f>VLOOKUP(F1244,'Maintenance Model'!$A$57:$B$61,2,FALSE)</f>
        <v>0</v>
      </c>
      <c r="J1244" s="374">
        <f>IF(D1244=1,VLOOKUP(C1244,'Capital Code Schedules'!A$15:F$300,2,FALSE),IF(D1244=2,VLOOKUP(C1244,'Capital Code Schedules'!A$15:F$300,3,FALSE),0))</f>
        <v>37.215587737644988</v>
      </c>
      <c r="K1244" s="374">
        <f>IF(D1244=1,VLOOKUP(C1244,'Capital Code Schedules'!E$15:G$300,2,FALSE),IF(D1244=2,VLOOKUP(C1244,'Capital Code Schedules'!E$15:G$300,3,FALSE),0))</f>
        <v>47.206885493274058</v>
      </c>
      <c r="L1244" s="374">
        <f>VLOOKUP(LEFT(A1244,10),'Streetlight Tariff Schedule'!B$11:H$260,7, FALSE)+I1244</f>
        <v>65.825701074858159</v>
      </c>
      <c r="M1244" s="410">
        <f t="shared" si="212"/>
        <v>113.03258656813222</v>
      </c>
      <c r="N1244" s="411">
        <f t="shared" si="213"/>
        <v>106.70524089789599</v>
      </c>
      <c r="O1244" s="411">
        <v>86.645314636825745</v>
      </c>
      <c r="P1244" s="411">
        <v>84.503708508658079</v>
      </c>
      <c r="Q1244" s="411">
        <v>87.469081459053328</v>
      </c>
      <c r="R1244" s="411">
        <v>89.663692338893142</v>
      </c>
      <c r="S1244" s="411">
        <f t="shared" si="214"/>
        <v>111.00479124374542</v>
      </c>
      <c r="T1244" s="411">
        <v>90.252457634972089</v>
      </c>
      <c r="U1244" s="411">
        <v>92.839645236285335</v>
      </c>
      <c r="V1244" s="411">
        <f t="shared" si="215"/>
        <v>115.34615270830268</v>
      </c>
      <c r="W1244" s="411">
        <v>92.945940137273311</v>
      </c>
      <c r="X1244" s="411">
        <v>96.452441485524972</v>
      </c>
      <c r="Y1244" s="411">
        <f t="shared" si="216"/>
        <v>120.13992585130417</v>
      </c>
      <c r="Z1244" s="411">
        <v>95.41545386537598</v>
      </c>
      <c r="AA1244" s="411">
        <v>99.373197083625826</v>
      </c>
      <c r="AB1244" s="441">
        <f t="shared" si="217"/>
        <v>122.57710855404686</v>
      </c>
      <c r="AC1244" s="438">
        <f t="shared" si="218"/>
        <v>126.20825805465434</v>
      </c>
      <c r="AD1244" s="410"/>
      <c r="AE1244" s="411"/>
      <c r="AF1244" s="411"/>
      <c r="AG1244" s="411"/>
    </row>
    <row r="1245" spans="1:33" s="409" customFormat="1" x14ac:dyDescent="0.2">
      <c r="A1245" s="409" t="s">
        <v>517</v>
      </c>
      <c r="B1245" s="23" t="str">
        <f>VLOOKUP(LEFT(A1245,7),'[7]Tariff Schedule Lookup Table'!$A$8:$G$186,2,FALSE)</f>
        <v>High Pressure Sodium 250</v>
      </c>
      <c r="C1245" s="375">
        <f t="shared" si="210"/>
        <v>610</v>
      </c>
      <c r="D1245" s="23">
        <f t="shared" si="211"/>
        <v>2</v>
      </c>
      <c r="E1245" s="23" t="str">
        <f>VLOOKUP(C1245,'[7]Tariff Schedule Lookup Table'!I$7:L$287,2,FALSE)</f>
        <v>METAL HALIDE/HPS 250W FLOOD (210/220)</v>
      </c>
      <c r="F1245" s="23" t="str">
        <f>IF(E1245 = "BULKHEADS ETC", "SHARED OR NO POLE", VLOOKUP(C1245,'[7]Tariff Schedule Lookup Table'!I$7:L$287,3,FALSE))</f>
        <v>SHARED OR NO POLE</v>
      </c>
      <c r="G1245" s="23">
        <f>IF(E1245 = "NO CAPITAL", 1, VLOOKUP(C1245,'[7]Tariff Schedule Lookup Table'!I$7:L$287,4,FALSE))</f>
        <v>1</v>
      </c>
      <c r="H1245" s="23" t="str">
        <f t="shared" si="219"/>
        <v>2-Unmetered, Funded by Others, CE Maintained</v>
      </c>
      <c r="I1245" s="374">
        <f>VLOOKUP(F1245,'Maintenance Model'!$A$57:$B$61,2,FALSE)</f>
        <v>0</v>
      </c>
      <c r="J1245" s="374">
        <f>IF(D1245=1,VLOOKUP(C1245,'Capital Code Schedules'!A$15:F$300,2,FALSE),IF(D1245=2,VLOOKUP(C1245,'Capital Code Schedules'!A$15:F$300,3,FALSE),0))</f>
        <v>0</v>
      </c>
      <c r="K1245" s="374">
        <f>IF(D1245=1,VLOOKUP(C1245,'Capital Code Schedules'!E$15:G$300,2,FALSE),IF(D1245=2,VLOOKUP(C1245,'Capital Code Schedules'!E$15:G$300,3,FALSE),0))</f>
        <v>0</v>
      </c>
      <c r="L1245" s="374">
        <f>VLOOKUP(LEFT(A1245,10),'Streetlight Tariff Schedule'!B$11:H$260,7, FALSE)+I1245</f>
        <v>65.825701074858159</v>
      </c>
      <c r="M1245" s="410">
        <f t="shared" si="212"/>
        <v>65.825701074858159</v>
      </c>
      <c r="N1245" s="411">
        <f t="shared" si="213"/>
        <v>68.568567363744279</v>
      </c>
      <c r="O1245" s="411">
        <v>36.128452599425493</v>
      </c>
      <c r="P1245" s="411">
        <v>36.128452599425493</v>
      </c>
      <c r="Q1245" s="411">
        <v>37.896537966067243</v>
      </c>
      <c r="R1245" s="411">
        <v>37.896537966067243</v>
      </c>
      <c r="S1245" s="411">
        <f t="shared" si="214"/>
        <v>71.92423503962344</v>
      </c>
      <c r="T1245" s="411">
        <v>39.452993690534583</v>
      </c>
      <c r="U1245" s="411">
        <v>39.597126963833894</v>
      </c>
      <c r="V1245" s="411">
        <f t="shared" si="215"/>
        <v>75.151800652363235</v>
      </c>
      <c r="W1245" s="411">
        <v>40.889189460210986</v>
      </c>
      <c r="X1245" s="411">
        <v>41.405001843637443</v>
      </c>
      <c r="Y1245" s="411">
        <f t="shared" si="216"/>
        <v>78.582985260668394</v>
      </c>
      <c r="Z1245" s="411">
        <v>42.070298609056358</v>
      </c>
      <c r="AA1245" s="411">
        <v>42.75690541194448</v>
      </c>
      <c r="AB1245" s="441">
        <f t="shared" si="217"/>
        <v>80.288765809015871</v>
      </c>
      <c r="AC1245" s="438">
        <f t="shared" si="218"/>
        <v>82.689324535742955</v>
      </c>
      <c r="AD1245" s="410"/>
      <c r="AE1245" s="411"/>
      <c r="AF1245" s="411"/>
      <c r="AG1245" s="411"/>
    </row>
    <row r="1246" spans="1:33" s="409" customFormat="1" x14ac:dyDescent="0.2">
      <c r="A1246" s="409" t="s">
        <v>518</v>
      </c>
      <c r="B1246" s="23" t="str">
        <f>VLOOKUP(LEFT(A1246,7),'[7]Tariff Schedule Lookup Table'!$A$8:$G$186,2,FALSE)</f>
        <v>High Pressure Sodium 250</v>
      </c>
      <c r="C1246" s="375">
        <f t="shared" si="210"/>
        <v>650</v>
      </c>
      <c r="D1246" s="23">
        <f t="shared" si="211"/>
        <v>2</v>
      </c>
      <c r="E1246" s="23" t="str">
        <f>VLOOKUP(C1246,'[7]Tariff Schedule Lookup Table'!I$7:L$287,2,FALSE)</f>
        <v>METAL HALIDE/HPS 250W FLOOD (210/220)</v>
      </c>
      <c r="F1246" s="23" t="str">
        <f>IF(E1246 = "BULKHEADS ETC", "SHARED OR NO POLE", VLOOKUP(C1246,'[7]Tariff Schedule Lookup Table'!I$7:L$287,3,FALSE))</f>
        <v>SHARED OR NO POLE</v>
      </c>
      <c r="G1246" s="23">
        <f>IF(E1246 = "NO CAPITAL", 1, VLOOKUP(C1246,'[7]Tariff Schedule Lookup Table'!I$7:L$287,4,FALSE))</f>
        <v>2</v>
      </c>
      <c r="H1246" s="23" t="str">
        <f t="shared" si="219"/>
        <v>2-Unmetered, Funded by Others, CE Maintained</v>
      </c>
      <c r="I1246" s="374">
        <f>VLOOKUP(F1246,'Maintenance Model'!$A$57:$B$61,2,FALSE)</f>
        <v>0</v>
      </c>
      <c r="J1246" s="374">
        <f>IF(D1246=1,VLOOKUP(C1246,'Capital Code Schedules'!A$15:F$300,2,FALSE),IF(D1246=2,VLOOKUP(C1246,'Capital Code Schedules'!A$15:F$300,3,FALSE),0))</f>
        <v>0</v>
      </c>
      <c r="K1246" s="374">
        <f>IF(D1246=1,VLOOKUP(C1246,'Capital Code Schedules'!E$15:G$300,2,FALSE),IF(D1246=2,VLOOKUP(C1246,'Capital Code Schedules'!E$15:G$300,3,FALSE),0))</f>
        <v>0</v>
      </c>
      <c r="L1246" s="374">
        <f>VLOOKUP(LEFT(A1246,10),'Streetlight Tariff Schedule'!B$11:H$260,7, FALSE)+I1246</f>
        <v>65.825701074858159</v>
      </c>
      <c r="M1246" s="410">
        <f t="shared" si="212"/>
        <v>65.825701074858159</v>
      </c>
      <c r="N1246" s="411">
        <f t="shared" si="213"/>
        <v>68.568567363744279</v>
      </c>
      <c r="O1246" s="411">
        <v>36.128452599425493</v>
      </c>
      <c r="P1246" s="411">
        <v>36.128452599425493</v>
      </c>
      <c r="Q1246" s="411">
        <v>37.896537966067243</v>
      </c>
      <c r="R1246" s="411">
        <v>37.896537966067243</v>
      </c>
      <c r="S1246" s="411">
        <f t="shared" si="214"/>
        <v>71.92423503962344</v>
      </c>
      <c r="T1246" s="411">
        <v>39.452993690534583</v>
      </c>
      <c r="U1246" s="411">
        <v>39.597126963833894</v>
      </c>
      <c r="V1246" s="411">
        <f t="shared" si="215"/>
        <v>75.151800652363235</v>
      </c>
      <c r="W1246" s="411">
        <v>40.889189460210986</v>
      </c>
      <c r="X1246" s="411">
        <v>41.405001843637443</v>
      </c>
      <c r="Y1246" s="411">
        <f t="shared" si="216"/>
        <v>78.582985260668394</v>
      </c>
      <c r="Z1246" s="411">
        <v>42.070298609056358</v>
      </c>
      <c r="AA1246" s="411">
        <v>42.75690541194448</v>
      </c>
      <c r="AB1246" s="441">
        <f t="shared" si="217"/>
        <v>80.288765809015871</v>
      </c>
      <c r="AC1246" s="438">
        <f t="shared" si="218"/>
        <v>82.689324535742955</v>
      </c>
      <c r="AD1246" s="410"/>
      <c r="AE1246" s="411"/>
      <c r="AF1246" s="411"/>
      <c r="AG1246" s="411"/>
    </row>
    <row r="1247" spans="1:33" s="409" customFormat="1" x14ac:dyDescent="0.2">
      <c r="A1247" s="409" t="s">
        <v>519</v>
      </c>
      <c r="B1247" s="23" t="str">
        <f>VLOOKUP(LEFT(A1247,7),'[7]Tariff Schedule Lookup Table'!$A$8:$G$186,2,FALSE)</f>
        <v>High Pressure Sodium 250</v>
      </c>
      <c r="C1247" s="375">
        <f t="shared" ref="C1247:C1310" si="220">1*MID(A1247,12,4)</f>
        <v>760</v>
      </c>
      <c r="D1247" s="23">
        <f t="shared" ref="D1247:D1310" si="221">1*(MID(A1247,17,3))</f>
        <v>1</v>
      </c>
      <c r="E1247" s="23" t="str">
        <f>VLOOKUP(C1247,'[7]Tariff Schedule Lookup Table'!I$7:L$287,2,FALSE)</f>
        <v>HIGH PRESSURE SODIUM 250W (210/220)</v>
      </c>
      <c r="F1247" s="23" t="str">
        <f>IF(E1247 = "BULKHEADS ETC", "SHARED OR NO POLE", VLOOKUP(C1247,'[7]Tariff Schedule Lookup Table'!I$7:L$287,3,FALSE))</f>
        <v>WOOD POLE</v>
      </c>
      <c r="G1247" s="23">
        <f>IF(E1247 = "NO CAPITAL", 1, VLOOKUP(C1247,'[7]Tariff Schedule Lookup Table'!I$7:L$287,4,FALSE))</f>
        <v>2</v>
      </c>
      <c r="H1247" s="23" t="str">
        <f t="shared" si="219"/>
        <v>1-Unmetered, CE Funded, CE Maintained</v>
      </c>
      <c r="I1247" s="374">
        <f>VLOOKUP(F1247,'Maintenance Model'!$A$57:$B$61,2,FALSE)</f>
        <v>10.731618231111112</v>
      </c>
      <c r="J1247" s="374">
        <f>IF(D1247=1,VLOOKUP(C1247,'Capital Code Schedules'!A$15:F$300,2,FALSE),IF(D1247=2,VLOOKUP(C1247,'Capital Code Schedules'!A$15:F$300,3,FALSE),0))</f>
        <v>78.772854852678023</v>
      </c>
      <c r="K1247" s="374">
        <f>IF(D1247=1,VLOOKUP(C1247,'Capital Code Schedules'!E$15:G$300,2,FALSE),IF(D1247=2,VLOOKUP(C1247,'Capital Code Schedules'!E$15:G$300,3,FALSE),0))</f>
        <v>99.921064399774139</v>
      </c>
      <c r="L1247" s="374">
        <f>VLOOKUP(LEFT(A1247,10),'Streetlight Tariff Schedule'!B$11:H$260,7, FALSE)+I1247</f>
        <v>76.557319305969273</v>
      </c>
      <c r="M1247" s="410">
        <f t="shared" si="212"/>
        <v>176.4783837057434</v>
      </c>
      <c r="N1247" s="411">
        <f t="shared" si="213"/>
        <v>160.46984035402349</v>
      </c>
      <c r="O1247" s="411">
        <v>153.45182171320448</v>
      </c>
      <c r="P1247" s="411">
        <v>148.91876341851821</v>
      </c>
      <c r="Q1247" s="411">
        <v>153.72988122993297</v>
      </c>
      <c r="R1247" s="411">
        <v>158.37513271741273</v>
      </c>
      <c r="S1247" s="411">
        <f t="shared" si="214"/>
        <v>166.37046674784659</v>
      </c>
      <c r="T1247" s="411">
        <v>158.33119436890499</v>
      </c>
      <c r="U1247" s="411">
        <v>163.6879254640159</v>
      </c>
      <c r="V1247" s="411">
        <f t="shared" si="215"/>
        <v>172.48175542647047</v>
      </c>
      <c r="W1247" s="411">
        <v>162.8419171409785</v>
      </c>
      <c r="X1247" s="411">
        <v>169.8364383899974</v>
      </c>
      <c r="Y1247" s="411">
        <f t="shared" si="216"/>
        <v>179.35646952135465</v>
      </c>
      <c r="Z1247" s="411">
        <v>167.09001643011669</v>
      </c>
      <c r="AA1247" s="411">
        <v>174.89809203855285</v>
      </c>
      <c r="AB1247" s="441">
        <f t="shared" si="217"/>
        <v>182.8884767012045</v>
      </c>
      <c r="AC1247" s="438">
        <f t="shared" si="218"/>
        <v>188.28514636196829</v>
      </c>
      <c r="AD1247" s="410"/>
      <c r="AE1247" s="411"/>
      <c r="AF1247" s="411"/>
      <c r="AG1247" s="411"/>
    </row>
    <row r="1248" spans="1:33" s="409" customFormat="1" x14ac:dyDescent="0.2">
      <c r="A1248" s="409" t="s">
        <v>520</v>
      </c>
      <c r="B1248" s="23" t="str">
        <f>VLOOKUP(LEFT(A1248,7),'[7]Tariff Schedule Lookup Table'!$A$8:$G$186,2,FALSE)</f>
        <v>High Pressure Sodium 250</v>
      </c>
      <c r="C1248" s="375">
        <f t="shared" si="220"/>
        <v>760</v>
      </c>
      <c r="D1248" s="23">
        <f t="shared" si="221"/>
        <v>2</v>
      </c>
      <c r="E1248" s="23" t="str">
        <f>VLOOKUP(C1248,'[7]Tariff Schedule Lookup Table'!I$7:L$287,2,FALSE)</f>
        <v>HIGH PRESSURE SODIUM 250W (210/220)</v>
      </c>
      <c r="F1248" s="23" t="str">
        <f>IF(E1248 = "BULKHEADS ETC", "SHARED OR NO POLE", VLOOKUP(C1248,'[7]Tariff Schedule Lookup Table'!I$7:L$287,3,FALSE))</f>
        <v>WOOD POLE</v>
      </c>
      <c r="G1248" s="23">
        <f>IF(E1248 = "NO CAPITAL", 1, VLOOKUP(C1248,'[7]Tariff Schedule Lookup Table'!I$7:L$287,4,FALSE))</f>
        <v>2</v>
      </c>
      <c r="H1248" s="23" t="str">
        <f t="shared" si="219"/>
        <v>2-Unmetered, Funded by Others, CE Maintained</v>
      </c>
      <c r="I1248" s="374">
        <f>VLOOKUP(F1248,'Maintenance Model'!$A$57:$B$61,2,FALSE)</f>
        <v>10.731618231111112</v>
      </c>
      <c r="J1248" s="374">
        <f>IF(D1248=1,VLOOKUP(C1248,'Capital Code Schedules'!A$15:F$300,2,FALSE),IF(D1248=2,VLOOKUP(C1248,'Capital Code Schedules'!A$15:F$300,3,FALSE),0))</f>
        <v>0</v>
      </c>
      <c r="K1248" s="374">
        <f>IF(D1248=1,VLOOKUP(C1248,'Capital Code Schedules'!E$15:G$300,2,FALSE),IF(D1248=2,VLOOKUP(C1248,'Capital Code Schedules'!E$15:G$300,3,FALSE),0))</f>
        <v>0</v>
      </c>
      <c r="L1248" s="374">
        <f>VLOOKUP(LEFT(A1248,10),'Streetlight Tariff Schedule'!B$11:H$260,7, FALSE)+I1248</f>
        <v>76.557319305969273</v>
      </c>
      <c r="M1248" s="410">
        <f t="shared" si="212"/>
        <v>76.557319305969273</v>
      </c>
      <c r="N1248" s="411">
        <f t="shared" si="213"/>
        <v>79.747357343741669</v>
      </c>
      <c r="O1248" s="411">
        <v>46.524652674849662</v>
      </c>
      <c r="P1248" s="411">
        <v>46.524652674849662</v>
      </c>
      <c r="Q1248" s="411">
        <v>48.80151624535862</v>
      </c>
      <c r="R1248" s="411">
        <v>48.80151624535862</v>
      </c>
      <c r="S1248" s="411">
        <f t="shared" si="214"/>
        <v>83.650102283060278</v>
      </c>
      <c r="T1248" s="411">
        <v>50.805852350962439</v>
      </c>
      <c r="U1248" s="411">
        <v>50.991460922508246</v>
      </c>
      <c r="V1248" s="411">
        <f t="shared" si="215"/>
        <v>87.4038605744378</v>
      </c>
      <c r="W1248" s="411">
        <v>52.65532290809184</v>
      </c>
      <c r="X1248" s="411">
        <v>53.319563700532647</v>
      </c>
      <c r="Y1248" s="411">
        <f t="shared" si="216"/>
        <v>91.394434033838039</v>
      </c>
      <c r="Z1248" s="411">
        <v>54.176303989966136</v>
      </c>
      <c r="AA1248" s="411">
        <v>55.060486420438323</v>
      </c>
      <c r="AB1248" s="441">
        <f t="shared" si="217"/>
        <v>93.378309389107585</v>
      </c>
      <c r="AC1248" s="438">
        <f t="shared" si="218"/>
        <v>96.170233181089344</v>
      </c>
      <c r="AD1248" s="410"/>
      <c r="AE1248" s="411"/>
      <c r="AF1248" s="411"/>
      <c r="AG1248" s="411"/>
    </row>
    <row r="1249" spans="1:33" s="409" customFormat="1" x14ac:dyDescent="0.2">
      <c r="A1249" s="409" t="s">
        <v>522</v>
      </c>
      <c r="B1249" s="23" t="str">
        <f>VLOOKUP(LEFT(A1249,7),'[7]Tariff Schedule Lookup Table'!$A$8:$G$186,2,FALSE)</f>
        <v>High Pressure Sodium 250</v>
      </c>
      <c r="C1249" s="375">
        <f t="shared" si="220"/>
        <v>960</v>
      </c>
      <c r="D1249" s="23">
        <f t="shared" si="221"/>
        <v>1</v>
      </c>
      <c r="E1249" s="23" t="str">
        <f>VLOOKUP(C1249,'[7]Tariff Schedule Lookup Table'!I$7:L$287,2,FALSE)</f>
        <v>HIGH PRESSURE SODIUM 250W (210/220)</v>
      </c>
      <c r="F1249" s="23" t="str">
        <f>IF(E1249 = "BULKHEADS ETC", "SHARED OR NO POLE", VLOOKUP(C1249,'[7]Tariff Schedule Lookup Table'!I$7:L$287,3,FALSE))</f>
        <v>SHARED OR NO POLE</v>
      </c>
      <c r="G1249" s="23">
        <f>IF(E1249 = "NO CAPITAL", 1, VLOOKUP(C1249,'[7]Tariff Schedule Lookup Table'!I$7:L$287,4,FALSE))</f>
        <v>2</v>
      </c>
      <c r="H1249" s="23" t="str">
        <f t="shared" si="219"/>
        <v>1-Unmetered, CE Funded, CE Maintained</v>
      </c>
      <c r="I1249" s="374">
        <f>VLOOKUP(F1249,'Maintenance Model'!$A$57:$B$61,2,FALSE)</f>
        <v>0</v>
      </c>
      <c r="J1249" s="374">
        <f>IF(D1249=1,VLOOKUP(C1249,'Capital Code Schedules'!A$15:F$300,2,FALSE),IF(D1249=2,VLOOKUP(C1249,'Capital Code Schedules'!A$15:F$300,3,FALSE),0))</f>
        <v>44.871736490801723</v>
      </c>
      <c r="K1249" s="374">
        <f>IF(D1249=1,VLOOKUP(C1249,'Capital Code Schedules'!E$15:G$300,2,FALSE),IF(D1249=2,VLOOKUP(C1249,'Capital Code Schedules'!E$15:G$300,3,FALSE),0))</f>
        <v>56.918486450852114</v>
      </c>
      <c r="L1249" s="374">
        <f>VLOOKUP(LEFT(A1249,10),'Streetlight Tariff Schedule'!B$11:H$260,7, FALSE)+I1249</f>
        <v>65.825701074858159</v>
      </c>
      <c r="M1249" s="410">
        <f t="shared" si="212"/>
        <v>122.74418752571027</v>
      </c>
      <c r="N1249" s="411">
        <f t="shared" si="213"/>
        <v>114.55087933269334</v>
      </c>
      <c r="O1249" s="411">
        <v>97.037858025568354</v>
      </c>
      <c r="P1249" s="411">
        <v>94.455671589936216</v>
      </c>
      <c r="Q1249" s="411">
        <v>97.667355626593093</v>
      </c>
      <c r="R1249" s="411">
        <v>100.31345117650713</v>
      </c>
      <c r="S1249" s="411">
        <f t="shared" si="214"/>
        <v>119.04460922980401</v>
      </c>
      <c r="T1249" s="411">
        <v>100.70313908815845</v>
      </c>
      <c r="U1249" s="411">
        <v>103.79292220077133</v>
      </c>
      <c r="V1249" s="411">
        <f t="shared" si="215"/>
        <v>123.61510550696394</v>
      </c>
      <c r="W1249" s="411">
        <v>103.65527595642605</v>
      </c>
      <c r="X1249" s="411">
        <v>107.77703453910704</v>
      </c>
      <c r="Y1249" s="411">
        <f t="shared" si="216"/>
        <v>128.68919614984006</v>
      </c>
      <c r="Z1249" s="411">
        <v>106.38984574605274</v>
      </c>
      <c r="AA1249" s="411">
        <v>111.02054103923498</v>
      </c>
      <c r="AB1249" s="441">
        <f t="shared" si="217"/>
        <v>131.27684600983696</v>
      </c>
      <c r="AC1249" s="438">
        <f t="shared" si="218"/>
        <v>135.16115787040795</v>
      </c>
      <c r="AD1249" s="410"/>
      <c r="AE1249" s="411"/>
      <c r="AF1249" s="411"/>
      <c r="AG1249" s="411"/>
    </row>
    <row r="1250" spans="1:33" s="409" customFormat="1" x14ac:dyDescent="0.2">
      <c r="A1250" s="409" t="s">
        <v>523</v>
      </c>
      <c r="B1250" s="23" t="str">
        <f>VLOOKUP(LEFT(A1250,7),'[7]Tariff Schedule Lookup Table'!$A$8:$G$186,2,FALSE)</f>
        <v>High Pressure Sodium 250</v>
      </c>
      <c r="C1250" s="375">
        <f t="shared" si="220"/>
        <v>960</v>
      </c>
      <c r="D1250" s="23">
        <f t="shared" si="221"/>
        <v>2</v>
      </c>
      <c r="E1250" s="23" t="str">
        <f>VLOOKUP(C1250,'[7]Tariff Schedule Lookup Table'!I$7:L$287,2,FALSE)</f>
        <v>HIGH PRESSURE SODIUM 250W (210/220)</v>
      </c>
      <c r="F1250" s="23" t="str">
        <f>IF(E1250 = "BULKHEADS ETC", "SHARED OR NO POLE", VLOOKUP(C1250,'[7]Tariff Schedule Lookup Table'!I$7:L$287,3,FALSE))</f>
        <v>SHARED OR NO POLE</v>
      </c>
      <c r="G1250" s="23">
        <f>IF(E1250 = "NO CAPITAL", 1, VLOOKUP(C1250,'[7]Tariff Schedule Lookup Table'!I$7:L$287,4,FALSE))</f>
        <v>2</v>
      </c>
      <c r="H1250" s="23" t="str">
        <f t="shared" si="219"/>
        <v>2-Unmetered, Funded by Others, CE Maintained</v>
      </c>
      <c r="I1250" s="374">
        <f>VLOOKUP(F1250,'Maintenance Model'!$A$57:$B$61,2,FALSE)</f>
        <v>0</v>
      </c>
      <c r="J1250" s="374">
        <f>IF(D1250=1,VLOOKUP(C1250,'Capital Code Schedules'!A$15:F$300,2,FALSE),IF(D1250=2,VLOOKUP(C1250,'Capital Code Schedules'!A$15:F$300,3,FALSE),0))</f>
        <v>0</v>
      </c>
      <c r="K1250" s="374">
        <f>IF(D1250=1,VLOOKUP(C1250,'Capital Code Schedules'!E$15:G$300,2,FALSE),IF(D1250=2,VLOOKUP(C1250,'Capital Code Schedules'!E$15:G$300,3,FALSE),0))</f>
        <v>0</v>
      </c>
      <c r="L1250" s="374">
        <f>VLOOKUP(LEFT(A1250,10),'Streetlight Tariff Schedule'!B$11:H$260,7, FALSE)+I1250</f>
        <v>65.825701074858159</v>
      </c>
      <c r="M1250" s="410">
        <f t="shared" si="212"/>
        <v>65.825701074858159</v>
      </c>
      <c r="N1250" s="411">
        <f t="shared" si="213"/>
        <v>68.568567363744279</v>
      </c>
      <c r="O1250" s="411">
        <v>36.128452599425493</v>
      </c>
      <c r="P1250" s="411">
        <v>36.128452599425493</v>
      </c>
      <c r="Q1250" s="411">
        <v>37.896537966067243</v>
      </c>
      <c r="R1250" s="411">
        <v>37.896537966067243</v>
      </c>
      <c r="S1250" s="411">
        <f t="shared" si="214"/>
        <v>71.92423503962344</v>
      </c>
      <c r="T1250" s="411">
        <v>39.452993690534583</v>
      </c>
      <c r="U1250" s="411">
        <v>39.597126963833894</v>
      </c>
      <c r="V1250" s="411">
        <f t="shared" si="215"/>
        <v>75.151800652363235</v>
      </c>
      <c r="W1250" s="411">
        <v>40.889189460210986</v>
      </c>
      <c r="X1250" s="411">
        <v>41.405001843637443</v>
      </c>
      <c r="Y1250" s="411">
        <f t="shared" si="216"/>
        <v>78.582985260668394</v>
      </c>
      <c r="Z1250" s="411">
        <v>42.070298609056358</v>
      </c>
      <c r="AA1250" s="411">
        <v>42.75690541194448</v>
      </c>
      <c r="AB1250" s="441">
        <f t="shared" si="217"/>
        <v>80.288765809015871</v>
      </c>
      <c r="AC1250" s="438">
        <f t="shared" si="218"/>
        <v>82.689324535742955</v>
      </c>
      <c r="AD1250" s="410"/>
      <c r="AE1250" s="411"/>
      <c r="AF1250" s="411"/>
      <c r="AG1250" s="411"/>
    </row>
    <row r="1251" spans="1:33" s="409" customFormat="1" x14ac:dyDescent="0.2">
      <c r="A1251" s="409" t="s">
        <v>524</v>
      </c>
      <c r="B1251" s="23" t="str">
        <f>VLOOKUP(LEFT(A1251,7),'[7]Tariff Schedule Lookup Table'!$A$8:$G$186,2,FALSE)</f>
        <v>High Pressure Sodium 250</v>
      </c>
      <c r="C1251" s="375">
        <f t="shared" si="220"/>
        <v>970</v>
      </c>
      <c r="D1251" s="23">
        <f t="shared" si="221"/>
        <v>2</v>
      </c>
      <c r="E1251" s="23" t="str">
        <f>VLOOKUP(C1251,'[7]Tariff Schedule Lookup Table'!I$7:L$287,2,FALSE)</f>
        <v>HIGH PRESSURE SODIUM 250W (210/220)</v>
      </c>
      <c r="F1251" s="23" t="str">
        <f>IF(E1251 = "BULKHEADS ETC", "SHARED OR NO POLE", VLOOKUP(C1251,'[7]Tariff Schedule Lookup Table'!I$7:L$287,3,FALSE))</f>
        <v>SHARED OR NO POLE</v>
      </c>
      <c r="G1251" s="23">
        <f>IF(E1251 = "NO CAPITAL", 1, VLOOKUP(C1251,'[7]Tariff Schedule Lookup Table'!I$7:L$287,4,FALSE))</f>
        <v>4</v>
      </c>
      <c r="H1251" s="23" t="str">
        <f t="shared" si="219"/>
        <v>2-Unmetered, Funded by Others, CE Maintained</v>
      </c>
      <c r="I1251" s="374">
        <f>VLOOKUP(F1251,'Maintenance Model'!$A$57:$B$61,2,FALSE)</f>
        <v>0</v>
      </c>
      <c r="J1251" s="374">
        <f>IF(D1251=1,VLOOKUP(C1251,'Capital Code Schedules'!A$15:F$300,2,FALSE),IF(D1251=2,VLOOKUP(C1251,'Capital Code Schedules'!A$15:F$300,3,FALSE),0))</f>
        <v>0</v>
      </c>
      <c r="K1251" s="374">
        <f>IF(D1251=1,VLOOKUP(C1251,'Capital Code Schedules'!E$15:G$300,2,FALSE),IF(D1251=2,VLOOKUP(C1251,'Capital Code Schedules'!E$15:G$300,3,FALSE),0))</f>
        <v>0</v>
      </c>
      <c r="L1251" s="374">
        <f>VLOOKUP(LEFT(A1251,10),'Streetlight Tariff Schedule'!B$11:H$260,7, FALSE)+I1251</f>
        <v>65.825701074858159</v>
      </c>
      <c r="M1251" s="410">
        <f t="shared" si="212"/>
        <v>65.825701074858159</v>
      </c>
      <c r="N1251" s="411">
        <f t="shared" si="213"/>
        <v>68.568567363744279</v>
      </c>
      <c r="O1251" s="411">
        <v>36.128452599425493</v>
      </c>
      <c r="P1251" s="411">
        <v>36.128452599425493</v>
      </c>
      <c r="Q1251" s="411">
        <v>37.896537966067243</v>
      </c>
      <c r="R1251" s="411">
        <v>37.896537966067243</v>
      </c>
      <c r="S1251" s="411">
        <f t="shared" si="214"/>
        <v>71.92423503962344</v>
      </c>
      <c r="T1251" s="411">
        <v>39.452993690534583</v>
      </c>
      <c r="U1251" s="411">
        <v>39.597126963833894</v>
      </c>
      <c r="V1251" s="411">
        <f t="shared" si="215"/>
        <v>75.151800652363235</v>
      </c>
      <c r="W1251" s="411">
        <v>40.889189460210986</v>
      </c>
      <c r="X1251" s="411">
        <v>41.405001843637443</v>
      </c>
      <c r="Y1251" s="411">
        <f t="shared" si="216"/>
        <v>78.582985260668394</v>
      </c>
      <c r="Z1251" s="411">
        <v>42.070298609056358</v>
      </c>
      <c r="AA1251" s="411">
        <v>42.75690541194448</v>
      </c>
      <c r="AB1251" s="441">
        <f t="shared" si="217"/>
        <v>80.288765809015871</v>
      </c>
      <c r="AC1251" s="438">
        <f t="shared" si="218"/>
        <v>82.689324535742955</v>
      </c>
      <c r="AD1251" s="410"/>
      <c r="AE1251" s="411"/>
      <c r="AF1251" s="411"/>
      <c r="AG1251" s="411"/>
    </row>
    <row r="1252" spans="1:33" s="409" customFormat="1" x14ac:dyDescent="0.2">
      <c r="A1252" s="409" t="s">
        <v>525</v>
      </c>
      <c r="B1252" s="23" t="str">
        <f>VLOOKUP(LEFT(A1252,7),'[7]Tariff Schedule Lookup Table'!$A$8:$G$186,2,FALSE)</f>
        <v>High Pressure Sodium 250</v>
      </c>
      <c r="C1252" s="375">
        <f t="shared" si="220"/>
        <v>1070</v>
      </c>
      <c r="D1252" s="23">
        <f t="shared" si="221"/>
        <v>1</v>
      </c>
      <c r="E1252" s="23" t="str">
        <f>VLOOKUP(C1252,'[7]Tariff Schedule Lookup Table'!I$7:L$287,2,FALSE)</f>
        <v>METAL HALIDE/HPS 250W FLOOD (210/220)</v>
      </c>
      <c r="F1252" s="23" t="str">
        <f>IF(E1252 = "BULKHEADS ETC", "SHARED OR NO POLE", VLOOKUP(C1252,'[7]Tariff Schedule Lookup Table'!I$7:L$287,3,FALSE))</f>
        <v>WOOD POLE</v>
      </c>
      <c r="G1252" s="23">
        <f>IF(E1252 = "NO CAPITAL", 1, VLOOKUP(C1252,'[7]Tariff Schedule Lookup Table'!I$7:L$287,4,FALSE))</f>
        <v>1</v>
      </c>
      <c r="H1252" s="23" t="str">
        <f t="shared" si="219"/>
        <v>1-Unmetered, CE Funded, CE Maintained</v>
      </c>
      <c r="I1252" s="374">
        <f>VLOOKUP(F1252,'Maintenance Model'!$A$57:$B$61,2,FALSE)</f>
        <v>10.731618231111112</v>
      </c>
      <c r="J1252" s="374">
        <f>IF(D1252=1,VLOOKUP(C1252,'Capital Code Schedules'!A$15:F$300,2,FALSE),IF(D1252=2,VLOOKUP(C1252,'Capital Code Schedules'!A$15:F$300,3,FALSE),0))</f>
        <v>71.116706099521267</v>
      </c>
      <c r="K1252" s="374">
        <f>IF(D1252=1,VLOOKUP(C1252,'Capital Code Schedules'!E$15:G$300,2,FALSE),IF(D1252=2,VLOOKUP(C1252,'Capital Code Schedules'!E$15:G$300,3,FALSE),0))</f>
        <v>90.209463442196068</v>
      </c>
      <c r="L1252" s="374">
        <f>VLOOKUP(LEFT(A1252,10),'Streetlight Tariff Schedule'!B$11:H$260,7, FALSE)+I1252</f>
        <v>76.557319305969273</v>
      </c>
      <c r="M1252" s="410">
        <f t="shared" si="212"/>
        <v>166.76678274816533</v>
      </c>
      <c r="N1252" s="411">
        <f t="shared" si="213"/>
        <v>152.6242019192261</v>
      </c>
      <c r="O1252" s="411">
        <v>143.05927832446184</v>
      </c>
      <c r="P1252" s="411">
        <v>138.96680033724007</v>
      </c>
      <c r="Q1252" s="411">
        <v>143.53160706239322</v>
      </c>
      <c r="R1252" s="411">
        <v>147.72537387979872</v>
      </c>
      <c r="S1252" s="411">
        <f t="shared" si="214"/>
        <v>158.33064876178796</v>
      </c>
      <c r="T1252" s="411">
        <v>147.88051291571861</v>
      </c>
      <c r="U1252" s="411">
        <v>152.73464849952987</v>
      </c>
      <c r="V1252" s="411">
        <f t="shared" si="215"/>
        <v>164.21280262780917</v>
      </c>
      <c r="W1252" s="411">
        <v>152.13258132182577</v>
      </c>
      <c r="X1252" s="411">
        <v>158.51184533641529</v>
      </c>
      <c r="Y1252" s="411">
        <f t="shared" si="216"/>
        <v>170.80719922281875</v>
      </c>
      <c r="Z1252" s="411">
        <v>156.11562454943993</v>
      </c>
      <c r="AA1252" s="411">
        <v>163.25074808294366</v>
      </c>
      <c r="AB1252" s="441">
        <f t="shared" si="217"/>
        <v>174.18873924541435</v>
      </c>
      <c r="AC1252" s="438">
        <f t="shared" si="218"/>
        <v>179.33224654621463</v>
      </c>
      <c r="AD1252" s="410"/>
      <c r="AE1252" s="411"/>
      <c r="AF1252" s="411"/>
      <c r="AG1252" s="411"/>
    </row>
    <row r="1253" spans="1:33" s="409" customFormat="1" x14ac:dyDescent="0.2">
      <c r="A1253" s="409" t="s">
        <v>526</v>
      </c>
      <c r="B1253" s="23" t="str">
        <f>VLOOKUP(LEFT(A1253,7),'[7]Tariff Schedule Lookup Table'!$A$8:$G$186,2,FALSE)</f>
        <v>High Pressure Sodium 250</v>
      </c>
      <c r="C1253" s="375">
        <f t="shared" si="220"/>
        <v>1070</v>
      </c>
      <c r="D1253" s="23">
        <f t="shared" si="221"/>
        <v>2</v>
      </c>
      <c r="E1253" s="23" t="str">
        <f>VLOOKUP(C1253,'[7]Tariff Schedule Lookup Table'!I$7:L$287,2,FALSE)</f>
        <v>METAL HALIDE/HPS 250W FLOOD (210/220)</v>
      </c>
      <c r="F1253" s="23" t="str">
        <f>IF(E1253 = "BULKHEADS ETC", "SHARED OR NO POLE", VLOOKUP(C1253,'[7]Tariff Schedule Lookup Table'!I$7:L$287,3,FALSE))</f>
        <v>WOOD POLE</v>
      </c>
      <c r="G1253" s="23">
        <f>IF(E1253 = "NO CAPITAL", 1, VLOOKUP(C1253,'[7]Tariff Schedule Lookup Table'!I$7:L$287,4,FALSE))</f>
        <v>1</v>
      </c>
      <c r="H1253" s="23" t="str">
        <f t="shared" si="219"/>
        <v>2-Unmetered, Funded by Others, CE Maintained</v>
      </c>
      <c r="I1253" s="374">
        <f>VLOOKUP(F1253,'Maintenance Model'!$A$57:$B$61,2,FALSE)</f>
        <v>10.731618231111112</v>
      </c>
      <c r="J1253" s="374">
        <f>IF(D1253=1,VLOOKUP(C1253,'Capital Code Schedules'!A$15:F$300,2,FALSE),IF(D1253=2,VLOOKUP(C1253,'Capital Code Schedules'!A$15:F$300,3,FALSE),0))</f>
        <v>0</v>
      </c>
      <c r="K1253" s="374">
        <f>IF(D1253=1,VLOOKUP(C1253,'Capital Code Schedules'!E$15:G$300,2,FALSE),IF(D1253=2,VLOOKUP(C1253,'Capital Code Schedules'!E$15:G$300,3,FALSE),0))</f>
        <v>0</v>
      </c>
      <c r="L1253" s="374">
        <f>VLOOKUP(LEFT(A1253,10),'Streetlight Tariff Schedule'!B$11:H$260,7, FALSE)+I1253</f>
        <v>76.557319305969273</v>
      </c>
      <c r="M1253" s="410">
        <f t="shared" si="212"/>
        <v>76.557319305969273</v>
      </c>
      <c r="N1253" s="411">
        <f t="shared" si="213"/>
        <v>79.747357343741669</v>
      </c>
      <c r="O1253" s="411">
        <v>46.524652674849662</v>
      </c>
      <c r="P1253" s="411">
        <v>46.524652674849662</v>
      </c>
      <c r="Q1253" s="411">
        <v>48.80151624535862</v>
      </c>
      <c r="R1253" s="411">
        <v>48.80151624535862</v>
      </c>
      <c r="S1253" s="411">
        <f t="shared" si="214"/>
        <v>83.650102283060278</v>
      </c>
      <c r="T1253" s="411">
        <v>50.805852350962439</v>
      </c>
      <c r="U1253" s="411">
        <v>50.991460922508246</v>
      </c>
      <c r="V1253" s="411">
        <f t="shared" si="215"/>
        <v>87.4038605744378</v>
      </c>
      <c r="W1253" s="411">
        <v>52.65532290809184</v>
      </c>
      <c r="X1253" s="411">
        <v>53.319563700532647</v>
      </c>
      <c r="Y1253" s="411">
        <f t="shared" si="216"/>
        <v>91.394434033838039</v>
      </c>
      <c r="Z1253" s="411">
        <v>54.176303989966136</v>
      </c>
      <c r="AA1253" s="411">
        <v>55.060486420438323</v>
      </c>
      <c r="AB1253" s="441">
        <f t="shared" si="217"/>
        <v>93.378309389107585</v>
      </c>
      <c r="AC1253" s="438">
        <f t="shared" si="218"/>
        <v>96.170233181089344</v>
      </c>
      <c r="AD1253" s="410"/>
      <c r="AE1253" s="411"/>
      <c r="AF1253" s="411"/>
      <c r="AG1253" s="411"/>
    </row>
    <row r="1254" spans="1:33" s="409" customFormat="1" x14ac:dyDescent="0.2">
      <c r="A1254" s="409" t="s">
        <v>527</v>
      </c>
      <c r="B1254" s="23" t="str">
        <f>VLOOKUP(LEFT(A1254,7),'[7]Tariff Schedule Lookup Table'!$A$8:$G$186,2,FALSE)</f>
        <v>High Pressure Sodium 250</v>
      </c>
      <c r="C1254" s="375">
        <f t="shared" si="220"/>
        <v>1120</v>
      </c>
      <c r="D1254" s="23">
        <f t="shared" si="221"/>
        <v>1</v>
      </c>
      <c r="E1254" s="23" t="str">
        <f>VLOOKUP(C1254,'[7]Tariff Schedule Lookup Table'!I$7:L$287,2,FALSE)</f>
        <v>METAL HALIDE/HPS 250W FLOOD (210/220)</v>
      </c>
      <c r="F1254" s="23" t="str">
        <f>IF(E1254 = "BULKHEADS ETC", "SHARED OR NO POLE", VLOOKUP(C1254,'[7]Tariff Schedule Lookup Table'!I$7:L$287,3,FALSE))</f>
        <v>STEEL POLE</v>
      </c>
      <c r="G1254" s="23">
        <f>IF(E1254 = "NO CAPITAL", 1, VLOOKUP(C1254,'[7]Tariff Schedule Lookup Table'!I$7:L$287,4,FALSE))</f>
        <v>1</v>
      </c>
      <c r="H1254" s="23" t="str">
        <f t="shared" si="219"/>
        <v>1-Unmetered, CE Funded, CE Maintained</v>
      </c>
      <c r="I1254" s="374">
        <f>VLOOKUP(F1254,'Maintenance Model'!$A$57:$B$61,2,FALSE)</f>
        <v>9.9616182311111103</v>
      </c>
      <c r="J1254" s="374">
        <f>IF(D1254=1,VLOOKUP(C1254,'Capital Code Schedules'!A$15:F$300,2,FALSE),IF(D1254=2,VLOOKUP(C1254,'Capital Code Schedules'!A$15:F$300,3,FALSE),0))</f>
        <v>97.399971273151337</v>
      </c>
      <c r="K1254" s="374">
        <f>IF(D1254=1,VLOOKUP(C1254,'Capital Code Schedules'!E$15:G$300,2,FALSE),IF(D1254=2,VLOOKUP(C1254,'Capital Code Schedules'!E$15:G$300,3,FALSE),0))</f>
        <v>123.5490172385169</v>
      </c>
      <c r="L1254" s="374">
        <f>VLOOKUP(LEFT(A1254,10),'Streetlight Tariff Schedule'!B$11:H$260,7, FALSE)+I1254</f>
        <v>75.787319305969277</v>
      </c>
      <c r="M1254" s="410">
        <f t="shared" si="212"/>
        <v>199.33633654448619</v>
      </c>
      <c r="N1254" s="411">
        <f t="shared" si="213"/>
        <v>178.75589306657849</v>
      </c>
      <c r="O1254" s="411">
        <v>177.93439654394038</v>
      </c>
      <c r="P1254" s="411">
        <v>172.32942325069484</v>
      </c>
      <c r="Q1254" s="411">
        <v>177.70055337322981</v>
      </c>
      <c r="R1254" s="411">
        <v>183.44424975548316</v>
      </c>
      <c r="S1254" s="411">
        <f t="shared" si="214"/>
        <v>185.08969774531113</v>
      </c>
      <c r="T1254" s="411">
        <v>182.88140901521271</v>
      </c>
      <c r="U1254" s="411">
        <v>189.45773583139706</v>
      </c>
      <c r="V1254" s="411">
        <f t="shared" si="215"/>
        <v>191.72070800108855</v>
      </c>
      <c r="W1254" s="411">
        <v>187.9895430787158</v>
      </c>
      <c r="X1254" s="411">
        <v>196.46951008462185</v>
      </c>
      <c r="Y1254" s="411">
        <f t="shared" si="216"/>
        <v>199.23728734404131</v>
      </c>
      <c r="Z1254" s="411">
        <v>192.85629189650189</v>
      </c>
      <c r="AA1254" s="411">
        <v>202.28639080403349</v>
      </c>
      <c r="AB1254" s="441">
        <f t="shared" si="217"/>
        <v>203.11542188134723</v>
      </c>
      <c r="AC1254" s="438">
        <f t="shared" si="218"/>
        <v>209.09994518247086</v>
      </c>
      <c r="AD1254" s="410"/>
      <c r="AE1254" s="411"/>
      <c r="AF1254" s="411"/>
      <c r="AG1254" s="411"/>
    </row>
    <row r="1255" spans="1:33" s="409" customFormat="1" x14ac:dyDescent="0.2">
      <c r="A1255" s="409" t="s">
        <v>528</v>
      </c>
      <c r="B1255" s="23" t="str">
        <f>VLOOKUP(LEFT(A1255,7),'[7]Tariff Schedule Lookup Table'!$A$8:$G$186,2,FALSE)</f>
        <v>High Pressure Sodium 250</v>
      </c>
      <c r="C1255" s="375">
        <f t="shared" si="220"/>
        <v>1120</v>
      </c>
      <c r="D1255" s="23">
        <f t="shared" si="221"/>
        <v>2</v>
      </c>
      <c r="E1255" s="23" t="str">
        <f>VLOOKUP(C1255,'[7]Tariff Schedule Lookup Table'!I$7:L$287,2,FALSE)</f>
        <v>METAL HALIDE/HPS 250W FLOOD (210/220)</v>
      </c>
      <c r="F1255" s="23" t="str">
        <f>IF(E1255 = "BULKHEADS ETC", "SHARED OR NO POLE", VLOOKUP(C1255,'[7]Tariff Schedule Lookup Table'!I$7:L$287,3,FALSE))</f>
        <v>STEEL POLE</v>
      </c>
      <c r="G1255" s="23">
        <f>IF(E1255 = "NO CAPITAL", 1, VLOOKUP(C1255,'[7]Tariff Schedule Lookup Table'!I$7:L$287,4,FALSE))</f>
        <v>1</v>
      </c>
      <c r="H1255" s="23" t="str">
        <f t="shared" si="219"/>
        <v>2-Unmetered, Funded by Others, CE Maintained</v>
      </c>
      <c r="I1255" s="374">
        <f>VLOOKUP(F1255,'Maintenance Model'!$A$57:$B$61,2,FALSE)</f>
        <v>9.9616182311111103</v>
      </c>
      <c r="J1255" s="374">
        <f>IF(D1255=1,VLOOKUP(C1255,'Capital Code Schedules'!A$15:F$300,2,FALSE),IF(D1255=2,VLOOKUP(C1255,'Capital Code Schedules'!A$15:F$300,3,FALSE),0))</f>
        <v>0</v>
      </c>
      <c r="K1255" s="374">
        <f>IF(D1255=1,VLOOKUP(C1255,'Capital Code Schedules'!E$15:G$300,2,FALSE),IF(D1255=2,VLOOKUP(C1255,'Capital Code Schedules'!E$15:G$300,3,FALSE),0))</f>
        <v>0</v>
      </c>
      <c r="L1255" s="374">
        <f>VLOOKUP(LEFT(A1255,10),'Streetlight Tariff Schedule'!B$11:H$260,7, FALSE)+I1255</f>
        <v>75.787319305969277</v>
      </c>
      <c r="M1255" s="410">
        <f t="shared" si="212"/>
        <v>75.787319305969277</v>
      </c>
      <c r="N1255" s="411">
        <f t="shared" si="213"/>
        <v>78.945272504416678</v>
      </c>
      <c r="O1255" s="411">
        <v>45.722567835524657</v>
      </c>
      <c r="P1255" s="411">
        <v>45.722567835524657</v>
      </c>
      <c r="Q1255" s="411">
        <v>47.960178286534159</v>
      </c>
      <c r="R1255" s="411">
        <v>47.960178286534159</v>
      </c>
      <c r="S1255" s="411">
        <f t="shared" si="214"/>
        <v>82.808764324235824</v>
      </c>
      <c r="T1255" s="411">
        <v>49.929959645121336</v>
      </c>
      <c r="U1255" s="411">
        <v>50.112368325583027</v>
      </c>
      <c r="V1255" s="411">
        <f t="shared" si="215"/>
        <v>86.524767977512582</v>
      </c>
      <c r="W1255" s="411">
        <v>51.747545336714637</v>
      </c>
      <c r="X1255" s="411">
        <v>52.400334620360709</v>
      </c>
      <c r="Y1255" s="411">
        <f t="shared" si="216"/>
        <v>90.475204953666108</v>
      </c>
      <c r="Z1255" s="411">
        <v>53.242304710386243</v>
      </c>
      <c r="AA1255" s="411">
        <v>54.111243839040881</v>
      </c>
      <c r="AB1255" s="441">
        <f t="shared" si="217"/>
        <v>92.439126840901437</v>
      </c>
      <c r="AC1255" s="438">
        <f t="shared" si="218"/>
        <v>95.202969956348085</v>
      </c>
      <c r="AD1255" s="410"/>
      <c r="AE1255" s="411"/>
      <c r="AF1255" s="411"/>
      <c r="AG1255" s="411"/>
    </row>
    <row r="1256" spans="1:33" s="409" customFormat="1" x14ac:dyDescent="0.2">
      <c r="A1256" s="409" t="s">
        <v>529</v>
      </c>
      <c r="B1256" s="23" t="str">
        <f>VLOOKUP(LEFT(A1256,7),'[7]Tariff Schedule Lookup Table'!$A$8:$G$186,2,FALSE)</f>
        <v>High Pressure Sodium 250</v>
      </c>
      <c r="C1256" s="375">
        <f t="shared" si="220"/>
        <v>1160</v>
      </c>
      <c r="D1256" s="23">
        <f t="shared" si="221"/>
        <v>1</v>
      </c>
      <c r="E1256" s="23" t="str">
        <f>VLOOKUP(C1256,'[7]Tariff Schedule Lookup Table'!I$7:L$287,2,FALSE)</f>
        <v>METAL HALIDE/HPS 250W FLOOD (210/220)</v>
      </c>
      <c r="F1256" s="23" t="str">
        <f>IF(E1256 = "BULKHEADS ETC", "SHARED OR NO POLE", VLOOKUP(C1256,'[7]Tariff Schedule Lookup Table'!I$7:L$287,3,FALSE))</f>
        <v>WOOD POLE</v>
      </c>
      <c r="G1256" s="23">
        <f>IF(E1256 = "NO CAPITAL", 1, VLOOKUP(C1256,'[7]Tariff Schedule Lookup Table'!I$7:L$287,4,FALSE))</f>
        <v>2</v>
      </c>
      <c r="H1256" s="23" t="str">
        <f t="shared" si="219"/>
        <v>1-Unmetered, CE Funded, CE Maintained</v>
      </c>
      <c r="I1256" s="374">
        <f>VLOOKUP(F1256,'Maintenance Model'!$A$57:$B$61,2,FALSE)</f>
        <v>10.731618231111112</v>
      </c>
      <c r="J1256" s="374">
        <f>IF(D1256=1,VLOOKUP(C1256,'Capital Code Schedules'!A$15:F$300,2,FALSE),IF(D1256=2,VLOOKUP(C1256,'Capital Code Schedules'!A$15:F$300,3,FALSE),0))</f>
        <v>88.927770054909942</v>
      </c>
      <c r="K1256" s="374">
        <f>IF(D1256=1,VLOOKUP(C1256,'Capital Code Schedules'!E$15:G$300,2,FALSE),IF(D1256=2,VLOOKUP(C1256,'Capital Code Schedules'!E$15:G$300,3,FALSE),0))</f>
        <v>112.80227757649784</v>
      </c>
      <c r="L1256" s="374">
        <f>VLOOKUP(LEFT(A1256,10),'Streetlight Tariff Schedule'!B$11:H$260,7, FALSE)+I1256</f>
        <v>76.557319305969273</v>
      </c>
      <c r="M1256" s="410">
        <f t="shared" si="212"/>
        <v>189.35959688246712</v>
      </c>
      <c r="N1256" s="411">
        <f t="shared" si="213"/>
        <v>170.87608970751063</v>
      </c>
      <c r="O1256" s="411">
        <v>167.23621909768366</v>
      </c>
      <c r="P1256" s="411">
        <v>162.11878662136584</v>
      </c>
      <c r="Q1256" s="411">
        <v>167.25660500705109</v>
      </c>
      <c r="R1256" s="411">
        <v>172.50069393715776</v>
      </c>
      <c r="S1256" s="411">
        <f t="shared" si="214"/>
        <v>177.03427077283254</v>
      </c>
      <c r="T1256" s="411">
        <v>172.19270455950681</v>
      </c>
      <c r="U1256" s="411">
        <v>178.21606517852365</v>
      </c>
      <c r="V1256" s="411">
        <f t="shared" si="215"/>
        <v>183.44947786616854</v>
      </c>
      <c r="W1256" s="411">
        <v>177.04649970879768</v>
      </c>
      <c r="X1256" s="411">
        <v>184.85708204082698</v>
      </c>
      <c r="Y1256" s="411">
        <f t="shared" si="216"/>
        <v>190.69599775175848</v>
      </c>
      <c r="Z1256" s="411">
        <v>181.6461624164894</v>
      </c>
      <c r="AA1256" s="411">
        <v>190.34682403343103</v>
      </c>
      <c r="AB1256" s="441">
        <f t="shared" si="217"/>
        <v>194.42758062846343</v>
      </c>
      <c r="AC1256" s="438">
        <f t="shared" si="218"/>
        <v>200.16003821351043</v>
      </c>
      <c r="AD1256" s="410"/>
      <c r="AE1256" s="411"/>
      <c r="AF1256" s="411"/>
      <c r="AG1256" s="411"/>
    </row>
    <row r="1257" spans="1:33" s="409" customFormat="1" x14ac:dyDescent="0.2">
      <c r="A1257" s="409" t="s">
        <v>532</v>
      </c>
      <c r="B1257" s="23" t="str">
        <f>VLOOKUP(LEFT(A1257,7),'[7]Tariff Schedule Lookup Table'!$A$8:$G$186,2,FALSE)</f>
        <v>High Pressure Sodium 250</v>
      </c>
      <c r="C1257" s="375">
        <f t="shared" si="220"/>
        <v>1380</v>
      </c>
      <c r="D1257" s="23">
        <f t="shared" si="221"/>
        <v>2</v>
      </c>
      <c r="E1257" s="23" t="str">
        <f>VLOOKUP(C1257,'[7]Tariff Schedule Lookup Table'!I$7:L$287,2,FALSE)</f>
        <v>METAL HALIDE/HPS 250W FLOOD (210/220)</v>
      </c>
      <c r="F1257" s="23" t="str">
        <f>IF(E1257 = "BULKHEADS ETC", "SHARED OR NO POLE", VLOOKUP(C1257,'[7]Tariff Schedule Lookup Table'!I$7:L$287,3,FALSE))</f>
        <v>R/BOUT COLUMN</v>
      </c>
      <c r="G1257" s="23">
        <f>IF(E1257 = "NO CAPITAL", 1, VLOOKUP(C1257,'[7]Tariff Schedule Lookup Table'!I$7:L$287,4,FALSE))</f>
        <v>3</v>
      </c>
      <c r="H1257" s="23" t="str">
        <f t="shared" si="219"/>
        <v>2-Unmetered, Funded by Others, CE Maintained</v>
      </c>
      <c r="I1257" s="374">
        <f>VLOOKUP(F1257,'Maintenance Model'!$A$57:$B$61,2,FALSE)</f>
        <v>9.9616182311111103</v>
      </c>
      <c r="J1257" s="374">
        <f>IF(D1257=1,VLOOKUP(C1257,'Capital Code Schedules'!A$15:F$300,2,FALSE),IF(D1257=2,VLOOKUP(C1257,'Capital Code Schedules'!A$15:F$300,3,FALSE),0))</f>
        <v>0</v>
      </c>
      <c r="K1257" s="374">
        <f>IF(D1257=1,VLOOKUP(C1257,'Capital Code Schedules'!E$15:G$300,2,FALSE),IF(D1257=2,VLOOKUP(C1257,'Capital Code Schedules'!E$15:G$300,3,FALSE),0))</f>
        <v>0</v>
      </c>
      <c r="L1257" s="374">
        <f>VLOOKUP(LEFT(A1257,10),'Streetlight Tariff Schedule'!B$11:H$260,7, FALSE)+I1257</f>
        <v>75.787319305969277</v>
      </c>
      <c r="M1257" s="410">
        <f t="shared" si="212"/>
        <v>75.787319305969277</v>
      </c>
      <c r="N1257" s="411">
        <f t="shared" si="213"/>
        <v>78.945272504416678</v>
      </c>
      <c r="O1257" s="411">
        <v>45.722567835524657</v>
      </c>
      <c r="P1257" s="411">
        <v>45.722567835524657</v>
      </c>
      <c r="Q1257" s="411">
        <v>47.960178286534159</v>
      </c>
      <c r="R1257" s="411">
        <v>47.960178286534159</v>
      </c>
      <c r="S1257" s="411">
        <f t="shared" si="214"/>
        <v>82.808764324235824</v>
      </c>
      <c r="T1257" s="411">
        <v>49.929959645121336</v>
      </c>
      <c r="U1257" s="411">
        <v>50.112368325583027</v>
      </c>
      <c r="V1257" s="411">
        <f t="shared" si="215"/>
        <v>86.524767977512582</v>
      </c>
      <c r="W1257" s="411">
        <v>51.747545336714637</v>
      </c>
      <c r="X1257" s="411">
        <v>52.400334620360709</v>
      </c>
      <c r="Y1257" s="411">
        <f t="shared" si="216"/>
        <v>90.475204953666108</v>
      </c>
      <c r="Z1257" s="411">
        <v>53.242304710386243</v>
      </c>
      <c r="AA1257" s="411">
        <v>54.111243839040881</v>
      </c>
      <c r="AB1257" s="441">
        <f t="shared" si="217"/>
        <v>92.439126840901437</v>
      </c>
      <c r="AC1257" s="438">
        <f t="shared" si="218"/>
        <v>95.202969956348085</v>
      </c>
      <c r="AD1257" s="410"/>
      <c r="AE1257" s="411"/>
      <c r="AF1257" s="411"/>
      <c r="AG1257" s="411"/>
    </row>
    <row r="1258" spans="1:33" s="409" customFormat="1" x14ac:dyDescent="0.2">
      <c r="A1258" s="409" t="s">
        <v>533</v>
      </c>
      <c r="B1258" s="23" t="str">
        <f>VLOOKUP(LEFT(A1258,7),'[7]Tariff Schedule Lookup Table'!$A$8:$G$186,2,FALSE)</f>
        <v>High Pressure Sodium 250</v>
      </c>
      <c r="C1258" s="375">
        <f t="shared" si="220"/>
        <v>1450</v>
      </c>
      <c r="D1258" s="23">
        <f t="shared" si="221"/>
        <v>2</v>
      </c>
      <c r="E1258" s="23" t="str">
        <f>VLOOKUP(C1258,'[7]Tariff Schedule Lookup Table'!I$7:L$287,2,FALSE)</f>
        <v>METAL HALIDE/HPS 250W FLOOD (210/220)</v>
      </c>
      <c r="F1258" s="23" t="str">
        <f>IF(E1258 = "BULKHEADS ETC", "SHARED OR NO POLE", VLOOKUP(C1258,'[7]Tariff Schedule Lookup Table'!I$7:L$287,3,FALSE))</f>
        <v>R/BOUT COLUMN</v>
      </c>
      <c r="G1258" s="23">
        <f>IF(E1258 = "NO CAPITAL", 1, VLOOKUP(C1258,'[7]Tariff Schedule Lookup Table'!I$7:L$287,4,FALSE))</f>
        <v>4</v>
      </c>
      <c r="H1258" s="23" t="str">
        <f t="shared" si="219"/>
        <v>2-Unmetered, Funded by Others, CE Maintained</v>
      </c>
      <c r="I1258" s="374">
        <f>VLOOKUP(F1258,'Maintenance Model'!$A$57:$B$61,2,FALSE)</f>
        <v>9.9616182311111103</v>
      </c>
      <c r="J1258" s="374">
        <f>IF(D1258=1,VLOOKUP(C1258,'Capital Code Schedules'!A$15:F$300,2,FALSE),IF(D1258=2,VLOOKUP(C1258,'Capital Code Schedules'!A$15:F$300,3,FALSE),0))</f>
        <v>0</v>
      </c>
      <c r="K1258" s="374">
        <f>IF(D1258=1,VLOOKUP(C1258,'Capital Code Schedules'!E$15:G$300,2,FALSE),IF(D1258=2,VLOOKUP(C1258,'Capital Code Schedules'!E$15:G$300,3,FALSE),0))</f>
        <v>0</v>
      </c>
      <c r="L1258" s="374">
        <f>VLOOKUP(LEFT(A1258,10),'Streetlight Tariff Schedule'!B$11:H$260,7, FALSE)+I1258</f>
        <v>75.787319305969277</v>
      </c>
      <c r="M1258" s="410">
        <f t="shared" si="212"/>
        <v>75.787319305969277</v>
      </c>
      <c r="N1258" s="411">
        <f t="shared" si="213"/>
        <v>78.945272504416678</v>
      </c>
      <c r="O1258" s="411">
        <v>45.722567835524657</v>
      </c>
      <c r="P1258" s="411">
        <v>45.722567835524657</v>
      </c>
      <c r="Q1258" s="411">
        <v>47.960178286534159</v>
      </c>
      <c r="R1258" s="411">
        <v>47.960178286534159</v>
      </c>
      <c r="S1258" s="411">
        <f t="shared" si="214"/>
        <v>82.808764324235824</v>
      </c>
      <c r="T1258" s="411">
        <v>49.929959645121336</v>
      </c>
      <c r="U1258" s="411">
        <v>50.112368325583027</v>
      </c>
      <c r="V1258" s="411">
        <f t="shared" si="215"/>
        <v>86.524767977512582</v>
      </c>
      <c r="W1258" s="411">
        <v>51.747545336714637</v>
      </c>
      <c r="X1258" s="411">
        <v>52.400334620360709</v>
      </c>
      <c r="Y1258" s="411">
        <f t="shared" si="216"/>
        <v>90.475204953666108</v>
      </c>
      <c r="Z1258" s="411">
        <v>53.242304710386243</v>
      </c>
      <c r="AA1258" s="411">
        <v>54.111243839040881</v>
      </c>
      <c r="AB1258" s="441">
        <f t="shared" si="217"/>
        <v>92.439126840901437</v>
      </c>
      <c r="AC1258" s="438">
        <f t="shared" si="218"/>
        <v>95.202969956348085</v>
      </c>
      <c r="AD1258" s="410"/>
      <c r="AE1258" s="411"/>
      <c r="AF1258" s="411"/>
      <c r="AG1258" s="411"/>
    </row>
    <row r="1259" spans="1:33" s="409" customFormat="1" x14ac:dyDescent="0.2">
      <c r="A1259" s="409" t="s">
        <v>534</v>
      </c>
      <c r="B1259" s="23" t="str">
        <f>VLOOKUP(LEFT(A1259,7),'[7]Tariff Schedule Lookup Table'!$A$8:$G$186,2,FALSE)</f>
        <v>High Pressure Sodium 250</v>
      </c>
      <c r="C1259" s="375">
        <f t="shared" si="220"/>
        <v>60</v>
      </c>
      <c r="D1259" s="23">
        <f t="shared" si="221"/>
        <v>1</v>
      </c>
      <c r="E1259" s="23" t="str">
        <f>VLOOKUP(C1259,'[7]Tariff Schedule Lookup Table'!I$7:L$287,2,FALSE)</f>
        <v>HIGH PRESSURE SODIUM 250W (210/220)</v>
      </c>
      <c r="F1259" s="23" t="str">
        <f>IF(E1259 = "BULKHEADS ETC", "SHARED OR NO POLE", VLOOKUP(C1259,'[7]Tariff Schedule Lookup Table'!I$7:L$287,3,FALSE))</f>
        <v>SHARED OR NO POLE</v>
      </c>
      <c r="G1259" s="23">
        <f>IF(E1259 = "NO CAPITAL", 1, VLOOKUP(C1259,'[7]Tariff Schedule Lookup Table'!I$7:L$287,4,FALSE))</f>
        <v>1</v>
      </c>
      <c r="H1259" s="23" t="str">
        <f t="shared" si="219"/>
        <v>1-Unmetered, CE Funded, CE Maintained</v>
      </c>
      <c r="I1259" s="374">
        <f>VLOOKUP(F1259,'Maintenance Model'!$A$57:$B$61,2,FALSE)</f>
        <v>0</v>
      </c>
      <c r="J1259" s="374">
        <f>IF(D1259=1,VLOOKUP(C1259,'Capital Code Schedules'!A$15:F$300,2,FALSE),IF(D1259=2,VLOOKUP(C1259,'Capital Code Schedules'!A$15:F$300,3,FALSE),0))</f>
        <v>32.138130136529035</v>
      </c>
      <c r="K1259" s="374">
        <f>IF(D1259=1,VLOOKUP(C1259,'Capital Code Schedules'!E$15:G$300,2,FALSE),IF(D1259=2,VLOOKUP(C1259,'Capital Code Schedules'!E$15:G$300,3,FALSE),0))</f>
        <v>40.766278904912198</v>
      </c>
      <c r="L1259" s="374">
        <f>VLOOKUP(LEFT(A1259,10),'Streetlight Tariff Schedule'!B$11:H$260,7, FALSE)+I1259</f>
        <v>68.864975183821898</v>
      </c>
      <c r="M1259" s="410">
        <f t="shared" si="212"/>
        <v>109.6312540887341</v>
      </c>
      <c r="N1259" s="411">
        <f t="shared" si="213"/>
        <v>104.66803269563657</v>
      </c>
      <c r="O1259" s="411">
        <v>77.879735842414846</v>
      </c>
      <c r="P1259" s="411">
        <v>76.030316805062952</v>
      </c>
      <c r="Q1259" s="411">
        <v>78.740658377479349</v>
      </c>
      <c r="R1259" s="411">
        <v>80.635850536005705</v>
      </c>
      <c r="S1259" s="411">
        <f t="shared" si="214"/>
        <v>108.9937420561142</v>
      </c>
      <c r="T1259" s="411">
        <v>81.275933954716265</v>
      </c>
      <c r="U1259" s="411">
        <v>83.522333005778606</v>
      </c>
      <c r="V1259" s="411">
        <f t="shared" si="215"/>
        <v>113.33216599392961</v>
      </c>
      <c r="W1259" s="411">
        <v>83.723408754016376</v>
      </c>
      <c r="X1259" s="411">
        <v>86.795132977777982</v>
      </c>
      <c r="Y1259" s="411">
        <f t="shared" si="216"/>
        <v>118.09845932515825</v>
      </c>
      <c r="Z1259" s="411">
        <v>85.955896345839761</v>
      </c>
      <c r="AA1259" s="411">
        <v>89.431743719692875</v>
      </c>
      <c r="AB1259" s="441">
        <f t="shared" si="217"/>
        <v>120.51461269737008</v>
      </c>
      <c r="AC1259" s="438">
        <f t="shared" si="218"/>
        <v>124.08870573344026</v>
      </c>
      <c r="AD1259" s="410"/>
      <c r="AE1259" s="411"/>
      <c r="AF1259" s="411"/>
      <c r="AG1259" s="411"/>
    </row>
    <row r="1260" spans="1:33" s="409" customFormat="1" x14ac:dyDescent="0.2">
      <c r="A1260" s="409" t="s">
        <v>535</v>
      </c>
      <c r="B1260" s="23" t="str">
        <f>VLOOKUP(LEFT(A1260,7),'[7]Tariff Schedule Lookup Table'!$A$8:$G$186,2,FALSE)</f>
        <v>High Pressure Sodium 250</v>
      </c>
      <c r="C1260" s="375">
        <f t="shared" si="220"/>
        <v>60</v>
      </c>
      <c r="D1260" s="23">
        <f t="shared" si="221"/>
        <v>2</v>
      </c>
      <c r="E1260" s="23" t="str">
        <f>VLOOKUP(C1260,'[7]Tariff Schedule Lookup Table'!I$7:L$287,2,FALSE)</f>
        <v>HIGH PRESSURE SODIUM 250W (210/220)</v>
      </c>
      <c r="F1260" s="23" t="str">
        <f>IF(E1260 = "BULKHEADS ETC", "SHARED OR NO POLE", VLOOKUP(C1260,'[7]Tariff Schedule Lookup Table'!I$7:L$287,3,FALSE))</f>
        <v>SHARED OR NO POLE</v>
      </c>
      <c r="G1260" s="23">
        <f>IF(E1260 = "NO CAPITAL", 1, VLOOKUP(C1260,'[7]Tariff Schedule Lookup Table'!I$7:L$287,4,FALSE))</f>
        <v>1</v>
      </c>
      <c r="H1260" s="23" t="str">
        <f t="shared" si="219"/>
        <v>2-Unmetered, Funded by Others, CE Maintained</v>
      </c>
      <c r="I1260" s="374">
        <f>VLOOKUP(F1260,'Maintenance Model'!$A$57:$B$61,2,FALSE)</f>
        <v>0</v>
      </c>
      <c r="J1260" s="374">
        <f>IF(D1260=1,VLOOKUP(C1260,'Capital Code Schedules'!A$15:F$300,2,FALSE),IF(D1260=2,VLOOKUP(C1260,'Capital Code Schedules'!A$15:F$300,3,FALSE),0))</f>
        <v>0</v>
      </c>
      <c r="K1260" s="374">
        <f>IF(D1260=1,VLOOKUP(C1260,'Capital Code Schedules'!E$15:G$300,2,FALSE),IF(D1260=2,VLOOKUP(C1260,'Capital Code Schedules'!E$15:G$300,3,FALSE),0))</f>
        <v>0</v>
      </c>
      <c r="L1260" s="374">
        <f>VLOOKUP(LEFT(A1260,10),'Streetlight Tariff Schedule'!B$11:H$260,7, FALSE)+I1260</f>
        <v>68.864975183821898</v>
      </c>
      <c r="M1260" s="410">
        <f t="shared" si="212"/>
        <v>68.864975183821898</v>
      </c>
      <c r="N1260" s="411">
        <f t="shared" si="213"/>
        <v>71.734483838228456</v>
      </c>
      <c r="O1260" s="411">
        <v>34.255072497254169</v>
      </c>
      <c r="P1260" s="411">
        <v>34.255072497254169</v>
      </c>
      <c r="Q1260" s="411">
        <v>35.93147677305231</v>
      </c>
      <c r="R1260" s="411">
        <v>35.93147677305231</v>
      </c>
      <c r="S1260" s="411">
        <f t="shared" si="214"/>
        <v>75.245087864485228</v>
      </c>
      <c r="T1260" s="411">
        <v>37.407225105579649</v>
      </c>
      <c r="U1260" s="411">
        <v>37.543884590581037</v>
      </c>
      <c r="V1260" s="411">
        <f t="shared" si="215"/>
        <v>78.621675157839206</v>
      </c>
      <c r="W1260" s="411">
        <v>38.768949360863616</v>
      </c>
      <c r="X1260" s="411">
        <v>39.258015161305231</v>
      </c>
      <c r="Y1260" s="411">
        <f t="shared" si="216"/>
        <v>82.211282849724384</v>
      </c>
      <c r="Z1260" s="411">
        <v>39.888814082706475</v>
      </c>
      <c r="AA1260" s="411">
        <v>40.539818045450637</v>
      </c>
      <c r="AB1260" s="441">
        <f t="shared" si="217"/>
        <v>83.995821915968577</v>
      </c>
      <c r="AC1260" s="438">
        <f t="shared" si="218"/>
        <v>86.507218140299983</v>
      </c>
      <c r="AD1260" s="410"/>
      <c r="AE1260" s="411"/>
      <c r="AF1260" s="411"/>
      <c r="AG1260" s="411"/>
    </row>
    <row r="1261" spans="1:33" s="409" customFormat="1" x14ac:dyDescent="0.2">
      <c r="A1261" s="409" t="s">
        <v>536</v>
      </c>
      <c r="B1261" s="23" t="str">
        <f>VLOOKUP(LEFT(A1261,7),'[7]Tariff Schedule Lookup Table'!$A$8:$G$186,2,FALSE)</f>
        <v>High Pressure Sodium 250</v>
      </c>
      <c r="C1261" s="375">
        <f t="shared" si="220"/>
        <v>230</v>
      </c>
      <c r="D1261" s="23">
        <f t="shared" si="221"/>
        <v>1</v>
      </c>
      <c r="E1261" s="23" t="str">
        <f>VLOOKUP(C1261,'[7]Tariff Schedule Lookup Table'!I$7:L$287,2,FALSE)</f>
        <v>HIGH PRESSURE SODIUM 250W (210/220)</v>
      </c>
      <c r="F1261" s="23" t="str">
        <f>IF(E1261 = "BULKHEADS ETC", "SHARED OR NO POLE", VLOOKUP(C1261,'[7]Tariff Schedule Lookup Table'!I$7:L$287,3,FALSE))</f>
        <v>WOOD POLE</v>
      </c>
      <c r="G1261" s="23">
        <f>IF(E1261 = "NO CAPITAL", 1, VLOOKUP(C1261,'[7]Tariff Schedule Lookup Table'!I$7:L$287,4,FALSE))</f>
        <v>1</v>
      </c>
      <c r="H1261" s="23" t="str">
        <f t="shared" si="219"/>
        <v>1-Unmetered, CE Funded, CE Maintained</v>
      </c>
      <c r="I1261" s="374">
        <f>VLOOKUP(F1261,'Maintenance Model'!$A$57:$B$61,2,FALSE)</f>
        <v>10.731618231111112</v>
      </c>
      <c r="J1261" s="374">
        <f>IF(D1261=1,VLOOKUP(C1261,'Capital Code Schedules'!A$15:F$300,2,FALSE),IF(D1261=2,VLOOKUP(C1261,'Capital Code Schedules'!A$15:F$300,3,FALSE),0))</f>
        <v>66.039248498405314</v>
      </c>
      <c r="K1261" s="374">
        <f>IF(D1261=1,VLOOKUP(C1261,'Capital Code Schedules'!E$15:G$300,2,FALSE),IF(D1261=2,VLOOKUP(C1261,'Capital Code Schedules'!E$15:G$300,3,FALSE),0))</f>
        <v>83.768856853834222</v>
      </c>
      <c r="L1261" s="374">
        <f>VLOOKUP(LEFT(A1261,10),'Streetlight Tariff Schedule'!B$11:H$260,7, FALSE)+I1261</f>
        <v>79.596593414933011</v>
      </c>
      <c r="M1261" s="410">
        <f t="shared" si="212"/>
        <v>163.36545026876723</v>
      </c>
      <c r="N1261" s="411">
        <f t="shared" si="213"/>
        <v>150.58699371696667</v>
      </c>
      <c r="O1261" s="411">
        <v>134.29369953005096</v>
      </c>
      <c r="P1261" s="411">
        <v>130.49340863364498</v>
      </c>
      <c r="Q1261" s="411">
        <v>134.80318398081926</v>
      </c>
      <c r="R1261" s="411">
        <v>138.6975320769113</v>
      </c>
      <c r="S1261" s="411">
        <f t="shared" si="214"/>
        <v>156.31959957415674</v>
      </c>
      <c r="T1261" s="411">
        <v>138.9039892354628</v>
      </c>
      <c r="U1261" s="411">
        <v>143.41733626902317</v>
      </c>
      <c r="V1261" s="411">
        <f t="shared" si="215"/>
        <v>162.19881591343611</v>
      </c>
      <c r="W1261" s="411">
        <v>142.91004993856882</v>
      </c>
      <c r="X1261" s="411">
        <v>148.85453682866833</v>
      </c>
      <c r="Y1261" s="411">
        <f t="shared" si="216"/>
        <v>168.76573269667281</v>
      </c>
      <c r="Z1261" s="411">
        <v>146.65606702990374</v>
      </c>
      <c r="AA1261" s="411">
        <v>153.30929471901072</v>
      </c>
      <c r="AB1261" s="441">
        <f t="shared" si="217"/>
        <v>172.12624338873755</v>
      </c>
      <c r="AC1261" s="438">
        <f t="shared" si="218"/>
        <v>177.21269422500055</v>
      </c>
      <c r="AD1261" s="410"/>
      <c r="AE1261" s="411"/>
      <c r="AF1261" s="411"/>
      <c r="AG1261" s="411"/>
    </row>
    <row r="1262" spans="1:33" s="409" customFormat="1" x14ac:dyDescent="0.2">
      <c r="A1262" s="409" t="s">
        <v>537</v>
      </c>
      <c r="B1262" s="23" t="str">
        <f>VLOOKUP(LEFT(A1262,7),'[7]Tariff Schedule Lookup Table'!$A$8:$G$186,2,FALSE)</f>
        <v>High Pressure Sodium 250</v>
      </c>
      <c r="C1262" s="375">
        <f t="shared" si="220"/>
        <v>320</v>
      </c>
      <c r="D1262" s="23">
        <f t="shared" si="221"/>
        <v>1</v>
      </c>
      <c r="E1262" s="23" t="str">
        <f>VLOOKUP(C1262,'[7]Tariff Schedule Lookup Table'!I$7:L$287,2,FALSE)</f>
        <v>HIGH PRESSURE SODIUM 250W (210/220)</v>
      </c>
      <c r="F1262" s="23" t="str">
        <f>IF(E1262 = "BULKHEADS ETC", "SHARED OR NO POLE", VLOOKUP(C1262,'[7]Tariff Schedule Lookup Table'!I$7:L$287,3,FALSE))</f>
        <v>STEEL POLE</v>
      </c>
      <c r="G1262" s="23">
        <f>IF(E1262 = "NO CAPITAL", 1, VLOOKUP(C1262,'[7]Tariff Schedule Lookup Table'!I$7:L$287,4,FALSE))</f>
        <v>1</v>
      </c>
      <c r="H1262" s="23" t="str">
        <f t="shared" si="219"/>
        <v>1-Unmetered, CE Funded, CE Maintained</v>
      </c>
      <c r="I1262" s="374">
        <f>VLOOKUP(F1262,'Maintenance Model'!$A$57:$B$61,2,FALSE)</f>
        <v>9.9616182311111103</v>
      </c>
      <c r="J1262" s="374">
        <f>IF(D1262=1,VLOOKUP(C1262,'Capital Code Schedules'!A$15:F$300,2,FALSE),IF(D1262=2,VLOOKUP(C1262,'Capital Code Schedules'!A$15:F$300,3,FALSE),0))</f>
        <v>92.322513672035399</v>
      </c>
      <c r="K1262" s="374">
        <f>IF(D1262=1,VLOOKUP(C1262,'Capital Code Schedules'!E$15:G$300,2,FALSE),IF(D1262=2,VLOOKUP(C1262,'Capital Code Schedules'!E$15:G$300,3,FALSE),0))</f>
        <v>117.10841065015505</v>
      </c>
      <c r="L1262" s="374">
        <f>VLOOKUP(LEFT(A1262,10),'Streetlight Tariff Schedule'!B$11:H$260,7, FALSE)+I1262</f>
        <v>78.826593414933001</v>
      </c>
      <c r="M1262" s="410">
        <f t="shared" si="212"/>
        <v>195.93500406508804</v>
      </c>
      <c r="N1262" s="411">
        <f t="shared" si="213"/>
        <v>176.7186848643191</v>
      </c>
      <c r="O1262" s="411">
        <v>169.16881774952947</v>
      </c>
      <c r="P1262" s="411">
        <v>163.85603154709972</v>
      </c>
      <c r="Q1262" s="411">
        <v>168.97213029165587</v>
      </c>
      <c r="R1262" s="411">
        <v>174.41640795259573</v>
      </c>
      <c r="S1262" s="411">
        <f t="shared" si="214"/>
        <v>183.07864855767997</v>
      </c>
      <c r="T1262" s="411">
        <v>173.9048853349569</v>
      </c>
      <c r="U1262" s="411">
        <v>180.14042360089033</v>
      </c>
      <c r="V1262" s="411">
        <f t="shared" si="215"/>
        <v>189.70672128671552</v>
      </c>
      <c r="W1262" s="411">
        <v>178.76701169545885</v>
      </c>
      <c r="X1262" s="411">
        <v>186.81220157687483</v>
      </c>
      <c r="Y1262" s="411">
        <f t="shared" si="216"/>
        <v>197.19582081789542</v>
      </c>
      <c r="Z1262" s="411">
        <v>183.3967343769657</v>
      </c>
      <c r="AA1262" s="411">
        <v>192.34493744010052</v>
      </c>
      <c r="AB1262" s="441">
        <f t="shared" si="217"/>
        <v>201.05292602467048</v>
      </c>
      <c r="AC1262" s="438">
        <f t="shared" si="218"/>
        <v>206.9803928612568</v>
      </c>
      <c r="AD1262" s="410"/>
      <c r="AE1262" s="411"/>
      <c r="AF1262" s="411"/>
      <c r="AG1262" s="411"/>
    </row>
    <row r="1263" spans="1:33" s="409" customFormat="1" x14ac:dyDescent="0.2">
      <c r="A1263" s="409" t="s">
        <v>538</v>
      </c>
      <c r="B1263" s="23" t="str">
        <f>VLOOKUP(LEFT(A1263,7),'[7]Tariff Schedule Lookup Table'!$A$8:$G$186,2,FALSE)</f>
        <v>High Pressure Sodium 250</v>
      </c>
      <c r="C1263" s="375">
        <f t="shared" si="220"/>
        <v>320</v>
      </c>
      <c r="D1263" s="23">
        <f t="shared" si="221"/>
        <v>2</v>
      </c>
      <c r="E1263" s="23" t="str">
        <f>VLOOKUP(C1263,'[7]Tariff Schedule Lookup Table'!I$7:L$287,2,FALSE)</f>
        <v>HIGH PRESSURE SODIUM 250W (210/220)</v>
      </c>
      <c r="F1263" s="23" t="str">
        <f>IF(E1263 = "BULKHEADS ETC", "SHARED OR NO POLE", VLOOKUP(C1263,'[7]Tariff Schedule Lookup Table'!I$7:L$287,3,FALSE))</f>
        <v>STEEL POLE</v>
      </c>
      <c r="G1263" s="23">
        <f>IF(E1263 = "NO CAPITAL", 1, VLOOKUP(C1263,'[7]Tariff Schedule Lookup Table'!I$7:L$287,4,FALSE))</f>
        <v>1</v>
      </c>
      <c r="H1263" s="23" t="str">
        <f t="shared" si="219"/>
        <v>2-Unmetered, Funded by Others, CE Maintained</v>
      </c>
      <c r="I1263" s="374">
        <f>VLOOKUP(F1263,'Maintenance Model'!$A$57:$B$61,2,FALSE)</f>
        <v>9.9616182311111103</v>
      </c>
      <c r="J1263" s="374">
        <f>IF(D1263=1,VLOOKUP(C1263,'Capital Code Schedules'!A$15:F$300,2,FALSE),IF(D1263=2,VLOOKUP(C1263,'Capital Code Schedules'!A$15:F$300,3,FALSE),0))</f>
        <v>0</v>
      </c>
      <c r="K1263" s="374">
        <f>IF(D1263=1,VLOOKUP(C1263,'Capital Code Schedules'!E$15:G$300,2,FALSE),IF(D1263=2,VLOOKUP(C1263,'Capital Code Schedules'!E$15:G$300,3,FALSE),0))</f>
        <v>0</v>
      </c>
      <c r="L1263" s="374">
        <f>VLOOKUP(LEFT(A1263,10),'Streetlight Tariff Schedule'!B$11:H$260,7, FALSE)+I1263</f>
        <v>78.826593414933001</v>
      </c>
      <c r="M1263" s="410">
        <f t="shared" si="212"/>
        <v>78.826593414933001</v>
      </c>
      <c r="N1263" s="411">
        <f t="shared" si="213"/>
        <v>82.111188978900842</v>
      </c>
      <c r="O1263" s="411">
        <v>43.84918773335334</v>
      </c>
      <c r="P1263" s="411">
        <v>43.84918773335334</v>
      </c>
      <c r="Q1263" s="411">
        <v>45.995117093519227</v>
      </c>
      <c r="R1263" s="411">
        <v>45.995117093519227</v>
      </c>
      <c r="S1263" s="411">
        <f t="shared" si="214"/>
        <v>86.129617149097584</v>
      </c>
      <c r="T1263" s="411">
        <v>47.884191060166401</v>
      </c>
      <c r="U1263" s="411">
        <v>48.059125952330163</v>
      </c>
      <c r="V1263" s="411">
        <f t="shared" si="215"/>
        <v>89.994642482988539</v>
      </c>
      <c r="W1263" s="411">
        <v>49.627305237367267</v>
      </c>
      <c r="X1263" s="411">
        <v>50.253347938028497</v>
      </c>
      <c r="Y1263" s="411">
        <f t="shared" si="216"/>
        <v>94.103502542722097</v>
      </c>
      <c r="Z1263" s="411">
        <v>51.060820184036359</v>
      </c>
      <c r="AA1263" s="411">
        <v>51.894156472547024</v>
      </c>
      <c r="AB1263" s="441">
        <f t="shared" si="217"/>
        <v>96.146182947854101</v>
      </c>
      <c r="AC1263" s="438">
        <f t="shared" si="218"/>
        <v>99.020863560905084</v>
      </c>
      <c r="AD1263" s="410"/>
      <c r="AE1263" s="411"/>
      <c r="AF1263" s="411"/>
      <c r="AG1263" s="411"/>
    </row>
    <row r="1264" spans="1:33" s="409" customFormat="1" x14ac:dyDescent="0.2">
      <c r="A1264" s="409" t="s">
        <v>741</v>
      </c>
      <c r="B1264" s="23" t="str">
        <f>VLOOKUP(LEFT(A1264,7),'[7]Tariff Schedule Lookup Table'!$A$8:$G$186,2,FALSE)</f>
        <v>High Pressure Sodium 250</v>
      </c>
      <c r="C1264" s="375">
        <f t="shared" si="220"/>
        <v>390</v>
      </c>
      <c r="D1264" s="23">
        <f t="shared" si="221"/>
        <v>1</v>
      </c>
      <c r="E1264" s="23" t="str">
        <f>VLOOKUP(C1264,'[7]Tariff Schedule Lookup Table'!I$7:L$287,2,FALSE)</f>
        <v>HIGH PRESSURE SODIUM 250W (210/220)</v>
      </c>
      <c r="F1264" s="23" t="str">
        <f>IF(E1264 = "BULKHEADS ETC", "SHARED OR NO POLE", VLOOKUP(C1264,'[7]Tariff Schedule Lookup Table'!I$7:L$287,3,FALSE))</f>
        <v>STEEL POLE</v>
      </c>
      <c r="G1264" s="23">
        <f>IF(E1264 = "NO CAPITAL", 1, VLOOKUP(C1264,'[7]Tariff Schedule Lookup Table'!I$7:L$287,4,FALSE))</f>
        <v>2</v>
      </c>
      <c r="H1264" s="23" t="str">
        <f t="shared" si="219"/>
        <v>1-Unmetered, CE Funded, CE Maintained</v>
      </c>
      <c r="I1264" s="374">
        <f>VLOOKUP(F1264,'Maintenance Model'!$A$57:$B$61,2,FALSE)</f>
        <v>9.9616182311111103</v>
      </c>
      <c r="J1264" s="374">
        <f>IF(D1264=1,VLOOKUP(C1264,'Capital Code Schedules'!A$15:F$300,2,FALSE),IF(D1264=2,VLOOKUP(C1264,'Capital Code Schedules'!A$15:F$300,3,FALSE),0))</f>
        <v>105.05612002630808</v>
      </c>
      <c r="K1264" s="374">
        <f>IF(D1264=1,VLOOKUP(C1264,'Capital Code Schedules'!E$15:G$300,2,FALSE),IF(D1264=2,VLOOKUP(C1264,'Capital Code Schedules'!E$15:G$300,3,FALSE),0))</f>
        <v>133.26061819609492</v>
      </c>
      <c r="L1264" s="374">
        <f>VLOOKUP(LEFT(A1264,10),'Streetlight Tariff Schedule'!B$11:H$260,7, FALSE)+I1264</f>
        <v>78.826593414933001</v>
      </c>
      <c r="M1264" s="410">
        <f t="shared" si="212"/>
        <v>212.08721161102793</v>
      </c>
      <c r="N1264" s="411">
        <f t="shared" si="213"/>
        <v>189.76744797586005</v>
      </c>
      <c r="O1264" s="411">
        <v>186.45355983051161</v>
      </c>
      <c r="P1264" s="411">
        <v>180.4080062298016</v>
      </c>
      <c r="Q1264" s="411">
        <v>185.93376634775461</v>
      </c>
      <c r="R1264" s="411">
        <v>192.12894740008218</v>
      </c>
      <c r="S1264" s="411">
        <f t="shared" si="214"/>
        <v>196.45036855623155</v>
      </c>
      <c r="T1264" s="411">
        <v>191.28632188344409</v>
      </c>
      <c r="U1264" s="411">
        <v>198.35777042263015</v>
      </c>
      <c r="V1264" s="411">
        <f t="shared" si="215"/>
        <v>203.45953530522581</v>
      </c>
      <c r="W1264" s="411">
        <v>196.5786387985211</v>
      </c>
      <c r="X1264" s="411">
        <v>205.64711645587164</v>
      </c>
      <c r="Y1264" s="411">
        <f t="shared" si="216"/>
        <v>211.41485523163323</v>
      </c>
      <c r="Z1264" s="411">
        <v>201.64919925082873</v>
      </c>
      <c r="AA1264" s="411">
        <v>211.71664739314875</v>
      </c>
      <c r="AB1264" s="441">
        <f t="shared" si="217"/>
        <v>215.52221544409008</v>
      </c>
      <c r="AC1264" s="438">
        <f t="shared" si="218"/>
        <v>221.8707386027815</v>
      </c>
      <c r="AD1264" s="410"/>
      <c r="AE1264" s="411"/>
      <c r="AF1264" s="411"/>
      <c r="AG1264" s="411"/>
    </row>
    <row r="1265" spans="1:33" s="409" customFormat="1" x14ac:dyDescent="0.2">
      <c r="A1265" s="409" t="s">
        <v>539</v>
      </c>
      <c r="B1265" s="23" t="str">
        <f>VLOOKUP(LEFT(A1265,7),'[7]Tariff Schedule Lookup Table'!$A$8:$G$186,2,FALSE)</f>
        <v>High Pressure Sodium 250</v>
      </c>
      <c r="C1265" s="375">
        <f t="shared" si="220"/>
        <v>470</v>
      </c>
      <c r="D1265" s="23">
        <f t="shared" si="221"/>
        <v>1</v>
      </c>
      <c r="E1265" s="23" t="str">
        <f>VLOOKUP(C1265,'[7]Tariff Schedule Lookup Table'!I$7:L$287,2,FALSE)</f>
        <v>HIGH PRESSURE SODIUM 250W (210/220)</v>
      </c>
      <c r="F1265" s="23" t="str">
        <f>IF(E1265 = "BULKHEADS ETC", "SHARED OR NO POLE", VLOOKUP(C1265,'[7]Tariff Schedule Lookup Table'!I$7:L$287,3,FALSE))</f>
        <v>STEEL POLE</v>
      </c>
      <c r="G1265" s="23">
        <f>IF(E1265 = "NO CAPITAL", 1, VLOOKUP(C1265,'[7]Tariff Schedule Lookup Table'!I$7:L$287,4,FALSE))</f>
        <v>4</v>
      </c>
      <c r="H1265" s="23" t="str">
        <f t="shared" si="219"/>
        <v>1-Unmetered, CE Funded, CE Maintained</v>
      </c>
      <c r="I1265" s="374">
        <f>VLOOKUP(F1265,'Maintenance Model'!$A$57:$B$61,2,FALSE)</f>
        <v>9.9616182311111103</v>
      </c>
      <c r="J1265" s="374">
        <f>IF(D1265=1,VLOOKUP(C1265,'Capital Code Schedules'!A$15:F$300,2,FALSE),IF(D1265=2,VLOOKUP(C1265,'Capital Code Schedules'!A$15:F$300,3,FALSE),0))</f>
        <v>130.52333273485345</v>
      </c>
      <c r="K1265" s="374">
        <f>IF(D1265=1,VLOOKUP(C1265,'Capital Code Schedules'!E$15:G$300,2,FALSE),IF(D1265=2,VLOOKUP(C1265,'Capital Code Schedules'!E$15:G$300,3,FALSE),0))</f>
        <v>165.56503328797476</v>
      </c>
      <c r="L1265" s="374">
        <f>VLOOKUP(LEFT(A1265,10),'Streetlight Tariff Schedule'!B$11:H$260,7, FALSE)+I1265</f>
        <v>78.826593414933001</v>
      </c>
      <c r="M1265" s="410">
        <f t="shared" si="212"/>
        <v>244.39162670290776</v>
      </c>
      <c r="N1265" s="411">
        <f t="shared" si="213"/>
        <v>215.86497419894189</v>
      </c>
      <c r="O1265" s="411">
        <v>221.023043992476</v>
      </c>
      <c r="P1265" s="411">
        <v>213.51195559520545</v>
      </c>
      <c r="Q1265" s="411">
        <v>219.85703845995221</v>
      </c>
      <c r="R1265" s="411">
        <v>227.55402629505519</v>
      </c>
      <c r="S1265" s="411">
        <f t="shared" si="214"/>
        <v>223.19380855333469</v>
      </c>
      <c r="T1265" s="411">
        <v>226.04919498041858</v>
      </c>
      <c r="U1265" s="411">
        <v>234.79246406610989</v>
      </c>
      <c r="V1265" s="411">
        <f t="shared" si="215"/>
        <v>230.9651633422464</v>
      </c>
      <c r="W1265" s="411">
        <v>232.20189300464571</v>
      </c>
      <c r="X1265" s="411">
        <v>243.31694621386535</v>
      </c>
      <c r="Y1265" s="411">
        <f t="shared" si="216"/>
        <v>239.8529240591088</v>
      </c>
      <c r="Z1265" s="411">
        <v>238.15412899855491</v>
      </c>
      <c r="AA1265" s="411">
        <v>250.46006729924525</v>
      </c>
      <c r="AB1265" s="441">
        <f t="shared" si="217"/>
        <v>244.46079428292921</v>
      </c>
      <c r="AC1265" s="438">
        <f t="shared" si="218"/>
        <v>251.65143008583087</v>
      </c>
      <c r="AD1265" s="410"/>
      <c r="AE1265" s="411"/>
      <c r="AF1265" s="411"/>
      <c r="AG1265" s="411"/>
    </row>
    <row r="1266" spans="1:33" s="409" customFormat="1" x14ac:dyDescent="0.2">
      <c r="A1266" s="409" t="s">
        <v>540</v>
      </c>
      <c r="B1266" s="23" t="str">
        <f>VLOOKUP(LEFT(A1266,7),'[7]Tariff Schedule Lookup Table'!$A$8:$G$186,2,FALSE)</f>
        <v>High Pressure Sodium 250</v>
      </c>
      <c r="C1266" s="375">
        <f t="shared" si="220"/>
        <v>590</v>
      </c>
      <c r="D1266" s="23">
        <f t="shared" si="221"/>
        <v>1</v>
      </c>
      <c r="E1266" s="23" t="str">
        <f>VLOOKUP(C1266,'[7]Tariff Schedule Lookup Table'!I$7:L$287,2,FALSE)</f>
        <v>HIGH PRESSURE SODIUM 250W (210/220)</v>
      </c>
      <c r="F1266" s="23" t="str">
        <f>IF(E1266 = "BULKHEADS ETC", "SHARED OR NO POLE", VLOOKUP(C1266,'[7]Tariff Schedule Lookup Table'!I$7:L$287,3,FALSE))</f>
        <v>R/BOUT COLUMN</v>
      </c>
      <c r="G1266" s="23">
        <f>IF(E1266 = "NO CAPITAL", 1, VLOOKUP(C1266,'[7]Tariff Schedule Lookup Table'!I$7:L$287,4,FALSE))</f>
        <v>4</v>
      </c>
      <c r="H1266" s="23" t="str">
        <f t="shared" si="219"/>
        <v>1-Unmetered, CE Funded, CE Maintained</v>
      </c>
      <c r="I1266" s="374">
        <f>VLOOKUP(F1266,'Maintenance Model'!$A$57:$B$61,2,FALSE)</f>
        <v>9.9616182311111103</v>
      </c>
      <c r="J1266" s="374">
        <f>IF(D1266=1,VLOOKUP(C1266,'Capital Code Schedules'!A$15:F$300,2,FALSE),IF(D1266=2,VLOOKUP(C1266,'Capital Code Schedules'!A$15:F$300,3,FALSE),0))</f>
        <v>190.52352832998582</v>
      </c>
      <c r="K1266" s="374">
        <f>IF(D1266=1,VLOOKUP(C1266,'Capital Code Schedules'!E$15:G$300,2,FALSE),IF(D1266=2,VLOOKUP(C1266,'Capital Code Schedules'!E$15:G$300,3,FALSE),0))</f>
        <v>241.67352801338137</v>
      </c>
      <c r="L1266" s="374">
        <f>VLOOKUP(LEFT(A1266,10),'Streetlight Tariff Schedule'!B$11:H$260,7, FALSE)+I1266</f>
        <v>78.826593414933001</v>
      </c>
      <c r="M1266" s="410">
        <f t="shared" si="212"/>
        <v>320.5001214283144</v>
      </c>
      <c r="N1266" s="411">
        <f t="shared" si="213"/>
        <v>277.35017463505386</v>
      </c>
      <c r="O1266" s="411">
        <v>302.46799185851063</v>
      </c>
      <c r="P1266" s="411">
        <v>291.50413556506589</v>
      </c>
      <c r="Q1266" s="411">
        <v>299.77952488406669</v>
      </c>
      <c r="R1266" s="411">
        <v>311.01473662077416</v>
      </c>
      <c r="S1266" s="411">
        <f t="shared" si="214"/>
        <v>286.20076770024036</v>
      </c>
      <c r="T1266" s="411">
        <v>307.94976294352989</v>
      </c>
      <c r="U1266" s="411">
        <v>320.63180463611189</v>
      </c>
      <c r="V1266" s="411">
        <f t="shared" si="215"/>
        <v>295.76782082483885</v>
      </c>
      <c r="W1266" s="411">
        <v>316.12950002484399</v>
      </c>
      <c r="X1266" s="411">
        <v>332.06624042919037</v>
      </c>
      <c r="Y1266" s="411">
        <f t="shared" si="216"/>
        <v>306.85239163036113</v>
      </c>
      <c r="Z1266" s="411">
        <v>324.15894429250312</v>
      </c>
      <c r="AA1266" s="411">
        <v>341.73871639970707</v>
      </c>
      <c r="AB1266" s="441">
        <f t="shared" si="217"/>
        <v>312.63945248343566</v>
      </c>
      <c r="AC1266" s="438">
        <f t="shared" si="218"/>
        <v>321.81408723997208</v>
      </c>
      <c r="AD1266" s="410"/>
      <c r="AE1266" s="411"/>
      <c r="AF1266" s="411"/>
      <c r="AG1266" s="411"/>
    </row>
    <row r="1267" spans="1:33" s="409" customFormat="1" x14ac:dyDescent="0.2">
      <c r="A1267" s="409" t="s">
        <v>541</v>
      </c>
      <c r="B1267" s="23" t="str">
        <f>VLOOKUP(LEFT(A1267,7),'[7]Tariff Schedule Lookup Table'!$A$8:$G$186,2,FALSE)</f>
        <v>High Pressure Sodium 250</v>
      </c>
      <c r="C1267" s="375">
        <f t="shared" si="220"/>
        <v>590</v>
      </c>
      <c r="D1267" s="23">
        <f t="shared" si="221"/>
        <v>2</v>
      </c>
      <c r="E1267" s="23" t="str">
        <f>VLOOKUP(C1267,'[7]Tariff Schedule Lookup Table'!I$7:L$287,2,FALSE)</f>
        <v>HIGH PRESSURE SODIUM 250W (210/220)</v>
      </c>
      <c r="F1267" s="23" t="str">
        <f>IF(E1267 = "BULKHEADS ETC", "SHARED OR NO POLE", VLOOKUP(C1267,'[7]Tariff Schedule Lookup Table'!I$7:L$287,3,FALSE))</f>
        <v>R/BOUT COLUMN</v>
      </c>
      <c r="G1267" s="23">
        <f>IF(E1267 = "NO CAPITAL", 1, VLOOKUP(C1267,'[7]Tariff Schedule Lookup Table'!I$7:L$287,4,FALSE))</f>
        <v>4</v>
      </c>
      <c r="H1267" s="23" t="str">
        <f t="shared" si="219"/>
        <v>2-Unmetered, Funded by Others, CE Maintained</v>
      </c>
      <c r="I1267" s="374">
        <f>VLOOKUP(F1267,'Maintenance Model'!$A$57:$B$61,2,FALSE)</f>
        <v>9.9616182311111103</v>
      </c>
      <c r="J1267" s="374">
        <f>IF(D1267=1,VLOOKUP(C1267,'Capital Code Schedules'!A$15:F$300,2,FALSE),IF(D1267=2,VLOOKUP(C1267,'Capital Code Schedules'!A$15:F$300,3,FALSE),0))</f>
        <v>0</v>
      </c>
      <c r="K1267" s="374">
        <f>IF(D1267=1,VLOOKUP(C1267,'Capital Code Schedules'!E$15:G$300,2,FALSE),IF(D1267=2,VLOOKUP(C1267,'Capital Code Schedules'!E$15:G$300,3,FALSE),0))</f>
        <v>0</v>
      </c>
      <c r="L1267" s="374">
        <f>VLOOKUP(LEFT(A1267,10),'Streetlight Tariff Schedule'!B$11:H$260,7, FALSE)+I1267</f>
        <v>78.826593414933001</v>
      </c>
      <c r="M1267" s="410">
        <f t="shared" si="212"/>
        <v>78.826593414933001</v>
      </c>
      <c r="N1267" s="411">
        <f t="shared" si="213"/>
        <v>82.111188978900842</v>
      </c>
      <c r="O1267" s="411">
        <v>43.84918773335334</v>
      </c>
      <c r="P1267" s="411">
        <v>43.84918773335334</v>
      </c>
      <c r="Q1267" s="411">
        <v>45.995117093519227</v>
      </c>
      <c r="R1267" s="411">
        <v>45.995117093519227</v>
      </c>
      <c r="S1267" s="411">
        <f t="shared" si="214"/>
        <v>86.129617149097584</v>
      </c>
      <c r="T1267" s="411">
        <v>47.884191060166401</v>
      </c>
      <c r="U1267" s="411">
        <v>48.059125952330163</v>
      </c>
      <c r="V1267" s="411">
        <f t="shared" si="215"/>
        <v>89.994642482988539</v>
      </c>
      <c r="W1267" s="411">
        <v>49.627305237367267</v>
      </c>
      <c r="X1267" s="411">
        <v>50.253347938028497</v>
      </c>
      <c r="Y1267" s="411">
        <f t="shared" si="216"/>
        <v>94.103502542722097</v>
      </c>
      <c r="Z1267" s="411">
        <v>51.060820184036359</v>
      </c>
      <c r="AA1267" s="411">
        <v>51.894156472547024</v>
      </c>
      <c r="AB1267" s="441">
        <f t="shared" si="217"/>
        <v>96.146182947854101</v>
      </c>
      <c r="AC1267" s="438">
        <f t="shared" si="218"/>
        <v>99.020863560905084</v>
      </c>
      <c r="AD1267" s="410"/>
      <c r="AE1267" s="411"/>
      <c r="AF1267" s="411"/>
      <c r="AG1267" s="411"/>
    </row>
    <row r="1268" spans="1:33" s="409" customFormat="1" x14ac:dyDescent="0.2">
      <c r="A1268" s="409" t="s">
        <v>542</v>
      </c>
      <c r="B1268" s="23" t="str">
        <f>VLOOKUP(LEFT(A1268,7),'[7]Tariff Schedule Lookup Table'!$A$8:$G$186,2,FALSE)</f>
        <v>High Pressure Sodium 250</v>
      </c>
      <c r="C1268" s="375">
        <f t="shared" si="220"/>
        <v>960</v>
      </c>
      <c r="D1268" s="23">
        <f t="shared" si="221"/>
        <v>1</v>
      </c>
      <c r="E1268" s="23" t="str">
        <f>VLOOKUP(C1268,'[7]Tariff Schedule Lookup Table'!I$7:L$287,2,FALSE)</f>
        <v>HIGH PRESSURE SODIUM 250W (210/220)</v>
      </c>
      <c r="F1268" s="23" t="str">
        <f>IF(E1268 = "BULKHEADS ETC", "SHARED OR NO POLE", VLOOKUP(C1268,'[7]Tariff Schedule Lookup Table'!I$7:L$287,3,FALSE))</f>
        <v>SHARED OR NO POLE</v>
      </c>
      <c r="G1268" s="23">
        <f>IF(E1268 = "NO CAPITAL", 1, VLOOKUP(C1268,'[7]Tariff Schedule Lookup Table'!I$7:L$287,4,FALSE))</f>
        <v>2</v>
      </c>
      <c r="H1268" s="23" t="str">
        <f t="shared" si="219"/>
        <v>1-Unmetered, CE Funded, CE Maintained</v>
      </c>
      <c r="I1268" s="374">
        <f>VLOOKUP(F1268,'Maintenance Model'!$A$57:$B$61,2,FALSE)</f>
        <v>0</v>
      </c>
      <c r="J1268" s="374">
        <f>IF(D1268=1,VLOOKUP(C1268,'Capital Code Schedules'!A$15:F$300,2,FALSE),IF(D1268=2,VLOOKUP(C1268,'Capital Code Schedules'!A$15:F$300,3,FALSE),0))</f>
        <v>44.871736490801723</v>
      </c>
      <c r="K1268" s="374">
        <f>IF(D1268=1,VLOOKUP(C1268,'Capital Code Schedules'!E$15:G$300,2,FALSE),IF(D1268=2,VLOOKUP(C1268,'Capital Code Schedules'!E$15:G$300,3,FALSE),0))</f>
        <v>56.918486450852114</v>
      </c>
      <c r="L1268" s="374">
        <f>VLOOKUP(LEFT(A1268,10),'Streetlight Tariff Schedule'!B$11:H$260,7, FALSE)+I1268</f>
        <v>68.864975183821898</v>
      </c>
      <c r="M1268" s="410">
        <f t="shared" si="212"/>
        <v>125.78346163467401</v>
      </c>
      <c r="N1268" s="411">
        <f t="shared" si="213"/>
        <v>117.71679580717752</v>
      </c>
      <c r="O1268" s="411">
        <v>95.164477923397044</v>
      </c>
      <c r="P1268" s="411">
        <v>92.582291487764891</v>
      </c>
      <c r="Q1268" s="411">
        <v>95.70229443357816</v>
      </c>
      <c r="R1268" s="411">
        <v>98.348389983492211</v>
      </c>
      <c r="S1268" s="411">
        <f t="shared" si="214"/>
        <v>122.36546205466578</v>
      </c>
      <c r="T1268" s="411">
        <v>98.657370503203524</v>
      </c>
      <c r="U1268" s="411">
        <v>101.73967982751847</v>
      </c>
      <c r="V1268" s="411">
        <f t="shared" si="215"/>
        <v>127.0849800124399</v>
      </c>
      <c r="W1268" s="411">
        <v>101.53503585707868</v>
      </c>
      <c r="X1268" s="411">
        <v>105.63004785677484</v>
      </c>
      <c r="Y1268" s="411">
        <f t="shared" si="216"/>
        <v>132.31749373889605</v>
      </c>
      <c r="Z1268" s="411">
        <v>104.20836121970285</v>
      </c>
      <c r="AA1268" s="411">
        <v>108.80345367274114</v>
      </c>
      <c r="AB1268" s="441">
        <f t="shared" si="217"/>
        <v>134.98390211678966</v>
      </c>
      <c r="AC1268" s="438">
        <f t="shared" si="218"/>
        <v>138.97905147496496</v>
      </c>
      <c r="AD1268" s="410"/>
      <c r="AE1268" s="411"/>
      <c r="AF1268" s="411"/>
      <c r="AG1268" s="411"/>
    </row>
    <row r="1269" spans="1:33" s="409" customFormat="1" x14ac:dyDescent="0.2">
      <c r="A1269" s="409" t="s">
        <v>543</v>
      </c>
      <c r="B1269" s="23" t="str">
        <f>VLOOKUP(LEFT(A1269,7),'[7]Tariff Schedule Lookup Table'!$A$8:$G$186,2,FALSE)</f>
        <v>High Pressure Sodium 250</v>
      </c>
      <c r="C1269" s="375">
        <f t="shared" si="220"/>
        <v>1120</v>
      </c>
      <c r="D1269" s="23">
        <f t="shared" si="221"/>
        <v>2</v>
      </c>
      <c r="E1269" s="23" t="str">
        <f>VLOOKUP(C1269,'[7]Tariff Schedule Lookup Table'!I$7:L$287,2,FALSE)</f>
        <v>METAL HALIDE/HPS 250W FLOOD (210/220)</v>
      </c>
      <c r="F1269" s="23" t="str">
        <f>IF(E1269 = "BULKHEADS ETC", "SHARED OR NO POLE", VLOOKUP(C1269,'[7]Tariff Schedule Lookup Table'!I$7:L$287,3,FALSE))</f>
        <v>STEEL POLE</v>
      </c>
      <c r="G1269" s="23">
        <f>IF(E1269 = "NO CAPITAL", 1, VLOOKUP(C1269,'[7]Tariff Schedule Lookup Table'!I$7:L$287,4,FALSE))</f>
        <v>1</v>
      </c>
      <c r="H1269" s="23" t="str">
        <f t="shared" si="219"/>
        <v>2-Unmetered, Funded by Others, CE Maintained</v>
      </c>
      <c r="I1269" s="374">
        <f>VLOOKUP(F1269,'Maintenance Model'!$A$57:$B$61,2,FALSE)</f>
        <v>9.9616182311111103</v>
      </c>
      <c r="J1269" s="374">
        <f>IF(D1269=1,VLOOKUP(C1269,'Capital Code Schedules'!A$15:F$300,2,FALSE),IF(D1269=2,VLOOKUP(C1269,'Capital Code Schedules'!A$15:F$300,3,FALSE),0))</f>
        <v>0</v>
      </c>
      <c r="K1269" s="374">
        <f>IF(D1269=1,VLOOKUP(C1269,'Capital Code Schedules'!E$15:G$300,2,FALSE),IF(D1269=2,VLOOKUP(C1269,'Capital Code Schedules'!E$15:G$300,3,FALSE),0))</f>
        <v>0</v>
      </c>
      <c r="L1269" s="374">
        <f>VLOOKUP(LEFT(A1269,10),'Streetlight Tariff Schedule'!B$11:H$260,7, FALSE)+I1269</f>
        <v>78.826593414933001</v>
      </c>
      <c r="M1269" s="410">
        <f t="shared" si="212"/>
        <v>78.826593414933001</v>
      </c>
      <c r="N1269" s="411">
        <f t="shared" si="213"/>
        <v>82.111188978900842</v>
      </c>
      <c r="O1269" s="411">
        <v>43.84918773335334</v>
      </c>
      <c r="P1269" s="411">
        <v>43.84918773335334</v>
      </c>
      <c r="Q1269" s="411">
        <v>45.995117093519227</v>
      </c>
      <c r="R1269" s="411">
        <v>45.995117093519227</v>
      </c>
      <c r="S1269" s="411">
        <f t="shared" si="214"/>
        <v>86.129617149097584</v>
      </c>
      <c r="T1269" s="411">
        <v>47.884191060166401</v>
      </c>
      <c r="U1269" s="411">
        <v>48.059125952330163</v>
      </c>
      <c r="V1269" s="411">
        <f t="shared" si="215"/>
        <v>89.994642482988539</v>
      </c>
      <c r="W1269" s="411">
        <v>49.627305237367267</v>
      </c>
      <c r="X1269" s="411">
        <v>50.253347938028497</v>
      </c>
      <c r="Y1269" s="411">
        <f t="shared" si="216"/>
        <v>94.103502542722097</v>
      </c>
      <c r="Z1269" s="411">
        <v>51.060820184036359</v>
      </c>
      <c r="AA1269" s="411">
        <v>51.894156472547024</v>
      </c>
      <c r="AB1269" s="441">
        <f t="shared" si="217"/>
        <v>96.146182947854101</v>
      </c>
      <c r="AC1269" s="438">
        <f t="shared" si="218"/>
        <v>99.020863560905084</v>
      </c>
      <c r="AD1269" s="410"/>
      <c r="AE1269" s="411"/>
      <c r="AF1269" s="411"/>
      <c r="AG1269" s="411"/>
    </row>
    <row r="1270" spans="1:33" s="409" customFormat="1" ht="22.5" x14ac:dyDescent="0.2">
      <c r="A1270" s="409" t="s">
        <v>544</v>
      </c>
      <c r="B1270" s="23" t="str">
        <f>VLOOKUP(LEFT(A1270,7),'[7]Tariff Schedule Lookup Table'!$A$8:$G$186,2,FALSE)</f>
        <v>High Pressure Sodium 2x250</v>
      </c>
      <c r="C1270" s="375">
        <f t="shared" si="220"/>
        <v>860</v>
      </c>
      <c r="D1270" s="23">
        <f t="shared" si="221"/>
        <v>2</v>
      </c>
      <c r="E1270" s="23" t="str">
        <f>VLOOKUP(C1270,'[7]Tariff Schedule Lookup Table'!I$7:L$287,2,FALSE)</f>
        <v>HIGH PRESSURE SODIUM 2X250 W OR 2X400 W FLOOD</v>
      </c>
      <c r="F1270" s="23" t="str">
        <f>IF(E1270 = "BULKHEADS ETC", "SHARED OR NO POLE", VLOOKUP(C1270,'[7]Tariff Schedule Lookup Table'!I$7:L$287,3,FALSE))</f>
        <v>R/BOUT COLUMN</v>
      </c>
      <c r="G1270" s="23">
        <f>IF(E1270 = "NO CAPITAL", 1, VLOOKUP(C1270,'[7]Tariff Schedule Lookup Table'!I$7:L$287,4,FALSE))</f>
        <v>3</v>
      </c>
      <c r="H1270" s="23" t="str">
        <f t="shared" si="219"/>
        <v>2-Unmetered, Funded by Others, CE Maintained</v>
      </c>
      <c r="I1270" s="374">
        <f>VLOOKUP(F1270,'Maintenance Model'!$A$57:$B$61,2,FALSE)</f>
        <v>9.9616182311111103</v>
      </c>
      <c r="J1270" s="374">
        <f>IF(D1270=1,VLOOKUP(C1270,'Capital Code Schedules'!A$15:F$300,2,FALSE),IF(D1270=2,VLOOKUP(C1270,'Capital Code Schedules'!A$15:F$300,3,FALSE),0))</f>
        <v>0</v>
      </c>
      <c r="K1270" s="374">
        <f>IF(D1270=1,VLOOKUP(C1270,'Capital Code Schedules'!E$15:G$300,2,FALSE),IF(D1270=2,VLOOKUP(C1270,'Capital Code Schedules'!E$15:G$300,3,FALSE),0))</f>
        <v>0</v>
      </c>
      <c r="L1270" s="374">
        <f>VLOOKUP(LEFT(A1270,10),'Streetlight Tariff Schedule'!B$11:H$260,7, FALSE)+I1270</f>
        <v>93.337767025102579</v>
      </c>
      <c r="M1270" s="410">
        <f t="shared" si="212"/>
        <v>93.337767025102579</v>
      </c>
      <c r="N1270" s="411">
        <f t="shared" si="213"/>
        <v>97.227023204264526</v>
      </c>
      <c r="O1270" s="411">
        <v>60.54013478401945</v>
      </c>
      <c r="P1270" s="411">
        <v>60.54013478401945</v>
      </c>
      <c r="Q1270" s="411">
        <v>63.502900103446557</v>
      </c>
      <c r="R1270" s="411">
        <v>63.502900103446557</v>
      </c>
      <c r="S1270" s="411">
        <f t="shared" si="214"/>
        <v>101.98520310406825</v>
      </c>
      <c r="T1270" s="411">
        <v>66.111039466329487</v>
      </c>
      <c r="U1270" s="411">
        <v>66.352562342749081</v>
      </c>
      <c r="V1270" s="411">
        <f t="shared" si="215"/>
        <v>106.56174026662042</v>
      </c>
      <c r="W1270" s="411">
        <v>68.517660265633523</v>
      </c>
      <c r="X1270" s="411">
        <v>69.382002604402871</v>
      </c>
      <c r="Y1270" s="411">
        <f t="shared" si="216"/>
        <v>111.42699964647721</v>
      </c>
      <c r="Z1270" s="411">
        <v>70.4968346260343</v>
      </c>
      <c r="AA1270" s="411">
        <v>71.647375692693018</v>
      </c>
      <c r="AB1270" s="441">
        <f t="shared" si="217"/>
        <v>113.84571672533598</v>
      </c>
      <c r="AC1270" s="438">
        <f t="shared" si="218"/>
        <v>117.249596782922</v>
      </c>
      <c r="AD1270" s="410"/>
      <c r="AE1270" s="411"/>
      <c r="AF1270" s="411"/>
      <c r="AG1270" s="411"/>
    </row>
    <row r="1271" spans="1:33" s="409" customFormat="1" ht="22.5" x14ac:dyDescent="0.2">
      <c r="A1271" s="409" t="s">
        <v>545</v>
      </c>
      <c r="B1271" s="23" t="str">
        <f>VLOOKUP(LEFT(A1271,7),'[7]Tariff Schedule Lookup Table'!$A$8:$G$186,2,FALSE)</f>
        <v>High Pressure Sodium 2x250</v>
      </c>
      <c r="C1271" s="375">
        <f t="shared" si="220"/>
        <v>870</v>
      </c>
      <c r="D1271" s="23">
        <f t="shared" si="221"/>
        <v>2</v>
      </c>
      <c r="E1271" s="23" t="str">
        <f>VLOOKUP(C1271,'[7]Tariff Schedule Lookup Table'!I$7:L$287,2,FALSE)</f>
        <v>HIGH PRESSURE SODIUM 2X250 W OR 2X400 W FLOOD</v>
      </c>
      <c r="F1271" s="23" t="str">
        <f>IF(E1271 = "BULKHEADS ETC", "SHARED OR NO POLE", VLOOKUP(C1271,'[7]Tariff Schedule Lookup Table'!I$7:L$287,3,FALSE))</f>
        <v>R/BOUT COLUMN</v>
      </c>
      <c r="G1271" s="23">
        <f>IF(E1271 = "NO CAPITAL", 1, VLOOKUP(C1271,'[7]Tariff Schedule Lookup Table'!I$7:L$287,4,FALSE))</f>
        <v>4</v>
      </c>
      <c r="H1271" s="23" t="str">
        <f t="shared" si="219"/>
        <v>2-Unmetered, Funded by Others, CE Maintained</v>
      </c>
      <c r="I1271" s="374">
        <f>VLOOKUP(F1271,'Maintenance Model'!$A$57:$B$61,2,FALSE)</f>
        <v>9.9616182311111103</v>
      </c>
      <c r="J1271" s="374">
        <f>IF(D1271=1,VLOOKUP(C1271,'Capital Code Schedules'!A$15:F$300,2,FALSE),IF(D1271=2,VLOOKUP(C1271,'Capital Code Schedules'!A$15:F$300,3,FALSE),0))</f>
        <v>0</v>
      </c>
      <c r="K1271" s="374">
        <f>IF(D1271=1,VLOOKUP(C1271,'Capital Code Schedules'!E$15:G$300,2,FALSE),IF(D1271=2,VLOOKUP(C1271,'Capital Code Schedules'!E$15:G$300,3,FALSE),0))</f>
        <v>0</v>
      </c>
      <c r="L1271" s="374">
        <f>VLOOKUP(LEFT(A1271,10),'Streetlight Tariff Schedule'!B$11:H$260,7, FALSE)+I1271</f>
        <v>93.337767025102579</v>
      </c>
      <c r="M1271" s="410">
        <f t="shared" si="212"/>
        <v>93.337767025102579</v>
      </c>
      <c r="N1271" s="411">
        <f t="shared" si="213"/>
        <v>97.227023204264526</v>
      </c>
      <c r="O1271" s="411">
        <v>60.54013478401945</v>
      </c>
      <c r="P1271" s="411">
        <v>60.54013478401945</v>
      </c>
      <c r="Q1271" s="411">
        <v>63.502900103446557</v>
      </c>
      <c r="R1271" s="411">
        <v>63.502900103446557</v>
      </c>
      <c r="S1271" s="411">
        <f t="shared" si="214"/>
        <v>101.98520310406825</v>
      </c>
      <c r="T1271" s="411">
        <v>66.111039466329487</v>
      </c>
      <c r="U1271" s="411">
        <v>66.352562342749081</v>
      </c>
      <c r="V1271" s="411">
        <f t="shared" si="215"/>
        <v>106.56174026662042</v>
      </c>
      <c r="W1271" s="411">
        <v>68.517660265633523</v>
      </c>
      <c r="X1271" s="411">
        <v>69.382002604402871</v>
      </c>
      <c r="Y1271" s="411">
        <f t="shared" si="216"/>
        <v>111.42699964647721</v>
      </c>
      <c r="Z1271" s="411">
        <v>70.4968346260343</v>
      </c>
      <c r="AA1271" s="411">
        <v>71.647375692693018</v>
      </c>
      <c r="AB1271" s="441">
        <f t="shared" si="217"/>
        <v>113.84571672533598</v>
      </c>
      <c r="AC1271" s="438">
        <f t="shared" si="218"/>
        <v>117.249596782922</v>
      </c>
      <c r="AD1271" s="410"/>
      <c r="AE1271" s="411"/>
      <c r="AF1271" s="411"/>
      <c r="AG1271" s="411"/>
    </row>
    <row r="1272" spans="1:33" s="409" customFormat="1" x14ac:dyDescent="0.2">
      <c r="A1272" s="409" t="s">
        <v>546</v>
      </c>
      <c r="B1272" s="23" t="str">
        <f>VLOOKUP(LEFT(A1272,7),'[7]Tariff Schedule Lookup Table'!$A$8:$G$186,2,FALSE)</f>
        <v>High Pressure Sodium 310 (Retrofit)</v>
      </c>
      <c r="C1272" s="375">
        <f t="shared" si="220"/>
        <v>70</v>
      </c>
      <c r="D1272" s="23">
        <f t="shared" si="221"/>
        <v>1</v>
      </c>
      <c r="E1272" s="23" t="str">
        <f>VLOOKUP(C1272,'[7]Tariff Schedule Lookup Table'!I$7:L$287,2,FALSE)</f>
        <v>HIGH PRESSURE SODIUM 400W (310/360)</v>
      </c>
      <c r="F1272" s="23" t="str">
        <f>IF(E1272 = "BULKHEADS ETC", "SHARED OR NO POLE", VLOOKUP(C1272,'[7]Tariff Schedule Lookup Table'!I$7:L$287,3,FALSE))</f>
        <v>SHARED OR NO POLE</v>
      </c>
      <c r="G1272" s="23">
        <f>IF(E1272 = "NO CAPITAL", 1, VLOOKUP(C1272,'[7]Tariff Schedule Lookup Table'!I$7:L$287,4,FALSE))</f>
        <v>1</v>
      </c>
      <c r="H1272" s="23" t="str">
        <f t="shared" si="219"/>
        <v>1-Unmetered, CE Funded, CE Maintained</v>
      </c>
      <c r="I1272" s="374">
        <f>VLOOKUP(F1272,'Maintenance Model'!$A$57:$B$61,2,FALSE)</f>
        <v>0</v>
      </c>
      <c r="J1272" s="374">
        <f>IF(D1272=1,VLOOKUP(C1272,'Capital Code Schedules'!A$15:F$300,2,FALSE),IF(D1272=2,VLOOKUP(C1272,'Capital Code Schedules'!A$15:F$300,3,FALSE),0))</f>
        <v>35.784047435083579</v>
      </c>
      <c r="K1272" s="374">
        <f>IF(D1272=1,VLOOKUP(C1272,'Capital Code Schedules'!E$15:G$300,2,FALSE),IF(D1272=2,VLOOKUP(C1272,'Capital Code Schedules'!E$15:G$300,3,FALSE),0))</f>
        <v>45.391018453408257</v>
      </c>
      <c r="L1272" s="374">
        <f>VLOOKUP(LEFT(A1272,10),'Streetlight Tariff Schedule'!B$11:H$260,7, FALSE)+I1272</f>
        <v>65.825701074858159</v>
      </c>
      <c r="M1272" s="410">
        <f t="shared" si="212"/>
        <v>111.21671952826642</v>
      </c>
      <c r="N1272" s="411">
        <f t="shared" si="213"/>
        <v>105.23826997284617</v>
      </c>
      <c r="O1272" s="411">
        <v>91.033314398341332</v>
      </c>
      <c r="P1272" s="411">
        <v>88.97408760826977</v>
      </c>
      <c r="Q1272" s="411">
        <v>92.20324669659631</v>
      </c>
      <c r="R1272" s="411">
        <v>94.313439349722145</v>
      </c>
      <c r="S1272" s="411">
        <f t="shared" si="214"/>
        <v>109.50151278830062</v>
      </c>
      <c r="T1272" s="411">
        <v>95.212182942312026</v>
      </c>
      <c r="U1272" s="411">
        <v>97.730653724150869</v>
      </c>
      <c r="V1272" s="411">
        <f t="shared" si="215"/>
        <v>113.80003081687771</v>
      </c>
      <c r="W1272" s="411">
        <v>98.108982956866257</v>
      </c>
      <c r="X1272" s="411">
        <v>101.5908355372802</v>
      </c>
      <c r="Y1272" s="411">
        <f t="shared" si="216"/>
        <v>118.54139042775989</v>
      </c>
      <c r="Z1272" s="411">
        <v>100.73591556003974</v>
      </c>
      <c r="AA1272" s="411">
        <v>104.68815247490011</v>
      </c>
      <c r="AB1272" s="441">
        <f t="shared" si="217"/>
        <v>120.95043890704819</v>
      </c>
      <c r="AC1272" s="438">
        <f t="shared" si="218"/>
        <v>124.53425232092802</v>
      </c>
      <c r="AD1272" s="410"/>
      <c r="AE1272" s="411"/>
      <c r="AF1272" s="411"/>
      <c r="AG1272" s="411"/>
    </row>
    <row r="1273" spans="1:33" s="409" customFormat="1" x14ac:dyDescent="0.2">
      <c r="A1273" s="409" t="s">
        <v>547</v>
      </c>
      <c r="B1273" s="23" t="str">
        <f>VLOOKUP(LEFT(A1273,7),'[7]Tariff Schedule Lookup Table'!$A$8:$G$186,2,FALSE)</f>
        <v>High Pressure Sodium 310 (Retrofit)</v>
      </c>
      <c r="C1273" s="375">
        <f t="shared" si="220"/>
        <v>70</v>
      </c>
      <c r="D1273" s="23">
        <f t="shared" si="221"/>
        <v>2</v>
      </c>
      <c r="E1273" s="23" t="str">
        <f>VLOOKUP(C1273,'[7]Tariff Schedule Lookup Table'!I$7:L$287,2,FALSE)</f>
        <v>HIGH PRESSURE SODIUM 400W (310/360)</v>
      </c>
      <c r="F1273" s="23" t="str">
        <f>IF(E1273 = "BULKHEADS ETC", "SHARED OR NO POLE", VLOOKUP(C1273,'[7]Tariff Schedule Lookup Table'!I$7:L$287,3,FALSE))</f>
        <v>SHARED OR NO POLE</v>
      </c>
      <c r="G1273" s="23">
        <f>IF(E1273 = "NO CAPITAL", 1, VLOOKUP(C1273,'[7]Tariff Schedule Lookup Table'!I$7:L$287,4,FALSE))</f>
        <v>1</v>
      </c>
      <c r="H1273" s="23" t="str">
        <f t="shared" si="219"/>
        <v>2-Unmetered, Funded by Others, CE Maintained</v>
      </c>
      <c r="I1273" s="374">
        <f>VLOOKUP(F1273,'Maintenance Model'!$A$57:$B$61,2,FALSE)</f>
        <v>0</v>
      </c>
      <c r="J1273" s="374">
        <f>IF(D1273=1,VLOOKUP(C1273,'Capital Code Schedules'!A$15:F$300,2,FALSE),IF(D1273=2,VLOOKUP(C1273,'Capital Code Schedules'!A$15:F$300,3,FALSE),0))</f>
        <v>0</v>
      </c>
      <c r="K1273" s="374">
        <f>IF(D1273=1,VLOOKUP(C1273,'Capital Code Schedules'!E$15:G$300,2,FALSE),IF(D1273=2,VLOOKUP(C1273,'Capital Code Schedules'!E$15:G$300,3,FALSE),0))</f>
        <v>0</v>
      </c>
      <c r="L1273" s="374">
        <f>VLOOKUP(LEFT(A1273,10),'Streetlight Tariff Schedule'!B$11:H$260,7, FALSE)+I1273</f>
        <v>65.825701074858159</v>
      </c>
      <c r="M1273" s="410">
        <f t="shared" si="212"/>
        <v>65.825701074858159</v>
      </c>
      <c r="N1273" s="411">
        <f t="shared" si="213"/>
        <v>68.568567363744279</v>
      </c>
      <c r="O1273" s="411">
        <v>42.459641448139642</v>
      </c>
      <c r="P1273" s="411">
        <v>42.459641448139642</v>
      </c>
      <c r="Q1273" s="411">
        <v>44.53756799400297</v>
      </c>
      <c r="R1273" s="411">
        <v>44.53756799400297</v>
      </c>
      <c r="S1273" s="411">
        <f t="shared" si="214"/>
        <v>71.92423503962344</v>
      </c>
      <c r="T1273" s="411">
        <v>46.366778691829502</v>
      </c>
      <c r="U1273" s="411">
        <v>46.536170034793706</v>
      </c>
      <c r="V1273" s="411">
        <f t="shared" si="215"/>
        <v>75.151800652363235</v>
      </c>
      <c r="W1273" s="411">
        <v>48.054654951184283</v>
      </c>
      <c r="X1273" s="411">
        <v>48.66085885085382</v>
      </c>
      <c r="Y1273" s="411">
        <f t="shared" si="216"/>
        <v>78.582985260668394</v>
      </c>
      <c r="Z1273" s="411">
        <v>49.442742936217151</v>
      </c>
      <c r="AA1273" s="411">
        <v>50.249671452910576</v>
      </c>
      <c r="AB1273" s="441">
        <f t="shared" si="217"/>
        <v>80.288765809015871</v>
      </c>
      <c r="AC1273" s="438">
        <f t="shared" si="218"/>
        <v>82.689324535742955</v>
      </c>
      <c r="AD1273" s="410"/>
      <c r="AE1273" s="411"/>
      <c r="AF1273" s="411"/>
      <c r="AG1273" s="411"/>
    </row>
    <row r="1274" spans="1:33" s="409" customFormat="1" x14ac:dyDescent="0.2">
      <c r="A1274" s="409" t="s">
        <v>548</v>
      </c>
      <c r="B1274" s="23" t="str">
        <f>VLOOKUP(LEFT(A1274,7),'[7]Tariff Schedule Lookup Table'!$A$8:$G$186,2,FALSE)</f>
        <v>High Pressure Sodium 310 (Retrofit)</v>
      </c>
      <c r="C1274" s="375">
        <f t="shared" si="220"/>
        <v>240</v>
      </c>
      <c r="D1274" s="23">
        <f t="shared" si="221"/>
        <v>2</v>
      </c>
      <c r="E1274" s="23" t="str">
        <f>VLOOKUP(C1274,'[7]Tariff Schedule Lookup Table'!I$7:L$287,2,FALSE)</f>
        <v>HIGH PRESSURE SODIUM 400W (310/360)</v>
      </c>
      <c r="F1274" s="23" t="str">
        <f>IF(E1274 = "BULKHEADS ETC", "SHARED OR NO POLE", VLOOKUP(C1274,'[7]Tariff Schedule Lookup Table'!I$7:L$287,3,FALSE))</f>
        <v>WOOD POLE</v>
      </c>
      <c r="G1274" s="23">
        <f>IF(E1274 = "NO CAPITAL", 1, VLOOKUP(C1274,'[7]Tariff Schedule Lookup Table'!I$7:L$287,4,FALSE))</f>
        <v>1</v>
      </c>
      <c r="H1274" s="23" t="str">
        <f t="shared" si="219"/>
        <v>2-Unmetered, Funded by Others, CE Maintained</v>
      </c>
      <c r="I1274" s="374">
        <f>VLOOKUP(F1274,'Maintenance Model'!$A$57:$B$61,2,FALSE)</f>
        <v>10.731618231111112</v>
      </c>
      <c r="J1274" s="374">
        <f>IF(D1274=1,VLOOKUP(C1274,'Capital Code Schedules'!A$15:F$300,2,FALSE),IF(D1274=2,VLOOKUP(C1274,'Capital Code Schedules'!A$15:F$300,3,FALSE),0))</f>
        <v>0</v>
      </c>
      <c r="K1274" s="374">
        <f>IF(D1274=1,VLOOKUP(C1274,'Capital Code Schedules'!E$15:G$300,2,FALSE),IF(D1274=2,VLOOKUP(C1274,'Capital Code Schedules'!E$15:G$300,3,FALSE),0))</f>
        <v>0</v>
      </c>
      <c r="L1274" s="374">
        <f>VLOOKUP(LEFT(A1274,10),'Streetlight Tariff Schedule'!B$11:H$260,7, FALSE)+I1274</f>
        <v>76.557319305969273</v>
      </c>
      <c r="M1274" s="410">
        <f t="shared" si="212"/>
        <v>76.557319305969273</v>
      </c>
      <c r="N1274" s="411">
        <f t="shared" si="213"/>
        <v>79.747357343741669</v>
      </c>
      <c r="O1274" s="411">
        <v>52.855841523563811</v>
      </c>
      <c r="P1274" s="411">
        <v>52.855841523563811</v>
      </c>
      <c r="Q1274" s="411">
        <v>55.44254627329434</v>
      </c>
      <c r="R1274" s="411">
        <v>55.44254627329434</v>
      </c>
      <c r="S1274" s="411">
        <f t="shared" si="214"/>
        <v>83.650102283060278</v>
      </c>
      <c r="T1274" s="411">
        <v>57.719637352257358</v>
      </c>
      <c r="U1274" s="411">
        <v>57.930503993468051</v>
      </c>
      <c r="V1274" s="411">
        <f t="shared" si="215"/>
        <v>87.4038605744378</v>
      </c>
      <c r="W1274" s="411">
        <v>59.820788399065137</v>
      </c>
      <c r="X1274" s="411">
        <v>60.575420707749025</v>
      </c>
      <c r="Y1274" s="411">
        <f t="shared" si="216"/>
        <v>91.394434033838039</v>
      </c>
      <c r="Z1274" s="411">
        <v>61.548748317126936</v>
      </c>
      <c r="AA1274" s="411">
        <v>62.553252461404412</v>
      </c>
      <c r="AB1274" s="441">
        <f t="shared" si="217"/>
        <v>93.378309389107585</v>
      </c>
      <c r="AC1274" s="438">
        <f t="shared" si="218"/>
        <v>96.170233181089344</v>
      </c>
      <c r="AD1274" s="410"/>
      <c r="AE1274" s="411"/>
      <c r="AF1274" s="411"/>
      <c r="AG1274" s="411"/>
    </row>
    <row r="1275" spans="1:33" s="409" customFormat="1" x14ac:dyDescent="0.2">
      <c r="A1275" s="409" t="s">
        <v>739</v>
      </c>
      <c r="B1275" s="23" t="str">
        <f>VLOOKUP(LEFT(A1275,7),'[7]Tariff Schedule Lookup Table'!$A$8:$G$186,2,FALSE)</f>
        <v>High Pressure Sodium 310 (Retrofit)</v>
      </c>
      <c r="C1275" s="375">
        <f t="shared" si="220"/>
        <v>330</v>
      </c>
      <c r="D1275" s="23">
        <f t="shared" si="221"/>
        <v>1</v>
      </c>
      <c r="E1275" s="23" t="str">
        <f>VLOOKUP(C1275,'[7]Tariff Schedule Lookup Table'!I$7:L$287,2,FALSE)</f>
        <v>HIGH PRESSURE SODIUM 400W (310/360)</v>
      </c>
      <c r="F1275" s="23" t="str">
        <f>IF(E1275 = "BULKHEADS ETC", "SHARED OR NO POLE", VLOOKUP(C1275,'[7]Tariff Schedule Lookup Table'!I$7:L$287,3,FALSE))</f>
        <v>STEEL POLE</v>
      </c>
      <c r="G1275" s="23">
        <f>IF(E1275 = "NO CAPITAL", 1, VLOOKUP(C1275,'[7]Tariff Schedule Lookup Table'!I$7:L$287,4,FALSE))</f>
        <v>1</v>
      </c>
      <c r="H1275" s="23" t="str">
        <f t="shared" si="219"/>
        <v>1-Unmetered, CE Funded, CE Maintained</v>
      </c>
      <c r="I1275" s="374">
        <f>VLOOKUP(F1275,'Maintenance Model'!$A$57:$B$61,2,FALSE)</f>
        <v>9.9616182311111103</v>
      </c>
      <c r="J1275" s="374">
        <f>IF(D1275=1,VLOOKUP(C1275,'Capital Code Schedules'!A$15:F$300,2,FALSE),IF(D1275=2,VLOOKUP(C1275,'Capital Code Schedules'!A$15:F$300,3,FALSE),0))</f>
        <v>95.968430970589921</v>
      </c>
      <c r="K1275" s="374">
        <f>IF(D1275=1,VLOOKUP(C1275,'Capital Code Schedules'!E$15:G$300,2,FALSE),IF(D1275=2,VLOOKUP(C1275,'Capital Code Schedules'!E$15:G$300,3,FALSE),0))</f>
        <v>121.73315019865107</v>
      </c>
      <c r="L1275" s="374">
        <f>VLOOKUP(LEFT(A1275,10),'Streetlight Tariff Schedule'!B$11:H$260,7, FALSE)+I1275</f>
        <v>75.787319305969277</v>
      </c>
      <c r="M1275" s="410">
        <f t="shared" si="212"/>
        <v>197.52046950462034</v>
      </c>
      <c r="N1275" s="411">
        <f t="shared" si="213"/>
        <v>177.28892214152867</v>
      </c>
      <c r="O1275" s="411">
        <v>182.3223963054559</v>
      </c>
      <c r="P1275" s="411">
        <v>176.79980235030652</v>
      </c>
      <c r="Q1275" s="411">
        <v>182.43471861077276</v>
      </c>
      <c r="R1275" s="411">
        <v>188.0939967663121</v>
      </c>
      <c r="S1275" s="411">
        <f t="shared" si="214"/>
        <v>183.58641928986634</v>
      </c>
      <c r="T1275" s="411">
        <v>187.84113432255262</v>
      </c>
      <c r="U1275" s="411">
        <v>194.34874431926258</v>
      </c>
      <c r="V1275" s="411">
        <f t="shared" si="215"/>
        <v>190.17458610966358</v>
      </c>
      <c r="W1275" s="411">
        <v>193.1525858983087</v>
      </c>
      <c r="X1275" s="411">
        <v>201.60790413637699</v>
      </c>
      <c r="Y1275" s="411">
        <f t="shared" si="216"/>
        <v>197.63875192049704</v>
      </c>
      <c r="Z1275" s="411">
        <v>198.17675359116564</v>
      </c>
      <c r="AA1275" s="411">
        <v>207.60134619530768</v>
      </c>
      <c r="AB1275" s="441">
        <f t="shared" si="217"/>
        <v>201.4887522343486</v>
      </c>
      <c r="AC1275" s="438">
        <f t="shared" si="218"/>
        <v>207.42593944874454</v>
      </c>
      <c r="AD1275" s="410"/>
      <c r="AE1275" s="411"/>
      <c r="AF1275" s="411"/>
      <c r="AG1275" s="411"/>
    </row>
    <row r="1276" spans="1:33" s="409" customFormat="1" x14ac:dyDescent="0.2">
      <c r="A1276" s="409" t="s">
        <v>549</v>
      </c>
      <c r="B1276" s="23" t="str">
        <f>VLOOKUP(LEFT(A1276,7),'[7]Tariff Schedule Lookup Table'!$A$8:$G$186,2,FALSE)</f>
        <v>High Pressure Sodium 310 (Retrofit)</v>
      </c>
      <c r="C1276" s="375">
        <f t="shared" si="220"/>
        <v>330</v>
      </c>
      <c r="D1276" s="23">
        <f t="shared" si="221"/>
        <v>2</v>
      </c>
      <c r="E1276" s="23" t="str">
        <f>VLOOKUP(C1276,'[7]Tariff Schedule Lookup Table'!I$7:L$287,2,FALSE)</f>
        <v>HIGH PRESSURE SODIUM 400W (310/360)</v>
      </c>
      <c r="F1276" s="23" t="str">
        <f>IF(E1276 = "BULKHEADS ETC", "SHARED OR NO POLE", VLOOKUP(C1276,'[7]Tariff Schedule Lookup Table'!I$7:L$287,3,FALSE))</f>
        <v>STEEL POLE</v>
      </c>
      <c r="G1276" s="23">
        <f>IF(E1276 = "NO CAPITAL", 1, VLOOKUP(C1276,'[7]Tariff Schedule Lookup Table'!I$7:L$287,4,FALSE))</f>
        <v>1</v>
      </c>
      <c r="H1276" s="23" t="str">
        <f t="shared" si="219"/>
        <v>2-Unmetered, Funded by Others, CE Maintained</v>
      </c>
      <c r="I1276" s="374">
        <f>VLOOKUP(F1276,'Maintenance Model'!$A$57:$B$61,2,FALSE)</f>
        <v>9.9616182311111103</v>
      </c>
      <c r="J1276" s="374">
        <f>IF(D1276=1,VLOOKUP(C1276,'Capital Code Schedules'!A$15:F$300,2,FALSE),IF(D1276=2,VLOOKUP(C1276,'Capital Code Schedules'!A$15:F$300,3,FALSE),0))</f>
        <v>0</v>
      </c>
      <c r="K1276" s="374">
        <f>IF(D1276=1,VLOOKUP(C1276,'Capital Code Schedules'!E$15:G$300,2,FALSE),IF(D1276=2,VLOOKUP(C1276,'Capital Code Schedules'!E$15:G$300,3,FALSE),0))</f>
        <v>0</v>
      </c>
      <c r="L1276" s="374">
        <f>VLOOKUP(LEFT(A1276,10),'Streetlight Tariff Schedule'!B$11:H$260,7, FALSE)+I1276</f>
        <v>75.787319305969277</v>
      </c>
      <c r="M1276" s="410">
        <f t="shared" si="212"/>
        <v>75.787319305969277</v>
      </c>
      <c r="N1276" s="411">
        <f t="shared" si="213"/>
        <v>78.945272504416678</v>
      </c>
      <c r="O1276" s="411">
        <v>52.053756684238806</v>
      </c>
      <c r="P1276" s="411">
        <v>52.053756684238806</v>
      </c>
      <c r="Q1276" s="411">
        <v>54.601208314469886</v>
      </c>
      <c r="R1276" s="411">
        <v>54.601208314469886</v>
      </c>
      <c r="S1276" s="411">
        <f t="shared" si="214"/>
        <v>82.808764324235824</v>
      </c>
      <c r="T1276" s="411">
        <v>56.843744646416255</v>
      </c>
      <c r="U1276" s="411">
        <v>57.051411396542839</v>
      </c>
      <c r="V1276" s="411">
        <f t="shared" si="215"/>
        <v>86.524767977512582</v>
      </c>
      <c r="W1276" s="411">
        <v>58.913010827687941</v>
      </c>
      <c r="X1276" s="411">
        <v>59.656191627577087</v>
      </c>
      <c r="Y1276" s="411">
        <f t="shared" si="216"/>
        <v>90.475204953666108</v>
      </c>
      <c r="Z1276" s="411">
        <v>60.614749037547035</v>
      </c>
      <c r="AA1276" s="411">
        <v>61.60400988000697</v>
      </c>
      <c r="AB1276" s="441">
        <f t="shared" si="217"/>
        <v>92.439126840901437</v>
      </c>
      <c r="AC1276" s="438">
        <f t="shared" si="218"/>
        <v>95.202969956348085</v>
      </c>
      <c r="AD1276" s="410"/>
      <c r="AE1276" s="411"/>
      <c r="AF1276" s="411"/>
      <c r="AG1276" s="411"/>
    </row>
    <row r="1277" spans="1:33" s="409" customFormat="1" x14ac:dyDescent="0.2">
      <c r="A1277" s="409" t="s">
        <v>550</v>
      </c>
      <c r="B1277" s="23" t="str">
        <f>VLOOKUP(LEFT(A1277,7),'[7]Tariff Schedule Lookup Table'!$A$8:$G$186,2,FALSE)</f>
        <v>High Pressure Sodium 310 (Retrofit)</v>
      </c>
      <c r="C1277" s="375">
        <f t="shared" si="220"/>
        <v>400</v>
      </c>
      <c r="D1277" s="23">
        <f t="shared" si="221"/>
        <v>2</v>
      </c>
      <c r="E1277" s="23" t="str">
        <f>VLOOKUP(C1277,'[7]Tariff Schedule Lookup Table'!I$7:L$287,2,FALSE)</f>
        <v>HIGH PRESSURE SODIUM 400W (310/360)</v>
      </c>
      <c r="F1277" s="23" t="str">
        <f>IF(E1277 = "BULKHEADS ETC", "SHARED OR NO POLE", VLOOKUP(C1277,'[7]Tariff Schedule Lookup Table'!I$7:L$287,3,FALSE))</f>
        <v>STEEL POLE</v>
      </c>
      <c r="G1277" s="23">
        <f>IF(E1277 = "NO CAPITAL", 1, VLOOKUP(C1277,'[7]Tariff Schedule Lookup Table'!I$7:L$287,4,FALSE))</f>
        <v>2</v>
      </c>
      <c r="H1277" s="23" t="str">
        <f t="shared" si="219"/>
        <v>2-Unmetered, Funded by Others, CE Maintained</v>
      </c>
      <c r="I1277" s="374">
        <f>VLOOKUP(F1277,'Maintenance Model'!$A$57:$B$61,2,FALSE)</f>
        <v>9.9616182311111103</v>
      </c>
      <c r="J1277" s="374">
        <f>IF(D1277=1,VLOOKUP(C1277,'Capital Code Schedules'!A$15:F$300,2,FALSE),IF(D1277=2,VLOOKUP(C1277,'Capital Code Schedules'!A$15:F$300,3,FALSE),0))</f>
        <v>0</v>
      </c>
      <c r="K1277" s="374">
        <f>IF(D1277=1,VLOOKUP(C1277,'Capital Code Schedules'!E$15:G$300,2,FALSE),IF(D1277=2,VLOOKUP(C1277,'Capital Code Schedules'!E$15:G$300,3,FALSE),0))</f>
        <v>0</v>
      </c>
      <c r="L1277" s="374">
        <f>VLOOKUP(LEFT(A1277,10),'Streetlight Tariff Schedule'!B$11:H$260,7, FALSE)+I1277</f>
        <v>75.787319305969277</v>
      </c>
      <c r="M1277" s="410">
        <f t="shared" si="212"/>
        <v>75.787319305969277</v>
      </c>
      <c r="N1277" s="411">
        <f t="shared" si="213"/>
        <v>78.945272504416678</v>
      </c>
      <c r="O1277" s="411">
        <v>52.053756684238806</v>
      </c>
      <c r="P1277" s="411">
        <v>52.053756684238806</v>
      </c>
      <c r="Q1277" s="411">
        <v>54.601208314469886</v>
      </c>
      <c r="R1277" s="411">
        <v>54.601208314469886</v>
      </c>
      <c r="S1277" s="411">
        <f t="shared" si="214"/>
        <v>82.808764324235824</v>
      </c>
      <c r="T1277" s="411">
        <v>56.843744646416255</v>
      </c>
      <c r="U1277" s="411">
        <v>57.051411396542839</v>
      </c>
      <c r="V1277" s="411">
        <f t="shared" si="215"/>
        <v>86.524767977512582</v>
      </c>
      <c r="W1277" s="411">
        <v>58.913010827687941</v>
      </c>
      <c r="X1277" s="411">
        <v>59.656191627577087</v>
      </c>
      <c r="Y1277" s="411">
        <f t="shared" si="216"/>
        <v>90.475204953666108</v>
      </c>
      <c r="Z1277" s="411">
        <v>60.614749037547035</v>
      </c>
      <c r="AA1277" s="411">
        <v>61.60400988000697</v>
      </c>
      <c r="AB1277" s="441">
        <f t="shared" si="217"/>
        <v>92.439126840901437</v>
      </c>
      <c r="AC1277" s="438">
        <f t="shared" si="218"/>
        <v>95.202969956348085</v>
      </c>
      <c r="AD1277" s="410"/>
      <c r="AE1277" s="411"/>
      <c r="AF1277" s="411"/>
      <c r="AG1277" s="411"/>
    </row>
    <row r="1278" spans="1:33" s="409" customFormat="1" x14ac:dyDescent="0.2">
      <c r="A1278" s="409" t="s">
        <v>551</v>
      </c>
      <c r="B1278" s="23" t="str">
        <f>VLOOKUP(LEFT(A1278,7),'[7]Tariff Schedule Lookup Table'!$A$8:$G$186,2,FALSE)</f>
        <v>High Pressure Sodium 310 (Retrofit)</v>
      </c>
      <c r="C1278" s="375">
        <f t="shared" si="220"/>
        <v>1030</v>
      </c>
      <c r="D1278" s="23">
        <f t="shared" si="221"/>
        <v>1</v>
      </c>
      <c r="E1278" s="23" t="str">
        <f>VLOOKUP(C1278,'[7]Tariff Schedule Lookup Table'!I$7:L$287,2,FALSE)</f>
        <v>HIGH PRESSURE SODIUM 400W (310/360)</v>
      </c>
      <c r="F1278" s="23" t="str">
        <f>IF(E1278 = "BULKHEADS ETC", "SHARED OR NO POLE", VLOOKUP(C1278,'[7]Tariff Schedule Lookup Table'!I$7:L$287,3,FALSE))</f>
        <v>SHARED OR NO POLE</v>
      </c>
      <c r="G1278" s="23">
        <f>IF(E1278 = "NO CAPITAL", 1, VLOOKUP(C1278,'[7]Tariff Schedule Lookup Table'!I$7:L$287,4,FALSE))</f>
        <v>2</v>
      </c>
      <c r="H1278" s="23" t="str">
        <f t="shared" si="219"/>
        <v>1-Unmetered, CE Funded, CE Maintained</v>
      </c>
      <c r="I1278" s="374">
        <f>VLOOKUP(F1278,'Maintenance Model'!$A$57:$B$61,2,FALSE)</f>
        <v>0</v>
      </c>
      <c r="J1278" s="374">
        <f>IF(D1278=1,VLOOKUP(C1278,'Capital Code Schedules'!A$15:F$300,2,FALSE),IF(D1278=2,VLOOKUP(C1278,'Capital Code Schedules'!A$15:F$300,3,FALSE),0))</f>
        <v>52.163571087910817</v>
      </c>
      <c r="K1278" s="374">
        <f>IF(D1278=1,VLOOKUP(C1278,'Capital Code Schedules'!E$15:G$300,2,FALSE),IF(D1278=2,VLOOKUP(C1278,'Capital Code Schedules'!E$15:G$300,3,FALSE),0))</f>
        <v>66.167965547844219</v>
      </c>
      <c r="L1278" s="374">
        <f>VLOOKUP(LEFT(A1278,10),'Streetlight Tariff Schedule'!B$11:H$260,7, FALSE)+I1278</f>
        <v>65.825701074858159</v>
      </c>
      <c r="M1278" s="410">
        <f t="shared" si="212"/>
        <v>131.99366662270239</v>
      </c>
      <c r="N1278" s="411">
        <f t="shared" si="213"/>
        <v>122.02318683608088</v>
      </c>
      <c r="O1278" s="411">
        <v>113.2670660843645</v>
      </c>
      <c r="P1278" s="411">
        <v>110.26526414329301</v>
      </c>
      <c r="Q1278" s="411">
        <v>114.02137985086138</v>
      </c>
      <c r="R1278" s="411">
        <v>117.09747638997439</v>
      </c>
      <c r="S1278" s="411">
        <f t="shared" si="214"/>
        <v>126.70185634390039</v>
      </c>
      <c r="T1278" s="411">
        <v>117.57031489214515</v>
      </c>
      <c r="U1278" s="411">
        <v>121.1640358200503</v>
      </c>
      <c r="V1278" s="411">
        <f t="shared" si="215"/>
        <v>131.49058416381206</v>
      </c>
      <c r="W1278" s="411">
        <v>121.02047867245776</v>
      </c>
      <c r="X1278" s="411">
        <v>125.81860928623061</v>
      </c>
      <c r="Y1278" s="411">
        <f t="shared" si="216"/>
        <v>136.83165353315533</v>
      </c>
      <c r="Z1278" s="411">
        <v>124.21447079459213</v>
      </c>
      <c r="AA1278" s="411">
        <v>129.6064177756956</v>
      </c>
      <c r="AB1278" s="441">
        <f t="shared" si="217"/>
        <v>139.56261064309859</v>
      </c>
      <c r="AC1278" s="438">
        <f t="shared" si="218"/>
        <v>143.68803825449749</v>
      </c>
      <c r="AD1278" s="410"/>
      <c r="AE1278" s="411"/>
      <c r="AF1278" s="411"/>
      <c r="AG1278" s="411"/>
    </row>
    <row r="1279" spans="1:33" s="409" customFormat="1" x14ac:dyDescent="0.2">
      <c r="A1279" s="409" t="s">
        <v>552</v>
      </c>
      <c r="B1279" s="23" t="str">
        <f>VLOOKUP(LEFT(A1279,7),'[7]Tariff Schedule Lookup Table'!$A$8:$G$186,2,FALSE)</f>
        <v>High Pressure Sodium 360</v>
      </c>
      <c r="C1279" s="375">
        <f t="shared" si="220"/>
        <v>70</v>
      </c>
      <c r="D1279" s="23">
        <f t="shared" si="221"/>
        <v>1</v>
      </c>
      <c r="E1279" s="23" t="str">
        <f>VLOOKUP(C1279,'[7]Tariff Schedule Lookup Table'!I$7:L$287,2,FALSE)</f>
        <v>HIGH PRESSURE SODIUM 400W (310/360)</v>
      </c>
      <c r="F1279" s="23" t="str">
        <f>IF(E1279 = "BULKHEADS ETC", "SHARED OR NO POLE", VLOOKUP(C1279,'[7]Tariff Schedule Lookup Table'!I$7:L$287,3,FALSE))</f>
        <v>SHARED OR NO POLE</v>
      </c>
      <c r="G1279" s="23">
        <f>IF(E1279 = "NO CAPITAL", 1, VLOOKUP(C1279,'[7]Tariff Schedule Lookup Table'!I$7:L$287,4,FALSE))</f>
        <v>1</v>
      </c>
      <c r="H1279" s="23" t="str">
        <f t="shared" si="219"/>
        <v>1-Unmetered, CE Funded, CE Maintained</v>
      </c>
      <c r="I1279" s="374">
        <f>VLOOKUP(F1279,'Maintenance Model'!$A$57:$B$61,2,FALSE)</f>
        <v>0</v>
      </c>
      <c r="J1279" s="374">
        <f>IF(D1279=1,VLOOKUP(C1279,'Capital Code Schedules'!A$15:F$300,2,FALSE),IF(D1279=2,VLOOKUP(C1279,'Capital Code Schedules'!A$15:F$300,3,FALSE),0))</f>
        <v>35.784047435083579</v>
      </c>
      <c r="K1279" s="374">
        <f>IF(D1279=1,VLOOKUP(C1279,'Capital Code Schedules'!E$15:G$300,2,FALSE),IF(D1279=2,VLOOKUP(C1279,'Capital Code Schedules'!E$15:G$300,3,FALSE),0))</f>
        <v>45.391018453408257</v>
      </c>
      <c r="L1279" s="374">
        <f>VLOOKUP(LEFT(A1279,10),'Streetlight Tariff Schedule'!B$11:H$260,7, FALSE)+I1279</f>
        <v>70.417216134374826</v>
      </c>
      <c r="M1279" s="410">
        <f t="shared" si="212"/>
        <v>115.80823458778309</v>
      </c>
      <c r="N1279" s="411">
        <f t="shared" si="213"/>
        <v>110.0211071400809</v>
      </c>
      <c r="O1279" s="411">
        <v>95.372511494213612</v>
      </c>
      <c r="P1279" s="411">
        <v>93.313284704142049</v>
      </c>
      <c r="Q1279" s="411">
        <v>96.754799161607991</v>
      </c>
      <c r="R1279" s="411">
        <v>98.864991814733827</v>
      </c>
      <c r="S1279" s="411">
        <f t="shared" si="214"/>
        <v>114.51841656503504</v>
      </c>
      <c r="T1279" s="411">
        <v>99.950673060988123</v>
      </c>
      <c r="U1279" s="411">
        <v>102.48645492691499</v>
      </c>
      <c r="V1279" s="411">
        <f t="shared" si="215"/>
        <v>119.04206574868513</v>
      </c>
      <c r="W1279" s="411">
        <v>103.01996694296537</v>
      </c>
      <c r="X1279" s="411">
        <v>106.56377101687379</v>
      </c>
      <c r="Y1279" s="411">
        <f t="shared" si="216"/>
        <v>124.02275947289637</v>
      </c>
      <c r="Z1279" s="411">
        <v>105.78875631054008</v>
      </c>
      <c r="AA1279" s="411">
        <v>109.82345793204404</v>
      </c>
      <c r="AB1279" s="441">
        <f t="shared" si="217"/>
        <v>126.55079061318303</v>
      </c>
      <c r="AC1279" s="438">
        <f t="shared" si="218"/>
        <v>130.30204928575424</v>
      </c>
      <c r="AD1279" s="410"/>
      <c r="AE1279" s="411"/>
      <c r="AF1279" s="411"/>
      <c r="AG1279" s="411"/>
    </row>
    <row r="1280" spans="1:33" s="409" customFormat="1" x14ac:dyDescent="0.2">
      <c r="A1280" s="409" t="s">
        <v>553</v>
      </c>
      <c r="B1280" s="23" t="str">
        <f>VLOOKUP(LEFT(A1280,7),'[7]Tariff Schedule Lookup Table'!$A$8:$G$186,2,FALSE)</f>
        <v>High Pressure Sodium 360</v>
      </c>
      <c r="C1280" s="375">
        <f t="shared" si="220"/>
        <v>70</v>
      </c>
      <c r="D1280" s="23">
        <f t="shared" si="221"/>
        <v>2</v>
      </c>
      <c r="E1280" s="23" t="str">
        <f>VLOOKUP(C1280,'[7]Tariff Schedule Lookup Table'!I$7:L$287,2,FALSE)</f>
        <v>HIGH PRESSURE SODIUM 400W (310/360)</v>
      </c>
      <c r="F1280" s="23" t="str">
        <f>IF(E1280 = "BULKHEADS ETC", "SHARED OR NO POLE", VLOOKUP(C1280,'[7]Tariff Schedule Lookup Table'!I$7:L$287,3,FALSE))</f>
        <v>SHARED OR NO POLE</v>
      </c>
      <c r="G1280" s="23">
        <f>IF(E1280 = "NO CAPITAL", 1, VLOOKUP(C1280,'[7]Tariff Schedule Lookup Table'!I$7:L$287,4,FALSE))</f>
        <v>1</v>
      </c>
      <c r="H1280" s="23" t="str">
        <f t="shared" si="219"/>
        <v>2-Unmetered, Funded by Others, CE Maintained</v>
      </c>
      <c r="I1280" s="374">
        <f>VLOOKUP(F1280,'Maintenance Model'!$A$57:$B$61,2,FALSE)</f>
        <v>0</v>
      </c>
      <c r="J1280" s="374">
        <f>IF(D1280=1,VLOOKUP(C1280,'Capital Code Schedules'!A$15:F$300,2,FALSE),IF(D1280=2,VLOOKUP(C1280,'Capital Code Schedules'!A$15:F$300,3,FALSE),0))</f>
        <v>0</v>
      </c>
      <c r="K1280" s="374">
        <f>IF(D1280=1,VLOOKUP(C1280,'Capital Code Schedules'!E$15:G$300,2,FALSE),IF(D1280=2,VLOOKUP(C1280,'Capital Code Schedules'!E$15:G$300,3,FALSE),0))</f>
        <v>0</v>
      </c>
      <c r="L1280" s="374">
        <f>VLOOKUP(LEFT(A1280,10),'Streetlight Tariff Schedule'!B$11:H$260,7, FALSE)+I1280</f>
        <v>70.417216134374826</v>
      </c>
      <c r="M1280" s="410">
        <f t="shared" si="212"/>
        <v>70.417216134374826</v>
      </c>
      <c r="N1280" s="411">
        <f t="shared" si="213"/>
        <v>73.351404530979011</v>
      </c>
      <c r="O1280" s="411">
        <v>46.798838544011929</v>
      </c>
      <c r="P1280" s="411">
        <v>46.798838544011929</v>
      </c>
      <c r="Q1280" s="411">
        <v>49.089120459014651</v>
      </c>
      <c r="R1280" s="411">
        <v>49.089120459014651</v>
      </c>
      <c r="S1280" s="411">
        <f t="shared" si="214"/>
        <v>76.941138816357864</v>
      </c>
      <c r="T1280" s="411">
        <v>51.105268810505599</v>
      </c>
      <c r="U1280" s="411">
        <v>51.291971237557831</v>
      </c>
      <c r="V1280" s="411">
        <f t="shared" si="215"/>
        <v>80.393835584170674</v>
      </c>
      <c r="W1280" s="411">
        <v>52.965638937283387</v>
      </c>
      <c r="X1280" s="411">
        <v>53.633794330447408</v>
      </c>
      <c r="Y1280" s="411">
        <f t="shared" si="216"/>
        <v>84.064354305804869</v>
      </c>
      <c r="Z1280" s="411">
        <v>54.495583686717495</v>
      </c>
      <c r="AA1280" s="411">
        <v>55.384976910054512</v>
      </c>
      <c r="AB1280" s="441">
        <f t="shared" si="217"/>
        <v>85.889117515150701</v>
      </c>
      <c r="AC1280" s="438">
        <f t="shared" si="218"/>
        <v>88.457121500569158</v>
      </c>
      <c r="AD1280" s="410"/>
      <c r="AE1280" s="411"/>
      <c r="AF1280" s="411"/>
      <c r="AG1280" s="411"/>
    </row>
    <row r="1281" spans="1:33" s="409" customFormat="1" x14ac:dyDescent="0.2">
      <c r="A1281" s="409" t="s">
        <v>554</v>
      </c>
      <c r="B1281" s="23" t="str">
        <f>VLOOKUP(LEFT(A1281,7),'[7]Tariff Schedule Lookup Table'!$A$8:$G$186,2,FALSE)</f>
        <v>High Pressure Sodium 360</v>
      </c>
      <c r="C1281" s="375">
        <f t="shared" si="220"/>
        <v>240</v>
      </c>
      <c r="D1281" s="23">
        <f t="shared" si="221"/>
        <v>1</v>
      </c>
      <c r="E1281" s="23" t="str">
        <f>VLOOKUP(C1281,'[7]Tariff Schedule Lookup Table'!I$7:L$287,2,FALSE)</f>
        <v>HIGH PRESSURE SODIUM 400W (310/360)</v>
      </c>
      <c r="F1281" s="23" t="str">
        <f>IF(E1281 = "BULKHEADS ETC", "SHARED OR NO POLE", VLOOKUP(C1281,'[7]Tariff Schedule Lookup Table'!I$7:L$287,3,FALSE))</f>
        <v>WOOD POLE</v>
      </c>
      <c r="G1281" s="23">
        <f>IF(E1281 = "NO CAPITAL", 1, VLOOKUP(C1281,'[7]Tariff Schedule Lookup Table'!I$7:L$287,4,FALSE))</f>
        <v>1</v>
      </c>
      <c r="H1281" s="23" t="str">
        <f t="shared" si="219"/>
        <v>1-Unmetered, CE Funded, CE Maintained</v>
      </c>
      <c r="I1281" s="374">
        <f>VLOOKUP(F1281,'Maintenance Model'!$A$57:$B$61,2,FALSE)</f>
        <v>10.731618231111112</v>
      </c>
      <c r="J1281" s="374">
        <f>IF(D1281=1,VLOOKUP(C1281,'Capital Code Schedules'!A$15:F$300,2,FALSE),IF(D1281=2,VLOOKUP(C1281,'Capital Code Schedules'!A$15:F$300,3,FALSE),0))</f>
        <v>69.685165796959865</v>
      </c>
      <c r="K1281" s="374">
        <f>IF(D1281=1,VLOOKUP(C1281,'Capital Code Schedules'!E$15:G$300,2,FALSE),IF(D1281=2,VLOOKUP(C1281,'Capital Code Schedules'!E$15:G$300,3,FALSE),0))</f>
        <v>88.393596402330274</v>
      </c>
      <c r="L1281" s="374">
        <f>VLOOKUP(LEFT(A1281,10),'Streetlight Tariff Schedule'!B$11:H$260,7, FALSE)+I1281</f>
        <v>81.148834365485939</v>
      </c>
      <c r="M1281" s="410">
        <f t="shared" si="212"/>
        <v>169.5424307678162</v>
      </c>
      <c r="N1281" s="411">
        <f t="shared" si="213"/>
        <v>155.94006816141103</v>
      </c>
      <c r="O1281" s="411">
        <v>151.78647518184974</v>
      </c>
      <c r="P1281" s="411">
        <v>147.77637653272404</v>
      </c>
      <c r="Q1281" s="411">
        <v>152.81732476494787</v>
      </c>
      <c r="R1281" s="411">
        <v>156.92667335563942</v>
      </c>
      <c r="S1281" s="411">
        <f t="shared" si="214"/>
        <v>161.84427408307761</v>
      </c>
      <c r="T1281" s="411">
        <v>157.57872834173469</v>
      </c>
      <c r="U1281" s="411">
        <v>162.38145819015955</v>
      </c>
      <c r="V1281" s="411">
        <f t="shared" si="215"/>
        <v>167.90871566819169</v>
      </c>
      <c r="W1281" s="411">
        <v>162.2066081275178</v>
      </c>
      <c r="X1281" s="411">
        <v>168.62317486776413</v>
      </c>
      <c r="Y1281" s="411">
        <f t="shared" si="216"/>
        <v>174.69003284441095</v>
      </c>
      <c r="Z1281" s="411">
        <v>166.48892699460407</v>
      </c>
      <c r="AA1281" s="411">
        <v>173.70100893136188</v>
      </c>
      <c r="AB1281" s="441">
        <f t="shared" si="217"/>
        <v>178.16242130455055</v>
      </c>
      <c r="AC1281" s="438">
        <f t="shared" si="218"/>
        <v>183.42603777731455</v>
      </c>
      <c r="AD1281" s="410"/>
      <c r="AE1281" s="411"/>
      <c r="AF1281" s="411"/>
      <c r="AG1281" s="411"/>
    </row>
    <row r="1282" spans="1:33" s="409" customFormat="1" x14ac:dyDescent="0.2">
      <c r="A1282" s="409" t="s">
        <v>555</v>
      </c>
      <c r="B1282" s="23" t="str">
        <f>VLOOKUP(LEFT(A1282,7),'[7]Tariff Schedule Lookup Table'!$A$8:$G$186,2,FALSE)</f>
        <v>High Pressure Sodium 360</v>
      </c>
      <c r="C1282" s="375">
        <f t="shared" si="220"/>
        <v>240</v>
      </c>
      <c r="D1282" s="23">
        <f t="shared" si="221"/>
        <v>2</v>
      </c>
      <c r="E1282" s="23" t="str">
        <f>VLOOKUP(C1282,'[7]Tariff Schedule Lookup Table'!I$7:L$287,2,FALSE)</f>
        <v>HIGH PRESSURE SODIUM 400W (310/360)</v>
      </c>
      <c r="F1282" s="23" t="str">
        <f>IF(E1282 = "BULKHEADS ETC", "SHARED OR NO POLE", VLOOKUP(C1282,'[7]Tariff Schedule Lookup Table'!I$7:L$287,3,FALSE))</f>
        <v>WOOD POLE</v>
      </c>
      <c r="G1282" s="23">
        <f>IF(E1282 = "NO CAPITAL", 1, VLOOKUP(C1282,'[7]Tariff Schedule Lookup Table'!I$7:L$287,4,FALSE))</f>
        <v>1</v>
      </c>
      <c r="H1282" s="23" t="str">
        <f t="shared" si="219"/>
        <v>2-Unmetered, Funded by Others, CE Maintained</v>
      </c>
      <c r="I1282" s="374">
        <f>VLOOKUP(F1282,'Maintenance Model'!$A$57:$B$61,2,FALSE)</f>
        <v>10.731618231111112</v>
      </c>
      <c r="J1282" s="374">
        <f>IF(D1282=1,VLOOKUP(C1282,'Capital Code Schedules'!A$15:F$300,2,FALSE),IF(D1282=2,VLOOKUP(C1282,'Capital Code Schedules'!A$15:F$300,3,FALSE),0))</f>
        <v>0</v>
      </c>
      <c r="K1282" s="374">
        <f>IF(D1282=1,VLOOKUP(C1282,'Capital Code Schedules'!E$15:G$300,2,FALSE),IF(D1282=2,VLOOKUP(C1282,'Capital Code Schedules'!E$15:G$300,3,FALSE),0))</f>
        <v>0</v>
      </c>
      <c r="L1282" s="374">
        <f>VLOOKUP(LEFT(A1282,10),'Streetlight Tariff Schedule'!B$11:H$260,7, FALSE)+I1282</f>
        <v>81.148834365485939</v>
      </c>
      <c r="M1282" s="410">
        <f t="shared" si="212"/>
        <v>81.148834365485939</v>
      </c>
      <c r="N1282" s="411">
        <f t="shared" si="213"/>
        <v>84.530194510976401</v>
      </c>
      <c r="O1282" s="411">
        <v>57.195038619436104</v>
      </c>
      <c r="P1282" s="411">
        <v>57.195038619436104</v>
      </c>
      <c r="Q1282" s="411">
        <v>59.994098738306029</v>
      </c>
      <c r="R1282" s="411">
        <v>59.994098738306029</v>
      </c>
      <c r="S1282" s="411">
        <f t="shared" si="214"/>
        <v>88.667006059794701</v>
      </c>
      <c r="T1282" s="411">
        <v>62.458127470933448</v>
      </c>
      <c r="U1282" s="411">
        <v>62.686305196232176</v>
      </c>
      <c r="V1282" s="411">
        <f t="shared" si="215"/>
        <v>92.645895506245225</v>
      </c>
      <c r="W1282" s="411">
        <v>64.731772385164248</v>
      </c>
      <c r="X1282" s="411">
        <v>65.54835618734262</v>
      </c>
      <c r="Y1282" s="411">
        <f t="shared" si="216"/>
        <v>96.875803078974542</v>
      </c>
      <c r="Z1282" s="411">
        <v>66.601589067627273</v>
      </c>
      <c r="AA1282" s="411">
        <v>67.688557918548341</v>
      </c>
      <c r="AB1282" s="441">
        <f t="shared" si="217"/>
        <v>98.978661095242416</v>
      </c>
      <c r="AC1282" s="438">
        <f t="shared" si="218"/>
        <v>101.93803014591556</v>
      </c>
      <c r="AD1282" s="410"/>
      <c r="AE1282" s="411"/>
      <c r="AF1282" s="411"/>
      <c r="AG1282" s="411"/>
    </row>
    <row r="1283" spans="1:33" s="409" customFormat="1" x14ac:dyDescent="0.2">
      <c r="A1283" s="409" t="s">
        <v>556</v>
      </c>
      <c r="B1283" s="23" t="str">
        <f>VLOOKUP(LEFT(A1283,7),'[7]Tariff Schedule Lookup Table'!$A$8:$G$186,2,FALSE)</f>
        <v>High Pressure Sodium 360</v>
      </c>
      <c r="C1283" s="375">
        <f t="shared" si="220"/>
        <v>330</v>
      </c>
      <c r="D1283" s="23">
        <f t="shared" si="221"/>
        <v>1</v>
      </c>
      <c r="E1283" s="23" t="str">
        <f>VLOOKUP(C1283,'[7]Tariff Schedule Lookup Table'!I$7:L$287,2,FALSE)</f>
        <v>HIGH PRESSURE SODIUM 400W (310/360)</v>
      </c>
      <c r="F1283" s="23" t="str">
        <f>IF(E1283 = "BULKHEADS ETC", "SHARED OR NO POLE", VLOOKUP(C1283,'[7]Tariff Schedule Lookup Table'!I$7:L$287,3,FALSE))</f>
        <v>STEEL POLE</v>
      </c>
      <c r="G1283" s="23">
        <f>IF(E1283 = "NO CAPITAL", 1, VLOOKUP(C1283,'[7]Tariff Schedule Lookup Table'!I$7:L$287,4,FALSE))</f>
        <v>1</v>
      </c>
      <c r="H1283" s="23" t="str">
        <f t="shared" si="219"/>
        <v>1-Unmetered, CE Funded, CE Maintained</v>
      </c>
      <c r="I1283" s="374">
        <f>VLOOKUP(F1283,'Maintenance Model'!$A$57:$B$61,2,FALSE)</f>
        <v>9.9616182311111103</v>
      </c>
      <c r="J1283" s="374">
        <f>IF(D1283=1,VLOOKUP(C1283,'Capital Code Schedules'!A$15:F$300,2,FALSE),IF(D1283=2,VLOOKUP(C1283,'Capital Code Schedules'!A$15:F$300,3,FALSE),0))</f>
        <v>95.968430970589921</v>
      </c>
      <c r="K1283" s="374">
        <f>IF(D1283=1,VLOOKUP(C1283,'Capital Code Schedules'!E$15:G$300,2,FALSE),IF(D1283=2,VLOOKUP(C1283,'Capital Code Schedules'!E$15:G$300,3,FALSE),0))</f>
        <v>121.73315019865107</v>
      </c>
      <c r="L1283" s="374">
        <f>VLOOKUP(LEFT(A1283,10),'Streetlight Tariff Schedule'!B$11:H$260,7, FALSE)+I1283</f>
        <v>80.378834365485943</v>
      </c>
      <c r="M1283" s="410">
        <f t="shared" si="212"/>
        <v>202.111984564137</v>
      </c>
      <c r="N1283" s="411">
        <f t="shared" si="213"/>
        <v>182.0717593087634</v>
      </c>
      <c r="O1283" s="411">
        <v>186.66159340132816</v>
      </c>
      <c r="P1283" s="411">
        <v>181.13899944617879</v>
      </c>
      <c r="Q1283" s="411">
        <v>186.98627107578443</v>
      </c>
      <c r="R1283" s="411">
        <v>192.64554923132377</v>
      </c>
      <c r="S1283" s="411">
        <f t="shared" si="214"/>
        <v>188.60332306660081</v>
      </c>
      <c r="T1283" s="411">
        <v>192.57962444122873</v>
      </c>
      <c r="U1283" s="411">
        <v>199.10454552202668</v>
      </c>
      <c r="V1283" s="411">
        <f t="shared" si="215"/>
        <v>195.41662104147099</v>
      </c>
      <c r="W1283" s="411">
        <v>198.0635698844078</v>
      </c>
      <c r="X1283" s="411">
        <v>206.58083961597058</v>
      </c>
      <c r="Y1283" s="411">
        <f t="shared" si="216"/>
        <v>203.1201209656335</v>
      </c>
      <c r="Z1283" s="411">
        <v>203.229594341666</v>
      </c>
      <c r="AA1283" s="411">
        <v>212.73665165245163</v>
      </c>
      <c r="AB1283" s="441">
        <f t="shared" si="217"/>
        <v>207.0891039404834</v>
      </c>
      <c r="AC1283" s="438">
        <f t="shared" si="218"/>
        <v>213.19373641357075</v>
      </c>
      <c r="AD1283" s="410"/>
      <c r="AE1283" s="411"/>
      <c r="AF1283" s="411"/>
      <c r="AG1283" s="411"/>
    </row>
    <row r="1284" spans="1:33" s="409" customFormat="1" x14ac:dyDescent="0.2">
      <c r="A1284" s="409" t="s">
        <v>557</v>
      </c>
      <c r="B1284" s="23" t="str">
        <f>VLOOKUP(LEFT(A1284,7),'[7]Tariff Schedule Lookup Table'!$A$8:$G$186,2,FALSE)</f>
        <v>High Pressure Sodium 360</v>
      </c>
      <c r="C1284" s="375">
        <f t="shared" si="220"/>
        <v>330</v>
      </c>
      <c r="D1284" s="23">
        <f t="shared" si="221"/>
        <v>2</v>
      </c>
      <c r="E1284" s="23" t="str">
        <f>VLOOKUP(C1284,'[7]Tariff Schedule Lookup Table'!I$7:L$287,2,FALSE)</f>
        <v>HIGH PRESSURE SODIUM 400W (310/360)</v>
      </c>
      <c r="F1284" s="23" t="str">
        <f>IF(E1284 = "BULKHEADS ETC", "SHARED OR NO POLE", VLOOKUP(C1284,'[7]Tariff Schedule Lookup Table'!I$7:L$287,3,FALSE))</f>
        <v>STEEL POLE</v>
      </c>
      <c r="G1284" s="23">
        <f>IF(E1284 = "NO CAPITAL", 1, VLOOKUP(C1284,'[7]Tariff Schedule Lookup Table'!I$7:L$287,4,FALSE))</f>
        <v>1</v>
      </c>
      <c r="H1284" s="23" t="str">
        <f t="shared" si="219"/>
        <v>2-Unmetered, Funded by Others, CE Maintained</v>
      </c>
      <c r="I1284" s="374">
        <f>VLOOKUP(F1284,'Maintenance Model'!$A$57:$B$61,2,FALSE)</f>
        <v>9.9616182311111103</v>
      </c>
      <c r="J1284" s="374">
        <f>IF(D1284=1,VLOOKUP(C1284,'Capital Code Schedules'!A$15:F$300,2,FALSE),IF(D1284=2,VLOOKUP(C1284,'Capital Code Schedules'!A$15:F$300,3,FALSE),0))</f>
        <v>0</v>
      </c>
      <c r="K1284" s="374">
        <f>IF(D1284=1,VLOOKUP(C1284,'Capital Code Schedules'!E$15:G$300,2,FALSE),IF(D1284=2,VLOOKUP(C1284,'Capital Code Schedules'!E$15:G$300,3,FALSE),0))</f>
        <v>0</v>
      </c>
      <c r="L1284" s="374">
        <f>VLOOKUP(LEFT(A1284,10),'Streetlight Tariff Schedule'!B$11:H$260,7, FALSE)+I1284</f>
        <v>80.378834365485943</v>
      </c>
      <c r="M1284" s="410">
        <f t="shared" si="212"/>
        <v>80.378834365485943</v>
      </c>
      <c r="N1284" s="411">
        <f t="shared" si="213"/>
        <v>83.72810967165141</v>
      </c>
      <c r="O1284" s="411">
        <v>56.3929537801111</v>
      </c>
      <c r="P1284" s="411">
        <v>56.3929537801111</v>
      </c>
      <c r="Q1284" s="411">
        <v>59.152760779481568</v>
      </c>
      <c r="R1284" s="411">
        <v>59.152760779481568</v>
      </c>
      <c r="S1284" s="411">
        <f t="shared" si="214"/>
        <v>87.825668100970248</v>
      </c>
      <c r="T1284" s="411">
        <v>61.582234765092345</v>
      </c>
      <c r="U1284" s="411">
        <v>61.807212599306965</v>
      </c>
      <c r="V1284" s="411">
        <f t="shared" si="215"/>
        <v>91.76680290932002</v>
      </c>
      <c r="W1284" s="411">
        <v>63.823994813787046</v>
      </c>
      <c r="X1284" s="411">
        <v>64.629127107170675</v>
      </c>
      <c r="Y1284" s="411">
        <f t="shared" si="216"/>
        <v>95.956573998802611</v>
      </c>
      <c r="Z1284" s="411">
        <v>65.66758978804738</v>
      </c>
      <c r="AA1284" s="411">
        <v>66.739315337150899</v>
      </c>
      <c r="AB1284" s="441">
        <f t="shared" si="217"/>
        <v>98.039478547036268</v>
      </c>
      <c r="AC1284" s="438">
        <f t="shared" si="218"/>
        <v>100.9707669211743</v>
      </c>
      <c r="AD1284" s="410"/>
      <c r="AE1284" s="411"/>
      <c r="AF1284" s="411"/>
      <c r="AG1284" s="411"/>
    </row>
    <row r="1285" spans="1:33" s="409" customFormat="1" x14ac:dyDescent="0.2">
      <c r="A1285" s="409" t="s">
        <v>558</v>
      </c>
      <c r="B1285" s="23" t="str">
        <f>VLOOKUP(LEFT(A1285,7),'[7]Tariff Schedule Lookup Table'!$A$8:$G$186,2,FALSE)</f>
        <v>High Pressure Sodium 360</v>
      </c>
      <c r="C1285" s="375">
        <f t="shared" si="220"/>
        <v>1020</v>
      </c>
      <c r="D1285" s="23">
        <f t="shared" si="221"/>
        <v>1</v>
      </c>
      <c r="E1285" s="23" t="str">
        <f>VLOOKUP(C1285,'[7]Tariff Schedule Lookup Table'!I$7:L$287,2,FALSE)</f>
        <v>HIGH PRESSURE SODIUM 250W (210/220)</v>
      </c>
      <c r="F1285" s="23" t="str">
        <f>IF(E1285 = "BULKHEADS ETC", "SHARED OR NO POLE", VLOOKUP(C1285,'[7]Tariff Schedule Lookup Table'!I$7:L$287,3,FALSE))</f>
        <v>SHARED OR NO POLE</v>
      </c>
      <c r="G1285" s="23">
        <f>IF(E1285 = "NO CAPITAL", 1, VLOOKUP(C1285,'[7]Tariff Schedule Lookup Table'!I$7:L$287,4,FALSE))</f>
        <v>3</v>
      </c>
      <c r="H1285" s="23" t="str">
        <f t="shared" si="219"/>
        <v>1-Unmetered, CE Funded, CE Maintained</v>
      </c>
      <c r="I1285" s="374">
        <f>VLOOKUP(F1285,'Maintenance Model'!$A$57:$B$61,2,FALSE)</f>
        <v>0</v>
      </c>
      <c r="J1285" s="374">
        <f>IF(D1285=1,VLOOKUP(C1285,'Capital Code Schedules'!A$15:F$300,2,FALSE),IF(D1285=2,VLOOKUP(C1285,'Capital Code Schedules'!A$15:F$300,3,FALSE),0))</f>
        <v>57.605342845074404</v>
      </c>
      <c r="K1285" s="374">
        <f>IF(D1285=1,VLOOKUP(C1285,'Capital Code Schedules'!E$15:G$300,2,FALSE),IF(D1285=2,VLOOKUP(C1285,'Capital Code Schedules'!E$15:G$300,3,FALSE),0))</f>
        <v>73.070693996792002</v>
      </c>
      <c r="L1285" s="374">
        <f>VLOOKUP(LEFT(A1285,10),'Streetlight Tariff Schedule'!B$11:H$260,7, FALSE)+I1285</f>
        <v>70.417216134374826</v>
      </c>
      <c r="M1285" s="410">
        <f t="shared" si="212"/>
        <v>143.48791013116681</v>
      </c>
      <c r="N1285" s="411">
        <f t="shared" si="213"/>
        <v>132.38247961146899</v>
      </c>
      <c r="O1285" s="411">
        <v>124.99298605113697</v>
      </c>
      <c r="P1285" s="411">
        <v>121.67803221722454</v>
      </c>
      <c r="Q1285" s="411">
        <v>125.82157417563927</v>
      </c>
      <c r="R1285" s="411">
        <v>129.21857311694103</v>
      </c>
      <c r="S1285" s="411">
        <f t="shared" si="214"/>
        <v>137.43323300509002</v>
      </c>
      <c r="T1285" s="411">
        <v>129.73685075661666</v>
      </c>
      <c r="U1285" s="411">
        <v>133.70511329623511</v>
      </c>
      <c r="V1285" s="411">
        <f t="shared" si="215"/>
        <v>142.60995445728165</v>
      </c>
      <c r="W1285" s="411">
        <v>133.54335253656072</v>
      </c>
      <c r="X1285" s="411">
        <v>138.84074190491384</v>
      </c>
      <c r="Y1285" s="411">
        <f t="shared" si="216"/>
        <v>148.38959960871432</v>
      </c>
      <c r="Z1285" s="411">
        <v>137.06759569757693</v>
      </c>
      <c r="AA1285" s="411">
        <v>143.02032249039326</v>
      </c>
      <c r="AB1285" s="441">
        <f t="shared" si="217"/>
        <v>151.34648713539138</v>
      </c>
      <c r="AC1285" s="438">
        <f t="shared" si="218"/>
        <v>155.81930057675885</v>
      </c>
      <c r="AD1285" s="410"/>
      <c r="AE1285" s="411"/>
      <c r="AF1285" s="411"/>
      <c r="AG1285" s="411"/>
    </row>
    <row r="1286" spans="1:33" s="409" customFormat="1" x14ac:dyDescent="0.2">
      <c r="A1286" s="409" t="s">
        <v>559</v>
      </c>
      <c r="B1286" s="23" t="str">
        <f>VLOOKUP(LEFT(A1286,7),'[7]Tariff Schedule Lookup Table'!$A$8:$G$186,2,FALSE)</f>
        <v>High Pressure Sodium 360</v>
      </c>
      <c r="C1286" s="375">
        <f t="shared" si="220"/>
        <v>1030</v>
      </c>
      <c r="D1286" s="23">
        <f t="shared" si="221"/>
        <v>1</v>
      </c>
      <c r="E1286" s="23" t="str">
        <f>VLOOKUP(C1286,'[7]Tariff Schedule Lookup Table'!I$7:L$287,2,FALSE)</f>
        <v>HIGH PRESSURE SODIUM 400W (310/360)</v>
      </c>
      <c r="F1286" s="23" t="str">
        <f>IF(E1286 = "BULKHEADS ETC", "SHARED OR NO POLE", VLOOKUP(C1286,'[7]Tariff Schedule Lookup Table'!I$7:L$287,3,FALSE))</f>
        <v>SHARED OR NO POLE</v>
      </c>
      <c r="G1286" s="23">
        <f>IF(E1286 = "NO CAPITAL", 1, VLOOKUP(C1286,'[7]Tariff Schedule Lookup Table'!I$7:L$287,4,FALSE))</f>
        <v>2</v>
      </c>
      <c r="H1286" s="23" t="str">
        <f t="shared" si="219"/>
        <v>1-Unmetered, CE Funded, CE Maintained</v>
      </c>
      <c r="I1286" s="374">
        <f>VLOOKUP(F1286,'Maintenance Model'!$A$57:$B$61,2,FALSE)</f>
        <v>0</v>
      </c>
      <c r="J1286" s="374">
        <f>IF(D1286=1,VLOOKUP(C1286,'Capital Code Schedules'!A$15:F$300,2,FALSE),IF(D1286=2,VLOOKUP(C1286,'Capital Code Schedules'!A$15:F$300,3,FALSE),0))</f>
        <v>52.163571087910817</v>
      </c>
      <c r="K1286" s="374">
        <f>IF(D1286=1,VLOOKUP(C1286,'Capital Code Schedules'!E$15:G$300,2,FALSE),IF(D1286=2,VLOOKUP(C1286,'Capital Code Schedules'!E$15:G$300,3,FALSE),0))</f>
        <v>66.167965547844219</v>
      </c>
      <c r="L1286" s="374">
        <f>VLOOKUP(LEFT(A1286,10),'Streetlight Tariff Schedule'!B$11:H$260,7, FALSE)+I1286</f>
        <v>70.417216134374826</v>
      </c>
      <c r="M1286" s="410">
        <f t="shared" si="212"/>
        <v>136.58518168221906</v>
      </c>
      <c r="N1286" s="411">
        <f t="shared" si="213"/>
        <v>126.80602400331561</v>
      </c>
      <c r="O1286" s="411">
        <v>117.60626318023678</v>
      </c>
      <c r="P1286" s="411">
        <v>114.6044612391653</v>
      </c>
      <c r="Q1286" s="411">
        <v>118.57293231587306</v>
      </c>
      <c r="R1286" s="411">
        <v>121.64902885498607</v>
      </c>
      <c r="S1286" s="411">
        <f t="shared" si="214"/>
        <v>131.71876012063481</v>
      </c>
      <c r="T1286" s="411">
        <v>122.30880501082125</v>
      </c>
      <c r="U1286" s="411">
        <v>125.91983702281443</v>
      </c>
      <c r="V1286" s="411">
        <f t="shared" si="215"/>
        <v>136.7326190956195</v>
      </c>
      <c r="W1286" s="411">
        <v>125.93146265855687</v>
      </c>
      <c r="X1286" s="411">
        <v>130.7915447658242</v>
      </c>
      <c r="Y1286" s="411">
        <f t="shared" si="216"/>
        <v>142.31302257829179</v>
      </c>
      <c r="Z1286" s="411">
        <v>129.26731154509247</v>
      </c>
      <c r="AA1286" s="411">
        <v>134.74172323283955</v>
      </c>
      <c r="AB1286" s="441">
        <f t="shared" si="217"/>
        <v>145.16296234923342</v>
      </c>
      <c r="AC1286" s="438">
        <f t="shared" si="218"/>
        <v>149.45583521932369</v>
      </c>
      <c r="AD1286" s="410"/>
      <c r="AE1286" s="411"/>
      <c r="AF1286" s="411"/>
      <c r="AG1286" s="411"/>
    </row>
    <row r="1287" spans="1:33" s="409" customFormat="1" x14ac:dyDescent="0.2">
      <c r="A1287" s="409" t="s">
        <v>560</v>
      </c>
      <c r="B1287" s="23" t="str">
        <f>VLOOKUP(LEFT(A1287,7),'[7]Tariff Schedule Lookup Table'!$A$8:$G$186,2,FALSE)</f>
        <v>High Pressure Sodium 400</v>
      </c>
      <c r="C1287" s="375">
        <f t="shared" si="220"/>
        <v>70</v>
      </c>
      <c r="D1287" s="23">
        <f t="shared" si="221"/>
        <v>1</v>
      </c>
      <c r="E1287" s="23" t="str">
        <f>VLOOKUP(C1287,'[7]Tariff Schedule Lookup Table'!I$7:L$287,2,FALSE)</f>
        <v>HIGH PRESSURE SODIUM 400W (310/360)</v>
      </c>
      <c r="F1287" s="23" t="str">
        <f>IF(E1287 = "BULKHEADS ETC", "SHARED OR NO POLE", VLOOKUP(C1287,'[7]Tariff Schedule Lookup Table'!I$7:L$287,3,FALSE))</f>
        <v>SHARED OR NO POLE</v>
      </c>
      <c r="G1287" s="23">
        <f>IF(E1287 = "NO CAPITAL", 1, VLOOKUP(C1287,'[7]Tariff Schedule Lookup Table'!I$7:L$287,4,FALSE))</f>
        <v>1</v>
      </c>
      <c r="H1287" s="23" t="str">
        <f t="shared" si="219"/>
        <v>1-Unmetered, CE Funded, CE Maintained</v>
      </c>
      <c r="I1287" s="374">
        <f>VLOOKUP(F1287,'Maintenance Model'!$A$57:$B$61,2,FALSE)</f>
        <v>0</v>
      </c>
      <c r="J1287" s="374">
        <f>IF(D1287=1,VLOOKUP(C1287,'Capital Code Schedules'!A$15:F$300,2,FALSE),IF(D1287=2,VLOOKUP(C1287,'Capital Code Schedules'!A$15:F$300,3,FALSE),0))</f>
        <v>35.784047435083579</v>
      </c>
      <c r="K1287" s="374">
        <f>IF(D1287=1,VLOOKUP(C1287,'Capital Code Schedules'!E$15:G$300,2,FALSE),IF(D1287=2,VLOOKUP(C1287,'Capital Code Schedules'!E$15:G$300,3,FALSE),0))</f>
        <v>45.391018453408257</v>
      </c>
      <c r="L1287" s="374">
        <f>VLOOKUP(LEFT(A1287,10),'Streetlight Tariff Schedule'!B$11:H$260,7, FALSE)+I1287</f>
        <v>70.417216134374826</v>
      </c>
      <c r="M1287" s="410">
        <f t="shared" si="212"/>
        <v>115.80823458778309</v>
      </c>
      <c r="N1287" s="411">
        <f t="shared" si="213"/>
        <v>110.0211071400809</v>
      </c>
      <c r="O1287" s="411">
        <v>88.371289312794445</v>
      </c>
      <c r="P1287" s="411">
        <v>86.312062522722897</v>
      </c>
      <c r="Q1287" s="411">
        <v>89.410945131965931</v>
      </c>
      <c r="R1287" s="411">
        <v>91.521137785091753</v>
      </c>
      <c r="S1287" s="411">
        <f t="shared" si="214"/>
        <v>114.51841656503504</v>
      </c>
      <c r="T1287" s="411">
        <v>92.305198243338353</v>
      </c>
      <c r="U1287" s="411">
        <v>94.813048963658403</v>
      </c>
      <c r="V1287" s="411">
        <f t="shared" si="215"/>
        <v>119.04206574868513</v>
      </c>
      <c r="W1287" s="411">
        <v>95.096176145635951</v>
      </c>
      <c r="X1287" s="411">
        <v>98.540022517498926</v>
      </c>
      <c r="Y1287" s="411">
        <f t="shared" si="216"/>
        <v>124.02275947289637</v>
      </c>
      <c r="Z1287" s="411">
        <v>97.636081988547772</v>
      </c>
      <c r="AA1287" s="411">
        <v>101.53772818053768</v>
      </c>
      <c r="AB1287" s="441">
        <f t="shared" si="217"/>
        <v>126.55079061318303</v>
      </c>
      <c r="AC1287" s="438">
        <f t="shared" si="218"/>
        <v>130.30204928575424</v>
      </c>
      <c r="AD1287" s="410"/>
      <c r="AE1287" s="411"/>
      <c r="AF1287" s="411"/>
      <c r="AG1287" s="411"/>
    </row>
    <row r="1288" spans="1:33" s="409" customFormat="1" x14ac:dyDescent="0.2">
      <c r="A1288" s="409" t="s">
        <v>561</v>
      </c>
      <c r="B1288" s="23" t="str">
        <f>VLOOKUP(LEFT(A1288,7),'[7]Tariff Schedule Lookup Table'!$A$8:$G$186,2,FALSE)</f>
        <v>High Pressure Sodium 400</v>
      </c>
      <c r="C1288" s="375">
        <f t="shared" si="220"/>
        <v>70</v>
      </c>
      <c r="D1288" s="23">
        <f t="shared" si="221"/>
        <v>2</v>
      </c>
      <c r="E1288" s="23" t="str">
        <f>VLOOKUP(C1288,'[7]Tariff Schedule Lookup Table'!I$7:L$287,2,FALSE)</f>
        <v>HIGH PRESSURE SODIUM 400W (310/360)</v>
      </c>
      <c r="F1288" s="23" t="str">
        <f>IF(E1288 = "BULKHEADS ETC", "SHARED OR NO POLE", VLOOKUP(C1288,'[7]Tariff Schedule Lookup Table'!I$7:L$287,3,FALSE))</f>
        <v>SHARED OR NO POLE</v>
      </c>
      <c r="G1288" s="23">
        <f>IF(E1288 = "NO CAPITAL", 1, VLOOKUP(C1288,'[7]Tariff Schedule Lookup Table'!I$7:L$287,4,FALSE))</f>
        <v>1</v>
      </c>
      <c r="H1288" s="23" t="str">
        <f t="shared" si="219"/>
        <v>2-Unmetered, Funded by Others, CE Maintained</v>
      </c>
      <c r="I1288" s="374">
        <f>VLOOKUP(F1288,'Maintenance Model'!$A$57:$B$61,2,FALSE)</f>
        <v>0</v>
      </c>
      <c r="J1288" s="374">
        <f>IF(D1288=1,VLOOKUP(C1288,'Capital Code Schedules'!A$15:F$300,2,FALSE),IF(D1288=2,VLOOKUP(C1288,'Capital Code Schedules'!A$15:F$300,3,FALSE),0))</f>
        <v>0</v>
      </c>
      <c r="K1288" s="374">
        <f>IF(D1288=1,VLOOKUP(C1288,'Capital Code Schedules'!E$15:G$300,2,FALSE),IF(D1288=2,VLOOKUP(C1288,'Capital Code Schedules'!E$15:G$300,3,FALSE),0))</f>
        <v>0</v>
      </c>
      <c r="L1288" s="374">
        <f>VLOOKUP(LEFT(A1288,10),'Streetlight Tariff Schedule'!B$11:H$260,7, FALSE)+I1288</f>
        <v>70.417216134374826</v>
      </c>
      <c r="M1288" s="410">
        <f t="shared" si="212"/>
        <v>70.417216134374826</v>
      </c>
      <c r="N1288" s="411">
        <f t="shared" si="213"/>
        <v>73.351404530979011</v>
      </c>
      <c r="O1288" s="411">
        <v>39.797616362592777</v>
      </c>
      <c r="P1288" s="411">
        <v>39.797616362592777</v>
      </c>
      <c r="Q1288" s="411">
        <v>41.745266429372592</v>
      </c>
      <c r="R1288" s="411">
        <v>41.745266429372592</v>
      </c>
      <c r="S1288" s="411">
        <f t="shared" si="214"/>
        <v>76.941138816357864</v>
      </c>
      <c r="T1288" s="411">
        <v>43.459793992855836</v>
      </c>
      <c r="U1288" s="411">
        <v>43.618565274301254</v>
      </c>
      <c r="V1288" s="411">
        <f t="shared" si="215"/>
        <v>80.393835584170674</v>
      </c>
      <c r="W1288" s="411">
        <v>45.041848139953977</v>
      </c>
      <c r="X1288" s="411">
        <v>45.610045831072576</v>
      </c>
      <c r="Y1288" s="411">
        <f t="shared" si="216"/>
        <v>84.064354305804869</v>
      </c>
      <c r="Z1288" s="411">
        <v>46.34290936472518</v>
      </c>
      <c r="AA1288" s="411">
        <v>47.099247158548174</v>
      </c>
      <c r="AB1288" s="441">
        <f t="shared" si="217"/>
        <v>85.889117515150701</v>
      </c>
      <c r="AC1288" s="438">
        <f t="shared" si="218"/>
        <v>88.457121500569158</v>
      </c>
      <c r="AD1288" s="410"/>
      <c r="AE1288" s="411"/>
      <c r="AF1288" s="411"/>
      <c r="AG1288" s="411"/>
    </row>
    <row r="1289" spans="1:33" s="409" customFormat="1" x14ac:dyDescent="0.2">
      <c r="A1289" s="409" t="s">
        <v>562</v>
      </c>
      <c r="B1289" s="23" t="str">
        <f>VLOOKUP(LEFT(A1289,7),'[7]Tariff Schedule Lookup Table'!$A$8:$G$186,2,FALSE)</f>
        <v>High Pressure Sodium 400</v>
      </c>
      <c r="C1289" s="375">
        <f t="shared" si="220"/>
        <v>240</v>
      </c>
      <c r="D1289" s="23">
        <f t="shared" si="221"/>
        <v>1</v>
      </c>
      <c r="E1289" s="23" t="str">
        <f>VLOOKUP(C1289,'[7]Tariff Schedule Lookup Table'!I$7:L$287,2,FALSE)</f>
        <v>HIGH PRESSURE SODIUM 400W (310/360)</v>
      </c>
      <c r="F1289" s="23" t="str">
        <f>IF(E1289 = "BULKHEADS ETC", "SHARED OR NO POLE", VLOOKUP(C1289,'[7]Tariff Schedule Lookup Table'!I$7:L$287,3,FALSE))</f>
        <v>WOOD POLE</v>
      </c>
      <c r="G1289" s="23">
        <f>IF(E1289 = "NO CAPITAL", 1, VLOOKUP(C1289,'[7]Tariff Schedule Lookup Table'!I$7:L$287,4,FALSE))</f>
        <v>1</v>
      </c>
      <c r="H1289" s="23" t="str">
        <f t="shared" si="219"/>
        <v>1-Unmetered, CE Funded, CE Maintained</v>
      </c>
      <c r="I1289" s="374">
        <f>VLOOKUP(F1289,'Maintenance Model'!$A$57:$B$61,2,FALSE)</f>
        <v>10.731618231111112</v>
      </c>
      <c r="J1289" s="374">
        <f>IF(D1289=1,VLOOKUP(C1289,'Capital Code Schedules'!A$15:F$300,2,FALSE),IF(D1289=2,VLOOKUP(C1289,'Capital Code Schedules'!A$15:F$300,3,FALSE),0))</f>
        <v>69.685165796959865</v>
      </c>
      <c r="K1289" s="374">
        <f>IF(D1289=1,VLOOKUP(C1289,'Capital Code Schedules'!E$15:G$300,2,FALSE),IF(D1289=2,VLOOKUP(C1289,'Capital Code Schedules'!E$15:G$300,3,FALSE),0))</f>
        <v>88.393596402330274</v>
      </c>
      <c r="L1289" s="374">
        <f>VLOOKUP(LEFT(A1289,10),'Streetlight Tariff Schedule'!B$11:H$260,7, FALSE)+I1289</f>
        <v>81.148834365485939</v>
      </c>
      <c r="M1289" s="410">
        <f t="shared" si="212"/>
        <v>169.5424307678162</v>
      </c>
      <c r="N1289" s="411">
        <f t="shared" si="213"/>
        <v>155.94006816141103</v>
      </c>
      <c r="O1289" s="411">
        <v>144.78525300043057</v>
      </c>
      <c r="P1289" s="411">
        <v>140.77515435130488</v>
      </c>
      <c r="Q1289" s="411">
        <v>145.4734707353058</v>
      </c>
      <c r="R1289" s="411">
        <v>149.58281932599735</v>
      </c>
      <c r="S1289" s="411">
        <f t="shared" si="214"/>
        <v>161.84427408307761</v>
      </c>
      <c r="T1289" s="411">
        <v>149.9332535240849</v>
      </c>
      <c r="U1289" s="411">
        <v>154.70805222690296</v>
      </c>
      <c r="V1289" s="411">
        <f t="shared" si="215"/>
        <v>167.90871566819169</v>
      </c>
      <c r="W1289" s="411">
        <v>154.28281733018838</v>
      </c>
      <c r="X1289" s="411">
        <v>160.59942636838929</v>
      </c>
      <c r="Y1289" s="411">
        <f t="shared" si="216"/>
        <v>174.69003284441095</v>
      </c>
      <c r="Z1289" s="411">
        <v>158.33625267261175</v>
      </c>
      <c r="AA1289" s="411">
        <v>165.41527917985553</v>
      </c>
      <c r="AB1289" s="441">
        <f t="shared" si="217"/>
        <v>178.16242130455055</v>
      </c>
      <c r="AC1289" s="438">
        <f t="shared" si="218"/>
        <v>183.42603777731455</v>
      </c>
      <c r="AD1289" s="410"/>
      <c r="AE1289" s="411"/>
      <c r="AF1289" s="411"/>
      <c r="AG1289" s="411"/>
    </row>
    <row r="1290" spans="1:33" s="409" customFormat="1" x14ac:dyDescent="0.2">
      <c r="A1290" s="409" t="s">
        <v>563</v>
      </c>
      <c r="B1290" s="23" t="str">
        <f>VLOOKUP(LEFT(A1290,7),'[7]Tariff Schedule Lookup Table'!$A$8:$G$186,2,FALSE)</f>
        <v>High Pressure Sodium 400</v>
      </c>
      <c r="C1290" s="375">
        <f t="shared" si="220"/>
        <v>240</v>
      </c>
      <c r="D1290" s="23">
        <f t="shared" si="221"/>
        <v>2</v>
      </c>
      <c r="E1290" s="23" t="str">
        <f>VLOOKUP(C1290,'[7]Tariff Schedule Lookup Table'!I$7:L$287,2,FALSE)</f>
        <v>HIGH PRESSURE SODIUM 400W (310/360)</v>
      </c>
      <c r="F1290" s="23" t="str">
        <f>IF(E1290 = "BULKHEADS ETC", "SHARED OR NO POLE", VLOOKUP(C1290,'[7]Tariff Schedule Lookup Table'!I$7:L$287,3,FALSE))</f>
        <v>WOOD POLE</v>
      </c>
      <c r="G1290" s="23">
        <f>IF(E1290 = "NO CAPITAL", 1, VLOOKUP(C1290,'[7]Tariff Schedule Lookup Table'!I$7:L$287,4,FALSE))</f>
        <v>1</v>
      </c>
      <c r="H1290" s="23" t="str">
        <f t="shared" si="219"/>
        <v>2-Unmetered, Funded by Others, CE Maintained</v>
      </c>
      <c r="I1290" s="374">
        <f>VLOOKUP(F1290,'Maintenance Model'!$A$57:$B$61,2,FALSE)</f>
        <v>10.731618231111112</v>
      </c>
      <c r="J1290" s="374">
        <f>IF(D1290=1,VLOOKUP(C1290,'Capital Code Schedules'!A$15:F$300,2,FALSE),IF(D1290=2,VLOOKUP(C1290,'Capital Code Schedules'!A$15:F$300,3,FALSE),0))</f>
        <v>0</v>
      </c>
      <c r="K1290" s="374">
        <f>IF(D1290=1,VLOOKUP(C1290,'Capital Code Schedules'!E$15:G$300,2,FALSE),IF(D1290=2,VLOOKUP(C1290,'Capital Code Schedules'!E$15:G$300,3,FALSE),0))</f>
        <v>0</v>
      </c>
      <c r="L1290" s="374">
        <f>VLOOKUP(LEFT(A1290,10),'Streetlight Tariff Schedule'!B$11:H$260,7, FALSE)+I1290</f>
        <v>81.148834365485939</v>
      </c>
      <c r="M1290" s="410">
        <f t="shared" si="212"/>
        <v>81.148834365485939</v>
      </c>
      <c r="N1290" s="411">
        <f t="shared" si="213"/>
        <v>84.530194510976401</v>
      </c>
      <c r="O1290" s="411">
        <v>50.193816438016945</v>
      </c>
      <c r="P1290" s="411">
        <v>50.193816438016945</v>
      </c>
      <c r="Q1290" s="411">
        <v>52.650244708663969</v>
      </c>
      <c r="R1290" s="411">
        <v>52.650244708663969</v>
      </c>
      <c r="S1290" s="411">
        <f t="shared" si="214"/>
        <v>88.667006059794701</v>
      </c>
      <c r="T1290" s="411">
        <v>54.812652653283685</v>
      </c>
      <c r="U1290" s="411">
        <v>55.012899232975592</v>
      </c>
      <c r="V1290" s="411">
        <f t="shared" si="215"/>
        <v>92.645895506245225</v>
      </c>
      <c r="W1290" s="411">
        <v>56.807981587834846</v>
      </c>
      <c r="X1290" s="411">
        <v>57.524607687967773</v>
      </c>
      <c r="Y1290" s="411">
        <f t="shared" si="216"/>
        <v>96.875803078974542</v>
      </c>
      <c r="Z1290" s="411">
        <v>58.448914745634958</v>
      </c>
      <c r="AA1290" s="411">
        <v>59.402828167042003</v>
      </c>
      <c r="AB1290" s="441">
        <f t="shared" si="217"/>
        <v>98.978661095242416</v>
      </c>
      <c r="AC1290" s="438">
        <f t="shared" si="218"/>
        <v>101.93803014591556</v>
      </c>
      <c r="AD1290" s="410"/>
      <c r="AE1290" s="411"/>
      <c r="AF1290" s="411"/>
      <c r="AG1290" s="411"/>
    </row>
    <row r="1291" spans="1:33" s="409" customFormat="1" x14ac:dyDescent="0.2">
      <c r="A1291" s="409" t="s">
        <v>565</v>
      </c>
      <c r="B1291" s="23" t="str">
        <f>VLOOKUP(LEFT(A1291,7),'[7]Tariff Schedule Lookup Table'!$A$8:$G$186,2,FALSE)</f>
        <v>High Pressure Sodium 400</v>
      </c>
      <c r="C1291" s="375">
        <f t="shared" si="220"/>
        <v>330</v>
      </c>
      <c r="D1291" s="23">
        <f t="shared" si="221"/>
        <v>1</v>
      </c>
      <c r="E1291" s="23" t="str">
        <f>VLOOKUP(C1291,'[7]Tariff Schedule Lookup Table'!I$7:L$287,2,FALSE)</f>
        <v>HIGH PRESSURE SODIUM 400W (310/360)</v>
      </c>
      <c r="F1291" s="23" t="str">
        <f>IF(E1291 = "BULKHEADS ETC", "SHARED OR NO POLE", VLOOKUP(C1291,'[7]Tariff Schedule Lookup Table'!I$7:L$287,3,FALSE))</f>
        <v>STEEL POLE</v>
      </c>
      <c r="G1291" s="23">
        <f>IF(E1291 = "NO CAPITAL", 1, VLOOKUP(C1291,'[7]Tariff Schedule Lookup Table'!I$7:L$287,4,FALSE))</f>
        <v>1</v>
      </c>
      <c r="H1291" s="23" t="str">
        <f t="shared" si="219"/>
        <v>1-Unmetered, CE Funded, CE Maintained</v>
      </c>
      <c r="I1291" s="374">
        <f>VLOOKUP(F1291,'Maintenance Model'!$A$57:$B$61,2,FALSE)</f>
        <v>9.9616182311111103</v>
      </c>
      <c r="J1291" s="374">
        <f>IF(D1291=1,VLOOKUP(C1291,'Capital Code Schedules'!A$15:F$300,2,FALSE),IF(D1291=2,VLOOKUP(C1291,'Capital Code Schedules'!A$15:F$300,3,FALSE),0))</f>
        <v>95.968430970589921</v>
      </c>
      <c r="K1291" s="374">
        <f>IF(D1291=1,VLOOKUP(C1291,'Capital Code Schedules'!E$15:G$300,2,FALSE),IF(D1291=2,VLOOKUP(C1291,'Capital Code Schedules'!E$15:G$300,3,FALSE),0))</f>
        <v>121.73315019865107</v>
      </c>
      <c r="L1291" s="374">
        <f>VLOOKUP(LEFT(A1291,10),'Streetlight Tariff Schedule'!B$11:H$260,7, FALSE)+I1291</f>
        <v>80.378834365485943</v>
      </c>
      <c r="M1291" s="410">
        <f t="shared" si="212"/>
        <v>202.111984564137</v>
      </c>
      <c r="N1291" s="411">
        <f t="shared" si="213"/>
        <v>182.0717593087634</v>
      </c>
      <c r="O1291" s="411">
        <v>179.66037121990902</v>
      </c>
      <c r="P1291" s="411">
        <v>174.13777726475962</v>
      </c>
      <c r="Q1291" s="411">
        <v>179.64241704614236</v>
      </c>
      <c r="R1291" s="411">
        <v>185.3016952016817</v>
      </c>
      <c r="S1291" s="411">
        <f t="shared" si="214"/>
        <v>188.60332306660081</v>
      </c>
      <c r="T1291" s="411">
        <v>184.93414962357895</v>
      </c>
      <c r="U1291" s="411">
        <v>191.4311395587701</v>
      </c>
      <c r="V1291" s="411">
        <f t="shared" si="215"/>
        <v>195.41662104147099</v>
      </c>
      <c r="W1291" s="411">
        <v>190.13977908707838</v>
      </c>
      <c r="X1291" s="411">
        <v>198.55709111659573</v>
      </c>
      <c r="Y1291" s="411">
        <f t="shared" si="216"/>
        <v>203.1201209656335</v>
      </c>
      <c r="Z1291" s="411">
        <v>195.07692001967368</v>
      </c>
      <c r="AA1291" s="411">
        <v>204.45092190094527</v>
      </c>
      <c r="AB1291" s="441">
        <f t="shared" si="217"/>
        <v>207.0891039404834</v>
      </c>
      <c r="AC1291" s="438">
        <f t="shared" si="218"/>
        <v>213.19373641357075</v>
      </c>
      <c r="AD1291" s="410"/>
      <c r="AE1291" s="411"/>
      <c r="AF1291" s="411"/>
      <c r="AG1291" s="411"/>
    </row>
    <row r="1292" spans="1:33" s="409" customFormat="1" x14ac:dyDescent="0.2">
      <c r="A1292" s="409" t="s">
        <v>566</v>
      </c>
      <c r="B1292" s="23" t="str">
        <f>VLOOKUP(LEFT(A1292,7),'[7]Tariff Schedule Lookup Table'!$A$8:$G$186,2,FALSE)</f>
        <v>High Pressure Sodium 400</v>
      </c>
      <c r="C1292" s="375">
        <f t="shared" si="220"/>
        <v>330</v>
      </c>
      <c r="D1292" s="23">
        <f t="shared" si="221"/>
        <v>2</v>
      </c>
      <c r="E1292" s="23" t="str">
        <f>VLOOKUP(C1292,'[7]Tariff Schedule Lookup Table'!I$7:L$287,2,FALSE)</f>
        <v>HIGH PRESSURE SODIUM 400W (310/360)</v>
      </c>
      <c r="F1292" s="23" t="str">
        <f>IF(E1292 = "BULKHEADS ETC", "SHARED OR NO POLE", VLOOKUP(C1292,'[7]Tariff Schedule Lookup Table'!I$7:L$287,3,FALSE))</f>
        <v>STEEL POLE</v>
      </c>
      <c r="G1292" s="23">
        <f>IF(E1292 = "NO CAPITAL", 1, VLOOKUP(C1292,'[7]Tariff Schedule Lookup Table'!I$7:L$287,4,FALSE))</f>
        <v>1</v>
      </c>
      <c r="H1292" s="23" t="str">
        <f t="shared" si="219"/>
        <v>2-Unmetered, Funded by Others, CE Maintained</v>
      </c>
      <c r="I1292" s="374">
        <f>VLOOKUP(F1292,'Maintenance Model'!$A$57:$B$61,2,FALSE)</f>
        <v>9.9616182311111103</v>
      </c>
      <c r="J1292" s="374">
        <f>IF(D1292=1,VLOOKUP(C1292,'Capital Code Schedules'!A$15:F$300,2,FALSE),IF(D1292=2,VLOOKUP(C1292,'Capital Code Schedules'!A$15:F$300,3,FALSE),0))</f>
        <v>0</v>
      </c>
      <c r="K1292" s="374">
        <f>IF(D1292=1,VLOOKUP(C1292,'Capital Code Schedules'!E$15:G$300,2,FALSE),IF(D1292=2,VLOOKUP(C1292,'Capital Code Schedules'!E$15:G$300,3,FALSE),0))</f>
        <v>0</v>
      </c>
      <c r="L1292" s="374">
        <f>VLOOKUP(LEFT(A1292,10),'Streetlight Tariff Schedule'!B$11:H$260,7, FALSE)+I1292</f>
        <v>80.378834365485943</v>
      </c>
      <c r="M1292" s="410">
        <f t="shared" si="212"/>
        <v>80.378834365485943</v>
      </c>
      <c r="N1292" s="411">
        <f t="shared" si="213"/>
        <v>83.72810967165141</v>
      </c>
      <c r="O1292" s="411">
        <v>49.391731598691941</v>
      </c>
      <c r="P1292" s="411">
        <v>49.391731598691941</v>
      </c>
      <c r="Q1292" s="411">
        <v>51.808906749839515</v>
      </c>
      <c r="R1292" s="411">
        <v>51.808906749839515</v>
      </c>
      <c r="S1292" s="411">
        <f t="shared" si="214"/>
        <v>87.825668100970248</v>
      </c>
      <c r="T1292" s="411">
        <v>53.936759947442589</v>
      </c>
      <c r="U1292" s="411">
        <v>54.13380663605038</v>
      </c>
      <c r="V1292" s="411">
        <f t="shared" si="215"/>
        <v>91.76680290932002</v>
      </c>
      <c r="W1292" s="411">
        <v>55.900204016457636</v>
      </c>
      <c r="X1292" s="411">
        <v>56.605378607795835</v>
      </c>
      <c r="Y1292" s="411">
        <f t="shared" si="216"/>
        <v>95.956573998802611</v>
      </c>
      <c r="Z1292" s="411">
        <v>57.514915466055065</v>
      </c>
      <c r="AA1292" s="411">
        <v>58.453585585644561</v>
      </c>
      <c r="AB1292" s="441">
        <f t="shared" si="217"/>
        <v>98.039478547036268</v>
      </c>
      <c r="AC1292" s="438">
        <f t="shared" si="218"/>
        <v>100.9707669211743</v>
      </c>
      <c r="AD1292" s="410"/>
      <c r="AE1292" s="411"/>
      <c r="AF1292" s="411"/>
      <c r="AG1292" s="411"/>
    </row>
    <row r="1293" spans="1:33" s="409" customFormat="1" x14ac:dyDescent="0.2">
      <c r="A1293" s="409" t="s">
        <v>567</v>
      </c>
      <c r="B1293" s="23" t="str">
        <f>VLOOKUP(LEFT(A1293,7),'[7]Tariff Schedule Lookup Table'!$A$8:$G$186,2,FALSE)</f>
        <v>High Pressure Sodium 400</v>
      </c>
      <c r="C1293" s="375">
        <f t="shared" si="220"/>
        <v>400</v>
      </c>
      <c r="D1293" s="23">
        <f t="shared" si="221"/>
        <v>1</v>
      </c>
      <c r="E1293" s="23" t="str">
        <f>VLOOKUP(C1293,'[7]Tariff Schedule Lookup Table'!I$7:L$287,2,FALSE)</f>
        <v>HIGH PRESSURE SODIUM 400W (310/360)</v>
      </c>
      <c r="F1293" s="23" t="str">
        <f>IF(E1293 = "BULKHEADS ETC", "SHARED OR NO POLE", VLOOKUP(C1293,'[7]Tariff Schedule Lookup Table'!I$7:L$287,3,FALSE))</f>
        <v>STEEL POLE</v>
      </c>
      <c r="G1293" s="23">
        <f>IF(E1293 = "NO CAPITAL", 1, VLOOKUP(C1293,'[7]Tariff Schedule Lookup Table'!I$7:L$287,4,FALSE))</f>
        <v>2</v>
      </c>
      <c r="H1293" s="23" t="str">
        <f t="shared" si="219"/>
        <v>1-Unmetered, CE Funded, CE Maintained</v>
      </c>
      <c r="I1293" s="374">
        <f>VLOOKUP(F1293,'Maintenance Model'!$A$57:$B$61,2,FALSE)</f>
        <v>9.9616182311111103</v>
      </c>
      <c r="J1293" s="374">
        <f>IF(D1293=1,VLOOKUP(C1293,'Capital Code Schedules'!A$15:F$300,2,FALSE),IF(D1293=2,VLOOKUP(C1293,'Capital Code Schedules'!A$15:F$300,3,FALSE),0))</f>
        <v>112.34795462341719</v>
      </c>
      <c r="K1293" s="374">
        <f>IF(D1293=1,VLOOKUP(C1293,'Capital Code Schedules'!E$15:G$300,2,FALSE),IF(D1293=2,VLOOKUP(C1293,'Capital Code Schedules'!E$15:G$300,3,FALSE),0))</f>
        <v>142.51009729308706</v>
      </c>
      <c r="L1293" s="374">
        <f>VLOOKUP(LEFT(A1293,10),'Streetlight Tariff Schedule'!B$11:H$260,7, FALSE)+I1293</f>
        <v>80.378834365485943</v>
      </c>
      <c r="M1293" s="410">
        <f t="shared" si="212"/>
        <v>222.888931658573</v>
      </c>
      <c r="N1293" s="411">
        <f t="shared" si="213"/>
        <v>198.85667617199817</v>
      </c>
      <c r="O1293" s="411">
        <v>201.89412290593219</v>
      </c>
      <c r="P1293" s="411">
        <v>195.42895379978287</v>
      </c>
      <c r="Q1293" s="411">
        <v>201.46055020040745</v>
      </c>
      <c r="R1293" s="411">
        <v>208.08573224193395</v>
      </c>
      <c r="S1293" s="411">
        <f t="shared" si="214"/>
        <v>205.80366662220064</v>
      </c>
      <c r="T1293" s="411">
        <v>207.29228157341208</v>
      </c>
      <c r="U1293" s="411">
        <v>214.86452165466952</v>
      </c>
      <c r="V1293" s="411">
        <f t="shared" si="215"/>
        <v>213.10717438840541</v>
      </c>
      <c r="W1293" s="411">
        <v>213.05127480266989</v>
      </c>
      <c r="X1293" s="411">
        <v>222.78486486554615</v>
      </c>
      <c r="Y1293" s="411">
        <f t="shared" si="216"/>
        <v>221.410384071029</v>
      </c>
      <c r="Z1293" s="411">
        <v>218.55547525422608</v>
      </c>
      <c r="AA1293" s="411">
        <v>229.3691872017408</v>
      </c>
      <c r="AB1293" s="441">
        <f t="shared" si="217"/>
        <v>225.70127567653387</v>
      </c>
      <c r="AC1293" s="438">
        <f t="shared" si="218"/>
        <v>232.34752234714028</v>
      </c>
      <c r="AD1293" s="410"/>
      <c r="AE1293" s="411"/>
      <c r="AF1293" s="411"/>
      <c r="AG1293" s="411"/>
    </row>
    <row r="1294" spans="1:33" s="409" customFormat="1" x14ac:dyDescent="0.2">
      <c r="A1294" s="409" t="s">
        <v>568</v>
      </c>
      <c r="B1294" s="23" t="str">
        <f>VLOOKUP(LEFT(A1294,7),'[7]Tariff Schedule Lookup Table'!$A$8:$G$186,2,FALSE)</f>
        <v>High Pressure Sodium 400</v>
      </c>
      <c r="C1294" s="375">
        <f t="shared" si="220"/>
        <v>400</v>
      </c>
      <c r="D1294" s="23">
        <f t="shared" si="221"/>
        <v>2</v>
      </c>
      <c r="E1294" s="23" t="str">
        <f>VLOOKUP(C1294,'[7]Tariff Schedule Lookup Table'!I$7:L$287,2,FALSE)</f>
        <v>HIGH PRESSURE SODIUM 400W (310/360)</v>
      </c>
      <c r="F1294" s="23" t="str">
        <f>IF(E1294 = "BULKHEADS ETC", "SHARED OR NO POLE", VLOOKUP(C1294,'[7]Tariff Schedule Lookup Table'!I$7:L$287,3,FALSE))</f>
        <v>STEEL POLE</v>
      </c>
      <c r="G1294" s="23">
        <f>IF(E1294 = "NO CAPITAL", 1, VLOOKUP(C1294,'[7]Tariff Schedule Lookup Table'!I$7:L$287,4,FALSE))</f>
        <v>2</v>
      </c>
      <c r="H1294" s="23" t="str">
        <f t="shared" si="219"/>
        <v>2-Unmetered, Funded by Others, CE Maintained</v>
      </c>
      <c r="I1294" s="374">
        <f>VLOOKUP(F1294,'Maintenance Model'!$A$57:$B$61,2,FALSE)</f>
        <v>9.9616182311111103</v>
      </c>
      <c r="J1294" s="374">
        <f>IF(D1294=1,VLOOKUP(C1294,'Capital Code Schedules'!A$15:F$300,2,FALSE),IF(D1294=2,VLOOKUP(C1294,'Capital Code Schedules'!A$15:F$300,3,FALSE),0))</f>
        <v>0</v>
      </c>
      <c r="K1294" s="374">
        <f>IF(D1294=1,VLOOKUP(C1294,'Capital Code Schedules'!E$15:G$300,2,FALSE),IF(D1294=2,VLOOKUP(C1294,'Capital Code Schedules'!E$15:G$300,3,FALSE),0))</f>
        <v>0</v>
      </c>
      <c r="L1294" s="374">
        <f>VLOOKUP(LEFT(A1294,10),'Streetlight Tariff Schedule'!B$11:H$260,7, FALSE)+I1294</f>
        <v>80.378834365485943</v>
      </c>
      <c r="M1294" s="410">
        <f t="shared" si="212"/>
        <v>80.378834365485943</v>
      </c>
      <c r="N1294" s="411">
        <f t="shared" si="213"/>
        <v>83.72810967165141</v>
      </c>
      <c r="O1294" s="411">
        <v>49.391731598691941</v>
      </c>
      <c r="P1294" s="411">
        <v>49.391731598691941</v>
      </c>
      <c r="Q1294" s="411">
        <v>51.808906749839515</v>
      </c>
      <c r="R1294" s="411">
        <v>51.808906749839515</v>
      </c>
      <c r="S1294" s="411">
        <f t="shared" si="214"/>
        <v>87.825668100970248</v>
      </c>
      <c r="T1294" s="411">
        <v>53.936759947442589</v>
      </c>
      <c r="U1294" s="411">
        <v>54.13380663605038</v>
      </c>
      <c r="V1294" s="411">
        <f t="shared" si="215"/>
        <v>91.76680290932002</v>
      </c>
      <c r="W1294" s="411">
        <v>55.900204016457636</v>
      </c>
      <c r="X1294" s="411">
        <v>56.605378607795835</v>
      </c>
      <c r="Y1294" s="411">
        <f t="shared" si="216"/>
        <v>95.956573998802611</v>
      </c>
      <c r="Z1294" s="411">
        <v>57.514915466055065</v>
      </c>
      <c r="AA1294" s="411">
        <v>58.453585585644561</v>
      </c>
      <c r="AB1294" s="441">
        <f t="shared" si="217"/>
        <v>98.039478547036268</v>
      </c>
      <c r="AC1294" s="438">
        <f t="shared" si="218"/>
        <v>100.9707669211743</v>
      </c>
      <c r="AD1294" s="410"/>
      <c r="AE1294" s="411"/>
      <c r="AF1294" s="411"/>
      <c r="AG1294" s="411"/>
    </row>
    <row r="1295" spans="1:33" s="409" customFormat="1" x14ac:dyDescent="0.2">
      <c r="A1295" s="409" t="s">
        <v>569</v>
      </c>
      <c r="B1295" s="23" t="str">
        <f>VLOOKUP(LEFT(A1295,7),'[7]Tariff Schedule Lookup Table'!$A$8:$G$186,2,FALSE)</f>
        <v>High Pressure Sodium 400</v>
      </c>
      <c r="C1295" s="375">
        <f t="shared" si="220"/>
        <v>440</v>
      </c>
      <c r="D1295" s="23">
        <f t="shared" si="221"/>
        <v>1</v>
      </c>
      <c r="E1295" s="23" t="str">
        <f>VLOOKUP(C1295,'[7]Tariff Schedule Lookup Table'!I$7:L$287,2,FALSE)</f>
        <v>HIGH PRESSURE SODIUM 400W (310/360)</v>
      </c>
      <c r="F1295" s="23" t="str">
        <f>IF(E1295 = "BULKHEADS ETC", "SHARED OR NO POLE", VLOOKUP(C1295,'[7]Tariff Schedule Lookup Table'!I$7:L$287,3,FALSE))</f>
        <v>STEEL POLE</v>
      </c>
      <c r="G1295" s="23">
        <f>IF(E1295 = "NO CAPITAL", 1, VLOOKUP(C1295,'[7]Tariff Schedule Lookup Table'!I$7:L$287,4,FALSE))</f>
        <v>3</v>
      </c>
      <c r="H1295" s="23" t="str">
        <f t="shared" si="219"/>
        <v>1-Unmetered, CE Funded, CE Maintained</v>
      </c>
      <c r="I1295" s="374">
        <f>VLOOKUP(F1295,'Maintenance Model'!$A$57:$B$61,2,FALSE)</f>
        <v>9.9616182311111103</v>
      </c>
      <c r="J1295" s="374">
        <f>IF(D1295=1,VLOOKUP(C1295,'Capital Code Schedules'!A$15:F$300,2,FALSE),IF(D1295=2,VLOOKUP(C1295,'Capital Code Schedules'!A$15:F$300,3,FALSE),0))</f>
        <v>128.72747827624443</v>
      </c>
      <c r="K1295" s="374">
        <f>IF(D1295=1,VLOOKUP(C1295,'Capital Code Schedules'!E$15:G$300,2,FALSE),IF(D1295=2,VLOOKUP(C1295,'Capital Code Schedules'!E$15:G$300,3,FALSE),0))</f>
        <v>163.28704438752303</v>
      </c>
      <c r="L1295" s="374">
        <f>VLOOKUP(LEFT(A1295,10),'Streetlight Tariff Schedule'!B$11:H$260,7, FALSE)+I1295</f>
        <v>80.378834365485943</v>
      </c>
      <c r="M1295" s="410">
        <f t="shared" si="212"/>
        <v>243.66587875300897</v>
      </c>
      <c r="N1295" s="411">
        <f t="shared" si="213"/>
        <v>215.64159303523289</v>
      </c>
      <c r="O1295" s="411">
        <v>224.12787459195542</v>
      </c>
      <c r="P1295" s="411">
        <v>216.72013033480613</v>
      </c>
      <c r="Q1295" s="411">
        <v>223.27868335467255</v>
      </c>
      <c r="R1295" s="411">
        <v>230.86976928218627</v>
      </c>
      <c r="S1295" s="411">
        <f t="shared" si="214"/>
        <v>223.00401017780038</v>
      </c>
      <c r="T1295" s="411">
        <v>229.65041352324525</v>
      </c>
      <c r="U1295" s="411">
        <v>238.29790375056902</v>
      </c>
      <c r="V1295" s="411">
        <f t="shared" si="215"/>
        <v>230.79772773533978</v>
      </c>
      <c r="W1295" s="411">
        <v>235.96277051826144</v>
      </c>
      <c r="X1295" s="411">
        <v>247.01263861449664</v>
      </c>
      <c r="Y1295" s="411">
        <f t="shared" si="216"/>
        <v>239.70064717642444</v>
      </c>
      <c r="Z1295" s="411">
        <v>242.03403048877848</v>
      </c>
      <c r="AA1295" s="411">
        <v>254.28745250253638</v>
      </c>
      <c r="AB1295" s="441">
        <f t="shared" si="217"/>
        <v>244.31344741258425</v>
      </c>
      <c r="AC1295" s="438">
        <f t="shared" si="218"/>
        <v>251.50130828070974</v>
      </c>
      <c r="AD1295" s="410"/>
      <c r="AE1295" s="411"/>
      <c r="AF1295" s="411"/>
      <c r="AG1295" s="411"/>
    </row>
    <row r="1296" spans="1:33" s="409" customFormat="1" x14ac:dyDescent="0.2">
      <c r="A1296" s="409" t="s">
        <v>570</v>
      </c>
      <c r="B1296" s="23" t="str">
        <f>VLOOKUP(LEFT(A1296,7),'[7]Tariff Schedule Lookup Table'!$A$8:$G$186,2,FALSE)</f>
        <v>High Pressure Sodium 400</v>
      </c>
      <c r="C1296" s="375">
        <f t="shared" si="220"/>
        <v>440</v>
      </c>
      <c r="D1296" s="23">
        <f t="shared" si="221"/>
        <v>2</v>
      </c>
      <c r="E1296" s="23" t="str">
        <f>VLOOKUP(C1296,'[7]Tariff Schedule Lookup Table'!I$7:L$287,2,FALSE)</f>
        <v>HIGH PRESSURE SODIUM 400W (310/360)</v>
      </c>
      <c r="F1296" s="23" t="str">
        <f>IF(E1296 = "BULKHEADS ETC", "SHARED OR NO POLE", VLOOKUP(C1296,'[7]Tariff Schedule Lookup Table'!I$7:L$287,3,FALSE))</f>
        <v>STEEL POLE</v>
      </c>
      <c r="G1296" s="23">
        <f>IF(E1296 = "NO CAPITAL", 1, VLOOKUP(C1296,'[7]Tariff Schedule Lookup Table'!I$7:L$287,4,FALSE))</f>
        <v>3</v>
      </c>
      <c r="H1296" s="23" t="str">
        <f t="shared" si="219"/>
        <v>2-Unmetered, Funded by Others, CE Maintained</v>
      </c>
      <c r="I1296" s="374">
        <f>VLOOKUP(F1296,'Maintenance Model'!$A$57:$B$61,2,FALSE)</f>
        <v>9.9616182311111103</v>
      </c>
      <c r="J1296" s="374">
        <f>IF(D1296=1,VLOOKUP(C1296,'Capital Code Schedules'!A$15:F$300,2,FALSE),IF(D1296=2,VLOOKUP(C1296,'Capital Code Schedules'!A$15:F$300,3,FALSE),0))</f>
        <v>0</v>
      </c>
      <c r="K1296" s="374">
        <f>IF(D1296=1,VLOOKUP(C1296,'Capital Code Schedules'!E$15:G$300,2,FALSE),IF(D1296=2,VLOOKUP(C1296,'Capital Code Schedules'!E$15:G$300,3,FALSE),0))</f>
        <v>0</v>
      </c>
      <c r="L1296" s="374">
        <f>VLOOKUP(LEFT(A1296,10),'Streetlight Tariff Schedule'!B$11:H$260,7, FALSE)+I1296</f>
        <v>80.378834365485943</v>
      </c>
      <c r="M1296" s="410">
        <f t="shared" si="212"/>
        <v>80.378834365485943</v>
      </c>
      <c r="N1296" s="411">
        <f t="shared" si="213"/>
        <v>83.72810967165141</v>
      </c>
      <c r="O1296" s="411">
        <v>49.391731598691941</v>
      </c>
      <c r="P1296" s="411">
        <v>49.391731598691941</v>
      </c>
      <c r="Q1296" s="411">
        <v>51.808906749839515</v>
      </c>
      <c r="R1296" s="411">
        <v>51.808906749839515</v>
      </c>
      <c r="S1296" s="411">
        <f t="shared" si="214"/>
        <v>87.825668100970248</v>
      </c>
      <c r="T1296" s="411">
        <v>53.936759947442589</v>
      </c>
      <c r="U1296" s="411">
        <v>54.13380663605038</v>
      </c>
      <c r="V1296" s="411">
        <f t="shared" si="215"/>
        <v>91.76680290932002</v>
      </c>
      <c r="W1296" s="411">
        <v>55.900204016457636</v>
      </c>
      <c r="X1296" s="411">
        <v>56.605378607795835</v>
      </c>
      <c r="Y1296" s="411">
        <f t="shared" si="216"/>
        <v>95.956573998802611</v>
      </c>
      <c r="Z1296" s="411">
        <v>57.514915466055065</v>
      </c>
      <c r="AA1296" s="411">
        <v>58.453585585644561</v>
      </c>
      <c r="AB1296" s="441">
        <f t="shared" si="217"/>
        <v>98.039478547036268</v>
      </c>
      <c r="AC1296" s="438">
        <f t="shared" si="218"/>
        <v>100.9707669211743</v>
      </c>
      <c r="AD1296" s="410"/>
      <c r="AE1296" s="411"/>
      <c r="AF1296" s="411"/>
      <c r="AG1296" s="411"/>
    </row>
    <row r="1297" spans="1:33" s="409" customFormat="1" x14ac:dyDescent="0.2">
      <c r="A1297" s="409" t="s">
        <v>571</v>
      </c>
      <c r="B1297" s="23" t="str">
        <f>VLOOKUP(LEFT(A1297,7),'[7]Tariff Schedule Lookup Table'!$A$8:$G$186,2,FALSE)</f>
        <v>High Pressure Sodium 400</v>
      </c>
      <c r="C1297" s="375">
        <f t="shared" si="220"/>
        <v>480</v>
      </c>
      <c r="D1297" s="23">
        <f t="shared" si="221"/>
        <v>2</v>
      </c>
      <c r="E1297" s="23" t="str">
        <f>VLOOKUP(C1297,'[7]Tariff Schedule Lookup Table'!I$7:L$287,2,FALSE)</f>
        <v>HIGH PRESSURE SODIUM 400W (310/360)</v>
      </c>
      <c r="F1297" s="23" t="str">
        <f>IF(E1297 = "BULKHEADS ETC", "SHARED OR NO POLE", VLOOKUP(C1297,'[7]Tariff Schedule Lookup Table'!I$7:L$287,3,FALSE))</f>
        <v>STEEL POLE</v>
      </c>
      <c r="G1297" s="23">
        <f>IF(E1297 = "NO CAPITAL", 1, VLOOKUP(C1297,'[7]Tariff Schedule Lookup Table'!I$7:L$287,4,FALSE))</f>
        <v>4</v>
      </c>
      <c r="H1297" s="23" t="str">
        <f t="shared" si="219"/>
        <v>2-Unmetered, Funded by Others, CE Maintained</v>
      </c>
      <c r="I1297" s="374">
        <f>VLOOKUP(F1297,'Maintenance Model'!$A$57:$B$61,2,FALSE)</f>
        <v>9.9616182311111103</v>
      </c>
      <c r="J1297" s="374">
        <f>IF(D1297=1,VLOOKUP(C1297,'Capital Code Schedules'!A$15:F$300,2,FALSE),IF(D1297=2,VLOOKUP(C1297,'Capital Code Schedules'!A$15:F$300,3,FALSE),0))</f>
        <v>0</v>
      </c>
      <c r="K1297" s="374">
        <f>IF(D1297=1,VLOOKUP(C1297,'Capital Code Schedules'!E$15:G$300,2,FALSE),IF(D1297=2,VLOOKUP(C1297,'Capital Code Schedules'!E$15:G$300,3,FALSE),0))</f>
        <v>0</v>
      </c>
      <c r="L1297" s="374">
        <f>VLOOKUP(LEFT(A1297,10),'Streetlight Tariff Schedule'!B$11:H$260,7, FALSE)+I1297</f>
        <v>80.378834365485943</v>
      </c>
      <c r="M1297" s="410">
        <f t="shared" si="212"/>
        <v>80.378834365485943</v>
      </c>
      <c r="N1297" s="411">
        <f t="shared" si="213"/>
        <v>83.72810967165141</v>
      </c>
      <c r="O1297" s="411">
        <v>49.391731598691941</v>
      </c>
      <c r="P1297" s="411">
        <v>49.391731598691941</v>
      </c>
      <c r="Q1297" s="411">
        <v>51.808906749839515</v>
      </c>
      <c r="R1297" s="411">
        <v>51.808906749839515</v>
      </c>
      <c r="S1297" s="411">
        <f t="shared" si="214"/>
        <v>87.825668100970248</v>
      </c>
      <c r="T1297" s="411">
        <v>53.936759947442589</v>
      </c>
      <c r="U1297" s="411">
        <v>54.13380663605038</v>
      </c>
      <c r="V1297" s="411">
        <f t="shared" si="215"/>
        <v>91.76680290932002</v>
      </c>
      <c r="W1297" s="411">
        <v>55.900204016457636</v>
      </c>
      <c r="X1297" s="411">
        <v>56.605378607795835</v>
      </c>
      <c r="Y1297" s="411">
        <f t="shared" si="216"/>
        <v>95.956573998802611</v>
      </c>
      <c r="Z1297" s="411">
        <v>57.514915466055065</v>
      </c>
      <c r="AA1297" s="411">
        <v>58.453585585644561</v>
      </c>
      <c r="AB1297" s="441">
        <f t="shared" si="217"/>
        <v>98.039478547036268</v>
      </c>
      <c r="AC1297" s="438">
        <f t="shared" si="218"/>
        <v>100.9707669211743</v>
      </c>
      <c r="AD1297" s="410"/>
      <c r="AE1297" s="411"/>
      <c r="AF1297" s="411"/>
      <c r="AG1297" s="411"/>
    </row>
    <row r="1298" spans="1:33" s="409" customFormat="1" x14ac:dyDescent="0.2">
      <c r="A1298" s="409" t="s">
        <v>572</v>
      </c>
      <c r="B1298" s="23" t="str">
        <f>VLOOKUP(LEFT(A1298,7),'[7]Tariff Schedule Lookup Table'!$A$8:$G$186,2,FALSE)</f>
        <v>High Pressure Sodium 400</v>
      </c>
      <c r="C1298" s="375">
        <f t="shared" si="220"/>
        <v>560</v>
      </c>
      <c r="D1298" s="23">
        <f t="shared" si="221"/>
        <v>2</v>
      </c>
      <c r="E1298" s="23" t="str">
        <f>VLOOKUP(C1298,'[7]Tariff Schedule Lookup Table'!I$7:L$287,2,FALSE)</f>
        <v>HIGH PRESSURE SODIUM 400W (310/360)</v>
      </c>
      <c r="F1298" s="23" t="str">
        <f>IF(E1298 = "BULKHEADS ETC", "SHARED OR NO POLE", VLOOKUP(C1298,'[7]Tariff Schedule Lookup Table'!I$7:L$287,3,FALSE))</f>
        <v>R/BOUT COLUMN</v>
      </c>
      <c r="G1298" s="23">
        <f>IF(E1298 = "NO CAPITAL", 1, VLOOKUP(C1298,'[7]Tariff Schedule Lookup Table'!I$7:L$287,4,FALSE))</f>
        <v>3</v>
      </c>
      <c r="H1298" s="23" t="str">
        <f t="shared" si="219"/>
        <v>2-Unmetered, Funded by Others, CE Maintained</v>
      </c>
      <c r="I1298" s="374">
        <f>VLOOKUP(F1298,'Maintenance Model'!$A$57:$B$61,2,FALSE)</f>
        <v>9.9616182311111103</v>
      </c>
      <c r="J1298" s="374">
        <f>IF(D1298=1,VLOOKUP(C1298,'Capital Code Schedules'!A$15:F$300,2,FALSE),IF(D1298=2,VLOOKUP(C1298,'Capital Code Schedules'!A$15:F$300,3,FALSE),0))</f>
        <v>0</v>
      </c>
      <c r="K1298" s="374">
        <f>IF(D1298=1,VLOOKUP(C1298,'Capital Code Schedules'!E$15:G$300,2,FALSE),IF(D1298=2,VLOOKUP(C1298,'Capital Code Schedules'!E$15:G$300,3,FALSE),0))</f>
        <v>0</v>
      </c>
      <c r="L1298" s="374">
        <f>VLOOKUP(LEFT(A1298,10),'Streetlight Tariff Schedule'!B$11:H$260,7, FALSE)+I1298</f>
        <v>80.378834365485943</v>
      </c>
      <c r="M1298" s="410">
        <f t="shared" si="212"/>
        <v>80.378834365485943</v>
      </c>
      <c r="N1298" s="411">
        <f t="shared" si="213"/>
        <v>83.72810967165141</v>
      </c>
      <c r="O1298" s="411">
        <v>49.391731598691941</v>
      </c>
      <c r="P1298" s="411">
        <v>49.391731598691941</v>
      </c>
      <c r="Q1298" s="411">
        <v>51.808906749839515</v>
      </c>
      <c r="R1298" s="411">
        <v>51.808906749839515</v>
      </c>
      <c r="S1298" s="411">
        <f t="shared" si="214"/>
        <v>87.825668100970248</v>
      </c>
      <c r="T1298" s="411">
        <v>53.936759947442589</v>
      </c>
      <c r="U1298" s="411">
        <v>54.13380663605038</v>
      </c>
      <c r="V1298" s="411">
        <f t="shared" si="215"/>
        <v>91.76680290932002</v>
      </c>
      <c r="W1298" s="411">
        <v>55.900204016457636</v>
      </c>
      <c r="X1298" s="411">
        <v>56.605378607795835</v>
      </c>
      <c r="Y1298" s="411">
        <f t="shared" si="216"/>
        <v>95.956573998802611</v>
      </c>
      <c r="Z1298" s="411">
        <v>57.514915466055065</v>
      </c>
      <c r="AA1298" s="411">
        <v>58.453585585644561</v>
      </c>
      <c r="AB1298" s="441">
        <f t="shared" si="217"/>
        <v>98.039478547036268</v>
      </c>
      <c r="AC1298" s="438">
        <f t="shared" si="218"/>
        <v>100.9707669211743</v>
      </c>
      <c r="AD1298" s="410"/>
      <c r="AE1298" s="411"/>
      <c r="AF1298" s="411"/>
      <c r="AG1298" s="411"/>
    </row>
    <row r="1299" spans="1:33" s="409" customFormat="1" x14ac:dyDescent="0.2">
      <c r="A1299" s="409" t="s">
        <v>573</v>
      </c>
      <c r="B1299" s="23" t="str">
        <f>VLOOKUP(LEFT(A1299,7),'[7]Tariff Schedule Lookup Table'!$A$8:$G$186,2,FALSE)</f>
        <v>High Pressure Sodium 400</v>
      </c>
      <c r="C1299" s="375">
        <f t="shared" si="220"/>
        <v>600</v>
      </c>
      <c r="D1299" s="23">
        <f t="shared" si="221"/>
        <v>2</v>
      </c>
      <c r="E1299" s="23" t="str">
        <f>VLOOKUP(C1299,'[7]Tariff Schedule Lookup Table'!I$7:L$287,2,FALSE)</f>
        <v>HIGH PRESSURE SODIUM 400W (310/360)</v>
      </c>
      <c r="F1299" s="23" t="str">
        <f>IF(E1299 = "BULKHEADS ETC", "SHARED OR NO POLE", VLOOKUP(C1299,'[7]Tariff Schedule Lookup Table'!I$7:L$287,3,FALSE))</f>
        <v>R/BOUT COLUMN</v>
      </c>
      <c r="G1299" s="23">
        <f>IF(E1299 = "NO CAPITAL", 1, VLOOKUP(C1299,'[7]Tariff Schedule Lookup Table'!I$7:L$287,4,FALSE))</f>
        <v>4</v>
      </c>
      <c r="H1299" s="23" t="str">
        <f t="shared" si="219"/>
        <v>2-Unmetered, Funded by Others, CE Maintained</v>
      </c>
      <c r="I1299" s="374">
        <f>VLOOKUP(F1299,'Maintenance Model'!$A$57:$B$61,2,FALSE)</f>
        <v>9.9616182311111103</v>
      </c>
      <c r="J1299" s="374">
        <f>IF(D1299=1,VLOOKUP(C1299,'Capital Code Schedules'!A$15:F$300,2,FALSE),IF(D1299=2,VLOOKUP(C1299,'Capital Code Schedules'!A$15:F$300,3,FALSE),0))</f>
        <v>0</v>
      </c>
      <c r="K1299" s="374">
        <f>IF(D1299=1,VLOOKUP(C1299,'Capital Code Schedules'!E$15:G$300,2,FALSE),IF(D1299=2,VLOOKUP(C1299,'Capital Code Schedules'!E$15:G$300,3,FALSE),0))</f>
        <v>0</v>
      </c>
      <c r="L1299" s="374">
        <f>VLOOKUP(LEFT(A1299,10),'Streetlight Tariff Schedule'!B$11:H$260,7, FALSE)+I1299</f>
        <v>80.378834365485943</v>
      </c>
      <c r="M1299" s="410">
        <f t="shared" ref="M1299:M1362" si="222">IF(VLOOKUP(D1299,A$11:D$15,3,FALSE)="Y",IF(VLOOKUP(D1299,A$11:D$15,4,FALSE)="Y",K1299+L1299,K1299),IF(VLOOKUP(D1299,A$11:D$15,4,FALSE)="Y",L1299,0))</f>
        <v>80.378834365485943</v>
      </c>
      <c r="N1299" s="411">
        <f t="shared" ref="N1299:N1362" si="223">($J1299+$L1299+$L1299*$M$10*$M$14)*(1+$M$12)</f>
        <v>83.72810967165141</v>
      </c>
      <c r="O1299" s="411">
        <v>49.391731598691941</v>
      </c>
      <c r="P1299" s="411">
        <v>49.391731598691941</v>
      </c>
      <c r="Q1299" s="411">
        <v>51.808906749839515</v>
      </c>
      <c r="R1299" s="411">
        <v>51.808906749839515</v>
      </c>
      <c r="S1299" s="411">
        <f t="shared" ref="S1299:S1362" si="224">($J1299+$L1299+$L1299*$N$10*$N$14)*(1+$N$12)</f>
        <v>87.825668100970248</v>
      </c>
      <c r="T1299" s="411">
        <v>53.936759947442589</v>
      </c>
      <c r="U1299" s="411">
        <v>54.13380663605038</v>
      </c>
      <c r="V1299" s="411">
        <f t="shared" ref="V1299:V1362" si="225">($J1299+$L1299+$L1299*$O$10*$O$14)*(1+$O$12)</f>
        <v>91.76680290932002</v>
      </c>
      <c r="W1299" s="411">
        <v>55.900204016457636</v>
      </c>
      <c r="X1299" s="411">
        <v>56.605378607795835</v>
      </c>
      <c r="Y1299" s="411">
        <f t="shared" ref="Y1299:Y1362" si="226">($J1299+$L1299+$L1299*$P$10*$P$14)*(1+$P$12)</f>
        <v>95.956573998802611</v>
      </c>
      <c r="Z1299" s="411">
        <v>57.514915466055065</v>
      </c>
      <c r="AA1299" s="411">
        <v>58.453585585644561</v>
      </c>
      <c r="AB1299" s="441">
        <f t="shared" ref="AB1299:AB1362" si="227">($J1299+$L1299+$L1299*$Q$10*$Q$14)*(1+$Q$12)</f>
        <v>98.039478547036268</v>
      </c>
      <c r="AC1299" s="438">
        <f t="shared" ref="AC1299:AC1362" si="228">($J1299+$L1299+$L1299*$R$10*$R$14)*(1+$R$12)</f>
        <v>100.9707669211743</v>
      </c>
      <c r="AD1299" s="410"/>
      <c r="AE1299" s="411"/>
      <c r="AF1299" s="411"/>
      <c r="AG1299" s="411"/>
    </row>
    <row r="1300" spans="1:33" s="409" customFormat="1" x14ac:dyDescent="0.2">
      <c r="A1300" s="409" t="s">
        <v>574</v>
      </c>
      <c r="B1300" s="23" t="str">
        <f>VLOOKUP(LEFT(A1300,7),'[7]Tariff Schedule Lookup Table'!$A$8:$G$186,2,FALSE)</f>
        <v>High Pressure Sodium 400</v>
      </c>
      <c r="C1300" s="375">
        <f t="shared" si="220"/>
        <v>620</v>
      </c>
      <c r="D1300" s="23">
        <f t="shared" si="221"/>
        <v>1</v>
      </c>
      <c r="E1300" s="23" t="str">
        <f>VLOOKUP(C1300,'[7]Tariff Schedule Lookup Table'!I$7:L$287,2,FALSE)</f>
        <v>METAL HALIDE/HPS 400W FLOOD (310/360)</v>
      </c>
      <c r="F1300" s="23" t="str">
        <f>IF(E1300 = "BULKHEADS ETC", "SHARED OR NO POLE", VLOOKUP(C1300,'[7]Tariff Schedule Lookup Table'!I$7:L$287,3,FALSE))</f>
        <v>SHARED OR NO POLE</v>
      </c>
      <c r="G1300" s="23">
        <f>IF(E1300 = "NO CAPITAL", 1, VLOOKUP(C1300,'[7]Tariff Schedule Lookup Table'!I$7:L$287,4,FALSE))</f>
        <v>1</v>
      </c>
      <c r="H1300" s="23" t="str">
        <f t="shared" si="219"/>
        <v>1-Unmetered, CE Funded, CE Maintained</v>
      </c>
      <c r="I1300" s="374">
        <f>VLOOKUP(F1300,'Maintenance Model'!$A$57:$B$61,2,FALSE)</f>
        <v>0</v>
      </c>
      <c r="J1300" s="374">
        <f>IF(D1300=1,VLOOKUP(C1300,'Capital Code Schedules'!A$15:F$300,2,FALSE),IF(D1300=2,VLOOKUP(C1300,'Capital Code Schedules'!A$15:F$300,3,FALSE),0))</f>
        <v>34.455205908772193</v>
      </c>
      <c r="K1300" s="374">
        <f>IF(D1300=1,VLOOKUP(C1300,'Capital Code Schedules'!E$15:G$300,2,FALSE),IF(D1300=2,VLOOKUP(C1300,'Capital Code Schedules'!E$15:G$300,3,FALSE),0))</f>
        <v>43.705421810047042</v>
      </c>
      <c r="L1300" s="374">
        <f>VLOOKUP(LEFT(A1300,10),'Streetlight Tariff Schedule'!B$11:H$260,7, FALSE)+I1300</f>
        <v>70.417216134374826</v>
      </c>
      <c r="M1300" s="410">
        <f t="shared" si="222"/>
        <v>114.12263794442187</v>
      </c>
      <c r="N1300" s="411">
        <f t="shared" si="223"/>
        <v>108.65937678599332</v>
      </c>
      <c r="O1300" s="411">
        <v>86.567504712441689</v>
      </c>
      <c r="P1300" s="411">
        <v>84.584747362438492</v>
      </c>
      <c r="Q1300" s="411">
        <v>87.640878921464491</v>
      </c>
      <c r="R1300" s="411">
        <v>89.672709515880271</v>
      </c>
      <c r="S1300" s="411">
        <f t="shared" si="224"/>
        <v>113.12298338468379</v>
      </c>
      <c r="T1300" s="411">
        <v>90.491322894127009</v>
      </c>
      <c r="U1300" s="411">
        <v>92.911940488774391</v>
      </c>
      <c r="V1300" s="411">
        <f t="shared" si="225"/>
        <v>117.60686272269388</v>
      </c>
      <c r="W1300" s="411">
        <v>93.237407381531625</v>
      </c>
      <c r="X1300" s="411">
        <v>96.574466465316362</v>
      </c>
      <c r="Y1300" s="411">
        <f t="shared" si="226"/>
        <v>122.538903064324</v>
      </c>
      <c r="Z1300" s="411">
        <v>95.731308697531858</v>
      </c>
      <c r="AA1300" s="411">
        <v>99.516153780867896</v>
      </c>
      <c r="AB1300" s="441">
        <f t="shared" si="227"/>
        <v>125.04081833181979</v>
      </c>
      <c r="AC1300" s="438">
        <f t="shared" si="228"/>
        <v>128.74813681100332</v>
      </c>
      <c r="AD1300" s="410"/>
      <c r="AE1300" s="411"/>
      <c r="AF1300" s="411"/>
      <c r="AG1300" s="411"/>
    </row>
    <row r="1301" spans="1:33" s="409" customFormat="1" x14ac:dyDescent="0.2">
      <c r="A1301" s="409" t="s">
        <v>575</v>
      </c>
      <c r="B1301" s="23" t="str">
        <f>VLOOKUP(LEFT(A1301,7),'[7]Tariff Schedule Lookup Table'!$A$8:$G$186,2,FALSE)</f>
        <v>High Pressure Sodium 400</v>
      </c>
      <c r="C1301" s="375">
        <f t="shared" si="220"/>
        <v>620</v>
      </c>
      <c r="D1301" s="23">
        <f t="shared" si="221"/>
        <v>2</v>
      </c>
      <c r="E1301" s="23" t="str">
        <f>VLOOKUP(C1301,'[7]Tariff Schedule Lookup Table'!I$7:L$287,2,FALSE)</f>
        <v>METAL HALIDE/HPS 400W FLOOD (310/360)</v>
      </c>
      <c r="F1301" s="23" t="str">
        <f>IF(E1301 = "BULKHEADS ETC", "SHARED OR NO POLE", VLOOKUP(C1301,'[7]Tariff Schedule Lookup Table'!I$7:L$287,3,FALSE))</f>
        <v>SHARED OR NO POLE</v>
      </c>
      <c r="G1301" s="23">
        <f>IF(E1301 = "NO CAPITAL", 1, VLOOKUP(C1301,'[7]Tariff Schedule Lookup Table'!I$7:L$287,4,FALSE))</f>
        <v>1</v>
      </c>
      <c r="H1301" s="23" t="str">
        <f t="shared" si="219"/>
        <v>2-Unmetered, Funded by Others, CE Maintained</v>
      </c>
      <c r="I1301" s="374">
        <f>VLOOKUP(F1301,'Maintenance Model'!$A$57:$B$61,2,FALSE)</f>
        <v>0</v>
      </c>
      <c r="J1301" s="374">
        <f>IF(D1301=1,VLOOKUP(C1301,'Capital Code Schedules'!A$15:F$300,2,FALSE),IF(D1301=2,VLOOKUP(C1301,'Capital Code Schedules'!A$15:F$300,3,FALSE),0))</f>
        <v>0</v>
      </c>
      <c r="K1301" s="374">
        <f>IF(D1301=1,VLOOKUP(C1301,'Capital Code Schedules'!E$15:G$300,2,FALSE),IF(D1301=2,VLOOKUP(C1301,'Capital Code Schedules'!E$15:G$300,3,FALSE),0))</f>
        <v>0</v>
      </c>
      <c r="L1301" s="374">
        <f>VLOOKUP(LEFT(A1301,10),'Streetlight Tariff Schedule'!B$11:H$260,7, FALSE)+I1301</f>
        <v>70.417216134374826</v>
      </c>
      <c r="M1301" s="410">
        <f t="shared" si="222"/>
        <v>70.417216134374826</v>
      </c>
      <c r="N1301" s="411">
        <f t="shared" si="223"/>
        <v>73.351404530979011</v>
      </c>
      <c r="O1301" s="411">
        <v>39.797616362592777</v>
      </c>
      <c r="P1301" s="411">
        <v>39.797616362592777</v>
      </c>
      <c r="Q1301" s="411">
        <v>41.745266429372592</v>
      </c>
      <c r="R1301" s="411">
        <v>41.745266429372592</v>
      </c>
      <c r="S1301" s="411">
        <f t="shared" si="224"/>
        <v>76.941138816357864</v>
      </c>
      <c r="T1301" s="411">
        <v>43.459793992855836</v>
      </c>
      <c r="U1301" s="411">
        <v>43.618565274301254</v>
      </c>
      <c r="V1301" s="411">
        <f t="shared" si="225"/>
        <v>80.393835584170674</v>
      </c>
      <c r="W1301" s="411">
        <v>45.041848139953977</v>
      </c>
      <c r="X1301" s="411">
        <v>45.610045831072576</v>
      </c>
      <c r="Y1301" s="411">
        <f t="shared" si="226"/>
        <v>84.064354305804869</v>
      </c>
      <c r="Z1301" s="411">
        <v>46.34290936472518</v>
      </c>
      <c r="AA1301" s="411">
        <v>47.099247158548174</v>
      </c>
      <c r="AB1301" s="441">
        <f t="shared" si="227"/>
        <v>85.889117515150701</v>
      </c>
      <c r="AC1301" s="438">
        <f t="shared" si="228"/>
        <v>88.457121500569158</v>
      </c>
      <c r="AD1301" s="410"/>
      <c r="AE1301" s="411"/>
      <c r="AF1301" s="411"/>
      <c r="AG1301" s="411"/>
    </row>
    <row r="1302" spans="1:33" s="409" customFormat="1" x14ac:dyDescent="0.2">
      <c r="A1302" s="409" t="s">
        <v>748</v>
      </c>
      <c r="B1302" s="23" t="str">
        <f>VLOOKUP(LEFT(A1302,7),'[7]Tariff Schedule Lookup Table'!$A$8:$G$186,2,FALSE)</f>
        <v>High Pressure Sodium 400</v>
      </c>
      <c r="C1302" s="375">
        <f t="shared" si="220"/>
        <v>660</v>
      </c>
      <c r="D1302" s="23">
        <f t="shared" si="221"/>
        <v>1</v>
      </c>
      <c r="E1302" s="23" t="str">
        <f>VLOOKUP(C1302,'[7]Tariff Schedule Lookup Table'!I$7:L$287,2,FALSE)</f>
        <v>METAL HALIDE/HPS 400W FLOOD (310/360)</v>
      </c>
      <c r="F1302" s="23" t="str">
        <f>IF(E1302 = "BULKHEADS ETC", "SHARED OR NO POLE", VLOOKUP(C1302,'[7]Tariff Schedule Lookup Table'!I$7:L$287,3,FALSE))</f>
        <v>SHARED OR NO POLE</v>
      </c>
      <c r="G1302" s="23">
        <f>IF(E1302 = "NO CAPITAL", 1, VLOOKUP(C1302,'[7]Tariff Schedule Lookup Table'!I$7:L$287,4,FALSE))</f>
        <v>2</v>
      </c>
      <c r="H1302" s="23" t="str">
        <f t="shared" si="219"/>
        <v>1-Unmetered, CE Funded, CE Maintained</v>
      </c>
      <c r="I1302" s="374">
        <f>VLOOKUP(F1302,'Maintenance Model'!$A$57:$B$61,2,FALSE)</f>
        <v>0</v>
      </c>
      <c r="J1302" s="374">
        <f>IF(D1302=1,VLOOKUP(C1302,'Capital Code Schedules'!A$15:F$300,2,FALSE),IF(D1302=2,VLOOKUP(C1302,'Capital Code Schedules'!A$15:F$300,3,FALSE),0))</f>
        <v>49.505888035288052</v>
      </c>
      <c r="K1302" s="374">
        <f>IF(D1302=1,VLOOKUP(C1302,'Capital Code Schedules'!E$15:G$300,2,FALSE),IF(D1302=2,VLOOKUP(C1302,'Capital Code Schedules'!E$15:G$300,3,FALSE),0))</f>
        <v>62.796772261121802</v>
      </c>
      <c r="L1302" s="374">
        <f>VLOOKUP(LEFT(A1302,10),'Streetlight Tariff Schedule'!B$11:H$260,7, FALSE)+I1302</f>
        <v>70.417216134374826</v>
      </c>
      <c r="M1302" s="410">
        <f t="shared" si="222"/>
        <v>133.21398839549664</v>
      </c>
      <c r="N1302" s="411">
        <f t="shared" si="223"/>
        <v>124.08256329514045</v>
      </c>
      <c r="O1302" s="411">
        <v>106.99747179811214</v>
      </c>
      <c r="P1302" s="411">
        <v>104.14860873717736</v>
      </c>
      <c r="Q1302" s="411">
        <v>107.68894586522813</v>
      </c>
      <c r="R1302" s="411">
        <v>110.60831828692108</v>
      </c>
      <c r="S1302" s="411">
        <f t="shared" si="224"/>
        <v>128.92789375993229</v>
      </c>
      <c r="T1302" s="411">
        <v>111.0355794947488</v>
      </c>
      <c r="U1302" s="411">
        <v>114.44421410978985</v>
      </c>
      <c r="V1302" s="411">
        <f t="shared" si="225"/>
        <v>133.86221304363696</v>
      </c>
      <c r="W1302" s="411">
        <v>114.29013433301881</v>
      </c>
      <c r="X1302" s="411">
        <v>118.83668416208424</v>
      </c>
      <c r="Y1302" s="411">
        <f t="shared" si="226"/>
        <v>139.34530976114706</v>
      </c>
      <c r="Z1302" s="411">
        <v>117.30509064106836</v>
      </c>
      <c r="AA1302" s="411">
        <v>122.41284468199368</v>
      </c>
      <c r="AB1302" s="441">
        <f t="shared" si="227"/>
        <v>142.14301778650693</v>
      </c>
      <c r="AC1302" s="438">
        <f t="shared" si="228"/>
        <v>146.34801026982186</v>
      </c>
      <c r="AD1302" s="410"/>
      <c r="AE1302" s="411"/>
      <c r="AF1302" s="411"/>
      <c r="AG1302" s="411"/>
    </row>
    <row r="1303" spans="1:33" s="409" customFormat="1" x14ac:dyDescent="0.2">
      <c r="A1303" s="409" t="s">
        <v>576</v>
      </c>
      <c r="B1303" s="23" t="str">
        <f>VLOOKUP(LEFT(A1303,7),'[7]Tariff Schedule Lookup Table'!$A$8:$G$186,2,FALSE)</f>
        <v>High Pressure Sodium 400</v>
      </c>
      <c r="C1303" s="375">
        <f t="shared" si="220"/>
        <v>660</v>
      </c>
      <c r="D1303" s="23">
        <f t="shared" si="221"/>
        <v>2</v>
      </c>
      <c r="E1303" s="23" t="str">
        <f>VLOOKUP(C1303,'[7]Tariff Schedule Lookup Table'!I$7:L$287,2,FALSE)</f>
        <v>METAL HALIDE/HPS 400W FLOOD (310/360)</v>
      </c>
      <c r="F1303" s="23" t="str">
        <f>IF(E1303 = "BULKHEADS ETC", "SHARED OR NO POLE", VLOOKUP(C1303,'[7]Tariff Schedule Lookup Table'!I$7:L$287,3,FALSE))</f>
        <v>SHARED OR NO POLE</v>
      </c>
      <c r="G1303" s="23">
        <f>IF(E1303 = "NO CAPITAL", 1, VLOOKUP(C1303,'[7]Tariff Schedule Lookup Table'!I$7:L$287,4,FALSE))</f>
        <v>2</v>
      </c>
      <c r="H1303" s="23" t="str">
        <f t="shared" si="219"/>
        <v>2-Unmetered, Funded by Others, CE Maintained</v>
      </c>
      <c r="I1303" s="374">
        <f>VLOOKUP(F1303,'Maintenance Model'!$A$57:$B$61,2,FALSE)</f>
        <v>0</v>
      </c>
      <c r="J1303" s="374">
        <f>IF(D1303=1,VLOOKUP(C1303,'Capital Code Schedules'!A$15:F$300,2,FALSE),IF(D1303=2,VLOOKUP(C1303,'Capital Code Schedules'!A$15:F$300,3,FALSE),0))</f>
        <v>0</v>
      </c>
      <c r="K1303" s="374">
        <f>IF(D1303=1,VLOOKUP(C1303,'Capital Code Schedules'!E$15:G$300,2,FALSE),IF(D1303=2,VLOOKUP(C1303,'Capital Code Schedules'!E$15:G$300,3,FALSE),0))</f>
        <v>0</v>
      </c>
      <c r="L1303" s="374">
        <f>VLOOKUP(LEFT(A1303,10),'Streetlight Tariff Schedule'!B$11:H$260,7, FALSE)+I1303</f>
        <v>70.417216134374826</v>
      </c>
      <c r="M1303" s="410">
        <f t="shared" si="222"/>
        <v>70.417216134374826</v>
      </c>
      <c r="N1303" s="411">
        <f t="shared" si="223"/>
        <v>73.351404530979011</v>
      </c>
      <c r="O1303" s="411">
        <v>39.797616362592777</v>
      </c>
      <c r="P1303" s="411">
        <v>39.797616362592777</v>
      </c>
      <c r="Q1303" s="411">
        <v>41.745266429372592</v>
      </c>
      <c r="R1303" s="411">
        <v>41.745266429372592</v>
      </c>
      <c r="S1303" s="411">
        <f t="shared" si="224"/>
        <v>76.941138816357864</v>
      </c>
      <c r="T1303" s="411">
        <v>43.459793992855836</v>
      </c>
      <c r="U1303" s="411">
        <v>43.618565274301254</v>
      </c>
      <c r="V1303" s="411">
        <f t="shared" si="225"/>
        <v>80.393835584170674</v>
      </c>
      <c r="W1303" s="411">
        <v>45.041848139953977</v>
      </c>
      <c r="X1303" s="411">
        <v>45.610045831072576</v>
      </c>
      <c r="Y1303" s="411">
        <f t="shared" si="226"/>
        <v>84.064354305804869</v>
      </c>
      <c r="Z1303" s="411">
        <v>46.34290936472518</v>
      </c>
      <c r="AA1303" s="411">
        <v>47.099247158548174</v>
      </c>
      <c r="AB1303" s="441">
        <f t="shared" si="227"/>
        <v>85.889117515150701</v>
      </c>
      <c r="AC1303" s="438">
        <f t="shared" si="228"/>
        <v>88.457121500569158</v>
      </c>
      <c r="AD1303" s="410"/>
      <c r="AE1303" s="411"/>
      <c r="AF1303" s="411"/>
      <c r="AG1303" s="411"/>
    </row>
    <row r="1304" spans="1:33" s="409" customFormat="1" x14ac:dyDescent="0.2">
      <c r="A1304" s="409" t="s">
        <v>577</v>
      </c>
      <c r="B1304" s="23" t="str">
        <f>VLOOKUP(LEFT(A1304,7),'[7]Tariff Schedule Lookup Table'!$A$8:$G$186,2,FALSE)</f>
        <v>High Pressure Sodium 400</v>
      </c>
      <c r="C1304" s="375">
        <f t="shared" si="220"/>
        <v>770</v>
      </c>
      <c r="D1304" s="23">
        <f t="shared" si="221"/>
        <v>2</v>
      </c>
      <c r="E1304" s="23" t="str">
        <f>VLOOKUP(C1304,'[7]Tariff Schedule Lookup Table'!I$7:L$287,2,FALSE)</f>
        <v>HIGH PRESSURE SODIUM 400W (310/360)</v>
      </c>
      <c r="F1304" s="23" t="str">
        <f>IF(E1304 = "BULKHEADS ETC", "SHARED OR NO POLE", VLOOKUP(C1304,'[7]Tariff Schedule Lookup Table'!I$7:L$287,3,FALSE))</f>
        <v>WOOD POLE</v>
      </c>
      <c r="G1304" s="23">
        <f>IF(E1304 = "NO CAPITAL", 1, VLOOKUP(C1304,'[7]Tariff Schedule Lookup Table'!I$7:L$287,4,FALSE))</f>
        <v>2</v>
      </c>
      <c r="H1304" s="23" t="str">
        <f t="shared" si="219"/>
        <v>2-Unmetered, Funded by Others, CE Maintained</v>
      </c>
      <c r="I1304" s="374">
        <f>VLOOKUP(F1304,'Maintenance Model'!$A$57:$B$61,2,FALSE)</f>
        <v>10.731618231111112</v>
      </c>
      <c r="J1304" s="374">
        <f>IF(D1304=1,VLOOKUP(C1304,'Capital Code Schedules'!A$15:F$300,2,FALSE),IF(D1304=2,VLOOKUP(C1304,'Capital Code Schedules'!A$15:F$300,3,FALSE),0))</f>
        <v>0</v>
      </c>
      <c r="K1304" s="374">
        <f>IF(D1304=1,VLOOKUP(C1304,'Capital Code Schedules'!E$15:G$300,2,FALSE),IF(D1304=2,VLOOKUP(C1304,'Capital Code Schedules'!E$15:G$300,3,FALSE),0))</f>
        <v>0</v>
      </c>
      <c r="L1304" s="374">
        <f>VLOOKUP(LEFT(A1304,10),'Streetlight Tariff Schedule'!B$11:H$260,7, FALSE)+I1304</f>
        <v>81.148834365485939</v>
      </c>
      <c r="M1304" s="410">
        <f t="shared" si="222"/>
        <v>81.148834365485939</v>
      </c>
      <c r="N1304" s="411">
        <f t="shared" si="223"/>
        <v>84.530194510976401</v>
      </c>
      <c r="O1304" s="411">
        <v>50.193816438016945</v>
      </c>
      <c r="P1304" s="411">
        <v>50.193816438016945</v>
      </c>
      <c r="Q1304" s="411">
        <v>52.650244708663969</v>
      </c>
      <c r="R1304" s="411">
        <v>52.650244708663969</v>
      </c>
      <c r="S1304" s="411">
        <f t="shared" si="224"/>
        <v>88.667006059794701</v>
      </c>
      <c r="T1304" s="411">
        <v>54.812652653283685</v>
      </c>
      <c r="U1304" s="411">
        <v>55.012899232975592</v>
      </c>
      <c r="V1304" s="411">
        <f t="shared" si="225"/>
        <v>92.645895506245225</v>
      </c>
      <c r="W1304" s="411">
        <v>56.807981587834846</v>
      </c>
      <c r="X1304" s="411">
        <v>57.524607687967773</v>
      </c>
      <c r="Y1304" s="411">
        <f t="shared" si="226"/>
        <v>96.875803078974542</v>
      </c>
      <c r="Z1304" s="411">
        <v>58.448914745634958</v>
      </c>
      <c r="AA1304" s="411">
        <v>59.402828167042003</v>
      </c>
      <c r="AB1304" s="441">
        <f t="shared" si="227"/>
        <v>98.978661095242416</v>
      </c>
      <c r="AC1304" s="438">
        <f t="shared" si="228"/>
        <v>101.93803014591556</v>
      </c>
      <c r="AD1304" s="410"/>
      <c r="AE1304" s="411"/>
      <c r="AF1304" s="411"/>
      <c r="AG1304" s="411"/>
    </row>
    <row r="1305" spans="1:33" s="409" customFormat="1" x14ac:dyDescent="0.2">
      <c r="A1305" s="409" t="s">
        <v>578</v>
      </c>
      <c r="B1305" s="23" t="str">
        <f>VLOOKUP(LEFT(A1305,7),'[7]Tariff Schedule Lookup Table'!$A$8:$G$186,2,FALSE)</f>
        <v>High Pressure Sodium 400</v>
      </c>
      <c r="C1305" s="375">
        <f t="shared" si="220"/>
        <v>900</v>
      </c>
      <c r="D1305" s="23">
        <f t="shared" si="221"/>
        <v>2</v>
      </c>
      <c r="E1305" s="23" t="str">
        <f>VLOOKUP(C1305,'[7]Tariff Schedule Lookup Table'!I$7:L$287,2,FALSE)</f>
        <v>METAL HALIDE/HPS 400W FLOOD (310/360)</v>
      </c>
      <c r="F1305" s="23" t="str">
        <f>IF(E1305 = "BULKHEADS ETC", "SHARED OR NO POLE", VLOOKUP(C1305,'[7]Tariff Schedule Lookup Table'!I$7:L$287,3,FALSE))</f>
        <v>WOOD POLE</v>
      </c>
      <c r="G1305" s="23">
        <f>IF(E1305 = "NO CAPITAL", 1, VLOOKUP(C1305,'[7]Tariff Schedule Lookup Table'!I$7:L$287,4,FALSE))</f>
        <v>2</v>
      </c>
      <c r="H1305" s="23" t="str">
        <f t="shared" si="219"/>
        <v>2-Unmetered, Funded by Others, CE Maintained</v>
      </c>
      <c r="I1305" s="374">
        <f>VLOOKUP(F1305,'Maintenance Model'!$A$57:$B$61,2,FALSE)</f>
        <v>10.731618231111112</v>
      </c>
      <c r="J1305" s="374">
        <f>IF(D1305=1,VLOOKUP(C1305,'Capital Code Schedules'!A$15:F$300,2,FALSE),IF(D1305=2,VLOOKUP(C1305,'Capital Code Schedules'!A$15:F$300,3,FALSE),0))</f>
        <v>0</v>
      </c>
      <c r="K1305" s="374">
        <f>IF(D1305=1,VLOOKUP(C1305,'Capital Code Schedules'!E$15:G$300,2,FALSE),IF(D1305=2,VLOOKUP(C1305,'Capital Code Schedules'!E$15:G$300,3,FALSE),0))</f>
        <v>0</v>
      </c>
      <c r="L1305" s="374">
        <f>VLOOKUP(LEFT(A1305,10),'Streetlight Tariff Schedule'!B$11:H$260,7, FALSE)+I1305</f>
        <v>81.148834365485939</v>
      </c>
      <c r="M1305" s="410">
        <f t="shared" si="222"/>
        <v>81.148834365485939</v>
      </c>
      <c r="N1305" s="411">
        <f t="shared" si="223"/>
        <v>84.530194510976401</v>
      </c>
      <c r="O1305" s="411">
        <v>50.193816438016945</v>
      </c>
      <c r="P1305" s="411">
        <v>50.193816438016945</v>
      </c>
      <c r="Q1305" s="411">
        <v>52.650244708663969</v>
      </c>
      <c r="R1305" s="411">
        <v>52.650244708663969</v>
      </c>
      <c r="S1305" s="411">
        <f t="shared" si="224"/>
        <v>88.667006059794701</v>
      </c>
      <c r="T1305" s="411">
        <v>54.812652653283685</v>
      </c>
      <c r="U1305" s="411">
        <v>55.012899232975592</v>
      </c>
      <c r="V1305" s="411">
        <f t="shared" si="225"/>
        <v>92.645895506245225</v>
      </c>
      <c r="W1305" s="411">
        <v>56.807981587834846</v>
      </c>
      <c r="X1305" s="411">
        <v>57.524607687967773</v>
      </c>
      <c r="Y1305" s="411">
        <f t="shared" si="226"/>
        <v>96.875803078974542</v>
      </c>
      <c r="Z1305" s="411">
        <v>58.448914745634958</v>
      </c>
      <c r="AA1305" s="411">
        <v>59.402828167042003</v>
      </c>
      <c r="AB1305" s="441">
        <f t="shared" si="227"/>
        <v>98.978661095242416</v>
      </c>
      <c r="AC1305" s="438">
        <f t="shared" si="228"/>
        <v>101.93803014591556</v>
      </c>
      <c r="AD1305" s="410"/>
      <c r="AE1305" s="411"/>
      <c r="AF1305" s="411"/>
      <c r="AG1305" s="411"/>
    </row>
    <row r="1306" spans="1:33" s="409" customFormat="1" x14ac:dyDescent="0.2">
      <c r="A1306" s="409" t="s">
        <v>579</v>
      </c>
      <c r="B1306" s="23" t="str">
        <f>VLOOKUP(LEFT(A1306,7),'[7]Tariff Schedule Lookup Table'!$A$8:$G$186,2,FALSE)</f>
        <v>High Pressure Sodium 400</v>
      </c>
      <c r="C1306" s="375">
        <f t="shared" si="220"/>
        <v>1030</v>
      </c>
      <c r="D1306" s="23">
        <f t="shared" si="221"/>
        <v>1</v>
      </c>
      <c r="E1306" s="23" t="str">
        <f>VLOOKUP(C1306,'[7]Tariff Schedule Lookup Table'!I$7:L$287,2,FALSE)</f>
        <v>HIGH PRESSURE SODIUM 400W (310/360)</v>
      </c>
      <c r="F1306" s="23" t="str">
        <f>IF(E1306 = "BULKHEADS ETC", "SHARED OR NO POLE", VLOOKUP(C1306,'[7]Tariff Schedule Lookup Table'!I$7:L$287,3,FALSE))</f>
        <v>SHARED OR NO POLE</v>
      </c>
      <c r="G1306" s="23">
        <f>IF(E1306 = "NO CAPITAL", 1, VLOOKUP(C1306,'[7]Tariff Schedule Lookup Table'!I$7:L$287,4,FALSE))</f>
        <v>2</v>
      </c>
      <c r="H1306" s="23" t="str">
        <f t="shared" si="219"/>
        <v>1-Unmetered, CE Funded, CE Maintained</v>
      </c>
      <c r="I1306" s="374">
        <f>VLOOKUP(F1306,'Maintenance Model'!$A$57:$B$61,2,FALSE)</f>
        <v>0</v>
      </c>
      <c r="J1306" s="374">
        <f>IF(D1306=1,VLOOKUP(C1306,'Capital Code Schedules'!A$15:F$300,2,FALSE),IF(D1306=2,VLOOKUP(C1306,'Capital Code Schedules'!A$15:F$300,3,FALSE),0))</f>
        <v>52.163571087910817</v>
      </c>
      <c r="K1306" s="374">
        <f>IF(D1306=1,VLOOKUP(C1306,'Capital Code Schedules'!E$15:G$300,2,FALSE),IF(D1306=2,VLOOKUP(C1306,'Capital Code Schedules'!E$15:G$300,3,FALSE),0))</f>
        <v>66.167965547844219</v>
      </c>
      <c r="L1306" s="374">
        <f>VLOOKUP(LEFT(A1306,10),'Streetlight Tariff Schedule'!B$11:H$260,7, FALSE)+I1306</f>
        <v>70.417216134374826</v>
      </c>
      <c r="M1306" s="410">
        <f t="shared" si="222"/>
        <v>136.58518168221906</v>
      </c>
      <c r="N1306" s="411">
        <f t="shared" si="223"/>
        <v>126.80602400331561</v>
      </c>
      <c r="O1306" s="411">
        <v>110.60504099881761</v>
      </c>
      <c r="P1306" s="411">
        <v>107.60323905774615</v>
      </c>
      <c r="Q1306" s="411">
        <v>111.22907828623102</v>
      </c>
      <c r="R1306" s="411">
        <v>114.305174825344</v>
      </c>
      <c r="S1306" s="411">
        <f t="shared" si="224"/>
        <v>131.71876012063481</v>
      </c>
      <c r="T1306" s="411">
        <v>114.6633301931715</v>
      </c>
      <c r="U1306" s="411">
        <v>118.24643105955784</v>
      </c>
      <c r="V1306" s="411">
        <f t="shared" si="225"/>
        <v>136.7326190956195</v>
      </c>
      <c r="W1306" s="411">
        <v>118.00767186122746</v>
      </c>
      <c r="X1306" s="411">
        <v>122.76779626644935</v>
      </c>
      <c r="Y1306" s="411">
        <f t="shared" si="226"/>
        <v>142.31302257829179</v>
      </c>
      <c r="Z1306" s="411">
        <v>121.11463722310017</v>
      </c>
      <c r="AA1306" s="411">
        <v>126.45599348133319</v>
      </c>
      <c r="AB1306" s="441">
        <f t="shared" si="227"/>
        <v>145.16296234923342</v>
      </c>
      <c r="AC1306" s="438">
        <f t="shared" si="228"/>
        <v>149.45583521932369</v>
      </c>
      <c r="AD1306" s="410"/>
      <c r="AE1306" s="411"/>
      <c r="AF1306" s="411"/>
      <c r="AG1306" s="411"/>
    </row>
    <row r="1307" spans="1:33" s="409" customFormat="1" x14ac:dyDescent="0.2">
      <c r="A1307" s="409" t="s">
        <v>580</v>
      </c>
      <c r="B1307" s="23" t="str">
        <f>VLOOKUP(LEFT(A1307,7),'[7]Tariff Schedule Lookup Table'!$A$8:$G$186,2,FALSE)</f>
        <v>High Pressure Sodium 400</v>
      </c>
      <c r="C1307" s="375">
        <f t="shared" si="220"/>
        <v>1030</v>
      </c>
      <c r="D1307" s="23">
        <f t="shared" si="221"/>
        <v>2</v>
      </c>
      <c r="E1307" s="23" t="str">
        <f>VLOOKUP(C1307,'[7]Tariff Schedule Lookup Table'!I$7:L$287,2,FALSE)</f>
        <v>HIGH PRESSURE SODIUM 400W (310/360)</v>
      </c>
      <c r="F1307" s="23" t="str">
        <f>IF(E1307 = "BULKHEADS ETC", "SHARED OR NO POLE", VLOOKUP(C1307,'[7]Tariff Schedule Lookup Table'!I$7:L$287,3,FALSE))</f>
        <v>SHARED OR NO POLE</v>
      </c>
      <c r="G1307" s="23">
        <f>IF(E1307 = "NO CAPITAL", 1, VLOOKUP(C1307,'[7]Tariff Schedule Lookup Table'!I$7:L$287,4,FALSE))</f>
        <v>2</v>
      </c>
      <c r="H1307" s="23" t="str">
        <f t="shared" ref="H1307:H1370" si="229">VLOOKUP(D1307,A$11:B$15, 2, FALSE)</f>
        <v>2-Unmetered, Funded by Others, CE Maintained</v>
      </c>
      <c r="I1307" s="374">
        <f>VLOOKUP(F1307,'Maintenance Model'!$A$57:$B$61,2,FALSE)</f>
        <v>0</v>
      </c>
      <c r="J1307" s="374">
        <f>IF(D1307=1,VLOOKUP(C1307,'Capital Code Schedules'!A$15:F$300,2,FALSE),IF(D1307=2,VLOOKUP(C1307,'Capital Code Schedules'!A$15:F$300,3,FALSE),0))</f>
        <v>0</v>
      </c>
      <c r="K1307" s="374">
        <f>IF(D1307=1,VLOOKUP(C1307,'Capital Code Schedules'!E$15:G$300,2,FALSE),IF(D1307=2,VLOOKUP(C1307,'Capital Code Schedules'!E$15:G$300,3,FALSE),0))</f>
        <v>0</v>
      </c>
      <c r="L1307" s="374">
        <f>VLOOKUP(LEFT(A1307,10),'Streetlight Tariff Schedule'!B$11:H$260,7, FALSE)+I1307</f>
        <v>70.417216134374826</v>
      </c>
      <c r="M1307" s="410">
        <f t="shared" si="222"/>
        <v>70.417216134374826</v>
      </c>
      <c r="N1307" s="411">
        <f t="shared" si="223"/>
        <v>73.351404530979011</v>
      </c>
      <c r="O1307" s="411">
        <v>39.797616362592777</v>
      </c>
      <c r="P1307" s="411">
        <v>39.797616362592777</v>
      </c>
      <c r="Q1307" s="411">
        <v>41.745266429372592</v>
      </c>
      <c r="R1307" s="411">
        <v>41.745266429372592</v>
      </c>
      <c r="S1307" s="411">
        <f t="shared" si="224"/>
        <v>76.941138816357864</v>
      </c>
      <c r="T1307" s="411">
        <v>43.459793992855836</v>
      </c>
      <c r="U1307" s="411">
        <v>43.618565274301254</v>
      </c>
      <c r="V1307" s="411">
        <f t="shared" si="225"/>
        <v>80.393835584170674</v>
      </c>
      <c r="W1307" s="411">
        <v>45.041848139953977</v>
      </c>
      <c r="X1307" s="411">
        <v>45.610045831072576</v>
      </c>
      <c r="Y1307" s="411">
        <f t="shared" si="226"/>
        <v>84.064354305804869</v>
      </c>
      <c r="Z1307" s="411">
        <v>46.34290936472518</v>
      </c>
      <c r="AA1307" s="411">
        <v>47.099247158548174</v>
      </c>
      <c r="AB1307" s="441">
        <f t="shared" si="227"/>
        <v>85.889117515150701</v>
      </c>
      <c r="AC1307" s="438">
        <f t="shared" si="228"/>
        <v>88.457121500569158</v>
      </c>
      <c r="AD1307" s="410"/>
      <c r="AE1307" s="411"/>
      <c r="AF1307" s="411"/>
      <c r="AG1307" s="411"/>
    </row>
    <row r="1308" spans="1:33" s="409" customFormat="1" x14ac:dyDescent="0.2">
      <c r="A1308" s="409" t="s">
        <v>581</v>
      </c>
      <c r="B1308" s="23" t="str">
        <f>VLOOKUP(LEFT(A1308,7),'[7]Tariff Schedule Lookup Table'!$A$8:$G$186,2,FALSE)</f>
        <v>High Pressure Sodium 400</v>
      </c>
      <c r="C1308" s="375">
        <f t="shared" si="220"/>
        <v>1100</v>
      </c>
      <c r="D1308" s="23">
        <f t="shared" si="221"/>
        <v>1</v>
      </c>
      <c r="E1308" s="23" t="str">
        <f>VLOOKUP(C1308,'[7]Tariff Schedule Lookup Table'!I$7:L$287,2,FALSE)</f>
        <v>METAL HALIDE/HPS 400W FLOOD (310/360)</v>
      </c>
      <c r="F1308" s="23" t="str">
        <f>IF(E1308 = "BULKHEADS ETC", "SHARED OR NO POLE", VLOOKUP(C1308,'[7]Tariff Schedule Lookup Table'!I$7:L$287,3,FALSE))</f>
        <v>WOOD POLE</v>
      </c>
      <c r="G1308" s="23">
        <f>IF(E1308 = "NO CAPITAL", 1, VLOOKUP(C1308,'[7]Tariff Schedule Lookup Table'!I$7:L$287,4,FALSE))</f>
        <v>1</v>
      </c>
      <c r="H1308" s="23" t="str">
        <f t="shared" si="229"/>
        <v>1-Unmetered, CE Funded, CE Maintained</v>
      </c>
      <c r="I1308" s="374">
        <f>VLOOKUP(F1308,'Maintenance Model'!$A$57:$B$61,2,FALSE)</f>
        <v>10.731618231111112</v>
      </c>
      <c r="J1308" s="374">
        <f>IF(D1308=1,VLOOKUP(C1308,'Capital Code Schedules'!A$15:F$300,2,FALSE),IF(D1308=2,VLOOKUP(C1308,'Capital Code Schedules'!A$15:F$300,3,FALSE),0))</f>
        <v>73.527525225964666</v>
      </c>
      <c r="K1308" s="374">
        <f>IF(D1308=1,VLOOKUP(C1308,'Capital Code Schedules'!E$15:G$300,2,FALSE),IF(D1308=2,VLOOKUP(C1308,'Capital Code Schedules'!E$15:G$300,3,FALSE),0))</f>
        <v>93.267517052669831</v>
      </c>
      <c r="L1308" s="374">
        <f>VLOOKUP(LEFT(A1308,10),'Streetlight Tariff Schedule'!B$11:H$260,7, FALSE)+I1308</f>
        <v>81.148834365485939</v>
      </c>
      <c r="M1308" s="410">
        <f t="shared" si="222"/>
        <v>174.41635141815578</v>
      </c>
      <c r="N1308" s="411">
        <f t="shared" si="223"/>
        <v>159.87752598628367</v>
      </c>
      <c r="O1308" s="411">
        <v>150.00091538742538</v>
      </c>
      <c r="P1308" s="411">
        <v>145.76970453774035</v>
      </c>
      <c r="Q1308" s="411">
        <v>150.59163603885554</v>
      </c>
      <c r="R1308" s="411">
        <v>154.92756935707027</v>
      </c>
      <c r="S1308" s="411">
        <f t="shared" si="224"/>
        <v>165.87918398911586</v>
      </c>
      <c r="T1308" s="411">
        <v>155.1780934188975</v>
      </c>
      <c r="U1308" s="411">
        <v>160.20512763386145</v>
      </c>
      <c r="V1308" s="411">
        <f t="shared" si="225"/>
        <v>172.05862050655202</v>
      </c>
      <c r="W1308" s="411">
        <v>159.65746701239757</v>
      </c>
      <c r="X1308" s="411">
        <v>166.28285263164366</v>
      </c>
      <c r="Y1308" s="411">
        <f t="shared" si="226"/>
        <v>178.98061945679171</v>
      </c>
      <c r="Z1308" s="411">
        <v>163.84392493445563</v>
      </c>
      <c r="AA1308" s="411">
        <v>171.26068309161266</v>
      </c>
      <c r="AB1308" s="441">
        <f t="shared" si="227"/>
        <v>182.52852224130919</v>
      </c>
      <c r="AC1308" s="438">
        <f t="shared" si="228"/>
        <v>187.91919225133287</v>
      </c>
      <c r="AD1308" s="410"/>
      <c r="AE1308" s="411"/>
      <c r="AF1308" s="411"/>
      <c r="AG1308" s="411"/>
    </row>
    <row r="1309" spans="1:33" s="409" customFormat="1" x14ac:dyDescent="0.2">
      <c r="A1309" s="409" t="s">
        <v>582</v>
      </c>
      <c r="B1309" s="23" t="str">
        <f>VLOOKUP(LEFT(A1309,7),'[7]Tariff Schedule Lookup Table'!$A$8:$G$186,2,FALSE)</f>
        <v>High Pressure Sodium 400</v>
      </c>
      <c r="C1309" s="375">
        <f t="shared" si="220"/>
        <v>1100</v>
      </c>
      <c r="D1309" s="23">
        <f t="shared" si="221"/>
        <v>2</v>
      </c>
      <c r="E1309" s="23" t="str">
        <f>VLOOKUP(C1309,'[7]Tariff Schedule Lookup Table'!I$7:L$287,2,FALSE)</f>
        <v>METAL HALIDE/HPS 400W FLOOD (310/360)</v>
      </c>
      <c r="F1309" s="23" t="str">
        <f>IF(E1309 = "BULKHEADS ETC", "SHARED OR NO POLE", VLOOKUP(C1309,'[7]Tariff Schedule Lookup Table'!I$7:L$287,3,FALSE))</f>
        <v>WOOD POLE</v>
      </c>
      <c r="G1309" s="23">
        <f>IF(E1309 = "NO CAPITAL", 1, VLOOKUP(C1309,'[7]Tariff Schedule Lookup Table'!I$7:L$287,4,FALSE))</f>
        <v>1</v>
      </c>
      <c r="H1309" s="23" t="str">
        <f t="shared" si="229"/>
        <v>2-Unmetered, Funded by Others, CE Maintained</v>
      </c>
      <c r="I1309" s="374">
        <f>VLOOKUP(F1309,'Maintenance Model'!$A$57:$B$61,2,FALSE)</f>
        <v>10.731618231111112</v>
      </c>
      <c r="J1309" s="374">
        <f>IF(D1309=1,VLOOKUP(C1309,'Capital Code Schedules'!A$15:F$300,2,FALSE),IF(D1309=2,VLOOKUP(C1309,'Capital Code Schedules'!A$15:F$300,3,FALSE),0))</f>
        <v>0</v>
      </c>
      <c r="K1309" s="374">
        <f>IF(D1309=1,VLOOKUP(C1309,'Capital Code Schedules'!E$15:G$300,2,FALSE),IF(D1309=2,VLOOKUP(C1309,'Capital Code Schedules'!E$15:G$300,3,FALSE),0))</f>
        <v>0</v>
      </c>
      <c r="L1309" s="374">
        <f>VLOOKUP(LEFT(A1309,10),'Streetlight Tariff Schedule'!B$11:H$260,7, FALSE)+I1309</f>
        <v>81.148834365485939</v>
      </c>
      <c r="M1309" s="410">
        <f t="shared" si="222"/>
        <v>81.148834365485939</v>
      </c>
      <c r="N1309" s="411">
        <f t="shared" si="223"/>
        <v>84.530194510976401</v>
      </c>
      <c r="O1309" s="411">
        <v>50.193816438016945</v>
      </c>
      <c r="P1309" s="411">
        <v>50.193816438016945</v>
      </c>
      <c r="Q1309" s="411">
        <v>52.650244708663969</v>
      </c>
      <c r="R1309" s="411">
        <v>52.650244708663969</v>
      </c>
      <c r="S1309" s="411">
        <f t="shared" si="224"/>
        <v>88.667006059794701</v>
      </c>
      <c r="T1309" s="411">
        <v>54.812652653283685</v>
      </c>
      <c r="U1309" s="411">
        <v>55.012899232975592</v>
      </c>
      <c r="V1309" s="411">
        <f t="shared" si="225"/>
        <v>92.645895506245225</v>
      </c>
      <c r="W1309" s="411">
        <v>56.807981587834846</v>
      </c>
      <c r="X1309" s="411">
        <v>57.524607687967773</v>
      </c>
      <c r="Y1309" s="411">
        <f t="shared" si="226"/>
        <v>96.875803078974542</v>
      </c>
      <c r="Z1309" s="411">
        <v>58.448914745634958</v>
      </c>
      <c r="AA1309" s="411">
        <v>59.402828167042003</v>
      </c>
      <c r="AB1309" s="441">
        <f t="shared" si="227"/>
        <v>98.978661095242416</v>
      </c>
      <c r="AC1309" s="438">
        <f t="shared" si="228"/>
        <v>101.93803014591556</v>
      </c>
      <c r="AD1309" s="410"/>
      <c r="AE1309" s="411"/>
      <c r="AF1309" s="411"/>
      <c r="AG1309" s="411"/>
    </row>
    <row r="1310" spans="1:33" s="409" customFormat="1" x14ac:dyDescent="0.2">
      <c r="A1310" s="409" t="s">
        <v>583</v>
      </c>
      <c r="B1310" s="23" t="str">
        <f>VLOOKUP(LEFT(A1310,7),'[7]Tariff Schedule Lookup Table'!$A$8:$G$186,2,FALSE)</f>
        <v>High Pressure Sodium 400</v>
      </c>
      <c r="C1310" s="375">
        <f t="shared" si="220"/>
        <v>1130</v>
      </c>
      <c r="D1310" s="23">
        <f t="shared" si="221"/>
        <v>1</v>
      </c>
      <c r="E1310" s="23" t="str">
        <f>VLOOKUP(C1310,'[7]Tariff Schedule Lookup Table'!I$7:L$287,2,FALSE)</f>
        <v>METAL HALIDE/HPS 400W FLOOD (310/360)</v>
      </c>
      <c r="F1310" s="23" t="str">
        <f>IF(E1310 = "BULKHEADS ETC", "SHARED OR NO POLE", VLOOKUP(C1310,'[7]Tariff Schedule Lookup Table'!I$7:L$287,3,FALSE))</f>
        <v>STEEL POLE</v>
      </c>
      <c r="G1310" s="23">
        <f>IF(E1310 = "NO CAPITAL", 1, VLOOKUP(C1310,'[7]Tariff Schedule Lookup Table'!I$7:L$287,4,FALSE))</f>
        <v>2</v>
      </c>
      <c r="H1310" s="23" t="str">
        <f t="shared" si="229"/>
        <v>1-Unmetered, CE Funded, CE Maintained</v>
      </c>
      <c r="I1310" s="374">
        <f>VLOOKUP(F1310,'Maintenance Model'!$A$57:$B$61,2,FALSE)</f>
        <v>9.9616182311111103</v>
      </c>
      <c r="J1310" s="374">
        <f>IF(D1310=1,VLOOKUP(C1310,'Capital Code Schedules'!A$15:F$300,2,FALSE),IF(D1310=2,VLOOKUP(C1310,'Capital Code Schedules'!A$15:F$300,3,FALSE),0))</f>
        <v>120.03267348142677</v>
      </c>
      <c r="K1310" s="374">
        <f>IF(D1310=1,VLOOKUP(C1310,'Capital Code Schedules'!E$15:G$300,2,FALSE),IF(D1310=2,VLOOKUP(C1310,'Capital Code Schedules'!E$15:G$300,3,FALSE),0))</f>
        <v>152.25793859376614</v>
      </c>
      <c r="L1310" s="374">
        <f>VLOOKUP(LEFT(A1310,10),'Streetlight Tariff Schedule'!B$11:H$260,7, FALSE)+I1310</f>
        <v>80.378834365485943</v>
      </c>
      <c r="M1310" s="410">
        <f t="shared" si="222"/>
        <v>232.63677295925208</v>
      </c>
      <c r="N1310" s="411">
        <f t="shared" si="223"/>
        <v>206.73159182174348</v>
      </c>
      <c r="O1310" s="411">
        <v>212.32544767992178</v>
      </c>
      <c r="P1310" s="411">
        <v>205.4180541726538</v>
      </c>
      <c r="Q1310" s="411">
        <v>211.69688080750694</v>
      </c>
      <c r="R1310" s="411">
        <v>218.77523230407976</v>
      </c>
      <c r="S1310" s="411">
        <f t="shared" si="224"/>
        <v>213.87348643427714</v>
      </c>
      <c r="T1310" s="411">
        <v>217.78196136303728</v>
      </c>
      <c r="U1310" s="411">
        <v>225.85867246858652</v>
      </c>
      <c r="V1310" s="411">
        <f t="shared" si="225"/>
        <v>221.4069840651261</v>
      </c>
      <c r="W1310" s="411">
        <v>223.80057416708831</v>
      </c>
      <c r="X1310" s="411">
        <v>234.15171739205491</v>
      </c>
      <c r="Y1310" s="411">
        <f t="shared" si="226"/>
        <v>229.99155729579053</v>
      </c>
      <c r="Z1310" s="411">
        <v>229.57081977791384</v>
      </c>
      <c r="AA1310" s="411">
        <v>241.05999502525506</v>
      </c>
      <c r="AB1310" s="441">
        <f t="shared" si="227"/>
        <v>234.43347755005118</v>
      </c>
      <c r="AC1310" s="438">
        <f t="shared" si="228"/>
        <v>241.33383129517696</v>
      </c>
      <c r="AD1310" s="410"/>
      <c r="AE1310" s="411"/>
      <c r="AF1310" s="411"/>
      <c r="AG1310" s="411"/>
    </row>
    <row r="1311" spans="1:33" s="409" customFormat="1" x14ac:dyDescent="0.2">
      <c r="A1311" s="409" t="s">
        <v>584</v>
      </c>
      <c r="B1311" s="23" t="str">
        <f>VLOOKUP(LEFT(A1311,7),'[7]Tariff Schedule Lookup Table'!$A$8:$G$186,2,FALSE)</f>
        <v>High Pressure Sodium 400</v>
      </c>
      <c r="C1311" s="375">
        <f t="shared" ref="C1311:C1374" si="230">1*MID(A1311,12,4)</f>
        <v>1170</v>
      </c>
      <c r="D1311" s="23">
        <f t="shared" ref="D1311:D1374" si="231">1*(MID(A1311,17,3))</f>
        <v>1</v>
      </c>
      <c r="E1311" s="23" t="str">
        <f>VLOOKUP(C1311,'[7]Tariff Schedule Lookup Table'!I$7:L$287,2,FALSE)</f>
        <v>METAL HALIDE/HPS 400W FLOOD (310/360)</v>
      </c>
      <c r="F1311" s="23" t="str">
        <f>IF(E1311 = "BULKHEADS ETC", "SHARED OR NO POLE", VLOOKUP(C1311,'[7]Tariff Schedule Lookup Table'!I$7:L$287,3,FALSE))</f>
        <v>STEEL POLE</v>
      </c>
      <c r="G1311" s="23">
        <f>IF(E1311 = "NO CAPITAL", 1, VLOOKUP(C1311,'[7]Tariff Schedule Lookup Table'!I$7:L$287,4,FALSE))</f>
        <v>1</v>
      </c>
      <c r="H1311" s="23" t="str">
        <f t="shared" si="229"/>
        <v>1-Unmetered, CE Funded, CE Maintained</v>
      </c>
      <c r="I1311" s="374">
        <f>VLOOKUP(F1311,'Maintenance Model'!$A$57:$B$61,2,FALSE)</f>
        <v>9.9616182311111103</v>
      </c>
      <c r="J1311" s="374">
        <f>IF(D1311=1,VLOOKUP(C1311,'Capital Code Schedules'!A$15:F$300,2,FALSE),IF(D1311=2,VLOOKUP(C1311,'Capital Code Schedules'!A$15:F$300,3,FALSE),0))</f>
        <v>99.810790399594723</v>
      </c>
      <c r="K1311" s="374">
        <f>IF(D1311=1,VLOOKUP(C1311,'Capital Code Schedules'!E$15:G$300,2,FALSE),IF(D1311=2,VLOOKUP(C1311,'Capital Code Schedules'!E$15:G$300,3,FALSE),0))</f>
        <v>126.60707084899062</v>
      </c>
      <c r="L1311" s="374">
        <f>VLOOKUP(LEFT(A1311,10),'Streetlight Tariff Schedule'!B$11:H$260,7, FALSE)+I1311</f>
        <v>80.378834365485943</v>
      </c>
      <c r="M1311" s="410">
        <f t="shared" si="222"/>
        <v>206.98590521447656</v>
      </c>
      <c r="N1311" s="411">
        <f t="shared" si="223"/>
        <v>186.0092171336361</v>
      </c>
      <c r="O1311" s="411">
        <v>184.8760336069038</v>
      </c>
      <c r="P1311" s="411">
        <v>179.13232745119507</v>
      </c>
      <c r="Q1311" s="411">
        <v>184.76058234969207</v>
      </c>
      <c r="R1311" s="411">
        <v>190.64644523275462</v>
      </c>
      <c r="S1311" s="411">
        <f t="shared" si="224"/>
        <v>192.63823297263909</v>
      </c>
      <c r="T1311" s="411">
        <v>190.17898951839152</v>
      </c>
      <c r="U1311" s="411">
        <v>196.92821496572859</v>
      </c>
      <c r="V1311" s="411">
        <f t="shared" si="225"/>
        <v>199.5665258798314</v>
      </c>
      <c r="W1311" s="411">
        <v>195.51442876928758</v>
      </c>
      <c r="X1311" s="411">
        <v>204.2405173798501</v>
      </c>
      <c r="Y1311" s="411">
        <f t="shared" si="226"/>
        <v>207.41070757801432</v>
      </c>
      <c r="Z1311" s="411">
        <v>200.58459228151753</v>
      </c>
      <c r="AA1311" s="411">
        <v>210.29632581270241</v>
      </c>
      <c r="AB1311" s="441">
        <f t="shared" si="227"/>
        <v>211.45520487724212</v>
      </c>
      <c r="AC1311" s="438">
        <f t="shared" si="228"/>
        <v>217.68689088758913</v>
      </c>
      <c r="AD1311" s="410"/>
      <c r="AE1311" s="411"/>
      <c r="AF1311" s="411"/>
      <c r="AG1311" s="411"/>
    </row>
    <row r="1312" spans="1:33" s="409" customFormat="1" x14ac:dyDescent="0.2">
      <c r="A1312" s="409" t="s">
        <v>585</v>
      </c>
      <c r="B1312" s="23" t="str">
        <f>VLOOKUP(LEFT(A1312,7),'[7]Tariff Schedule Lookup Table'!$A$8:$G$186,2,FALSE)</f>
        <v>High Pressure Sodium 400</v>
      </c>
      <c r="C1312" s="375">
        <f t="shared" si="230"/>
        <v>1170</v>
      </c>
      <c r="D1312" s="23">
        <f t="shared" si="231"/>
        <v>2</v>
      </c>
      <c r="E1312" s="23" t="str">
        <f>VLOOKUP(C1312,'[7]Tariff Schedule Lookup Table'!I$7:L$287,2,FALSE)</f>
        <v>METAL HALIDE/HPS 400W FLOOD (310/360)</v>
      </c>
      <c r="F1312" s="23" t="str">
        <f>IF(E1312 = "BULKHEADS ETC", "SHARED OR NO POLE", VLOOKUP(C1312,'[7]Tariff Schedule Lookup Table'!I$7:L$287,3,FALSE))</f>
        <v>STEEL POLE</v>
      </c>
      <c r="G1312" s="23">
        <f>IF(E1312 = "NO CAPITAL", 1, VLOOKUP(C1312,'[7]Tariff Schedule Lookup Table'!I$7:L$287,4,FALSE))</f>
        <v>1</v>
      </c>
      <c r="H1312" s="23" t="str">
        <f t="shared" si="229"/>
        <v>2-Unmetered, Funded by Others, CE Maintained</v>
      </c>
      <c r="I1312" s="374">
        <f>VLOOKUP(F1312,'Maintenance Model'!$A$57:$B$61,2,FALSE)</f>
        <v>9.9616182311111103</v>
      </c>
      <c r="J1312" s="374">
        <f>IF(D1312=1,VLOOKUP(C1312,'Capital Code Schedules'!A$15:F$300,2,FALSE),IF(D1312=2,VLOOKUP(C1312,'Capital Code Schedules'!A$15:F$300,3,FALSE),0))</f>
        <v>0</v>
      </c>
      <c r="K1312" s="374">
        <f>IF(D1312=1,VLOOKUP(C1312,'Capital Code Schedules'!E$15:G$300,2,FALSE),IF(D1312=2,VLOOKUP(C1312,'Capital Code Schedules'!E$15:G$300,3,FALSE),0))</f>
        <v>0</v>
      </c>
      <c r="L1312" s="374">
        <f>VLOOKUP(LEFT(A1312,10),'Streetlight Tariff Schedule'!B$11:H$260,7, FALSE)+I1312</f>
        <v>80.378834365485943</v>
      </c>
      <c r="M1312" s="410">
        <f t="shared" si="222"/>
        <v>80.378834365485943</v>
      </c>
      <c r="N1312" s="411">
        <f t="shared" si="223"/>
        <v>83.72810967165141</v>
      </c>
      <c r="O1312" s="411">
        <v>49.391731598691941</v>
      </c>
      <c r="P1312" s="411">
        <v>49.391731598691941</v>
      </c>
      <c r="Q1312" s="411">
        <v>51.808906749839515</v>
      </c>
      <c r="R1312" s="411">
        <v>51.808906749839515</v>
      </c>
      <c r="S1312" s="411">
        <f t="shared" si="224"/>
        <v>87.825668100970248</v>
      </c>
      <c r="T1312" s="411">
        <v>53.936759947442589</v>
      </c>
      <c r="U1312" s="411">
        <v>54.13380663605038</v>
      </c>
      <c r="V1312" s="411">
        <f t="shared" si="225"/>
        <v>91.76680290932002</v>
      </c>
      <c r="W1312" s="411">
        <v>55.900204016457636</v>
      </c>
      <c r="X1312" s="411">
        <v>56.605378607795835</v>
      </c>
      <c r="Y1312" s="411">
        <f t="shared" si="226"/>
        <v>95.956573998802611</v>
      </c>
      <c r="Z1312" s="411">
        <v>57.514915466055065</v>
      </c>
      <c r="AA1312" s="411">
        <v>58.453585585644561</v>
      </c>
      <c r="AB1312" s="441">
        <f t="shared" si="227"/>
        <v>98.039478547036268</v>
      </c>
      <c r="AC1312" s="438">
        <f t="shared" si="228"/>
        <v>100.9707669211743</v>
      </c>
      <c r="AD1312" s="410"/>
      <c r="AE1312" s="411"/>
      <c r="AF1312" s="411"/>
      <c r="AG1312" s="411"/>
    </row>
    <row r="1313" spans="1:33" s="409" customFormat="1" x14ac:dyDescent="0.2">
      <c r="A1313" s="409" t="s">
        <v>586</v>
      </c>
      <c r="B1313" s="23" t="str">
        <f>VLOOKUP(LEFT(A1313,7),'[7]Tariff Schedule Lookup Table'!$A$8:$G$186,2,FALSE)</f>
        <v>High Pressure Sodium 400</v>
      </c>
      <c r="C1313" s="375">
        <f t="shared" si="230"/>
        <v>1250</v>
      </c>
      <c r="D1313" s="23">
        <f t="shared" si="231"/>
        <v>1</v>
      </c>
      <c r="E1313" s="23" t="str">
        <f>VLOOKUP(C1313,'[7]Tariff Schedule Lookup Table'!I$7:L$287,2,FALSE)</f>
        <v>METAL HALIDE/HPS 400W FLOOD (310/360)</v>
      </c>
      <c r="F1313" s="23" t="str">
        <f>IF(E1313 = "BULKHEADS ETC", "SHARED OR NO POLE", VLOOKUP(C1313,'[7]Tariff Schedule Lookup Table'!I$7:L$287,3,FALSE))</f>
        <v>WOOD POLE</v>
      </c>
      <c r="G1313" s="23">
        <f>IF(E1313 = "NO CAPITAL", 1, VLOOKUP(C1313,'[7]Tariff Schedule Lookup Table'!I$7:L$287,4,FALSE))</f>
        <v>3</v>
      </c>
      <c r="H1313" s="23" t="str">
        <f t="shared" si="229"/>
        <v>1-Unmetered, CE Funded, CE Maintained</v>
      </c>
      <c r="I1313" s="374">
        <f>VLOOKUP(F1313,'Maintenance Model'!$A$57:$B$61,2,FALSE)</f>
        <v>10.731618231111112</v>
      </c>
      <c r="J1313" s="374">
        <f>IF(D1313=1,VLOOKUP(C1313,'Capital Code Schedules'!A$15:F$300,2,FALSE),IF(D1313=2,VLOOKUP(C1313,'Capital Code Schedules'!A$15:F$300,3,FALSE),0))</f>
        <v>113.97129138962873</v>
      </c>
      <c r="K1313" s="374">
        <f>IF(D1313=1,VLOOKUP(C1313,'Capital Code Schedules'!E$15:G$300,2,FALSE),IF(D1313=2,VLOOKUP(C1313,'Capital Code Schedules'!E$15:G$300,3,FALSE),0))</f>
        <v>144.56925254222082</v>
      </c>
      <c r="L1313" s="374">
        <f>VLOOKUP(LEFT(A1313,10),'Streetlight Tariff Schedule'!B$11:H$260,7, FALSE)+I1313</f>
        <v>81.148834365485939</v>
      </c>
      <c r="M1313" s="410">
        <f t="shared" si="222"/>
        <v>225.71808690770678</v>
      </c>
      <c r="N1313" s="411">
        <f t="shared" si="223"/>
        <v>201.32227536249843</v>
      </c>
      <c r="O1313" s="411">
        <v>204.89974353346125</v>
      </c>
      <c r="P1313" s="411">
        <v>198.34115798065773</v>
      </c>
      <c r="Q1313" s="411">
        <v>204.46423295448514</v>
      </c>
      <c r="R1313" s="411">
        <v>211.18514349972054</v>
      </c>
      <c r="S1313" s="411">
        <f t="shared" si="224"/>
        <v>208.34969091239191</v>
      </c>
      <c r="T1313" s="411">
        <v>210.38403710818892</v>
      </c>
      <c r="U1313" s="411">
        <v>218.06604263957726</v>
      </c>
      <c r="V1313" s="411">
        <f t="shared" si="225"/>
        <v>215.73953687714143</v>
      </c>
      <c r="W1313" s="411">
        <v>216.22975780799896</v>
      </c>
      <c r="X1313" s="411">
        <v>226.10525265605324</v>
      </c>
      <c r="Y1313" s="411">
        <f t="shared" si="226"/>
        <v>224.14231889234412</v>
      </c>
      <c r="Z1313" s="411">
        <v>221.81637992724814</v>
      </c>
      <c r="AA1313" s="411">
        <v>232.78802151671792</v>
      </c>
      <c r="AB1313" s="441">
        <f t="shared" si="227"/>
        <v>228.48506758692733</v>
      </c>
      <c r="AC1313" s="438">
        <f t="shared" si="228"/>
        <v>235.21307306650849</v>
      </c>
      <c r="AD1313" s="410"/>
      <c r="AE1313" s="411"/>
      <c r="AF1313" s="411"/>
      <c r="AG1313" s="411"/>
    </row>
    <row r="1314" spans="1:33" s="409" customFormat="1" x14ac:dyDescent="0.2">
      <c r="A1314" s="409" t="s">
        <v>587</v>
      </c>
      <c r="B1314" s="23" t="str">
        <f>VLOOKUP(LEFT(A1314,7),'[7]Tariff Schedule Lookup Table'!$A$8:$G$186,2,FALSE)</f>
        <v>High Pressure Sodium 400</v>
      </c>
      <c r="C1314" s="375">
        <f t="shared" si="230"/>
        <v>70</v>
      </c>
      <c r="D1314" s="23">
        <f t="shared" si="231"/>
        <v>1</v>
      </c>
      <c r="E1314" s="23" t="str">
        <f>VLOOKUP(C1314,'[7]Tariff Schedule Lookup Table'!I$7:L$287,2,FALSE)</f>
        <v>HIGH PRESSURE SODIUM 400W (310/360)</v>
      </c>
      <c r="F1314" s="23" t="str">
        <f>IF(E1314 = "BULKHEADS ETC", "SHARED OR NO POLE", VLOOKUP(C1314,'[7]Tariff Schedule Lookup Table'!I$7:L$287,3,FALSE))</f>
        <v>SHARED OR NO POLE</v>
      </c>
      <c r="G1314" s="23">
        <f>IF(E1314 = "NO CAPITAL", 1, VLOOKUP(C1314,'[7]Tariff Schedule Lookup Table'!I$7:L$287,4,FALSE))</f>
        <v>1</v>
      </c>
      <c r="H1314" s="23" t="str">
        <f t="shared" si="229"/>
        <v>1-Unmetered, CE Funded, CE Maintained</v>
      </c>
      <c r="I1314" s="374">
        <f>VLOOKUP(F1314,'Maintenance Model'!$A$57:$B$61,2,FALSE)</f>
        <v>0</v>
      </c>
      <c r="J1314" s="374">
        <f>IF(D1314=1,VLOOKUP(C1314,'Capital Code Schedules'!A$15:F$300,2,FALSE),IF(D1314=2,VLOOKUP(C1314,'Capital Code Schedules'!A$15:F$300,3,FALSE),0))</f>
        <v>35.784047435083579</v>
      </c>
      <c r="K1314" s="374">
        <f>IF(D1314=1,VLOOKUP(C1314,'Capital Code Schedules'!E$15:G$300,2,FALSE),IF(D1314=2,VLOOKUP(C1314,'Capital Code Schedules'!E$15:G$300,3,FALSE),0))</f>
        <v>45.391018453408257</v>
      </c>
      <c r="L1314" s="374">
        <f>VLOOKUP(LEFT(A1314,10),'Streetlight Tariff Schedule'!B$11:H$260,7, FALSE)+I1314</f>
        <v>79.483554865488543</v>
      </c>
      <c r="M1314" s="410">
        <f t="shared" si="222"/>
        <v>124.87457331889681</v>
      </c>
      <c r="N1314" s="411">
        <f t="shared" si="223"/>
        <v>119.46522771723852</v>
      </c>
      <c r="O1314" s="411">
        <v>90.107497707765432</v>
      </c>
      <c r="P1314" s="411">
        <v>88.04827091769387</v>
      </c>
      <c r="Q1314" s="411">
        <v>91.232121590491275</v>
      </c>
      <c r="R1314" s="411">
        <v>93.342314243617096</v>
      </c>
      <c r="S1314" s="411">
        <f t="shared" si="224"/>
        <v>124.42472165860171</v>
      </c>
      <c r="T1314" s="411">
        <v>94.201172577244165</v>
      </c>
      <c r="U1314" s="411">
        <v>96.715949843848151</v>
      </c>
      <c r="V1314" s="411">
        <f t="shared" si="225"/>
        <v>129.39291154055317</v>
      </c>
      <c r="W1314" s="411">
        <v>97.06116907770263</v>
      </c>
      <c r="X1314" s="411">
        <v>100.52980360753807</v>
      </c>
      <c r="Y1314" s="411">
        <f t="shared" si="226"/>
        <v>134.8461909174793</v>
      </c>
      <c r="Z1314" s="411">
        <v>99.657834938607451</v>
      </c>
      <c r="AA1314" s="411">
        <v>103.59247707726676</v>
      </c>
      <c r="AB1314" s="441">
        <f t="shared" si="227"/>
        <v>137.60916348641368</v>
      </c>
      <c r="AC1314" s="438">
        <f t="shared" si="228"/>
        <v>141.69105712686294</v>
      </c>
      <c r="AD1314" s="410"/>
      <c r="AE1314" s="411"/>
      <c r="AF1314" s="411"/>
      <c r="AG1314" s="411"/>
    </row>
    <row r="1315" spans="1:33" s="409" customFormat="1" ht="22.5" x14ac:dyDescent="0.2">
      <c r="A1315" s="409" t="s">
        <v>588</v>
      </c>
      <c r="B1315" s="23" t="str">
        <f>VLOOKUP(LEFT(A1315,7),'[7]Tariff Schedule Lookup Table'!$A$8:$G$186,2,FALSE)</f>
        <v>High Pressure Sodium 2x400</v>
      </c>
      <c r="C1315" s="375">
        <f t="shared" si="230"/>
        <v>860</v>
      </c>
      <c r="D1315" s="23">
        <f t="shared" si="231"/>
        <v>1</v>
      </c>
      <c r="E1315" s="23" t="str">
        <f>VLOOKUP(C1315,'[7]Tariff Schedule Lookup Table'!I$7:L$287,2,FALSE)</f>
        <v>HIGH PRESSURE SODIUM 2X250 W OR 2X400 W FLOOD</v>
      </c>
      <c r="F1315" s="23" t="str">
        <f>IF(E1315 = "BULKHEADS ETC", "SHARED OR NO POLE", VLOOKUP(C1315,'[7]Tariff Schedule Lookup Table'!I$7:L$287,3,FALSE))</f>
        <v>R/BOUT COLUMN</v>
      </c>
      <c r="G1315" s="23">
        <f>IF(E1315 = "NO CAPITAL", 1, VLOOKUP(C1315,'[7]Tariff Schedule Lookup Table'!I$7:L$287,4,FALSE))</f>
        <v>3</v>
      </c>
      <c r="H1315" s="23" t="str">
        <f t="shared" si="229"/>
        <v>1-Unmetered, CE Funded, CE Maintained</v>
      </c>
      <c r="I1315" s="374">
        <f>VLOOKUP(F1315,'Maintenance Model'!$A$57:$B$61,2,FALSE)</f>
        <v>9.9616182311111103</v>
      </c>
      <c r="J1315" s="374">
        <f>IF(D1315=1,VLOOKUP(C1315,'Capital Code Schedules'!A$15:F$300,2,FALSE),IF(D1315=2,VLOOKUP(C1315,'Capital Code Schedules'!A$15:F$300,3,FALSE),0))</f>
        <v>200.25475215839111</v>
      </c>
      <c r="K1315" s="374">
        <f>IF(D1315=1,VLOOKUP(C1315,'Capital Code Schedules'!E$15:G$300,2,FALSE),IF(D1315=2,VLOOKUP(C1315,'Capital Code Schedules'!E$15:G$300,3,FALSE),0))</f>
        <v>254.01730106394828</v>
      </c>
      <c r="L1315" s="374">
        <f>VLOOKUP(LEFT(A1315,10),'Streetlight Tariff Schedule'!B$11:H$260,7, FALSE)+I1315</f>
        <v>102.52079714413594</v>
      </c>
      <c r="M1315" s="410">
        <f t="shared" si="222"/>
        <v>356.53809820808419</v>
      </c>
      <c r="N1315" s="411">
        <f t="shared" si="223"/>
        <v>312.0037548130453</v>
      </c>
      <c r="O1315" s="411">
        <v>339.70654033063647</v>
      </c>
      <c r="P1315" s="411">
        <v>328.18269157563503</v>
      </c>
      <c r="Q1315" s="411">
        <v>337.94711596965402</v>
      </c>
      <c r="R1315" s="411">
        <v>349.75617998134169</v>
      </c>
      <c r="S1315" s="411">
        <f t="shared" si="224"/>
        <v>322.30904159938763</v>
      </c>
      <c r="T1315" s="411">
        <v>347.47338129432376</v>
      </c>
      <c r="U1315" s="411">
        <v>360.89010286907978</v>
      </c>
      <c r="V1315" s="411">
        <f t="shared" si="225"/>
        <v>333.3291069539286</v>
      </c>
      <c r="W1315" s="411">
        <v>356.93710019374925</v>
      </c>
      <c r="X1315" s="411">
        <v>373.99892359106201</v>
      </c>
      <c r="Y1315" s="411">
        <f t="shared" si="226"/>
        <v>346.00503832276667</v>
      </c>
      <c r="Z1315" s="411">
        <v>366.08900323957522</v>
      </c>
      <c r="AA1315" s="411">
        <v>384.98078693852534</v>
      </c>
      <c r="AB1315" s="441">
        <f t="shared" si="227"/>
        <v>352.59735001393602</v>
      </c>
      <c r="AC1315" s="438">
        <f t="shared" si="228"/>
        <v>362.95785264830602</v>
      </c>
      <c r="AD1315" s="410"/>
      <c r="AE1315" s="411"/>
      <c r="AF1315" s="411"/>
      <c r="AG1315" s="411"/>
    </row>
    <row r="1316" spans="1:33" s="409" customFormat="1" ht="22.5" x14ac:dyDescent="0.2">
      <c r="A1316" s="409" t="s">
        <v>589</v>
      </c>
      <c r="B1316" s="23" t="str">
        <f>VLOOKUP(LEFT(A1316,7),'[7]Tariff Schedule Lookup Table'!$A$8:$G$186,2,FALSE)</f>
        <v>High Pressure Sodium 2x400</v>
      </c>
      <c r="C1316" s="375">
        <f t="shared" si="230"/>
        <v>870</v>
      </c>
      <c r="D1316" s="23">
        <f t="shared" si="231"/>
        <v>1</v>
      </c>
      <c r="E1316" s="23" t="str">
        <f>VLOOKUP(C1316,'[7]Tariff Schedule Lookup Table'!I$7:L$287,2,FALSE)</f>
        <v>HIGH PRESSURE SODIUM 2X250 W OR 2X400 W FLOOD</v>
      </c>
      <c r="F1316" s="23" t="str">
        <f>IF(E1316 = "BULKHEADS ETC", "SHARED OR NO POLE", VLOOKUP(C1316,'[7]Tariff Schedule Lookup Table'!I$7:L$287,3,FALSE))</f>
        <v>R/BOUT COLUMN</v>
      </c>
      <c r="G1316" s="23">
        <f>IF(E1316 = "NO CAPITAL", 1, VLOOKUP(C1316,'[7]Tariff Schedule Lookup Table'!I$7:L$287,4,FALSE))</f>
        <v>4</v>
      </c>
      <c r="H1316" s="23" t="str">
        <f t="shared" si="229"/>
        <v>1-Unmetered, CE Funded, CE Maintained</v>
      </c>
      <c r="I1316" s="374">
        <f>VLOOKUP(F1316,'Maintenance Model'!$A$57:$B$61,2,FALSE)</f>
        <v>9.9616182311111103</v>
      </c>
      <c r="J1316" s="374">
        <f>IF(D1316=1,VLOOKUP(C1316,'Capital Code Schedules'!A$15:F$300,2,FALSE),IF(D1316=2,VLOOKUP(C1316,'Capital Code Schedules'!A$15:F$300,3,FALSE),0))</f>
        <v>220.47663524022317</v>
      </c>
      <c r="K1316" s="374">
        <f>IF(D1316=1,VLOOKUP(C1316,'Capital Code Schedules'!E$15:G$300,2,FALSE),IF(D1316=2,VLOOKUP(C1316,'Capital Code Schedules'!E$15:G$300,3,FALSE),0))</f>
        <v>279.66816880872375</v>
      </c>
      <c r="L1316" s="374">
        <f>VLOOKUP(LEFT(A1316,10),'Streetlight Tariff Schedule'!B$11:H$260,7, FALSE)+I1316</f>
        <v>102.52079714413594</v>
      </c>
      <c r="M1316" s="410">
        <f t="shared" si="222"/>
        <v>382.18896595285969</v>
      </c>
      <c r="N1316" s="411">
        <f t="shared" si="223"/>
        <v>332.72612950115274</v>
      </c>
      <c r="O1316" s="411">
        <v>367.15595440365433</v>
      </c>
      <c r="P1316" s="411">
        <v>354.46841829709371</v>
      </c>
      <c r="Q1316" s="411">
        <v>364.88341442746872</v>
      </c>
      <c r="R1316" s="411">
        <v>377.88496705266681</v>
      </c>
      <c r="S1316" s="411">
        <f t="shared" si="224"/>
        <v>343.54429506102571</v>
      </c>
      <c r="T1316" s="411">
        <v>375.07635313896941</v>
      </c>
      <c r="U1316" s="411">
        <v>389.82056037193769</v>
      </c>
      <c r="V1316" s="411">
        <f t="shared" si="225"/>
        <v>355.16956513922332</v>
      </c>
      <c r="W1316" s="411">
        <v>385.22324559154987</v>
      </c>
      <c r="X1316" s="411">
        <v>403.91012360326675</v>
      </c>
      <c r="Y1316" s="411">
        <f t="shared" si="226"/>
        <v>368.5858880405429</v>
      </c>
      <c r="Z1316" s="411">
        <v>395.07523073597139</v>
      </c>
      <c r="AA1316" s="411">
        <v>415.74445615107794</v>
      </c>
      <c r="AB1316" s="441">
        <f t="shared" si="227"/>
        <v>375.57562268674513</v>
      </c>
      <c r="AC1316" s="438">
        <f t="shared" si="228"/>
        <v>386.60479305589388</v>
      </c>
      <c r="AD1316" s="410"/>
      <c r="AE1316" s="411"/>
      <c r="AF1316" s="411"/>
      <c r="AG1316" s="411"/>
    </row>
    <row r="1317" spans="1:33" s="409" customFormat="1" x14ac:dyDescent="0.2">
      <c r="A1317" s="409" t="s">
        <v>591</v>
      </c>
      <c r="B1317" s="23" t="str">
        <f>VLOOKUP(LEFT(A1317,7),'[7]Tariff Schedule Lookup Table'!$A$8:$G$186,2,FALSE)</f>
        <v>High Pressure Sodium 600 (Internal Ignitor)</v>
      </c>
      <c r="C1317" s="375">
        <f t="shared" si="230"/>
        <v>250</v>
      </c>
      <c r="D1317" s="23">
        <f t="shared" si="231"/>
        <v>1</v>
      </c>
      <c r="E1317" s="23" t="str">
        <f>VLOOKUP(C1317,'[7]Tariff Schedule Lookup Table'!I$7:L$287,2,FALSE)</f>
        <v>HIGH PRESSURE SODIUM 600W HIGH MAST</v>
      </c>
      <c r="F1317" s="23" t="str">
        <f>IF(E1317 = "BULKHEADS ETC", "SHARED OR NO POLE", VLOOKUP(C1317,'[7]Tariff Schedule Lookup Table'!I$7:L$287,3,FALSE))</f>
        <v>WOOD POLE</v>
      </c>
      <c r="G1317" s="23">
        <f>IF(E1317 = "NO CAPITAL", 1, VLOOKUP(C1317,'[7]Tariff Schedule Lookup Table'!I$7:L$287,4,FALSE))</f>
        <v>1</v>
      </c>
      <c r="H1317" s="23" t="str">
        <f t="shared" si="229"/>
        <v>1-Unmetered, CE Funded, CE Maintained</v>
      </c>
      <c r="I1317" s="374">
        <f>VLOOKUP(F1317,'Maintenance Model'!$A$57:$B$61,2,FALSE)</f>
        <v>10.731618231111112</v>
      </c>
      <c r="J1317" s="374">
        <f>IF(D1317=1,VLOOKUP(C1317,'Capital Code Schedules'!A$15:F$300,2,FALSE),IF(D1317=2,VLOOKUP(C1317,'Capital Code Schedules'!A$15:F$300,3,FALSE),0))</f>
        <v>171.86224006998557</v>
      </c>
      <c r="K1317" s="374">
        <f>IF(D1317=1,VLOOKUP(C1317,'Capital Code Schedules'!E$15:G$300,2,FALSE),IF(D1317=2,VLOOKUP(C1317,'Capital Code Schedules'!E$15:G$300,3,FALSE),0))</f>
        <v>218.00222919480308</v>
      </c>
      <c r="L1317" s="374">
        <f>VLOOKUP(LEFT(A1317,10),'Streetlight Tariff Schedule'!B$11:H$260,7, FALSE)+I1317</f>
        <v>124.42819229465258</v>
      </c>
      <c r="M1317" s="410">
        <f t="shared" si="222"/>
        <v>342.43042148945563</v>
      </c>
      <c r="N1317" s="411">
        <f t="shared" si="223"/>
        <v>305.72877417945358</v>
      </c>
      <c r="O1317" s="411">
        <v>329.69093464243593</v>
      </c>
      <c r="P1317" s="411">
        <v>319.80095979831452</v>
      </c>
      <c r="Q1317" s="411">
        <v>330.04791668848117</v>
      </c>
      <c r="R1317" s="411">
        <v>340.18266840999456</v>
      </c>
      <c r="S1317" s="411">
        <f t="shared" si="224"/>
        <v>316.43075098623348</v>
      </c>
      <c r="T1317" s="411">
        <v>339.86701778884952</v>
      </c>
      <c r="U1317" s="411">
        <v>351.53368303012974</v>
      </c>
      <c r="V1317" s="411">
        <f t="shared" si="225"/>
        <v>327.67524267744716</v>
      </c>
      <c r="W1317" s="411">
        <v>349.50545586319322</v>
      </c>
      <c r="X1317" s="411">
        <v>364.69287559971474</v>
      </c>
      <c r="Y1317" s="411">
        <f t="shared" si="226"/>
        <v>340.45355776017828</v>
      </c>
      <c r="Z1317" s="411">
        <v>358.60693759542238</v>
      </c>
      <c r="AA1317" s="411">
        <v>375.54520703441364</v>
      </c>
      <c r="AB1317" s="441">
        <f t="shared" si="227"/>
        <v>347.05556756260074</v>
      </c>
      <c r="AC1317" s="438">
        <f t="shared" si="228"/>
        <v>357.27615591175334</v>
      </c>
      <c r="AD1317" s="410"/>
      <c r="AE1317" s="411"/>
      <c r="AF1317" s="411"/>
      <c r="AG1317" s="411"/>
    </row>
    <row r="1318" spans="1:33" s="409" customFormat="1" x14ac:dyDescent="0.2">
      <c r="A1318" s="409" t="s">
        <v>592</v>
      </c>
      <c r="B1318" s="23" t="str">
        <f>VLOOKUP(LEFT(A1318,7),'[7]Tariff Schedule Lookup Table'!$A$8:$G$186,2,FALSE)</f>
        <v>High Pressure Sodium 1000</v>
      </c>
      <c r="C1318" s="375">
        <f t="shared" si="230"/>
        <v>120</v>
      </c>
      <c r="D1318" s="23">
        <f t="shared" si="231"/>
        <v>1</v>
      </c>
      <c r="E1318" s="23" t="str">
        <f>VLOOKUP(C1318,'[7]Tariff Schedule Lookup Table'!I$7:L$287,2,FALSE)</f>
        <v xml:space="preserve">METAL HALIDE 1000W FLOODLIGHT </v>
      </c>
      <c r="F1318" s="23" t="str">
        <f>IF(E1318 = "BULKHEADS ETC", "SHARED OR NO POLE", VLOOKUP(C1318,'[7]Tariff Schedule Lookup Table'!I$7:L$287,3,FALSE))</f>
        <v>SHARED OR NO POLE</v>
      </c>
      <c r="G1318" s="23">
        <f>IF(E1318 = "NO CAPITAL", 1, VLOOKUP(C1318,'[7]Tariff Schedule Lookup Table'!I$7:L$287,4,FALSE))</f>
        <v>1</v>
      </c>
      <c r="H1318" s="23" t="str">
        <f t="shared" si="229"/>
        <v>1-Unmetered, CE Funded, CE Maintained</v>
      </c>
      <c r="I1318" s="374">
        <f>VLOOKUP(F1318,'Maintenance Model'!$A$57:$B$61,2,FALSE)</f>
        <v>0</v>
      </c>
      <c r="J1318" s="374">
        <f>IF(D1318=1,VLOOKUP(C1318,'Capital Code Schedules'!A$15:F$300,2,FALSE),IF(D1318=2,VLOOKUP(C1318,'Capital Code Schedules'!A$15:F$300,3,FALSE),0))</f>
        <v>60.355285078550516</v>
      </c>
      <c r="K1318" s="374">
        <f>IF(D1318=1,VLOOKUP(C1318,'Capital Code Schedules'!E$15:G$300,2,FALSE),IF(D1318=2,VLOOKUP(C1318,'Capital Code Schedules'!E$15:G$300,3,FALSE),0))</f>
        <v>76.558915358334843</v>
      </c>
      <c r="L1318" s="374">
        <f>VLOOKUP(LEFT(A1318,10),'Streetlight Tariff Schedule'!B$11:H$260,7, FALSE)+I1318</f>
        <v>191.43332361993816</v>
      </c>
      <c r="M1318" s="410">
        <f t="shared" si="222"/>
        <v>267.99223897827301</v>
      </c>
      <c r="N1318" s="411">
        <f t="shared" si="223"/>
        <v>261.25916490002231</v>
      </c>
      <c r="O1318" s="411">
        <v>239.07053895080617</v>
      </c>
      <c r="P1318" s="411">
        <v>235.59733709510147</v>
      </c>
      <c r="Q1318" s="411">
        <v>245.22949581271843</v>
      </c>
      <c r="R1318" s="411">
        <v>248.78865941435183</v>
      </c>
      <c r="S1318" s="411">
        <f t="shared" si="224"/>
        <v>272.54883235396971</v>
      </c>
      <c r="T1318" s="411">
        <v>253.98921233241177</v>
      </c>
      <c r="U1318" s="411">
        <v>258.57821431999133</v>
      </c>
      <c r="V1318" s="411">
        <f t="shared" si="225"/>
        <v>283.74151613313808</v>
      </c>
      <c r="W1318" s="411">
        <v>262.27509583431129</v>
      </c>
      <c r="X1318" s="411">
        <v>269.36888558044075</v>
      </c>
      <c r="Y1318" s="411">
        <f t="shared" si="226"/>
        <v>295.9298472309967</v>
      </c>
      <c r="Z1318" s="411">
        <v>269.50192584133566</v>
      </c>
      <c r="AA1318" s="411">
        <v>277.79342202657392</v>
      </c>
      <c r="AB1318" s="441">
        <f t="shared" si="227"/>
        <v>302.07674206303176</v>
      </c>
      <c r="AC1318" s="438">
        <f t="shared" si="228"/>
        <v>311.05375173883715</v>
      </c>
      <c r="AD1318" s="410"/>
      <c r="AE1318" s="411"/>
      <c r="AF1318" s="411"/>
      <c r="AG1318" s="411"/>
    </row>
    <row r="1319" spans="1:33" s="409" customFormat="1" x14ac:dyDescent="0.2">
      <c r="A1319" s="409" t="s">
        <v>593</v>
      </c>
      <c r="B1319" s="23" t="str">
        <f>VLOOKUP(LEFT(A1319,7),'[7]Tariff Schedule Lookup Table'!$A$8:$G$186,2,FALSE)</f>
        <v>High Pressure Sodium 1000</v>
      </c>
      <c r="C1319" s="375">
        <f t="shared" si="230"/>
        <v>120</v>
      </c>
      <c r="D1319" s="23">
        <f t="shared" si="231"/>
        <v>2</v>
      </c>
      <c r="E1319" s="23" t="str">
        <f>VLOOKUP(C1319,'[7]Tariff Schedule Lookup Table'!I$7:L$287,2,FALSE)</f>
        <v xml:space="preserve">METAL HALIDE 1000W FLOODLIGHT </v>
      </c>
      <c r="F1319" s="23" t="str">
        <f>IF(E1319 = "BULKHEADS ETC", "SHARED OR NO POLE", VLOOKUP(C1319,'[7]Tariff Schedule Lookup Table'!I$7:L$287,3,FALSE))</f>
        <v>SHARED OR NO POLE</v>
      </c>
      <c r="G1319" s="23">
        <f>IF(E1319 = "NO CAPITAL", 1, VLOOKUP(C1319,'[7]Tariff Schedule Lookup Table'!I$7:L$287,4,FALSE))</f>
        <v>1</v>
      </c>
      <c r="H1319" s="23" t="str">
        <f t="shared" si="229"/>
        <v>2-Unmetered, Funded by Others, CE Maintained</v>
      </c>
      <c r="I1319" s="374">
        <f>VLOOKUP(F1319,'Maintenance Model'!$A$57:$B$61,2,FALSE)</f>
        <v>0</v>
      </c>
      <c r="J1319" s="374">
        <f>IF(D1319=1,VLOOKUP(C1319,'Capital Code Schedules'!A$15:F$300,2,FALSE),IF(D1319=2,VLOOKUP(C1319,'Capital Code Schedules'!A$15:F$300,3,FALSE),0))</f>
        <v>0</v>
      </c>
      <c r="K1319" s="374">
        <f>IF(D1319=1,VLOOKUP(C1319,'Capital Code Schedules'!E$15:G$300,2,FALSE),IF(D1319=2,VLOOKUP(C1319,'Capital Code Schedules'!E$15:G$300,3,FALSE),0))</f>
        <v>0</v>
      </c>
      <c r="L1319" s="374">
        <f>VLOOKUP(LEFT(A1319,10),'Streetlight Tariff Schedule'!B$11:H$260,7, FALSE)+I1319</f>
        <v>191.43332361993816</v>
      </c>
      <c r="M1319" s="410">
        <f t="shared" si="222"/>
        <v>191.43332361993816</v>
      </c>
      <c r="N1319" s="411">
        <f t="shared" si="223"/>
        <v>199.41008651577769</v>
      </c>
      <c r="O1319" s="411">
        <v>157.14358858164783</v>
      </c>
      <c r="P1319" s="411">
        <v>157.14358858164783</v>
      </c>
      <c r="Q1319" s="411">
        <v>164.83401702355681</v>
      </c>
      <c r="R1319" s="411">
        <v>164.83401702355681</v>
      </c>
      <c r="S1319" s="411">
        <f t="shared" si="224"/>
        <v>209.16898927971499</v>
      </c>
      <c r="T1319" s="411">
        <v>171.60394544321841</v>
      </c>
      <c r="U1319" s="411">
        <v>172.23086462105871</v>
      </c>
      <c r="V1319" s="411">
        <f t="shared" si="225"/>
        <v>218.55534753126719</v>
      </c>
      <c r="W1319" s="411">
        <v>177.85079358961039</v>
      </c>
      <c r="X1319" s="411">
        <v>180.09436072671426</v>
      </c>
      <c r="Y1319" s="411">
        <f t="shared" si="226"/>
        <v>228.53386751352238</v>
      </c>
      <c r="Z1319" s="411">
        <v>182.98812211607844</v>
      </c>
      <c r="AA1319" s="411">
        <v>185.97457321451623</v>
      </c>
      <c r="AB1319" s="441">
        <f t="shared" si="227"/>
        <v>233.49459310252979</v>
      </c>
      <c r="AC1319" s="438">
        <f t="shared" si="228"/>
        <v>240.47586224358463</v>
      </c>
      <c r="AD1319" s="410"/>
      <c r="AE1319" s="411"/>
      <c r="AF1319" s="411"/>
      <c r="AG1319" s="411"/>
    </row>
    <row r="1320" spans="1:33" s="409" customFormat="1" x14ac:dyDescent="0.2">
      <c r="A1320" s="409" t="s">
        <v>758</v>
      </c>
      <c r="B1320" s="23" t="str">
        <f>VLOOKUP(LEFT(A1320,7),'[7]Tariff Schedule Lookup Table'!$A$8:$G$186,2,FALSE)</f>
        <v>High Pressure Sodium 1000</v>
      </c>
      <c r="C1320" s="375">
        <f t="shared" si="230"/>
        <v>840</v>
      </c>
      <c r="D1320" s="23">
        <f t="shared" si="231"/>
        <v>1</v>
      </c>
      <c r="E1320" s="23" t="str">
        <f>VLOOKUP(C1320,'[7]Tariff Schedule Lookup Table'!I$7:L$287,2,FALSE)</f>
        <v xml:space="preserve">METAL HALIDE 1000W FLOODLIGHT </v>
      </c>
      <c r="F1320" s="23" t="str">
        <f>IF(E1320 = "BULKHEADS ETC", "SHARED OR NO POLE", VLOOKUP(C1320,'[7]Tariff Schedule Lookup Table'!I$7:L$287,3,FALSE))</f>
        <v>R/BOUT COLUMN</v>
      </c>
      <c r="G1320" s="23">
        <f>IF(E1320 = "NO CAPITAL", 1, VLOOKUP(C1320,'[7]Tariff Schedule Lookup Table'!I$7:L$287,4,FALSE))</f>
        <v>3</v>
      </c>
      <c r="H1320" s="23" t="str">
        <f t="shared" si="229"/>
        <v>1-Unmetered, CE Funded, CE Maintained</v>
      </c>
      <c r="I1320" s="374">
        <f>VLOOKUP(F1320,'Maintenance Model'!$A$57:$B$61,2,FALSE)</f>
        <v>9.9616182311111103</v>
      </c>
      <c r="J1320" s="374">
        <f>IF(D1320=1,VLOOKUP(C1320,'Capital Code Schedules'!A$15:F$300,2,FALSE),IF(D1320=2,VLOOKUP(C1320,'Capital Code Schedules'!A$15:F$300,3,FALSE),0))</f>
        <v>200.25475215839111</v>
      </c>
      <c r="K1320" s="374">
        <f>IF(D1320=1,VLOOKUP(C1320,'Capital Code Schedules'!E$15:G$300,2,FALSE),IF(D1320=2,VLOOKUP(C1320,'Capital Code Schedules'!E$15:G$300,3,FALSE),0))</f>
        <v>254.01730106394828</v>
      </c>
      <c r="L1320" s="374">
        <f>VLOOKUP(LEFT(A1320,10),'Streetlight Tariff Schedule'!B$11:H$260,7, FALSE)+I1320</f>
        <v>201.39494185104928</v>
      </c>
      <c r="M1320" s="410">
        <f t="shared" si="222"/>
        <v>455.41224291499759</v>
      </c>
      <c r="N1320" s="411">
        <f t="shared" si="223"/>
        <v>414.99784893076139</v>
      </c>
      <c r="O1320" s="411">
        <v>438.56578183802941</v>
      </c>
      <c r="P1320" s="411">
        <v>427.04193308302803</v>
      </c>
      <c r="Q1320" s="411">
        <v>441.6444162836205</v>
      </c>
      <c r="R1320" s="411">
        <v>453.45348029530817</v>
      </c>
      <c r="S1320" s="411">
        <f t="shared" si="224"/>
        <v>430.34354950617791</v>
      </c>
      <c r="T1320" s="411">
        <v>455.42965262115695</v>
      </c>
      <c r="U1320" s="411">
        <v>469.24076988820389</v>
      </c>
      <c r="V1320" s="411">
        <f t="shared" si="225"/>
        <v>446.21161168010974</v>
      </c>
      <c r="W1320" s="411">
        <v>468.82327203474375</v>
      </c>
      <c r="X1320" s="411">
        <v>487.29652651522645</v>
      </c>
      <c r="Y1320" s="411">
        <f t="shared" si="226"/>
        <v>464.04138779253657</v>
      </c>
      <c r="Z1320" s="411">
        <v>481.20707531961159</v>
      </c>
      <c r="AA1320" s="411">
        <v>501.9776393942376</v>
      </c>
      <c r="AB1320" s="441">
        <f t="shared" si="227"/>
        <v>473.19588401074571</v>
      </c>
      <c r="AC1320" s="438">
        <f t="shared" si="228"/>
        <v>487.16216959992136</v>
      </c>
      <c r="AD1320" s="410"/>
      <c r="AE1320" s="411"/>
      <c r="AF1320" s="411"/>
      <c r="AG1320" s="411"/>
    </row>
    <row r="1321" spans="1:33" s="409" customFormat="1" x14ac:dyDescent="0.2">
      <c r="A1321" s="409" t="s">
        <v>594</v>
      </c>
      <c r="B1321" s="23" t="str">
        <f>VLOOKUP(LEFT(A1321,7),'[7]Tariff Schedule Lookup Table'!$A$8:$G$186,2,FALSE)</f>
        <v>High Pressure Sodium 1000</v>
      </c>
      <c r="C1321" s="375">
        <f t="shared" si="230"/>
        <v>850</v>
      </c>
      <c r="D1321" s="23">
        <f t="shared" si="231"/>
        <v>1</v>
      </c>
      <c r="E1321" s="23" t="str">
        <f>VLOOKUP(C1321,'[7]Tariff Schedule Lookup Table'!I$7:L$287,2,FALSE)</f>
        <v xml:space="preserve">METAL HALIDE 1000W FLOODLIGHT </v>
      </c>
      <c r="F1321" s="23" t="str">
        <f>IF(E1321 = "BULKHEADS ETC", "SHARED OR NO POLE", VLOOKUP(C1321,'[7]Tariff Schedule Lookup Table'!I$7:L$287,3,FALSE))</f>
        <v>R/BOUT COLUMN</v>
      </c>
      <c r="G1321" s="23">
        <f>IF(E1321 = "NO CAPITAL", 1, VLOOKUP(C1321,'[7]Tariff Schedule Lookup Table'!I$7:L$287,4,FALSE))</f>
        <v>2</v>
      </c>
      <c r="H1321" s="23" t="str">
        <f t="shared" si="229"/>
        <v>1-Unmetered, CE Funded, CE Maintained</v>
      </c>
      <c r="I1321" s="374">
        <f>VLOOKUP(F1321,'Maintenance Model'!$A$57:$B$61,2,FALSE)</f>
        <v>9.9616182311111103</v>
      </c>
      <c r="J1321" s="374">
        <f>IF(D1321=1,VLOOKUP(C1321,'Capital Code Schedules'!A$15:F$300,2,FALSE),IF(D1321=2,VLOOKUP(C1321,'Capital Code Schedules'!A$15:F$300,3,FALSE),0))</f>
        <v>180.03286907655911</v>
      </c>
      <c r="K1321" s="374">
        <f>IF(D1321=1,VLOOKUP(C1321,'Capital Code Schedules'!E$15:G$300,2,FALSE),IF(D1321=2,VLOOKUP(C1321,'Capital Code Schedules'!E$15:G$300,3,FALSE),0))</f>
        <v>228.36643331917276</v>
      </c>
      <c r="L1321" s="374">
        <f>VLOOKUP(LEFT(A1321,10),'Streetlight Tariff Schedule'!B$11:H$260,7, FALSE)+I1321</f>
        <v>201.39494185104928</v>
      </c>
      <c r="M1321" s="410">
        <f t="shared" si="222"/>
        <v>429.76137517022204</v>
      </c>
      <c r="N1321" s="411">
        <f t="shared" si="223"/>
        <v>394.27547424265407</v>
      </c>
      <c r="O1321" s="411">
        <v>411.11636776501138</v>
      </c>
      <c r="P1321" s="411">
        <v>400.75620636156924</v>
      </c>
      <c r="Q1321" s="411">
        <v>414.70811782580563</v>
      </c>
      <c r="R1321" s="411">
        <v>425.32469322398299</v>
      </c>
      <c r="S1321" s="411">
        <f t="shared" si="224"/>
        <v>409.10829604453994</v>
      </c>
      <c r="T1321" s="411">
        <v>427.82668077651118</v>
      </c>
      <c r="U1321" s="411">
        <v>440.31031238534587</v>
      </c>
      <c r="V1321" s="411">
        <f t="shared" si="225"/>
        <v>424.37115349481502</v>
      </c>
      <c r="W1321" s="411">
        <v>440.53712663694301</v>
      </c>
      <c r="X1321" s="411">
        <v>457.38532650302159</v>
      </c>
      <c r="Y1321" s="411">
        <f t="shared" si="226"/>
        <v>441.46053807476039</v>
      </c>
      <c r="Z1321" s="411">
        <v>452.22084782321531</v>
      </c>
      <c r="AA1321" s="411">
        <v>471.21397018168489</v>
      </c>
      <c r="AB1321" s="441">
        <f t="shared" si="227"/>
        <v>450.21761133793666</v>
      </c>
      <c r="AC1321" s="438">
        <f t="shared" si="228"/>
        <v>463.51522919233361</v>
      </c>
      <c r="AD1321" s="410"/>
      <c r="AE1321" s="411"/>
      <c r="AF1321" s="411"/>
      <c r="AG1321" s="411"/>
    </row>
    <row r="1322" spans="1:33" s="409" customFormat="1" x14ac:dyDescent="0.2">
      <c r="A1322" s="409" t="s">
        <v>595</v>
      </c>
      <c r="B1322" s="23" t="str">
        <f>VLOOKUP(LEFT(A1322,7),'[7]Tariff Schedule Lookup Table'!$A$8:$G$186,2,FALSE)</f>
        <v>High Pressure Sodium 1000</v>
      </c>
      <c r="C1322" s="375">
        <f t="shared" si="230"/>
        <v>1050</v>
      </c>
      <c r="D1322" s="23">
        <f t="shared" si="231"/>
        <v>1</v>
      </c>
      <c r="E1322" s="23" t="str">
        <f>VLOOKUP(C1322,'[7]Tariff Schedule Lookup Table'!I$7:L$287,2,FALSE)</f>
        <v xml:space="preserve">METAL HALIDE 1000W FLOODLIGHT </v>
      </c>
      <c r="F1322" s="23" t="str">
        <f>IF(E1322 = "BULKHEADS ETC", "SHARED OR NO POLE", VLOOKUP(C1322,'[7]Tariff Schedule Lookup Table'!I$7:L$287,3,FALSE))</f>
        <v>R/BOUT COLUMN</v>
      </c>
      <c r="G1322" s="23">
        <f>IF(E1322 = "NO CAPITAL", 1, VLOOKUP(C1322,'[7]Tariff Schedule Lookup Table'!I$7:L$287,4,FALSE))</f>
        <v>4</v>
      </c>
      <c r="H1322" s="23" t="str">
        <f t="shared" si="229"/>
        <v>1-Unmetered, CE Funded, CE Maintained</v>
      </c>
      <c r="I1322" s="374">
        <f>VLOOKUP(F1322,'Maintenance Model'!$A$57:$B$61,2,FALSE)</f>
        <v>9.9616182311111103</v>
      </c>
      <c r="J1322" s="374">
        <f>IF(D1322=1,VLOOKUP(C1322,'Capital Code Schedules'!A$15:F$300,2,FALSE),IF(D1322=2,VLOOKUP(C1322,'Capital Code Schedules'!A$15:F$300,3,FALSE),0))</f>
        <v>220.47663524022317</v>
      </c>
      <c r="K1322" s="374">
        <f>IF(D1322=1,VLOOKUP(C1322,'Capital Code Schedules'!E$15:G$300,2,FALSE),IF(D1322=2,VLOOKUP(C1322,'Capital Code Schedules'!E$15:G$300,3,FALSE),0))</f>
        <v>279.66816880872375</v>
      </c>
      <c r="L1322" s="374">
        <f>VLOOKUP(LEFT(A1322,10),'Streetlight Tariff Schedule'!B$11:H$260,7, FALSE)+I1322</f>
        <v>201.39494185104928</v>
      </c>
      <c r="M1322" s="410">
        <f t="shared" si="222"/>
        <v>481.06311065977303</v>
      </c>
      <c r="N1322" s="411">
        <f t="shared" si="223"/>
        <v>435.72022361886877</v>
      </c>
      <c r="O1322" s="411">
        <v>466.01519591104733</v>
      </c>
      <c r="P1322" s="411">
        <v>453.32765980448664</v>
      </c>
      <c r="Q1322" s="411">
        <v>468.58071474143526</v>
      </c>
      <c r="R1322" s="411">
        <v>481.58226736663329</v>
      </c>
      <c r="S1322" s="411">
        <f t="shared" si="224"/>
        <v>451.57880296781599</v>
      </c>
      <c r="T1322" s="411">
        <v>483.0326244658026</v>
      </c>
      <c r="U1322" s="411">
        <v>498.17122739106173</v>
      </c>
      <c r="V1322" s="411">
        <f t="shared" si="225"/>
        <v>468.05206986540446</v>
      </c>
      <c r="W1322" s="411">
        <v>497.10941743254438</v>
      </c>
      <c r="X1322" s="411">
        <v>517.20772652743119</v>
      </c>
      <c r="Y1322" s="411">
        <f t="shared" si="226"/>
        <v>486.6222375103128</v>
      </c>
      <c r="Z1322" s="411">
        <v>510.19330281600782</v>
      </c>
      <c r="AA1322" s="411">
        <v>532.7413086067902</v>
      </c>
      <c r="AB1322" s="441">
        <f t="shared" si="227"/>
        <v>496.17415668355483</v>
      </c>
      <c r="AC1322" s="438">
        <f t="shared" si="228"/>
        <v>510.80911000750922</v>
      </c>
      <c r="AD1322" s="410"/>
      <c r="AE1322" s="411"/>
      <c r="AF1322" s="411"/>
      <c r="AG1322" s="411"/>
    </row>
    <row r="1323" spans="1:33" s="409" customFormat="1" x14ac:dyDescent="0.2">
      <c r="A1323" s="409" t="s">
        <v>597</v>
      </c>
      <c r="B1323" s="23" t="str">
        <f>VLOOKUP(LEFT(A1323,7),'[7]Tariff Schedule Lookup Table'!$A$8:$G$186,2,FALSE)</f>
        <v>Incandescent 30</v>
      </c>
      <c r="C1323" s="375">
        <f t="shared" si="230"/>
        <v>10</v>
      </c>
      <c r="D1323" s="23">
        <f t="shared" si="231"/>
        <v>2</v>
      </c>
      <c r="E1323" s="23" t="str">
        <f>VLOOKUP(C1323,'[7]Tariff Schedule Lookup Table'!I$7:L$287,2,FALSE)</f>
        <v>MERCURY VAPOUR 80W</v>
      </c>
      <c r="F1323" s="23" t="str">
        <f>IF(E1323 = "BULKHEADS ETC", "SHARED OR NO POLE", VLOOKUP(C1323,'[7]Tariff Schedule Lookup Table'!I$7:L$287,3,FALSE))</f>
        <v>SHARED OR NO POLE</v>
      </c>
      <c r="G1323" s="23">
        <f>IF(E1323 = "NO CAPITAL", 1, VLOOKUP(C1323,'[7]Tariff Schedule Lookup Table'!I$7:L$287,4,FALSE))</f>
        <v>1</v>
      </c>
      <c r="H1323" s="23" t="str">
        <f t="shared" si="229"/>
        <v>2-Unmetered, Funded by Others, CE Maintained</v>
      </c>
      <c r="I1323" s="374">
        <f>VLOOKUP(F1323,'Maintenance Model'!$A$57:$B$61,2,FALSE)</f>
        <v>0</v>
      </c>
      <c r="J1323" s="374">
        <f>IF(D1323=1,VLOOKUP(C1323,'Capital Code Schedules'!A$15:F$300,2,FALSE),IF(D1323=2,VLOOKUP(C1323,'Capital Code Schedules'!A$15:F$300,3,FALSE),0))</f>
        <v>0</v>
      </c>
      <c r="K1323" s="374">
        <f>IF(D1323=1,VLOOKUP(C1323,'Capital Code Schedules'!E$15:G$300,2,FALSE),IF(D1323=2,VLOOKUP(C1323,'Capital Code Schedules'!E$15:G$300,3,FALSE),0))</f>
        <v>0</v>
      </c>
      <c r="L1323" s="374">
        <f>VLOOKUP(LEFT(A1323,10),'Streetlight Tariff Schedule'!B$11:H$260,7, FALSE)+I1323</f>
        <v>18.153005213350784</v>
      </c>
      <c r="M1323" s="410">
        <f t="shared" si="222"/>
        <v>18.153005213350784</v>
      </c>
      <c r="N1323" s="411">
        <f t="shared" si="223"/>
        <v>18.909415934826431</v>
      </c>
      <c r="O1323" s="411">
        <v>63.288490110653221</v>
      </c>
      <c r="P1323" s="411">
        <v>63.288490110653221</v>
      </c>
      <c r="Q1323" s="411">
        <v>66.385756812944152</v>
      </c>
      <c r="R1323" s="411">
        <v>66.385756812944152</v>
      </c>
      <c r="S1323" s="411">
        <f t="shared" si="224"/>
        <v>19.834821237312056</v>
      </c>
      <c r="T1323" s="411">
        <v>69.112298517284614</v>
      </c>
      <c r="U1323" s="411">
        <v>69.364785866880226</v>
      </c>
      <c r="V1323" s="411">
        <f t="shared" si="225"/>
        <v>20.724899344157702</v>
      </c>
      <c r="W1323" s="411">
        <v>71.628173270458291</v>
      </c>
      <c r="X1323" s="411">
        <v>72.53175437008052</v>
      </c>
      <c r="Y1323" s="411">
        <f t="shared" si="226"/>
        <v>21.671130239772459</v>
      </c>
      <c r="Z1323" s="411">
        <v>73.69719669404914</v>
      </c>
      <c r="AA1323" s="411">
        <v>74.899969155308199</v>
      </c>
      <c r="AB1323" s="441">
        <f t="shared" si="227"/>
        <v>22.141539862174664</v>
      </c>
      <c r="AC1323" s="438">
        <f t="shared" si="228"/>
        <v>22.803551118715241</v>
      </c>
      <c r="AD1323" s="410"/>
      <c r="AE1323" s="411"/>
      <c r="AF1323" s="411"/>
      <c r="AG1323" s="411"/>
    </row>
    <row r="1324" spans="1:33" s="409" customFormat="1" x14ac:dyDescent="0.2">
      <c r="A1324" s="409" t="s">
        <v>601</v>
      </c>
      <c r="B1324" s="23" t="str">
        <f>VLOOKUP(LEFT(A1324,7),'[7]Tariff Schedule Lookup Table'!$A$8:$G$186,2,FALSE)</f>
        <v>Incandescent 40</v>
      </c>
      <c r="C1324" s="375">
        <f t="shared" si="230"/>
        <v>10</v>
      </c>
      <c r="D1324" s="23">
        <f t="shared" si="231"/>
        <v>1</v>
      </c>
      <c r="E1324" s="23" t="str">
        <f>VLOOKUP(C1324,'[7]Tariff Schedule Lookup Table'!I$7:L$287,2,FALSE)</f>
        <v>MERCURY VAPOUR 80W</v>
      </c>
      <c r="F1324" s="23" t="str">
        <f>IF(E1324 = "BULKHEADS ETC", "SHARED OR NO POLE", VLOOKUP(C1324,'[7]Tariff Schedule Lookup Table'!I$7:L$287,3,FALSE))</f>
        <v>SHARED OR NO POLE</v>
      </c>
      <c r="G1324" s="23">
        <f>IF(E1324 = "NO CAPITAL", 1, VLOOKUP(C1324,'[7]Tariff Schedule Lookup Table'!I$7:L$287,4,FALSE))</f>
        <v>1</v>
      </c>
      <c r="H1324" s="23" t="str">
        <f t="shared" si="229"/>
        <v>1-Unmetered, CE Funded, CE Maintained</v>
      </c>
      <c r="I1324" s="374">
        <f>VLOOKUP(F1324,'Maintenance Model'!$A$57:$B$61,2,FALSE)</f>
        <v>0</v>
      </c>
      <c r="J1324" s="374">
        <f>IF(D1324=1,VLOOKUP(C1324,'Capital Code Schedules'!A$15:F$300,2,FALSE),IF(D1324=2,VLOOKUP(C1324,'Capital Code Schedules'!A$15:F$300,3,FALSE),0))</f>
        <v>17.255027166785979</v>
      </c>
      <c r="K1324" s="374">
        <f>IF(D1324=1,VLOOKUP(C1324,'Capital Code Schedules'!E$15:G$300,2,FALSE),IF(D1324=2,VLOOKUP(C1324,'Capital Code Schedules'!E$15:G$300,3,FALSE),0))</f>
        <v>21.887497717034414</v>
      </c>
      <c r="L1324" s="374">
        <f>VLOOKUP(LEFT(A1324,10),'Streetlight Tariff Schedule'!B$11:H$260,7, FALSE)+I1324</f>
        <v>18.153005213350784</v>
      </c>
      <c r="M1324" s="410">
        <f t="shared" si="222"/>
        <v>40.040502930385202</v>
      </c>
      <c r="N1324" s="411">
        <f t="shared" si="223"/>
        <v>36.591505023990358</v>
      </c>
      <c r="O1324" s="411">
        <v>86.710660223377076</v>
      </c>
      <c r="P1324" s="411">
        <v>85.717703396184234</v>
      </c>
      <c r="Q1324" s="411">
        <v>89.370093127292051</v>
      </c>
      <c r="R1324" s="411">
        <v>90.387625635957917</v>
      </c>
      <c r="S1324" s="411">
        <f t="shared" si="224"/>
        <v>37.954542031432794</v>
      </c>
      <c r="T1324" s="411">
        <v>92.665497155412623</v>
      </c>
      <c r="U1324" s="411">
        <v>94.050707951349878</v>
      </c>
      <c r="V1324" s="411">
        <f t="shared" si="225"/>
        <v>39.361032180910875</v>
      </c>
      <c r="W1324" s="411">
        <v>95.764313574879978</v>
      </c>
      <c r="X1324" s="411">
        <v>98.054529213213698</v>
      </c>
      <c r="Y1324" s="411">
        <f t="shared" si="226"/>
        <v>40.939027979691566</v>
      </c>
      <c r="Z1324" s="411">
        <v>98.430706471005252</v>
      </c>
      <c r="AA1324" s="411">
        <v>101.15014308147067</v>
      </c>
      <c r="AB1324" s="441">
        <f t="shared" si="227"/>
        <v>41.748552602316352</v>
      </c>
      <c r="AC1324" s="438">
        <f t="shared" si="228"/>
        <v>42.981127929595047</v>
      </c>
      <c r="AD1324" s="410"/>
      <c r="AE1324" s="411"/>
      <c r="AF1324" s="411"/>
      <c r="AG1324" s="411"/>
    </row>
    <row r="1325" spans="1:33" s="409" customFormat="1" x14ac:dyDescent="0.2">
      <c r="A1325" s="409" t="s">
        <v>602</v>
      </c>
      <c r="B1325" s="23" t="str">
        <f>VLOOKUP(LEFT(A1325,7),'[7]Tariff Schedule Lookup Table'!$A$8:$G$186,2,FALSE)</f>
        <v>Incandescent 40</v>
      </c>
      <c r="C1325" s="375">
        <f t="shared" si="230"/>
        <v>10</v>
      </c>
      <c r="D1325" s="23">
        <f t="shared" si="231"/>
        <v>2</v>
      </c>
      <c r="E1325" s="23" t="str">
        <f>VLOOKUP(C1325,'[7]Tariff Schedule Lookup Table'!I$7:L$287,2,FALSE)</f>
        <v>MERCURY VAPOUR 80W</v>
      </c>
      <c r="F1325" s="23" t="str">
        <f>IF(E1325 = "BULKHEADS ETC", "SHARED OR NO POLE", VLOOKUP(C1325,'[7]Tariff Schedule Lookup Table'!I$7:L$287,3,FALSE))</f>
        <v>SHARED OR NO POLE</v>
      </c>
      <c r="G1325" s="23">
        <f>IF(E1325 = "NO CAPITAL", 1, VLOOKUP(C1325,'[7]Tariff Schedule Lookup Table'!I$7:L$287,4,FALSE))</f>
        <v>1</v>
      </c>
      <c r="H1325" s="23" t="str">
        <f t="shared" si="229"/>
        <v>2-Unmetered, Funded by Others, CE Maintained</v>
      </c>
      <c r="I1325" s="374">
        <f>VLOOKUP(F1325,'Maintenance Model'!$A$57:$B$61,2,FALSE)</f>
        <v>0</v>
      </c>
      <c r="J1325" s="374">
        <f>IF(D1325=1,VLOOKUP(C1325,'Capital Code Schedules'!A$15:F$300,2,FALSE),IF(D1325=2,VLOOKUP(C1325,'Capital Code Schedules'!A$15:F$300,3,FALSE),0))</f>
        <v>0</v>
      </c>
      <c r="K1325" s="374">
        <f>IF(D1325=1,VLOOKUP(C1325,'Capital Code Schedules'!E$15:G$300,2,FALSE),IF(D1325=2,VLOOKUP(C1325,'Capital Code Schedules'!E$15:G$300,3,FALSE),0))</f>
        <v>0</v>
      </c>
      <c r="L1325" s="374">
        <f>VLOOKUP(LEFT(A1325,10),'Streetlight Tariff Schedule'!B$11:H$260,7, FALSE)+I1325</f>
        <v>18.153005213350784</v>
      </c>
      <c r="M1325" s="410">
        <f t="shared" si="222"/>
        <v>18.153005213350784</v>
      </c>
      <c r="N1325" s="411">
        <f t="shared" si="223"/>
        <v>18.909415934826431</v>
      </c>
      <c r="O1325" s="411">
        <v>63.288490110653221</v>
      </c>
      <c r="P1325" s="411">
        <v>63.288490110653221</v>
      </c>
      <c r="Q1325" s="411">
        <v>66.385756812944152</v>
      </c>
      <c r="R1325" s="411">
        <v>66.385756812944152</v>
      </c>
      <c r="S1325" s="411">
        <f t="shared" si="224"/>
        <v>19.834821237312056</v>
      </c>
      <c r="T1325" s="411">
        <v>69.112298517284614</v>
      </c>
      <c r="U1325" s="411">
        <v>69.364785866880226</v>
      </c>
      <c r="V1325" s="411">
        <f t="shared" si="225"/>
        <v>20.724899344157702</v>
      </c>
      <c r="W1325" s="411">
        <v>71.628173270458291</v>
      </c>
      <c r="X1325" s="411">
        <v>72.53175437008052</v>
      </c>
      <c r="Y1325" s="411">
        <f t="shared" si="226"/>
        <v>21.671130239772459</v>
      </c>
      <c r="Z1325" s="411">
        <v>73.69719669404914</v>
      </c>
      <c r="AA1325" s="411">
        <v>74.899969155308199</v>
      </c>
      <c r="AB1325" s="441">
        <f t="shared" si="227"/>
        <v>22.141539862174664</v>
      </c>
      <c r="AC1325" s="438">
        <f t="shared" si="228"/>
        <v>22.803551118715241</v>
      </c>
      <c r="AD1325" s="410"/>
      <c r="AE1325" s="411"/>
      <c r="AF1325" s="411"/>
      <c r="AG1325" s="411"/>
    </row>
    <row r="1326" spans="1:33" s="409" customFormat="1" x14ac:dyDescent="0.2">
      <c r="A1326" s="409" t="s">
        <v>603</v>
      </c>
      <c r="B1326" s="23" t="str">
        <f>VLOOKUP(LEFT(A1326,7),'[7]Tariff Schedule Lookup Table'!$A$8:$G$186,2,FALSE)</f>
        <v>Incandescent 40</v>
      </c>
      <c r="C1326" s="375">
        <f t="shared" si="230"/>
        <v>810</v>
      </c>
      <c r="D1326" s="23">
        <f t="shared" si="231"/>
        <v>1</v>
      </c>
      <c r="E1326" s="23" t="str">
        <f>VLOOKUP(C1326,'[7]Tariff Schedule Lookup Table'!I$7:L$287,2,FALSE)</f>
        <v>MERCURY VAPOUR 80W</v>
      </c>
      <c r="F1326" s="23" t="str">
        <f>IF(E1326 = "BULKHEADS ETC", "SHARED OR NO POLE", VLOOKUP(C1326,'[7]Tariff Schedule Lookup Table'!I$7:L$287,3,FALSE))</f>
        <v>WOOD POLE</v>
      </c>
      <c r="G1326" s="23">
        <f>IF(E1326 = "NO CAPITAL", 1, VLOOKUP(C1326,'[7]Tariff Schedule Lookup Table'!I$7:L$287,4,FALSE))</f>
        <v>1</v>
      </c>
      <c r="H1326" s="23" t="str">
        <f t="shared" si="229"/>
        <v>1-Unmetered, CE Funded, CE Maintained</v>
      </c>
      <c r="I1326" s="374">
        <f>VLOOKUP(F1326,'Maintenance Model'!$A$57:$B$61,2,FALSE)</f>
        <v>10.731618231111112</v>
      </c>
      <c r="J1326" s="374">
        <f>IF(D1326=1,VLOOKUP(C1326,'Capital Code Schedules'!A$15:F$300,2,FALSE),IF(D1326=2,VLOOKUP(C1326,'Capital Code Schedules'!A$15:F$300,3,FALSE),0))</f>
        <v>51.156145528662286</v>
      </c>
      <c r="K1326" s="374">
        <f>IF(D1326=1,VLOOKUP(C1326,'Capital Code Schedules'!E$15:G$300,2,FALSE),IF(D1326=2,VLOOKUP(C1326,'Capital Code Schedules'!E$15:G$300,3,FALSE),0))</f>
        <v>64.890075665956445</v>
      </c>
      <c r="L1326" s="374">
        <f>VLOOKUP(LEFT(A1326,10),'Streetlight Tariff Schedule'!B$11:H$260,7, FALSE)+I1326</f>
        <v>28.884623444461894</v>
      </c>
      <c r="M1326" s="410">
        <f t="shared" si="222"/>
        <v>93.774699110418339</v>
      </c>
      <c r="N1326" s="411">
        <f t="shared" si="223"/>
        <v>82.510466045320513</v>
      </c>
      <c r="O1326" s="411">
        <v>143.12462391101323</v>
      </c>
      <c r="P1326" s="411">
        <v>140.18079522476629</v>
      </c>
      <c r="Q1326" s="411">
        <v>145.43261873063193</v>
      </c>
      <c r="R1326" s="411">
        <v>148.4493071768635</v>
      </c>
      <c r="S1326" s="411">
        <f t="shared" si="224"/>
        <v>85.280399549475362</v>
      </c>
      <c r="T1326" s="411">
        <v>150.29355243615919</v>
      </c>
      <c r="U1326" s="411">
        <v>153.94571121459447</v>
      </c>
      <c r="V1326" s="411">
        <f t="shared" si="225"/>
        <v>88.227682100417425</v>
      </c>
      <c r="W1326" s="411">
        <v>154.95095475943245</v>
      </c>
      <c r="X1326" s="411">
        <v>160.11393306410403</v>
      </c>
      <c r="Y1326" s="411">
        <f t="shared" si="226"/>
        <v>91.606301351206184</v>
      </c>
      <c r="Z1326" s="411">
        <v>159.13087715506927</v>
      </c>
      <c r="AA1326" s="411">
        <v>165.02769408078854</v>
      </c>
      <c r="AB1326" s="441">
        <f t="shared" si="227"/>
        <v>93.360183293683875</v>
      </c>
      <c r="AC1326" s="438">
        <f t="shared" si="228"/>
        <v>96.105116421155387</v>
      </c>
      <c r="AD1326" s="410"/>
      <c r="AE1326" s="411"/>
      <c r="AF1326" s="411"/>
      <c r="AG1326" s="411"/>
    </row>
    <row r="1327" spans="1:33" s="409" customFormat="1" x14ac:dyDescent="0.2">
      <c r="A1327" s="409" t="s">
        <v>604</v>
      </c>
      <c r="B1327" s="23" t="str">
        <f>VLOOKUP(LEFT(A1327,7),'[7]Tariff Schedule Lookup Table'!$A$8:$G$186,2,FALSE)</f>
        <v>Incandescent 40</v>
      </c>
      <c r="C1327" s="375">
        <f t="shared" si="230"/>
        <v>830</v>
      </c>
      <c r="D1327" s="23">
        <f t="shared" si="231"/>
        <v>2</v>
      </c>
      <c r="E1327" s="23" t="str">
        <f>VLOOKUP(C1327,'[7]Tariff Schedule Lookup Table'!I$7:L$287,2,FALSE)</f>
        <v>MERCURY VAPOUR 80W</v>
      </c>
      <c r="F1327" s="23" t="str">
        <f>IF(E1327 = "BULKHEADS ETC", "SHARED OR NO POLE", VLOOKUP(C1327,'[7]Tariff Schedule Lookup Table'!I$7:L$287,3,FALSE))</f>
        <v>SHARED OR NO POLE</v>
      </c>
      <c r="G1327" s="23">
        <f>IF(E1327 = "NO CAPITAL", 1, VLOOKUP(C1327,'[7]Tariff Schedule Lookup Table'!I$7:L$287,4,FALSE))</f>
        <v>4</v>
      </c>
      <c r="H1327" s="23" t="str">
        <f t="shared" si="229"/>
        <v>2-Unmetered, Funded by Others, CE Maintained</v>
      </c>
      <c r="I1327" s="374">
        <f>VLOOKUP(F1327,'Maintenance Model'!$A$57:$B$61,2,FALSE)</f>
        <v>0</v>
      </c>
      <c r="J1327" s="374">
        <f>IF(D1327=1,VLOOKUP(C1327,'Capital Code Schedules'!A$15:F$300,2,FALSE),IF(D1327=2,VLOOKUP(C1327,'Capital Code Schedules'!A$15:F$300,3,FALSE),0))</f>
        <v>0</v>
      </c>
      <c r="K1327" s="374">
        <f>IF(D1327=1,VLOOKUP(C1327,'Capital Code Schedules'!E$15:G$300,2,FALSE),IF(D1327=2,VLOOKUP(C1327,'Capital Code Schedules'!E$15:G$300,3,FALSE),0))</f>
        <v>0</v>
      </c>
      <c r="L1327" s="374">
        <f>VLOOKUP(LEFT(A1327,10),'Streetlight Tariff Schedule'!B$11:H$260,7, FALSE)+I1327</f>
        <v>18.153005213350784</v>
      </c>
      <c r="M1327" s="410">
        <f t="shared" si="222"/>
        <v>18.153005213350784</v>
      </c>
      <c r="N1327" s="411">
        <f t="shared" si="223"/>
        <v>18.909415934826431</v>
      </c>
      <c r="O1327" s="411">
        <v>63.288490110653221</v>
      </c>
      <c r="P1327" s="411">
        <v>63.288490110653221</v>
      </c>
      <c r="Q1327" s="411">
        <v>66.385756812944152</v>
      </c>
      <c r="R1327" s="411">
        <v>66.385756812944152</v>
      </c>
      <c r="S1327" s="411">
        <f t="shared" si="224"/>
        <v>19.834821237312056</v>
      </c>
      <c r="T1327" s="411">
        <v>69.112298517284614</v>
      </c>
      <c r="U1327" s="411">
        <v>69.364785866880226</v>
      </c>
      <c r="V1327" s="411">
        <f t="shared" si="225"/>
        <v>20.724899344157702</v>
      </c>
      <c r="W1327" s="411">
        <v>71.628173270458291</v>
      </c>
      <c r="X1327" s="411">
        <v>72.53175437008052</v>
      </c>
      <c r="Y1327" s="411">
        <f t="shared" si="226"/>
        <v>21.671130239772459</v>
      </c>
      <c r="Z1327" s="411">
        <v>73.69719669404914</v>
      </c>
      <c r="AA1327" s="411">
        <v>74.899969155308199</v>
      </c>
      <c r="AB1327" s="441">
        <f t="shared" si="227"/>
        <v>22.141539862174664</v>
      </c>
      <c r="AC1327" s="438">
        <f t="shared" si="228"/>
        <v>22.803551118715241</v>
      </c>
      <c r="AD1327" s="410"/>
      <c r="AE1327" s="411"/>
      <c r="AF1327" s="411"/>
      <c r="AG1327" s="411"/>
    </row>
    <row r="1328" spans="1:33" s="409" customFormat="1" x14ac:dyDescent="0.2">
      <c r="A1328" s="409" t="s">
        <v>605</v>
      </c>
      <c r="B1328" s="23" t="str">
        <f>VLOOKUP(LEFT(A1328,7),'[7]Tariff Schedule Lookup Table'!$A$8:$G$186,2,FALSE)</f>
        <v>Incandescent 60</v>
      </c>
      <c r="C1328" s="375">
        <f t="shared" si="230"/>
        <v>10</v>
      </c>
      <c r="D1328" s="23">
        <f t="shared" si="231"/>
        <v>1</v>
      </c>
      <c r="E1328" s="23" t="str">
        <f>VLOOKUP(C1328,'[7]Tariff Schedule Lookup Table'!I$7:L$287,2,FALSE)</f>
        <v>MERCURY VAPOUR 80W</v>
      </c>
      <c r="F1328" s="23" t="str">
        <f>IF(E1328 = "BULKHEADS ETC", "SHARED OR NO POLE", VLOOKUP(C1328,'[7]Tariff Schedule Lookup Table'!I$7:L$287,3,FALSE))</f>
        <v>SHARED OR NO POLE</v>
      </c>
      <c r="G1328" s="23">
        <f>IF(E1328 = "NO CAPITAL", 1, VLOOKUP(C1328,'[7]Tariff Schedule Lookup Table'!I$7:L$287,4,FALSE))</f>
        <v>1</v>
      </c>
      <c r="H1328" s="23" t="str">
        <f t="shared" si="229"/>
        <v>1-Unmetered, CE Funded, CE Maintained</v>
      </c>
      <c r="I1328" s="374">
        <f>VLOOKUP(F1328,'Maintenance Model'!$A$57:$B$61,2,FALSE)</f>
        <v>0</v>
      </c>
      <c r="J1328" s="374">
        <f>IF(D1328=1,VLOOKUP(C1328,'Capital Code Schedules'!A$15:F$300,2,FALSE),IF(D1328=2,VLOOKUP(C1328,'Capital Code Schedules'!A$15:F$300,3,FALSE),0))</f>
        <v>17.255027166785979</v>
      </c>
      <c r="K1328" s="374">
        <f>IF(D1328=1,VLOOKUP(C1328,'Capital Code Schedules'!E$15:G$300,2,FALSE),IF(D1328=2,VLOOKUP(C1328,'Capital Code Schedules'!E$15:G$300,3,FALSE),0))</f>
        <v>21.887497717034414</v>
      </c>
      <c r="L1328" s="374">
        <f>VLOOKUP(LEFT(A1328,10),'Streetlight Tariff Schedule'!B$11:H$260,7, FALSE)+I1328</f>
        <v>18.153005213350784</v>
      </c>
      <c r="M1328" s="410">
        <f t="shared" si="222"/>
        <v>40.040502930385202</v>
      </c>
      <c r="N1328" s="411">
        <f t="shared" si="223"/>
        <v>36.591505023990358</v>
      </c>
      <c r="O1328" s="411">
        <v>86.710660223377076</v>
      </c>
      <c r="P1328" s="411">
        <v>85.717703396184234</v>
      </c>
      <c r="Q1328" s="411">
        <v>89.370093127292051</v>
      </c>
      <c r="R1328" s="411">
        <v>90.387625635957917</v>
      </c>
      <c r="S1328" s="411">
        <f t="shared" si="224"/>
        <v>37.954542031432794</v>
      </c>
      <c r="T1328" s="411">
        <v>92.665497155412623</v>
      </c>
      <c r="U1328" s="411">
        <v>94.050707951349878</v>
      </c>
      <c r="V1328" s="411">
        <f t="shared" si="225"/>
        <v>39.361032180910875</v>
      </c>
      <c r="W1328" s="411">
        <v>95.764313574879978</v>
      </c>
      <c r="X1328" s="411">
        <v>98.054529213213698</v>
      </c>
      <c r="Y1328" s="411">
        <f t="shared" si="226"/>
        <v>40.939027979691566</v>
      </c>
      <c r="Z1328" s="411">
        <v>98.430706471005252</v>
      </c>
      <c r="AA1328" s="411">
        <v>101.15014308147067</v>
      </c>
      <c r="AB1328" s="441">
        <f t="shared" si="227"/>
        <v>41.748552602316352</v>
      </c>
      <c r="AC1328" s="438">
        <f t="shared" si="228"/>
        <v>42.981127929595047</v>
      </c>
      <c r="AD1328" s="410"/>
      <c r="AE1328" s="411"/>
      <c r="AF1328" s="411"/>
      <c r="AG1328" s="411"/>
    </row>
    <row r="1329" spans="1:33" s="409" customFormat="1" x14ac:dyDescent="0.2">
      <c r="A1329" s="409" t="s">
        <v>606</v>
      </c>
      <c r="B1329" s="23" t="str">
        <f>VLOOKUP(LEFT(A1329,7),'[7]Tariff Schedule Lookup Table'!$A$8:$G$186,2,FALSE)</f>
        <v>Incandescent 60</v>
      </c>
      <c r="C1329" s="375">
        <f t="shared" si="230"/>
        <v>10</v>
      </c>
      <c r="D1329" s="23">
        <f t="shared" si="231"/>
        <v>2</v>
      </c>
      <c r="E1329" s="23" t="str">
        <f>VLOOKUP(C1329,'[7]Tariff Schedule Lookup Table'!I$7:L$287,2,FALSE)</f>
        <v>MERCURY VAPOUR 80W</v>
      </c>
      <c r="F1329" s="23" t="str">
        <f>IF(E1329 = "BULKHEADS ETC", "SHARED OR NO POLE", VLOOKUP(C1329,'[7]Tariff Schedule Lookup Table'!I$7:L$287,3,FALSE))</f>
        <v>SHARED OR NO POLE</v>
      </c>
      <c r="G1329" s="23">
        <f>IF(E1329 = "NO CAPITAL", 1, VLOOKUP(C1329,'[7]Tariff Schedule Lookup Table'!I$7:L$287,4,FALSE))</f>
        <v>1</v>
      </c>
      <c r="H1329" s="23" t="str">
        <f t="shared" si="229"/>
        <v>2-Unmetered, Funded by Others, CE Maintained</v>
      </c>
      <c r="I1329" s="374">
        <f>VLOOKUP(F1329,'Maintenance Model'!$A$57:$B$61,2,FALSE)</f>
        <v>0</v>
      </c>
      <c r="J1329" s="374">
        <f>IF(D1329=1,VLOOKUP(C1329,'Capital Code Schedules'!A$15:F$300,2,FALSE),IF(D1329=2,VLOOKUP(C1329,'Capital Code Schedules'!A$15:F$300,3,FALSE),0))</f>
        <v>0</v>
      </c>
      <c r="K1329" s="374">
        <f>IF(D1329=1,VLOOKUP(C1329,'Capital Code Schedules'!E$15:G$300,2,FALSE),IF(D1329=2,VLOOKUP(C1329,'Capital Code Schedules'!E$15:G$300,3,FALSE),0))</f>
        <v>0</v>
      </c>
      <c r="L1329" s="374">
        <f>VLOOKUP(LEFT(A1329,10),'Streetlight Tariff Schedule'!B$11:H$260,7, FALSE)+I1329</f>
        <v>18.153005213350784</v>
      </c>
      <c r="M1329" s="410">
        <f t="shared" si="222"/>
        <v>18.153005213350784</v>
      </c>
      <c r="N1329" s="411">
        <f t="shared" si="223"/>
        <v>18.909415934826431</v>
      </c>
      <c r="O1329" s="411">
        <v>63.288490110653221</v>
      </c>
      <c r="P1329" s="411">
        <v>63.288490110653221</v>
      </c>
      <c r="Q1329" s="411">
        <v>66.385756812944152</v>
      </c>
      <c r="R1329" s="411">
        <v>66.385756812944152</v>
      </c>
      <c r="S1329" s="411">
        <f t="shared" si="224"/>
        <v>19.834821237312056</v>
      </c>
      <c r="T1329" s="411">
        <v>69.112298517284614</v>
      </c>
      <c r="U1329" s="411">
        <v>69.364785866880226</v>
      </c>
      <c r="V1329" s="411">
        <f t="shared" si="225"/>
        <v>20.724899344157702</v>
      </c>
      <c r="W1329" s="411">
        <v>71.628173270458291</v>
      </c>
      <c r="X1329" s="411">
        <v>72.53175437008052</v>
      </c>
      <c r="Y1329" s="411">
        <f t="shared" si="226"/>
        <v>21.671130239772459</v>
      </c>
      <c r="Z1329" s="411">
        <v>73.69719669404914</v>
      </c>
      <c r="AA1329" s="411">
        <v>74.899969155308199</v>
      </c>
      <c r="AB1329" s="441">
        <f t="shared" si="227"/>
        <v>22.141539862174664</v>
      </c>
      <c r="AC1329" s="438">
        <f t="shared" si="228"/>
        <v>22.803551118715241</v>
      </c>
      <c r="AD1329" s="410"/>
      <c r="AE1329" s="411"/>
      <c r="AF1329" s="411"/>
      <c r="AG1329" s="411"/>
    </row>
    <row r="1330" spans="1:33" s="409" customFormat="1" x14ac:dyDescent="0.2">
      <c r="A1330" s="409" t="s">
        <v>607</v>
      </c>
      <c r="B1330" s="23" t="str">
        <f>VLOOKUP(LEFT(A1330,7),'[7]Tariff Schedule Lookup Table'!$A$8:$G$186,2,FALSE)</f>
        <v>Incandescent 75</v>
      </c>
      <c r="C1330" s="375">
        <f t="shared" si="230"/>
        <v>10</v>
      </c>
      <c r="D1330" s="23">
        <f t="shared" si="231"/>
        <v>1</v>
      </c>
      <c r="E1330" s="23" t="str">
        <f>VLOOKUP(C1330,'[7]Tariff Schedule Lookup Table'!I$7:L$287,2,FALSE)</f>
        <v>MERCURY VAPOUR 80W</v>
      </c>
      <c r="F1330" s="23" t="str">
        <f>IF(E1330 = "BULKHEADS ETC", "SHARED OR NO POLE", VLOOKUP(C1330,'[7]Tariff Schedule Lookup Table'!I$7:L$287,3,FALSE))</f>
        <v>SHARED OR NO POLE</v>
      </c>
      <c r="G1330" s="23">
        <f>IF(E1330 = "NO CAPITAL", 1, VLOOKUP(C1330,'[7]Tariff Schedule Lookup Table'!I$7:L$287,4,FALSE))</f>
        <v>1</v>
      </c>
      <c r="H1330" s="23" t="str">
        <f t="shared" si="229"/>
        <v>1-Unmetered, CE Funded, CE Maintained</v>
      </c>
      <c r="I1330" s="374">
        <f>VLOOKUP(F1330,'Maintenance Model'!$A$57:$B$61,2,FALSE)</f>
        <v>0</v>
      </c>
      <c r="J1330" s="374">
        <f>IF(D1330=1,VLOOKUP(C1330,'Capital Code Schedules'!A$15:F$300,2,FALSE),IF(D1330=2,VLOOKUP(C1330,'Capital Code Schedules'!A$15:F$300,3,FALSE),0))</f>
        <v>17.255027166785979</v>
      </c>
      <c r="K1330" s="374">
        <f>IF(D1330=1,VLOOKUP(C1330,'Capital Code Schedules'!E$15:G$300,2,FALSE),IF(D1330=2,VLOOKUP(C1330,'Capital Code Schedules'!E$15:G$300,3,FALSE),0))</f>
        <v>21.887497717034414</v>
      </c>
      <c r="L1330" s="374">
        <f>VLOOKUP(LEFT(A1330,10),'Streetlight Tariff Schedule'!B$11:H$260,7, FALSE)+I1330</f>
        <v>18.153005213350784</v>
      </c>
      <c r="M1330" s="410">
        <f t="shared" si="222"/>
        <v>40.040502930385202</v>
      </c>
      <c r="N1330" s="411">
        <f t="shared" si="223"/>
        <v>36.591505023990358</v>
      </c>
      <c r="O1330" s="411">
        <v>86.710660223377076</v>
      </c>
      <c r="P1330" s="411">
        <v>85.717703396184234</v>
      </c>
      <c r="Q1330" s="411">
        <v>89.370093127292051</v>
      </c>
      <c r="R1330" s="411">
        <v>90.387625635957917</v>
      </c>
      <c r="S1330" s="411">
        <f t="shared" si="224"/>
        <v>37.954542031432794</v>
      </c>
      <c r="T1330" s="411">
        <v>92.665497155412623</v>
      </c>
      <c r="U1330" s="411">
        <v>94.050707951349878</v>
      </c>
      <c r="V1330" s="411">
        <f t="shared" si="225"/>
        <v>39.361032180910875</v>
      </c>
      <c r="W1330" s="411">
        <v>95.764313574879978</v>
      </c>
      <c r="X1330" s="411">
        <v>98.054529213213698</v>
      </c>
      <c r="Y1330" s="411">
        <f t="shared" si="226"/>
        <v>40.939027979691566</v>
      </c>
      <c r="Z1330" s="411">
        <v>98.430706471005252</v>
      </c>
      <c r="AA1330" s="411">
        <v>101.15014308147067</v>
      </c>
      <c r="AB1330" s="441">
        <f t="shared" si="227"/>
        <v>41.748552602316352</v>
      </c>
      <c r="AC1330" s="438">
        <f t="shared" si="228"/>
        <v>42.981127929595047</v>
      </c>
      <c r="AD1330" s="410"/>
      <c r="AE1330" s="411"/>
      <c r="AF1330" s="411"/>
      <c r="AG1330" s="411"/>
    </row>
    <row r="1331" spans="1:33" s="409" customFormat="1" x14ac:dyDescent="0.2">
      <c r="A1331" s="409" t="s">
        <v>608</v>
      </c>
      <c r="B1331" s="23" t="str">
        <f>VLOOKUP(LEFT(A1331,7),'[7]Tariff Schedule Lookup Table'!$A$8:$G$186,2,FALSE)</f>
        <v>Incandescent 75</v>
      </c>
      <c r="C1331" s="375">
        <f t="shared" si="230"/>
        <v>10</v>
      </c>
      <c r="D1331" s="23">
        <f t="shared" si="231"/>
        <v>2</v>
      </c>
      <c r="E1331" s="23" t="str">
        <f>VLOOKUP(C1331,'[7]Tariff Schedule Lookup Table'!I$7:L$287,2,FALSE)</f>
        <v>MERCURY VAPOUR 80W</v>
      </c>
      <c r="F1331" s="23" t="str">
        <f>IF(E1331 = "BULKHEADS ETC", "SHARED OR NO POLE", VLOOKUP(C1331,'[7]Tariff Schedule Lookup Table'!I$7:L$287,3,FALSE))</f>
        <v>SHARED OR NO POLE</v>
      </c>
      <c r="G1331" s="23">
        <f>IF(E1331 = "NO CAPITAL", 1, VLOOKUP(C1331,'[7]Tariff Schedule Lookup Table'!I$7:L$287,4,FALSE))</f>
        <v>1</v>
      </c>
      <c r="H1331" s="23" t="str">
        <f t="shared" si="229"/>
        <v>2-Unmetered, Funded by Others, CE Maintained</v>
      </c>
      <c r="I1331" s="374">
        <f>VLOOKUP(F1331,'Maintenance Model'!$A$57:$B$61,2,FALSE)</f>
        <v>0</v>
      </c>
      <c r="J1331" s="374">
        <f>IF(D1331=1,VLOOKUP(C1331,'Capital Code Schedules'!A$15:F$300,2,FALSE),IF(D1331=2,VLOOKUP(C1331,'Capital Code Schedules'!A$15:F$300,3,FALSE),0))</f>
        <v>0</v>
      </c>
      <c r="K1331" s="374">
        <f>IF(D1331=1,VLOOKUP(C1331,'Capital Code Schedules'!E$15:G$300,2,FALSE),IF(D1331=2,VLOOKUP(C1331,'Capital Code Schedules'!E$15:G$300,3,FALSE),0))</f>
        <v>0</v>
      </c>
      <c r="L1331" s="374">
        <f>VLOOKUP(LEFT(A1331,10),'Streetlight Tariff Schedule'!B$11:H$260,7, FALSE)+I1331</f>
        <v>18.153005213350784</v>
      </c>
      <c r="M1331" s="410">
        <f t="shared" si="222"/>
        <v>18.153005213350784</v>
      </c>
      <c r="N1331" s="411">
        <f t="shared" si="223"/>
        <v>18.909415934826431</v>
      </c>
      <c r="O1331" s="411">
        <v>63.288490110653221</v>
      </c>
      <c r="P1331" s="411">
        <v>63.288490110653221</v>
      </c>
      <c r="Q1331" s="411">
        <v>66.385756812944152</v>
      </c>
      <c r="R1331" s="411">
        <v>66.385756812944152</v>
      </c>
      <c r="S1331" s="411">
        <f t="shared" si="224"/>
        <v>19.834821237312056</v>
      </c>
      <c r="T1331" s="411">
        <v>69.112298517284614</v>
      </c>
      <c r="U1331" s="411">
        <v>69.364785866880226</v>
      </c>
      <c r="V1331" s="411">
        <f t="shared" si="225"/>
        <v>20.724899344157702</v>
      </c>
      <c r="W1331" s="411">
        <v>71.628173270458291</v>
      </c>
      <c r="X1331" s="411">
        <v>72.53175437008052</v>
      </c>
      <c r="Y1331" s="411">
        <f t="shared" si="226"/>
        <v>21.671130239772459</v>
      </c>
      <c r="Z1331" s="411">
        <v>73.69719669404914</v>
      </c>
      <c r="AA1331" s="411">
        <v>74.899969155308199</v>
      </c>
      <c r="AB1331" s="441">
        <f t="shared" si="227"/>
        <v>22.141539862174664</v>
      </c>
      <c r="AC1331" s="438">
        <f t="shared" si="228"/>
        <v>22.803551118715241</v>
      </c>
      <c r="AD1331" s="410"/>
      <c r="AE1331" s="411"/>
      <c r="AF1331" s="411"/>
      <c r="AG1331" s="411"/>
    </row>
    <row r="1332" spans="1:33" s="409" customFormat="1" x14ac:dyDescent="0.2">
      <c r="A1332" s="409" t="s">
        <v>609</v>
      </c>
      <c r="B1332" s="23" t="str">
        <f>VLOOKUP(LEFT(A1332,7),'[7]Tariff Schedule Lookup Table'!$A$8:$G$186,2,FALSE)</f>
        <v>Incandescent 75</v>
      </c>
      <c r="C1332" s="375">
        <f t="shared" si="230"/>
        <v>810</v>
      </c>
      <c r="D1332" s="23">
        <f t="shared" si="231"/>
        <v>1</v>
      </c>
      <c r="E1332" s="23" t="str">
        <f>VLOOKUP(C1332,'[7]Tariff Schedule Lookup Table'!I$7:L$287,2,FALSE)</f>
        <v>MERCURY VAPOUR 80W</v>
      </c>
      <c r="F1332" s="23" t="str">
        <f>IF(E1332 = "BULKHEADS ETC", "SHARED OR NO POLE", VLOOKUP(C1332,'[7]Tariff Schedule Lookup Table'!I$7:L$287,3,FALSE))</f>
        <v>WOOD POLE</v>
      </c>
      <c r="G1332" s="23">
        <f>IF(E1332 = "NO CAPITAL", 1, VLOOKUP(C1332,'[7]Tariff Schedule Lookup Table'!I$7:L$287,4,FALSE))</f>
        <v>1</v>
      </c>
      <c r="H1332" s="23" t="str">
        <f t="shared" si="229"/>
        <v>1-Unmetered, CE Funded, CE Maintained</v>
      </c>
      <c r="I1332" s="374">
        <f>VLOOKUP(F1332,'Maintenance Model'!$A$57:$B$61,2,FALSE)</f>
        <v>10.731618231111112</v>
      </c>
      <c r="J1332" s="374">
        <f>IF(D1332=1,VLOOKUP(C1332,'Capital Code Schedules'!A$15:F$300,2,FALSE),IF(D1332=2,VLOOKUP(C1332,'Capital Code Schedules'!A$15:F$300,3,FALSE),0))</f>
        <v>51.156145528662286</v>
      </c>
      <c r="K1332" s="374">
        <f>IF(D1332=1,VLOOKUP(C1332,'Capital Code Schedules'!E$15:G$300,2,FALSE),IF(D1332=2,VLOOKUP(C1332,'Capital Code Schedules'!E$15:G$300,3,FALSE),0))</f>
        <v>64.890075665956445</v>
      </c>
      <c r="L1332" s="374">
        <f>VLOOKUP(LEFT(A1332,10),'Streetlight Tariff Schedule'!B$11:H$260,7, FALSE)+I1332</f>
        <v>28.884623444461894</v>
      </c>
      <c r="M1332" s="410">
        <f t="shared" si="222"/>
        <v>93.774699110418339</v>
      </c>
      <c r="N1332" s="411">
        <f t="shared" si="223"/>
        <v>82.510466045320513</v>
      </c>
      <c r="O1332" s="411">
        <v>143.12462391101323</v>
      </c>
      <c r="P1332" s="411">
        <v>140.18079522476629</v>
      </c>
      <c r="Q1332" s="411">
        <v>145.43261873063193</v>
      </c>
      <c r="R1332" s="411">
        <v>148.4493071768635</v>
      </c>
      <c r="S1332" s="411">
        <f t="shared" si="224"/>
        <v>85.280399549475362</v>
      </c>
      <c r="T1332" s="411">
        <v>150.29355243615919</v>
      </c>
      <c r="U1332" s="411">
        <v>153.94571121459447</v>
      </c>
      <c r="V1332" s="411">
        <f t="shared" si="225"/>
        <v>88.227682100417425</v>
      </c>
      <c r="W1332" s="411">
        <v>154.95095475943245</v>
      </c>
      <c r="X1332" s="411">
        <v>160.11393306410403</v>
      </c>
      <c r="Y1332" s="411">
        <f t="shared" si="226"/>
        <v>91.606301351206184</v>
      </c>
      <c r="Z1332" s="411">
        <v>159.13087715506927</v>
      </c>
      <c r="AA1332" s="411">
        <v>165.02769408078854</v>
      </c>
      <c r="AB1332" s="441">
        <f t="shared" si="227"/>
        <v>93.360183293683875</v>
      </c>
      <c r="AC1332" s="438">
        <f t="shared" si="228"/>
        <v>96.105116421155387</v>
      </c>
      <c r="AD1332" s="410"/>
      <c r="AE1332" s="411"/>
      <c r="AF1332" s="411"/>
      <c r="AG1332" s="411"/>
    </row>
    <row r="1333" spans="1:33" s="409" customFormat="1" x14ac:dyDescent="0.2">
      <c r="A1333" s="409" t="s">
        <v>610</v>
      </c>
      <c r="B1333" s="23" t="str">
        <f>VLOOKUP(LEFT(A1333,7),'[7]Tariff Schedule Lookup Table'!$A$8:$G$186,2,FALSE)</f>
        <v>Incandescent 75</v>
      </c>
      <c r="C1333" s="375">
        <f t="shared" si="230"/>
        <v>990</v>
      </c>
      <c r="D1333" s="23">
        <f t="shared" si="231"/>
        <v>1</v>
      </c>
      <c r="E1333" s="23" t="str">
        <f>VLOOKUP(C1333,'[7]Tariff Schedule Lookup Table'!I$7:L$287,2,FALSE)</f>
        <v>MERCURY VAPOUR 80W</v>
      </c>
      <c r="F1333" s="23" t="str">
        <f>IF(E1333 = "BULKHEADS ETC", "SHARED OR NO POLE", VLOOKUP(C1333,'[7]Tariff Schedule Lookup Table'!I$7:L$287,3,FALSE))</f>
        <v>STEEL POLE</v>
      </c>
      <c r="G1333" s="23">
        <f>IF(E1333 = "NO CAPITAL", 1, VLOOKUP(C1333,'[7]Tariff Schedule Lookup Table'!I$7:L$287,4,FALSE))</f>
        <v>1</v>
      </c>
      <c r="H1333" s="23" t="str">
        <f t="shared" si="229"/>
        <v>1-Unmetered, CE Funded, CE Maintained</v>
      </c>
      <c r="I1333" s="374">
        <f>VLOOKUP(F1333,'Maintenance Model'!$A$57:$B$61,2,FALSE)</f>
        <v>9.9616182311111103</v>
      </c>
      <c r="J1333" s="374">
        <f>IF(D1333=1,VLOOKUP(C1333,'Capital Code Schedules'!A$15:F$300,2,FALSE),IF(D1333=2,VLOOKUP(C1333,'Capital Code Schedules'!A$15:F$300,3,FALSE),0))</f>
        <v>86.253661186307269</v>
      </c>
      <c r="K1333" s="374">
        <f>IF(D1333=1,VLOOKUP(C1333,'Capital Code Schedules'!E$15:G$300,2,FALSE),IF(D1333=2,VLOOKUP(C1333,'Capital Code Schedules'!E$15:G$300,3,FALSE),0))</f>
        <v>109.41024862221688</v>
      </c>
      <c r="L1333" s="374">
        <f>VLOOKUP(LEFT(A1333,10),'Streetlight Tariff Schedule'!B$11:H$260,7, FALSE)+I1333</f>
        <v>28.114623444461895</v>
      </c>
      <c r="M1333" s="410">
        <f t="shared" si="222"/>
        <v>137.52487206667877</v>
      </c>
      <c r="N1333" s="411">
        <f t="shared" si="223"/>
        <v>117.67456037616722</v>
      </c>
      <c r="O1333" s="411">
        <v>189.96430597946363</v>
      </c>
      <c r="P1333" s="411">
        <v>185.00075762236918</v>
      </c>
      <c r="Q1333" s="411">
        <v>191.34247367784937</v>
      </c>
      <c r="R1333" s="411">
        <v>196.42886985678192</v>
      </c>
      <c r="S1333" s="411">
        <f t="shared" si="224"/>
        <v>121.29540369528434</v>
      </c>
      <c r="T1333" s="411">
        <v>197.3259446607845</v>
      </c>
      <c r="U1333" s="411">
        <v>203.27891492461623</v>
      </c>
      <c r="V1333" s="411">
        <f t="shared" si="225"/>
        <v>125.25533735810772</v>
      </c>
      <c r="W1333" s="411">
        <v>203.13719217055072</v>
      </c>
      <c r="X1333" s="411">
        <v>211.10919713568464</v>
      </c>
      <c r="Y1333" s="411">
        <f t="shared" si="226"/>
        <v>129.8788588779212</v>
      </c>
      <c r="Z1333" s="411">
        <v>208.50596972880157</v>
      </c>
      <c r="AA1333" s="411">
        <v>217.47250770596855</v>
      </c>
      <c r="AB1333" s="441">
        <f t="shared" si="227"/>
        <v>132.3025627966459</v>
      </c>
      <c r="AC1333" s="438">
        <f t="shared" si="228"/>
        <v>136.1799687032713</v>
      </c>
      <c r="AD1333" s="410"/>
      <c r="AE1333" s="411"/>
      <c r="AF1333" s="411"/>
      <c r="AG1333" s="411"/>
    </row>
    <row r="1334" spans="1:33" s="409" customFormat="1" x14ac:dyDescent="0.2">
      <c r="A1334" s="409" t="s">
        <v>611</v>
      </c>
      <c r="B1334" s="23" t="str">
        <f>VLOOKUP(LEFT(A1334,7),'[7]Tariff Schedule Lookup Table'!$A$8:$G$186,2,FALSE)</f>
        <v>Incandescent 100</v>
      </c>
      <c r="C1334" s="375">
        <f t="shared" si="230"/>
        <v>10</v>
      </c>
      <c r="D1334" s="23">
        <f t="shared" si="231"/>
        <v>1</v>
      </c>
      <c r="E1334" s="23" t="str">
        <f>VLOOKUP(C1334,'[7]Tariff Schedule Lookup Table'!I$7:L$287,2,FALSE)</f>
        <v>MERCURY VAPOUR 80W</v>
      </c>
      <c r="F1334" s="23" t="str">
        <f>IF(E1334 = "BULKHEADS ETC", "SHARED OR NO POLE", VLOOKUP(C1334,'[7]Tariff Schedule Lookup Table'!I$7:L$287,3,FALSE))</f>
        <v>SHARED OR NO POLE</v>
      </c>
      <c r="G1334" s="23">
        <f>IF(E1334 = "NO CAPITAL", 1, VLOOKUP(C1334,'[7]Tariff Schedule Lookup Table'!I$7:L$287,4,FALSE))</f>
        <v>1</v>
      </c>
      <c r="H1334" s="23" t="str">
        <f t="shared" si="229"/>
        <v>1-Unmetered, CE Funded, CE Maintained</v>
      </c>
      <c r="I1334" s="374">
        <f>VLOOKUP(F1334,'Maintenance Model'!$A$57:$B$61,2,FALSE)</f>
        <v>0</v>
      </c>
      <c r="J1334" s="374">
        <f>IF(D1334=1,VLOOKUP(C1334,'Capital Code Schedules'!A$15:F$300,2,FALSE),IF(D1334=2,VLOOKUP(C1334,'Capital Code Schedules'!A$15:F$300,3,FALSE),0))</f>
        <v>17.255027166785979</v>
      </c>
      <c r="K1334" s="374">
        <f>IF(D1334=1,VLOOKUP(C1334,'Capital Code Schedules'!E$15:G$300,2,FALSE),IF(D1334=2,VLOOKUP(C1334,'Capital Code Schedules'!E$15:G$300,3,FALSE),0))</f>
        <v>21.887497717034414</v>
      </c>
      <c r="L1334" s="374">
        <f>VLOOKUP(LEFT(A1334,10),'Streetlight Tariff Schedule'!B$11:H$260,7, FALSE)+I1334</f>
        <v>18.153005213350784</v>
      </c>
      <c r="M1334" s="410">
        <f t="shared" si="222"/>
        <v>40.040502930385202</v>
      </c>
      <c r="N1334" s="411">
        <f t="shared" si="223"/>
        <v>36.591505023990358</v>
      </c>
      <c r="O1334" s="411">
        <v>86.710660223377076</v>
      </c>
      <c r="P1334" s="411">
        <v>85.717703396184234</v>
      </c>
      <c r="Q1334" s="411">
        <v>89.370093127292051</v>
      </c>
      <c r="R1334" s="411">
        <v>90.387625635957917</v>
      </c>
      <c r="S1334" s="411">
        <f t="shared" si="224"/>
        <v>37.954542031432794</v>
      </c>
      <c r="T1334" s="411">
        <v>92.665497155412623</v>
      </c>
      <c r="U1334" s="411">
        <v>94.050707951349878</v>
      </c>
      <c r="V1334" s="411">
        <f t="shared" si="225"/>
        <v>39.361032180910875</v>
      </c>
      <c r="W1334" s="411">
        <v>95.764313574879978</v>
      </c>
      <c r="X1334" s="411">
        <v>98.054529213213698</v>
      </c>
      <c r="Y1334" s="411">
        <f t="shared" si="226"/>
        <v>40.939027979691566</v>
      </c>
      <c r="Z1334" s="411">
        <v>98.430706471005252</v>
      </c>
      <c r="AA1334" s="411">
        <v>101.15014308147067</v>
      </c>
      <c r="AB1334" s="441">
        <f t="shared" si="227"/>
        <v>41.748552602316352</v>
      </c>
      <c r="AC1334" s="438">
        <f t="shared" si="228"/>
        <v>42.981127929595047</v>
      </c>
      <c r="AD1334" s="410"/>
      <c r="AE1334" s="411"/>
      <c r="AF1334" s="411"/>
      <c r="AG1334" s="411"/>
    </row>
    <row r="1335" spans="1:33" s="409" customFormat="1" x14ac:dyDescent="0.2">
      <c r="A1335" s="409" t="s">
        <v>612</v>
      </c>
      <c r="B1335" s="23" t="str">
        <f>VLOOKUP(LEFT(A1335,7),'[7]Tariff Schedule Lookup Table'!$A$8:$G$186,2,FALSE)</f>
        <v>Incandescent 100</v>
      </c>
      <c r="C1335" s="375">
        <f t="shared" si="230"/>
        <v>10</v>
      </c>
      <c r="D1335" s="23">
        <f t="shared" si="231"/>
        <v>2</v>
      </c>
      <c r="E1335" s="23" t="str">
        <f>VLOOKUP(C1335,'[7]Tariff Schedule Lookup Table'!I$7:L$287,2,FALSE)</f>
        <v>MERCURY VAPOUR 80W</v>
      </c>
      <c r="F1335" s="23" t="str">
        <f>IF(E1335 = "BULKHEADS ETC", "SHARED OR NO POLE", VLOOKUP(C1335,'[7]Tariff Schedule Lookup Table'!I$7:L$287,3,FALSE))</f>
        <v>SHARED OR NO POLE</v>
      </c>
      <c r="G1335" s="23">
        <f>IF(E1335 = "NO CAPITAL", 1, VLOOKUP(C1335,'[7]Tariff Schedule Lookup Table'!I$7:L$287,4,FALSE))</f>
        <v>1</v>
      </c>
      <c r="H1335" s="23" t="str">
        <f t="shared" si="229"/>
        <v>2-Unmetered, Funded by Others, CE Maintained</v>
      </c>
      <c r="I1335" s="374">
        <f>VLOOKUP(F1335,'Maintenance Model'!$A$57:$B$61,2,FALSE)</f>
        <v>0</v>
      </c>
      <c r="J1335" s="374">
        <f>IF(D1335=1,VLOOKUP(C1335,'Capital Code Schedules'!A$15:F$300,2,FALSE),IF(D1335=2,VLOOKUP(C1335,'Capital Code Schedules'!A$15:F$300,3,FALSE),0))</f>
        <v>0</v>
      </c>
      <c r="K1335" s="374">
        <f>IF(D1335=1,VLOOKUP(C1335,'Capital Code Schedules'!E$15:G$300,2,FALSE),IF(D1335=2,VLOOKUP(C1335,'Capital Code Schedules'!E$15:G$300,3,FALSE),0))</f>
        <v>0</v>
      </c>
      <c r="L1335" s="374">
        <f>VLOOKUP(LEFT(A1335,10),'Streetlight Tariff Schedule'!B$11:H$260,7, FALSE)+I1335</f>
        <v>18.153005213350784</v>
      </c>
      <c r="M1335" s="410">
        <f t="shared" si="222"/>
        <v>18.153005213350784</v>
      </c>
      <c r="N1335" s="411">
        <f t="shared" si="223"/>
        <v>18.909415934826431</v>
      </c>
      <c r="O1335" s="411">
        <v>63.288490110653221</v>
      </c>
      <c r="P1335" s="411">
        <v>63.288490110653221</v>
      </c>
      <c r="Q1335" s="411">
        <v>66.385756812944152</v>
      </c>
      <c r="R1335" s="411">
        <v>66.385756812944152</v>
      </c>
      <c r="S1335" s="411">
        <f t="shared" si="224"/>
        <v>19.834821237312056</v>
      </c>
      <c r="T1335" s="411">
        <v>69.112298517284614</v>
      </c>
      <c r="U1335" s="411">
        <v>69.364785866880226</v>
      </c>
      <c r="V1335" s="411">
        <f t="shared" si="225"/>
        <v>20.724899344157702</v>
      </c>
      <c r="W1335" s="411">
        <v>71.628173270458291</v>
      </c>
      <c r="X1335" s="411">
        <v>72.53175437008052</v>
      </c>
      <c r="Y1335" s="411">
        <f t="shared" si="226"/>
        <v>21.671130239772459</v>
      </c>
      <c r="Z1335" s="411">
        <v>73.69719669404914</v>
      </c>
      <c r="AA1335" s="411">
        <v>74.899969155308199</v>
      </c>
      <c r="AB1335" s="441">
        <f t="shared" si="227"/>
        <v>22.141539862174664</v>
      </c>
      <c r="AC1335" s="438">
        <f t="shared" si="228"/>
        <v>22.803551118715241</v>
      </c>
      <c r="AD1335" s="410"/>
      <c r="AE1335" s="411"/>
      <c r="AF1335" s="411"/>
      <c r="AG1335" s="411"/>
    </row>
    <row r="1336" spans="1:33" s="409" customFormat="1" x14ac:dyDescent="0.2">
      <c r="A1336" s="409" t="s">
        <v>613</v>
      </c>
      <c r="B1336" s="23" t="str">
        <f>VLOOKUP(LEFT(A1336,7),'[7]Tariff Schedule Lookup Table'!$A$8:$G$186,2,FALSE)</f>
        <v>Incandescent 100</v>
      </c>
      <c r="C1336" s="375">
        <f t="shared" si="230"/>
        <v>110</v>
      </c>
      <c r="D1336" s="23">
        <f t="shared" si="231"/>
        <v>2</v>
      </c>
      <c r="E1336" s="23" t="str">
        <f>VLOOKUP(C1336,'[7]Tariff Schedule Lookup Table'!I$7:L$287,2,FALSE)</f>
        <v>BULKHEADS ETC</v>
      </c>
      <c r="F1336" s="23" t="str">
        <f>IF(E1336 = "BULKHEADS ETC", "SHARED OR NO POLE", VLOOKUP(C1336,'[7]Tariff Schedule Lookup Table'!I$7:L$287,3,FALSE))</f>
        <v>SHARED OR NO POLE</v>
      </c>
      <c r="G1336" s="23">
        <f>IF(E1336 = "NO CAPITAL", 1, VLOOKUP(C1336,'[7]Tariff Schedule Lookup Table'!I$7:L$287,4,FALSE))</f>
        <v>1</v>
      </c>
      <c r="H1336" s="23" t="str">
        <f t="shared" si="229"/>
        <v>2-Unmetered, Funded by Others, CE Maintained</v>
      </c>
      <c r="I1336" s="374">
        <f>VLOOKUP(F1336,'Maintenance Model'!$A$57:$B$61,2,FALSE)</f>
        <v>0</v>
      </c>
      <c r="J1336" s="374">
        <f>IF(D1336=1,VLOOKUP(C1336,'Capital Code Schedules'!A$15:F$300,2,FALSE),IF(D1336=2,VLOOKUP(C1336,'Capital Code Schedules'!A$15:F$300,3,FALSE),0))</f>
        <v>0</v>
      </c>
      <c r="K1336" s="374">
        <f>IF(D1336=1,VLOOKUP(C1336,'Capital Code Schedules'!E$15:G$300,2,FALSE),IF(D1336=2,VLOOKUP(C1336,'Capital Code Schedules'!E$15:G$300,3,FALSE),0))</f>
        <v>0</v>
      </c>
      <c r="L1336" s="374">
        <f>VLOOKUP(LEFT(A1336,10),'Streetlight Tariff Schedule'!B$11:H$260,7, FALSE)+I1336</f>
        <v>18.153005213350784</v>
      </c>
      <c r="M1336" s="410">
        <f t="shared" si="222"/>
        <v>18.153005213350784</v>
      </c>
      <c r="N1336" s="411">
        <f t="shared" si="223"/>
        <v>18.909415934826431</v>
      </c>
      <c r="O1336" s="411">
        <v>63.288490110653221</v>
      </c>
      <c r="P1336" s="411">
        <v>63.288490110653221</v>
      </c>
      <c r="Q1336" s="411">
        <v>66.385756812944152</v>
      </c>
      <c r="R1336" s="411">
        <v>66.385756812944152</v>
      </c>
      <c r="S1336" s="411">
        <f t="shared" si="224"/>
        <v>19.834821237312056</v>
      </c>
      <c r="T1336" s="411">
        <v>69.112298517284614</v>
      </c>
      <c r="U1336" s="411">
        <v>69.364785866880226</v>
      </c>
      <c r="V1336" s="411">
        <f t="shared" si="225"/>
        <v>20.724899344157702</v>
      </c>
      <c r="W1336" s="411">
        <v>71.628173270458291</v>
      </c>
      <c r="X1336" s="411">
        <v>72.53175437008052</v>
      </c>
      <c r="Y1336" s="411">
        <f t="shared" si="226"/>
        <v>21.671130239772459</v>
      </c>
      <c r="Z1336" s="411">
        <v>73.69719669404914</v>
      </c>
      <c r="AA1336" s="411">
        <v>74.899969155308199</v>
      </c>
      <c r="AB1336" s="441">
        <f t="shared" si="227"/>
        <v>22.141539862174664</v>
      </c>
      <c r="AC1336" s="438">
        <f t="shared" si="228"/>
        <v>22.803551118715241</v>
      </c>
      <c r="AD1336" s="410"/>
      <c r="AE1336" s="411"/>
      <c r="AF1336" s="411"/>
      <c r="AG1336" s="411"/>
    </row>
    <row r="1337" spans="1:33" s="409" customFormat="1" x14ac:dyDescent="0.2">
      <c r="A1337" s="409" t="s">
        <v>614</v>
      </c>
      <c r="B1337" s="23" t="str">
        <f>VLOOKUP(LEFT(A1337,7),'[7]Tariff Schedule Lookup Table'!$A$8:$G$186,2,FALSE)</f>
        <v>Incandescent 100</v>
      </c>
      <c r="C1337" s="375">
        <f t="shared" si="230"/>
        <v>810</v>
      </c>
      <c r="D1337" s="23">
        <f t="shared" si="231"/>
        <v>1</v>
      </c>
      <c r="E1337" s="23" t="str">
        <f>VLOOKUP(C1337,'[7]Tariff Schedule Lookup Table'!I$7:L$287,2,FALSE)</f>
        <v>MERCURY VAPOUR 80W</v>
      </c>
      <c r="F1337" s="23" t="str">
        <f>IF(E1337 = "BULKHEADS ETC", "SHARED OR NO POLE", VLOOKUP(C1337,'[7]Tariff Schedule Lookup Table'!I$7:L$287,3,FALSE))</f>
        <v>WOOD POLE</v>
      </c>
      <c r="G1337" s="23">
        <f>IF(E1337 = "NO CAPITAL", 1, VLOOKUP(C1337,'[7]Tariff Schedule Lookup Table'!I$7:L$287,4,FALSE))</f>
        <v>1</v>
      </c>
      <c r="H1337" s="23" t="str">
        <f t="shared" si="229"/>
        <v>1-Unmetered, CE Funded, CE Maintained</v>
      </c>
      <c r="I1337" s="374">
        <f>VLOOKUP(F1337,'Maintenance Model'!$A$57:$B$61,2,FALSE)</f>
        <v>10.731618231111112</v>
      </c>
      <c r="J1337" s="374">
        <f>IF(D1337=1,VLOOKUP(C1337,'Capital Code Schedules'!A$15:F$300,2,FALSE),IF(D1337=2,VLOOKUP(C1337,'Capital Code Schedules'!A$15:F$300,3,FALSE),0))</f>
        <v>51.156145528662286</v>
      </c>
      <c r="K1337" s="374">
        <f>IF(D1337=1,VLOOKUP(C1337,'Capital Code Schedules'!E$15:G$300,2,FALSE),IF(D1337=2,VLOOKUP(C1337,'Capital Code Schedules'!E$15:G$300,3,FALSE),0))</f>
        <v>64.890075665956445</v>
      </c>
      <c r="L1337" s="374">
        <f>VLOOKUP(LEFT(A1337,10),'Streetlight Tariff Schedule'!B$11:H$260,7, FALSE)+I1337</f>
        <v>28.884623444461894</v>
      </c>
      <c r="M1337" s="410">
        <f t="shared" si="222"/>
        <v>93.774699110418339</v>
      </c>
      <c r="N1337" s="411">
        <f t="shared" si="223"/>
        <v>82.510466045320513</v>
      </c>
      <c r="O1337" s="411">
        <v>143.12462391101323</v>
      </c>
      <c r="P1337" s="411">
        <v>140.18079522476629</v>
      </c>
      <c r="Q1337" s="411">
        <v>145.43261873063193</v>
      </c>
      <c r="R1337" s="411">
        <v>148.4493071768635</v>
      </c>
      <c r="S1337" s="411">
        <f t="shared" si="224"/>
        <v>85.280399549475362</v>
      </c>
      <c r="T1337" s="411">
        <v>150.29355243615919</v>
      </c>
      <c r="U1337" s="411">
        <v>153.94571121459447</v>
      </c>
      <c r="V1337" s="411">
        <f t="shared" si="225"/>
        <v>88.227682100417425</v>
      </c>
      <c r="W1337" s="411">
        <v>154.95095475943245</v>
      </c>
      <c r="X1337" s="411">
        <v>160.11393306410403</v>
      </c>
      <c r="Y1337" s="411">
        <f t="shared" si="226"/>
        <v>91.606301351206184</v>
      </c>
      <c r="Z1337" s="411">
        <v>159.13087715506927</v>
      </c>
      <c r="AA1337" s="411">
        <v>165.02769408078854</v>
      </c>
      <c r="AB1337" s="441">
        <f t="shared" si="227"/>
        <v>93.360183293683875</v>
      </c>
      <c r="AC1337" s="438">
        <f t="shared" si="228"/>
        <v>96.105116421155387</v>
      </c>
      <c r="AD1337" s="410"/>
      <c r="AE1337" s="411"/>
      <c r="AF1337" s="411"/>
      <c r="AG1337" s="411"/>
    </row>
    <row r="1338" spans="1:33" s="409" customFormat="1" x14ac:dyDescent="0.2">
      <c r="A1338" s="409" t="s">
        <v>616</v>
      </c>
      <c r="B1338" s="23" t="str">
        <f>VLOOKUP(LEFT(A1338,7),'[7]Tariff Schedule Lookup Table'!$A$8:$G$186,2,FALSE)</f>
        <v>Incandescent 130</v>
      </c>
      <c r="C1338" s="375">
        <f t="shared" si="230"/>
        <v>740</v>
      </c>
      <c r="D1338" s="23">
        <f t="shared" si="231"/>
        <v>2</v>
      </c>
      <c r="E1338" s="23" t="str">
        <f>VLOOKUP(C1338,'[7]Tariff Schedule Lookup Table'!I$7:L$287,2,FALSE)</f>
        <v>MERCURY VAPOUR 80W</v>
      </c>
      <c r="F1338" s="23" t="str">
        <f>IF(E1338 = "BULKHEADS ETC", "SHARED OR NO POLE", VLOOKUP(C1338,'[7]Tariff Schedule Lookup Table'!I$7:L$287,3,FALSE))</f>
        <v>SHARED OR NO POLE</v>
      </c>
      <c r="G1338" s="23">
        <f>IF(E1338 = "NO CAPITAL", 1, VLOOKUP(C1338,'[7]Tariff Schedule Lookup Table'!I$7:L$287,4,FALSE))</f>
        <v>2</v>
      </c>
      <c r="H1338" s="23" t="str">
        <f t="shared" si="229"/>
        <v>2-Unmetered, Funded by Others, CE Maintained</v>
      </c>
      <c r="I1338" s="374">
        <f>VLOOKUP(F1338,'Maintenance Model'!$A$57:$B$61,2,FALSE)</f>
        <v>0</v>
      </c>
      <c r="J1338" s="374">
        <f>IF(D1338=1,VLOOKUP(C1338,'Capital Code Schedules'!A$15:F$300,2,FALSE),IF(D1338=2,VLOOKUP(C1338,'Capital Code Schedules'!A$15:F$300,3,FALSE),0))</f>
        <v>0</v>
      </c>
      <c r="K1338" s="374">
        <f>IF(D1338=1,VLOOKUP(C1338,'Capital Code Schedules'!E$15:G$300,2,FALSE),IF(D1338=2,VLOOKUP(C1338,'Capital Code Schedules'!E$15:G$300,3,FALSE),0))</f>
        <v>0</v>
      </c>
      <c r="L1338" s="374">
        <f>VLOOKUP(LEFT(A1338,10),'Streetlight Tariff Schedule'!B$11:H$260,7, FALSE)+I1338</f>
        <v>18.153005213350784</v>
      </c>
      <c r="M1338" s="410">
        <f t="shared" si="222"/>
        <v>18.153005213350784</v>
      </c>
      <c r="N1338" s="411">
        <f t="shared" si="223"/>
        <v>18.909415934826431</v>
      </c>
      <c r="O1338" s="411">
        <v>63.288490110653221</v>
      </c>
      <c r="P1338" s="411">
        <v>63.288490110653221</v>
      </c>
      <c r="Q1338" s="411">
        <v>66.385756812944152</v>
      </c>
      <c r="R1338" s="411">
        <v>66.385756812944152</v>
      </c>
      <c r="S1338" s="411">
        <f t="shared" si="224"/>
        <v>19.834821237312056</v>
      </c>
      <c r="T1338" s="411">
        <v>69.112298517284614</v>
      </c>
      <c r="U1338" s="411">
        <v>69.364785866880226</v>
      </c>
      <c r="V1338" s="411">
        <f t="shared" si="225"/>
        <v>20.724899344157702</v>
      </c>
      <c r="W1338" s="411">
        <v>71.628173270458291</v>
      </c>
      <c r="X1338" s="411">
        <v>72.53175437008052</v>
      </c>
      <c r="Y1338" s="411">
        <f t="shared" si="226"/>
        <v>21.671130239772459</v>
      </c>
      <c r="Z1338" s="411">
        <v>73.69719669404914</v>
      </c>
      <c r="AA1338" s="411">
        <v>74.899969155308199</v>
      </c>
      <c r="AB1338" s="441">
        <f t="shared" si="227"/>
        <v>22.141539862174664</v>
      </c>
      <c r="AC1338" s="438">
        <f t="shared" si="228"/>
        <v>22.803551118715241</v>
      </c>
      <c r="AD1338" s="410"/>
      <c r="AE1338" s="411"/>
      <c r="AF1338" s="411"/>
      <c r="AG1338" s="411"/>
    </row>
    <row r="1339" spans="1:33" s="409" customFormat="1" x14ac:dyDescent="0.2">
      <c r="A1339" s="409" t="s">
        <v>617</v>
      </c>
      <c r="B1339" s="23" t="str">
        <f>VLOOKUP(LEFT(A1339,7),'[7]Tariff Schedule Lookup Table'!$A$8:$G$186,2,FALSE)</f>
        <v>Incandescent 150</v>
      </c>
      <c r="C1339" s="375">
        <f t="shared" si="230"/>
        <v>10</v>
      </c>
      <c r="D1339" s="23">
        <f t="shared" si="231"/>
        <v>1</v>
      </c>
      <c r="E1339" s="23" t="str">
        <f>VLOOKUP(C1339,'[7]Tariff Schedule Lookup Table'!I$7:L$287,2,FALSE)</f>
        <v>MERCURY VAPOUR 80W</v>
      </c>
      <c r="F1339" s="23" t="str">
        <f>IF(E1339 = "BULKHEADS ETC", "SHARED OR NO POLE", VLOOKUP(C1339,'[7]Tariff Schedule Lookup Table'!I$7:L$287,3,FALSE))</f>
        <v>SHARED OR NO POLE</v>
      </c>
      <c r="G1339" s="23">
        <f>IF(E1339 = "NO CAPITAL", 1, VLOOKUP(C1339,'[7]Tariff Schedule Lookup Table'!I$7:L$287,4,FALSE))</f>
        <v>1</v>
      </c>
      <c r="H1339" s="23" t="str">
        <f t="shared" si="229"/>
        <v>1-Unmetered, CE Funded, CE Maintained</v>
      </c>
      <c r="I1339" s="374">
        <f>VLOOKUP(F1339,'Maintenance Model'!$A$57:$B$61,2,FALSE)</f>
        <v>0</v>
      </c>
      <c r="J1339" s="374">
        <f>IF(D1339=1,VLOOKUP(C1339,'Capital Code Schedules'!A$15:F$300,2,FALSE),IF(D1339=2,VLOOKUP(C1339,'Capital Code Schedules'!A$15:F$300,3,FALSE),0))</f>
        <v>17.255027166785979</v>
      </c>
      <c r="K1339" s="374">
        <f>IF(D1339=1,VLOOKUP(C1339,'Capital Code Schedules'!E$15:G$300,2,FALSE),IF(D1339=2,VLOOKUP(C1339,'Capital Code Schedules'!E$15:G$300,3,FALSE),0))</f>
        <v>21.887497717034414</v>
      </c>
      <c r="L1339" s="374">
        <f>VLOOKUP(LEFT(A1339,10),'Streetlight Tariff Schedule'!B$11:H$260,7, FALSE)+I1339</f>
        <v>20.903227435573008</v>
      </c>
      <c r="M1339" s="410">
        <f t="shared" si="222"/>
        <v>42.790725152607422</v>
      </c>
      <c r="N1339" s="411">
        <f t="shared" si="223"/>
        <v>39.456325217781476</v>
      </c>
      <c r="O1339" s="411">
        <v>89.575480417168194</v>
      </c>
      <c r="P1339" s="411">
        <v>88.582523589975338</v>
      </c>
      <c r="Q1339" s="411">
        <v>92.375114362042837</v>
      </c>
      <c r="R1339" s="411">
        <v>93.392646870708703</v>
      </c>
      <c r="S1339" s="411">
        <f t="shared" si="224"/>
        <v>40.959563266183586</v>
      </c>
      <c r="T1339" s="411">
        <v>95.793938173447103</v>
      </c>
      <c r="U1339" s="411">
        <v>97.190578075317106</v>
      </c>
      <c r="V1339" s="411">
        <f t="shared" si="225"/>
        <v>42.500902304878103</v>
      </c>
      <c r="W1339" s="411">
        <v>99.00663831466764</v>
      </c>
      <c r="X1339" s="411">
        <v>101.33775550360558</v>
      </c>
      <c r="Y1339" s="411">
        <f t="shared" si="226"/>
        <v>44.222254270083454</v>
      </c>
      <c r="Z1339" s="411">
        <v>101.76668773625222</v>
      </c>
      <c r="AA1339" s="411">
        <v>104.54056910957306</v>
      </c>
      <c r="AB1339" s="441">
        <f t="shared" si="227"/>
        <v>45.103047037121385</v>
      </c>
      <c r="AC1339" s="438">
        <f t="shared" si="228"/>
        <v>46.43591859897397</v>
      </c>
      <c r="AD1339" s="410"/>
      <c r="AE1339" s="411"/>
      <c r="AF1339" s="411"/>
      <c r="AG1339" s="411"/>
    </row>
    <row r="1340" spans="1:33" s="409" customFormat="1" x14ac:dyDescent="0.2">
      <c r="A1340" s="409" t="s">
        <v>618</v>
      </c>
      <c r="B1340" s="23" t="str">
        <f>VLOOKUP(LEFT(A1340,7),'[7]Tariff Schedule Lookup Table'!$A$8:$G$186,2,FALSE)</f>
        <v>Incandescent 150</v>
      </c>
      <c r="C1340" s="375">
        <f t="shared" si="230"/>
        <v>10</v>
      </c>
      <c r="D1340" s="23">
        <f t="shared" si="231"/>
        <v>2</v>
      </c>
      <c r="E1340" s="23" t="str">
        <f>VLOOKUP(C1340,'[7]Tariff Schedule Lookup Table'!I$7:L$287,2,FALSE)</f>
        <v>MERCURY VAPOUR 80W</v>
      </c>
      <c r="F1340" s="23" t="str">
        <f>IF(E1340 = "BULKHEADS ETC", "SHARED OR NO POLE", VLOOKUP(C1340,'[7]Tariff Schedule Lookup Table'!I$7:L$287,3,FALSE))</f>
        <v>SHARED OR NO POLE</v>
      </c>
      <c r="G1340" s="23">
        <f>IF(E1340 = "NO CAPITAL", 1, VLOOKUP(C1340,'[7]Tariff Schedule Lookup Table'!I$7:L$287,4,FALSE))</f>
        <v>1</v>
      </c>
      <c r="H1340" s="23" t="str">
        <f t="shared" si="229"/>
        <v>2-Unmetered, Funded by Others, CE Maintained</v>
      </c>
      <c r="I1340" s="374">
        <f>VLOOKUP(F1340,'Maintenance Model'!$A$57:$B$61,2,FALSE)</f>
        <v>0</v>
      </c>
      <c r="J1340" s="374">
        <f>IF(D1340=1,VLOOKUP(C1340,'Capital Code Schedules'!A$15:F$300,2,FALSE),IF(D1340=2,VLOOKUP(C1340,'Capital Code Schedules'!A$15:F$300,3,FALSE),0))</f>
        <v>0</v>
      </c>
      <c r="K1340" s="374">
        <f>IF(D1340=1,VLOOKUP(C1340,'Capital Code Schedules'!E$15:G$300,2,FALSE),IF(D1340=2,VLOOKUP(C1340,'Capital Code Schedules'!E$15:G$300,3,FALSE),0))</f>
        <v>0</v>
      </c>
      <c r="L1340" s="374">
        <f>VLOOKUP(LEFT(A1340,10),'Streetlight Tariff Schedule'!B$11:H$260,7, FALSE)+I1340</f>
        <v>20.903227435573008</v>
      </c>
      <c r="M1340" s="410">
        <f t="shared" si="222"/>
        <v>20.903227435573008</v>
      </c>
      <c r="N1340" s="411">
        <f t="shared" si="223"/>
        <v>21.774236128617545</v>
      </c>
      <c r="O1340" s="411">
        <v>66.153310304444332</v>
      </c>
      <c r="P1340" s="411">
        <v>66.153310304444332</v>
      </c>
      <c r="Q1340" s="411">
        <v>69.390778047694937</v>
      </c>
      <c r="R1340" s="411">
        <v>69.390778047694937</v>
      </c>
      <c r="S1340" s="411">
        <f t="shared" si="224"/>
        <v>22.839842472062848</v>
      </c>
      <c r="T1340" s="411">
        <v>72.240739535319094</v>
      </c>
      <c r="U1340" s="411">
        <v>72.504655990847439</v>
      </c>
      <c r="V1340" s="411">
        <f t="shared" si="225"/>
        <v>23.864769468124923</v>
      </c>
      <c r="W1340" s="411">
        <v>74.870498010245953</v>
      </c>
      <c r="X1340" s="411">
        <v>75.814980660472401</v>
      </c>
      <c r="Y1340" s="411">
        <f t="shared" si="226"/>
        <v>24.954356530164343</v>
      </c>
      <c r="Z1340" s="411">
        <v>77.033177959296111</v>
      </c>
      <c r="AA1340" s="411">
        <v>78.290395183410567</v>
      </c>
      <c r="AB1340" s="441">
        <f t="shared" si="227"/>
        <v>25.496034296979694</v>
      </c>
      <c r="AC1340" s="438">
        <f t="shared" si="228"/>
        <v>26.258341788094153</v>
      </c>
      <c r="AD1340" s="410"/>
      <c r="AE1340" s="411"/>
      <c r="AF1340" s="411"/>
      <c r="AG1340" s="411"/>
    </row>
    <row r="1341" spans="1:33" s="409" customFormat="1" x14ac:dyDescent="0.2">
      <c r="A1341" s="409" t="s">
        <v>619</v>
      </c>
      <c r="B1341" s="23" t="str">
        <f>VLOOKUP(LEFT(A1341,7),'[7]Tariff Schedule Lookup Table'!$A$8:$G$186,2,FALSE)</f>
        <v>Incandescent 150</v>
      </c>
      <c r="C1341" s="375">
        <f t="shared" si="230"/>
        <v>110</v>
      </c>
      <c r="D1341" s="23">
        <f t="shared" si="231"/>
        <v>2</v>
      </c>
      <c r="E1341" s="23" t="str">
        <f>VLOOKUP(C1341,'[7]Tariff Schedule Lookup Table'!I$7:L$287,2,FALSE)</f>
        <v>BULKHEADS ETC</v>
      </c>
      <c r="F1341" s="23" t="str">
        <f>IF(E1341 = "BULKHEADS ETC", "SHARED OR NO POLE", VLOOKUP(C1341,'[7]Tariff Schedule Lookup Table'!I$7:L$287,3,FALSE))</f>
        <v>SHARED OR NO POLE</v>
      </c>
      <c r="G1341" s="23">
        <f>IF(E1341 = "NO CAPITAL", 1, VLOOKUP(C1341,'[7]Tariff Schedule Lookup Table'!I$7:L$287,4,FALSE))</f>
        <v>1</v>
      </c>
      <c r="H1341" s="23" t="str">
        <f t="shared" si="229"/>
        <v>2-Unmetered, Funded by Others, CE Maintained</v>
      </c>
      <c r="I1341" s="374">
        <f>VLOOKUP(F1341,'Maintenance Model'!$A$57:$B$61,2,FALSE)</f>
        <v>0</v>
      </c>
      <c r="J1341" s="374">
        <f>IF(D1341=1,VLOOKUP(C1341,'Capital Code Schedules'!A$15:F$300,2,FALSE),IF(D1341=2,VLOOKUP(C1341,'Capital Code Schedules'!A$15:F$300,3,FALSE),0))</f>
        <v>0</v>
      </c>
      <c r="K1341" s="374">
        <f>IF(D1341=1,VLOOKUP(C1341,'Capital Code Schedules'!E$15:G$300,2,FALSE),IF(D1341=2,VLOOKUP(C1341,'Capital Code Schedules'!E$15:G$300,3,FALSE),0))</f>
        <v>0</v>
      </c>
      <c r="L1341" s="374">
        <f>VLOOKUP(LEFT(A1341,10),'Streetlight Tariff Schedule'!B$11:H$260,7, FALSE)+I1341</f>
        <v>20.903227435573008</v>
      </c>
      <c r="M1341" s="410">
        <f t="shared" si="222"/>
        <v>20.903227435573008</v>
      </c>
      <c r="N1341" s="411">
        <f t="shared" si="223"/>
        <v>21.774236128617545</v>
      </c>
      <c r="O1341" s="411">
        <v>66.153310304444332</v>
      </c>
      <c r="P1341" s="411">
        <v>66.153310304444332</v>
      </c>
      <c r="Q1341" s="411">
        <v>69.390778047694937</v>
      </c>
      <c r="R1341" s="411">
        <v>69.390778047694937</v>
      </c>
      <c r="S1341" s="411">
        <f t="shared" si="224"/>
        <v>22.839842472062848</v>
      </c>
      <c r="T1341" s="411">
        <v>72.240739535319094</v>
      </c>
      <c r="U1341" s="411">
        <v>72.504655990847439</v>
      </c>
      <c r="V1341" s="411">
        <f t="shared" si="225"/>
        <v>23.864769468124923</v>
      </c>
      <c r="W1341" s="411">
        <v>74.870498010245953</v>
      </c>
      <c r="X1341" s="411">
        <v>75.814980660472401</v>
      </c>
      <c r="Y1341" s="411">
        <f t="shared" si="226"/>
        <v>24.954356530164343</v>
      </c>
      <c r="Z1341" s="411">
        <v>77.033177959296111</v>
      </c>
      <c r="AA1341" s="411">
        <v>78.290395183410567</v>
      </c>
      <c r="AB1341" s="441">
        <f t="shared" si="227"/>
        <v>25.496034296979694</v>
      </c>
      <c r="AC1341" s="438">
        <f t="shared" si="228"/>
        <v>26.258341788094153</v>
      </c>
      <c r="AD1341" s="410"/>
      <c r="AE1341" s="411"/>
      <c r="AF1341" s="411"/>
      <c r="AG1341" s="411"/>
    </row>
    <row r="1342" spans="1:33" s="409" customFormat="1" x14ac:dyDescent="0.2">
      <c r="A1342" s="409" t="s">
        <v>620</v>
      </c>
      <c r="B1342" s="23" t="str">
        <f>VLOOKUP(LEFT(A1342,7),'[7]Tariff Schedule Lookup Table'!$A$8:$G$186,2,FALSE)</f>
        <v>Incandescent 150</v>
      </c>
      <c r="C1342" s="375">
        <f t="shared" si="230"/>
        <v>810</v>
      </c>
      <c r="D1342" s="23">
        <f t="shared" si="231"/>
        <v>1</v>
      </c>
      <c r="E1342" s="23" t="str">
        <f>VLOOKUP(C1342,'[7]Tariff Schedule Lookup Table'!I$7:L$287,2,FALSE)</f>
        <v>MERCURY VAPOUR 80W</v>
      </c>
      <c r="F1342" s="23" t="str">
        <f>IF(E1342 = "BULKHEADS ETC", "SHARED OR NO POLE", VLOOKUP(C1342,'[7]Tariff Schedule Lookup Table'!I$7:L$287,3,FALSE))</f>
        <v>WOOD POLE</v>
      </c>
      <c r="G1342" s="23">
        <f>IF(E1342 = "NO CAPITAL", 1, VLOOKUP(C1342,'[7]Tariff Schedule Lookup Table'!I$7:L$287,4,FALSE))</f>
        <v>1</v>
      </c>
      <c r="H1342" s="23" t="str">
        <f t="shared" si="229"/>
        <v>1-Unmetered, CE Funded, CE Maintained</v>
      </c>
      <c r="I1342" s="374">
        <f>VLOOKUP(F1342,'Maintenance Model'!$A$57:$B$61,2,FALSE)</f>
        <v>10.731618231111112</v>
      </c>
      <c r="J1342" s="374">
        <f>IF(D1342=1,VLOOKUP(C1342,'Capital Code Schedules'!A$15:F$300,2,FALSE),IF(D1342=2,VLOOKUP(C1342,'Capital Code Schedules'!A$15:F$300,3,FALSE),0))</f>
        <v>51.156145528662286</v>
      </c>
      <c r="K1342" s="374">
        <f>IF(D1342=1,VLOOKUP(C1342,'Capital Code Schedules'!E$15:G$300,2,FALSE),IF(D1342=2,VLOOKUP(C1342,'Capital Code Schedules'!E$15:G$300,3,FALSE),0))</f>
        <v>64.890075665956445</v>
      </c>
      <c r="L1342" s="374">
        <f>VLOOKUP(LEFT(A1342,10),'Streetlight Tariff Schedule'!B$11:H$260,7, FALSE)+I1342</f>
        <v>31.634845666684122</v>
      </c>
      <c r="M1342" s="410">
        <f t="shared" si="222"/>
        <v>96.52492133264056</v>
      </c>
      <c r="N1342" s="411">
        <f t="shared" si="223"/>
        <v>85.375286239111631</v>
      </c>
      <c r="O1342" s="411">
        <v>145.98944410480433</v>
      </c>
      <c r="P1342" s="411">
        <v>143.04561541855739</v>
      </c>
      <c r="Q1342" s="411">
        <v>148.43763996538274</v>
      </c>
      <c r="R1342" s="411">
        <v>151.45432841161431</v>
      </c>
      <c r="S1342" s="411">
        <f t="shared" si="224"/>
        <v>88.285420784226147</v>
      </c>
      <c r="T1342" s="411">
        <v>153.42199345419365</v>
      </c>
      <c r="U1342" s="411">
        <v>157.08558133856167</v>
      </c>
      <c r="V1342" s="411">
        <f t="shared" si="225"/>
        <v>91.367552224384653</v>
      </c>
      <c r="W1342" s="411">
        <v>158.1932794992201</v>
      </c>
      <c r="X1342" s="411">
        <v>163.39715935449593</v>
      </c>
      <c r="Y1342" s="411">
        <f t="shared" si="226"/>
        <v>94.88952764159805</v>
      </c>
      <c r="Z1342" s="411">
        <v>162.46685842031624</v>
      </c>
      <c r="AA1342" s="411">
        <v>168.41812010889092</v>
      </c>
      <c r="AB1342" s="441">
        <f t="shared" si="227"/>
        <v>96.714677728488908</v>
      </c>
      <c r="AC1342" s="438">
        <f t="shared" si="228"/>
        <v>99.559907090534296</v>
      </c>
      <c r="AD1342" s="410"/>
      <c r="AE1342" s="411"/>
      <c r="AF1342" s="411"/>
      <c r="AG1342" s="411"/>
    </row>
    <row r="1343" spans="1:33" s="409" customFormat="1" x14ac:dyDescent="0.2">
      <c r="A1343" s="409" t="s">
        <v>621</v>
      </c>
      <c r="B1343" s="23" t="str">
        <f>VLOOKUP(LEFT(A1343,7),'[7]Tariff Schedule Lookup Table'!$A$8:$G$186,2,FALSE)</f>
        <v>Incandescent 200</v>
      </c>
      <c r="C1343" s="375">
        <f t="shared" si="230"/>
        <v>10</v>
      </c>
      <c r="D1343" s="23">
        <f t="shared" si="231"/>
        <v>1</v>
      </c>
      <c r="E1343" s="23" t="str">
        <f>VLOOKUP(C1343,'[7]Tariff Schedule Lookup Table'!I$7:L$287,2,FALSE)</f>
        <v>MERCURY VAPOUR 80W</v>
      </c>
      <c r="F1343" s="23" t="str">
        <f>IF(E1343 = "BULKHEADS ETC", "SHARED OR NO POLE", VLOOKUP(C1343,'[7]Tariff Schedule Lookup Table'!I$7:L$287,3,FALSE))</f>
        <v>SHARED OR NO POLE</v>
      </c>
      <c r="G1343" s="23">
        <f>IF(E1343 = "NO CAPITAL", 1, VLOOKUP(C1343,'[7]Tariff Schedule Lookup Table'!I$7:L$287,4,FALSE))</f>
        <v>1</v>
      </c>
      <c r="H1343" s="23" t="str">
        <f t="shared" si="229"/>
        <v>1-Unmetered, CE Funded, CE Maintained</v>
      </c>
      <c r="I1343" s="374">
        <f>VLOOKUP(F1343,'Maintenance Model'!$A$57:$B$61,2,FALSE)</f>
        <v>0</v>
      </c>
      <c r="J1343" s="374">
        <f>IF(D1343=1,VLOOKUP(C1343,'Capital Code Schedules'!A$15:F$300,2,FALSE),IF(D1343=2,VLOOKUP(C1343,'Capital Code Schedules'!A$15:F$300,3,FALSE),0))</f>
        <v>17.255027166785979</v>
      </c>
      <c r="K1343" s="374">
        <f>IF(D1343=1,VLOOKUP(C1343,'Capital Code Schedules'!E$15:G$300,2,FALSE),IF(D1343=2,VLOOKUP(C1343,'Capital Code Schedules'!E$15:G$300,3,FALSE),0))</f>
        <v>21.887497717034414</v>
      </c>
      <c r="L1343" s="374">
        <f>VLOOKUP(LEFT(A1343,10),'Streetlight Tariff Schedule'!B$11:H$260,7, FALSE)+I1343</f>
        <v>20.903227435573008</v>
      </c>
      <c r="M1343" s="410">
        <f t="shared" si="222"/>
        <v>42.790725152607422</v>
      </c>
      <c r="N1343" s="411">
        <f t="shared" si="223"/>
        <v>39.456325217781476</v>
      </c>
      <c r="O1343" s="411">
        <v>89.575480417168194</v>
      </c>
      <c r="P1343" s="411">
        <v>88.582523589975338</v>
      </c>
      <c r="Q1343" s="411">
        <v>92.375114362042837</v>
      </c>
      <c r="R1343" s="411">
        <v>93.392646870708703</v>
      </c>
      <c r="S1343" s="411">
        <f t="shared" si="224"/>
        <v>40.959563266183586</v>
      </c>
      <c r="T1343" s="411">
        <v>95.793938173447103</v>
      </c>
      <c r="U1343" s="411">
        <v>97.190578075317106</v>
      </c>
      <c r="V1343" s="411">
        <f t="shared" si="225"/>
        <v>42.500902304878103</v>
      </c>
      <c r="W1343" s="411">
        <v>99.00663831466764</v>
      </c>
      <c r="X1343" s="411">
        <v>101.33775550360558</v>
      </c>
      <c r="Y1343" s="411">
        <f t="shared" si="226"/>
        <v>44.222254270083454</v>
      </c>
      <c r="Z1343" s="411">
        <v>101.76668773625222</v>
      </c>
      <c r="AA1343" s="411">
        <v>104.54056910957306</v>
      </c>
      <c r="AB1343" s="441">
        <f t="shared" si="227"/>
        <v>45.103047037121385</v>
      </c>
      <c r="AC1343" s="438">
        <f t="shared" si="228"/>
        <v>46.43591859897397</v>
      </c>
      <c r="AD1343" s="410"/>
      <c r="AE1343" s="411"/>
      <c r="AF1343" s="411"/>
      <c r="AG1343" s="411"/>
    </row>
    <row r="1344" spans="1:33" s="409" customFormat="1" x14ac:dyDescent="0.2">
      <c r="A1344" s="409" t="s">
        <v>622</v>
      </c>
      <c r="B1344" s="23" t="str">
        <f>VLOOKUP(LEFT(A1344,7),'[7]Tariff Schedule Lookup Table'!$A$8:$G$186,2,FALSE)</f>
        <v>Incandescent 200</v>
      </c>
      <c r="C1344" s="375">
        <f t="shared" si="230"/>
        <v>10</v>
      </c>
      <c r="D1344" s="23">
        <f t="shared" si="231"/>
        <v>2</v>
      </c>
      <c r="E1344" s="23" t="str">
        <f>VLOOKUP(C1344,'[7]Tariff Schedule Lookup Table'!I$7:L$287,2,FALSE)</f>
        <v>MERCURY VAPOUR 80W</v>
      </c>
      <c r="F1344" s="23" t="str">
        <f>IF(E1344 = "BULKHEADS ETC", "SHARED OR NO POLE", VLOOKUP(C1344,'[7]Tariff Schedule Lookup Table'!I$7:L$287,3,FALSE))</f>
        <v>SHARED OR NO POLE</v>
      </c>
      <c r="G1344" s="23">
        <f>IF(E1344 = "NO CAPITAL", 1, VLOOKUP(C1344,'[7]Tariff Schedule Lookup Table'!I$7:L$287,4,FALSE))</f>
        <v>1</v>
      </c>
      <c r="H1344" s="23" t="str">
        <f t="shared" si="229"/>
        <v>2-Unmetered, Funded by Others, CE Maintained</v>
      </c>
      <c r="I1344" s="374">
        <f>VLOOKUP(F1344,'Maintenance Model'!$A$57:$B$61,2,FALSE)</f>
        <v>0</v>
      </c>
      <c r="J1344" s="374">
        <f>IF(D1344=1,VLOOKUP(C1344,'Capital Code Schedules'!A$15:F$300,2,FALSE),IF(D1344=2,VLOOKUP(C1344,'Capital Code Schedules'!A$15:F$300,3,FALSE),0))</f>
        <v>0</v>
      </c>
      <c r="K1344" s="374">
        <f>IF(D1344=1,VLOOKUP(C1344,'Capital Code Schedules'!E$15:G$300,2,FALSE),IF(D1344=2,VLOOKUP(C1344,'Capital Code Schedules'!E$15:G$300,3,FALSE),0))</f>
        <v>0</v>
      </c>
      <c r="L1344" s="374">
        <f>VLOOKUP(LEFT(A1344,10),'Streetlight Tariff Schedule'!B$11:H$260,7, FALSE)+I1344</f>
        <v>20.903227435573008</v>
      </c>
      <c r="M1344" s="410">
        <f t="shared" si="222"/>
        <v>20.903227435573008</v>
      </c>
      <c r="N1344" s="411">
        <f t="shared" si="223"/>
        <v>21.774236128617545</v>
      </c>
      <c r="O1344" s="411">
        <v>66.153310304444332</v>
      </c>
      <c r="P1344" s="411">
        <v>66.153310304444332</v>
      </c>
      <c r="Q1344" s="411">
        <v>69.390778047694937</v>
      </c>
      <c r="R1344" s="411">
        <v>69.390778047694937</v>
      </c>
      <c r="S1344" s="411">
        <f t="shared" si="224"/>
        <v>22.839842472062848</v>
      </c>
      <c r="T1344" s="411">
        <v>72.240739535319094</v>
      </c>
      <c r="U1344" s="411">
        <v>72.504655990847439</v>
      </c>
      <c r="V1344" s="411">
        <f t="shared" si="225"/>
        <v>23.864769468124923</v>
      </c>
      <c r="W1344" s="411">
        <v>74.870498010245953</v>
      </c>
      <c r="X1344" s="411">
        <v>75.814980660472401</v>
      </c>
      <c r="Y1344" s="411">
        <f t="shared" si="226"/>
        <v>24.954356530164343</v>
      </c>
      <c r="Z1344" s="411">
        <v>77.033177959296111</v>
      </c>
      <c r="AA1344" s="411">
        <v>78.290395183410567</v>
      </c>
      <c r="AB1344" s="441">
        <f t="shared" si="227"/>
        <v>25.496034296979694</v>
      </c>
      <c r="AC1344" s="438">
        <f t="shared" si="228"/>
        <v>26.258341788094153</v>
      </c>
      <c r="AD1344" s="410"/>
      <c r="AE1344" s="411"/>
      <c r="AF1344" s="411"/>
      <c r="AG1344" s="411"/>
    </row>
    <row r="1345" spans="1:33" s="409" customFormat="1" x14ac:dyDescent="0.2">
      <c r="A1345" s="409" t="s">
        <v>623</v>
      </c>
      <c r="B1345" s="23" t="str">
        <f>VLOOKUP(LEFT(A1345,7),'[7]Tariff Schedule Lookup Table'!$A$8:$G$186,2,FALSE)</f>
        <v>Incandescent 200</v>
      </c>
      <c r="C1345" s="375">
        <f t="shared" si="230"/>
        <v>810</v>
      </c>
      <c r="D1345" s="23">
        <f t="shared" si="231"/>
        <v>1</v>
      </c>
      <c r="E1345" s="23" t="str">
        <f>VLOOKUP(C1345,'[7]Tariff Schedule Lookup Table'!I$7:L$287,2,FALSE)</f>
        <v>MERCURY VAPOUR 80W</v>
      </c>
      <c r="F1345" s="23" t="str">
        <f>IF(E1345 = "BULKHEADS ETC", "SHARED OR NO POLE", VLOOKUP(C1345,'[7]Tariff Schedule Lookup Table'!I$7:L$287,3,FALSE))</f>
        <v>WOOD POLE</v>
      </c>
      <c r="G1345" s="23">
        <f>IF(E1345 = "NO CAPITAL", 1, VLOOKUP(C1345,'[7]Tariff Schedule Lookup Table'!I$7:L$287,4,FALSE))</f>
        <v>1</v>
      </c>
      <c r="H1345" s="23" t="str">
        <f t="shared" si="229"/>
        <v>1-Unmetered, CE Funded, CE Maintained</v>
      </c>
      <c r="I1345" s="374">
        <f>VLOOKUP(F1345,'Maintenance Model'!$A$57:$B$61,2,FALSE)</f>
        <v>10.731618231111112</v>
      </c>
      <c r="J1345" s="374">
        <f>IF(D1345=1,VLOOKUP(C1345,'Capital Code Schedules'!A$15:F$300,2,FALSE),IF(D1345=2,VLOOKUP(C1345,'Capital Code Schedules'!A$15:F$300,3,FALSE),0))</f>
        <v>51.156145528662286</v>
      </c>
      <c r="K1345" s="374">
        <f>IF(D1345=1,VLOOKUP(C1345,'Capital Code Schedules'!E$15:G$300,2,FALSE),IF(D1345=2,VLOOKUP(C1345,'Capital Code Schedules'!E$15:G$300,3,FALSE),0))</f>
        <v>64.890075665956445</v>
      </c>
      <c r="L1345" s="374">
        <f>VLOOKUP(LEFT(A1345,10),'Streetlight Tariff Schedule'!B$11:H$260,7, FALSE)+I1345</f>
        <v>31.634845666684122</v>
      </c>
      <c r="M1345" s="410">
        <f t="shared" si="222"/>
        <v>96.52492133264056</v>
      </c>
      <c r="N1345" s="411">
        <f t="shared" si="223"/>
        <v>85.375286239111631</v>
      </c>
      <c r="O1345" s="411">
        <v>145.98944410480433</v>
      </c>
      <c r="P1345" s="411">
        <v>143.04561541855739</v>
      </c>
      <c r="Q1345" s="411">
        <v>148.43763996538274</v>
      </c>
      <c r="R1345" s="411">
        <v>151.45432841161431</v>
      </c>
      <c r="S1345" s="411">
        <f t="shared" si="224"/>
        <v>88.285420784226147</v>
      </c>
      <c r="T1345" s="411">
        <v>153.42199345419365</v>
      </c>
      <c r="U1345" s="411">
        <v>157.08558133856167</v>
      </c>
      <c r="V1345" s="411">
        <f t="shared" si="225"/>
        <v>91.367552224384653</v>
      </c>
      <c r="W1345" s="411">
        <v>158.1932794992201</v>
      </c>
      <c r="X1345" s="411">
        <v>163.39715935449593</v>
      </c>
      <c r="Y1345" s="411">
        <f t="shared" si="226"/>
        <v>94.88952764159805</v>
      </c>
      <c r="Z1345" s="411">
        <v>162.46685842031624</v>
      </c>
      <c r="AA1345" s="411">
        <v>168.41812010889092</v>
      </c>
      <c r="AB1345" s="441">
        <f t="shared" si="227"/>
        <v>96.714677728488908</v>
      </c>
      <c r="AC1345" s="438">
        <f t="shared" si="228"/>
        <v>99.559907090534296</v>
      </c>
      <c r="AD1345" s="410"/>
      <c r="AE1345" s="411"/>
      <c r="AF1345" s="411"/>
      <c r="AG1345" s="411"/>
    </row>
    <row r="1346" spans="1:33" s="409" customFormat="1" x14ac:dyDescent="0.2">
      <c r="A1346" s="409" t="s">
        <v>624</v>
      </c>
      <c r="B1346" s="23" t="str">
        <f>VLOOKUP(LEFT(A1346,7),'[7]Tariff Schedule Lookup Table'!$A$8:$G$186,2,FALSE)</f>
        <v>Incandescent 300</v>
      </c>
      <c r="C1346" s="375">
        <f t="shared" si="230"/>
        <v>10</v>
      </c>
      <c r="D1346" s="23">
        <f t="shared" si="231"/>
        <v>1</v>
      </c>
      <c r="E1346" s="23" t="str">
        <f>VLOOKUP(C1346,'[7]Tariff Schedule Lookup Table'!I$7:L$287,2,FALSE)</f>
        <v>MERCURY VAPOUR 80W</v>
      </c>
      <c r="F1346" s="23" t="str">
        <f>IF(E1346 = "BULKHEADS ETC", "SHARED OR NO POLE", VLOOKUP(C1346,'[7]Tariff Schedule Lookup Table'!I$7:L$287,3,FALSE))</f>
        <v>SHARED OR NO POLE</v>
      </c>
      <c r="G1346" s="23">
        <f>IF(E1346 = "NO CAPITAL", 1, VLOOKUP(C1346,'[7]Tariff Schedule Lookup Table'!I$7:L$287,4,FALSE))</f>
        <v>1</v>
      </c>
      <c r="H1346" s="23" t="str">
        <f t="shared" si="229"/>
        <v>1-Unmetered, CE Funded, CE Maintained</v>
      </c>
      <c r="I1346" s="374">
        <f>VLOOKUP(F1346,'Maintenance Model'!$A$57:$B$61,2,FALSE)</f>
        <v>0</v>
      </c>
      <c r="J1346" s="374">
        <f>IF(D1346=1,VLOOKUP(C1346,'Capital Code Schedules'!A$15:F$300,2,FALSE),IF(D1346=2,VLOOKUP(C1346,'Capital Code Schedules'!A$15:F$300,3,FALSE),0))</f>
        <v>17.255027166785979</v>
      </c>
      <c r="K1346" s="374">
        <f>IF(D1346=1,VLOOKUP(C1346,'Capital Code Schedules'!E$15:G$300,2,FALSE),IF(D1346=2,VLOOKUP(C1346,'Capital Code Schedules'!E$15:G$300,3,FALSE),0))</f>
        <v>21.887497717034414</v>
      </c>
      <c r="L1346" s="374">
        <f>VLOOKUP(LEFT(A1346,10),'Streetlight Tariff Schedule'!B$11:H$260,7, FALSE)+I1346</f>
        <v>20.903227435573008</v>
      </c>
      <c r="M1346" s="410">
        <f t="shared" si="222"/>
        <v>42.790725152607422</v>
      </c>
      <c r="N1346" s="411">
        <f t="shared" si="223"/>
        <v>39.456325217781476</v>
      </c>
      <c r="O1346" s="411">
        <v>89.575480417168194</v>
      </c>
      <c r="P1346" s="411">
        <v>88.582523589975338</v>
      </c>
      <c r="Q1346" s="411">
        <v>92.375114362042837</v>
      </c>
      <c r="R1346" s="411">
        <v>93.392646870708703</v>
      </c>
      <c r="S1346" s="411">
        <f t="shared" si="224"/>
        <v>40.959563266183586</v>
      </c>
      <c r="T1346" s="411">
        <v>95.793938173447103</v>
      </c>
      <c r="U1346" s="411">
        <v>97.190578075317106</v>
      </c>
      <c r="V1346" s="411">
        <f t="shared" si="225"/>
        <v>42.500902304878103</v>
      </c>
      <c r="W1346" s="411">
        <v>99.00663831466764</v>
      </c>
      <c r="X1346" s="411">
        <v>101.33775550360558</v>
      </c>
      <c r="Y1346" s="411">
        <f t="shared" si="226"/>
        <v>44.222254270083454</v>
      </c>
      <c r="Z1346" s="411">
        <v>101.76668773625222</v>
      </c>
      <c r="AA1346" s="411">
        <v>104.54056910957306</v>
      </c>
      <c r="AB1346" s="441">
        <f t="shared" si="227"/>
        <v>45.103047037121385</v>
      </c>
      <c r="AC1346" s="438">
        <f t="shared" si="228"/>
        <v>46.43591859897397</v>
      </c>
      <c r="AD1346" s="410"/>
      <c r="AE1346" s="411"/>
      <c r="AF1346" s="411"/>
      <c r="AG1346" s="411"/>
    </row>
    <row r="1347" spans="1:33" s="409" customFormat="1" x14ac:dyDescent="0.2">
      <c r="A1347" s="409" t="s">
        <v>625</v>
      </c>
      <c r="B1347" s="23" t="str">
        <f>VLOOKUP(LEFT(A1347,7),'[7]Tariff Schedule Lookup Table'!$A$8:$G$186,2,FALSE)</f>
        <v>Incandescent 300</v>
      </c>
      <c r="C1347" s="375">
        <f t="shared" si="230"/>
        <v>10</v>
      </c>
      <c r="D1347" s="23">
        <f t="shared" si="231"/>
        <v>2</v>
      </c>
      <c r="E1347" s="23" t="str">
        <f>VLOOKUP(C1347,'[7]Tariff Schedule Lookup Table'!I$7:L$287,2,FALSE)</f>
        <v>MERCURY VAPOUR 80W</v>
      </c>
      <c r="F1347" s="23" t="str">
        <f>IF(E1347 = "BULKHEADS ETC", "SHARED OR NO POLE", VLOOKUP(C1347,'[7]Tariff Schedule Lookup Table'!I$7:L$287,3,FALSE))</f>
        <v>SHARED OR NO POLE</v>
      </c>
      <c r="G1347" s="23">
        <f>IF(E1347 = "NO CAPITAL", 1, VLOOKUP(C1347,'[7]Tariff Schedule Lookup Table'!I$7:L$287,4,FALSE))</f>
        <v>1</v>
      </c>
      <c r="H1347" s="23" t="str">
        <f t="shared" si="229"/>
        <v>2-Unmetered, Funded by Others, CE Maintained</v>
      </c>
      <c r="I1347" s="374">
        <f>VLOOKUP(F1347,'Maintenance Model'!$A$57:$B$61,2,FALSE)</f>
        <v>0</v>
      </c>
      <c r="J1347" s="374">
        <f>IF(D1347=1,VLOOKUP(C1347,'Capital Code Schedules'!A$15:F$300,2,FALSE),IF(D1347=2,VLOOKUP(C1347,'Capital Code Schedules'!A$15:F$300,3,FALSE),0))</f>
        <v>0</v>
      </c>
      <c r="K1347" s="374">
        <f>IF(D1347=1,VLOOKUP(C1347,'Capital Code Schedules'!E$15:G$300,2,FALSE),IF(D1347=2,VLOOKUP(C1347,'Capital Code Schedules'!E$15:G$300,3,FALSE),0))</f>
        <v>0</v>
      </c>
      <c r="L1347" s="374">
        <f>VLOOKUP(LEFT(A1347,10),'Streetlight Tariff Schedule'!B$11:H$260,7, FALSE)+I1347</f>
        <v>20.903227435573008</v>
      </c>
      <c r="M1347" s="410">
        <f t="shared" si="222"/>
        <v>20.903227435573008</v>
      </c>
      <c r="N1347" s="411">
        <f t="shared" si="223"/>
        <v>21.774236128617545</v>
      </c>
      <c r="O1347" s="411">
        <v>66.153310304444332</v>
      </c>
      <c r="P1347" s="411">
        <v>66.153310304444332</v>
      </c>
      <c r="Q1347" s="411">
        <v>69.390778047694937</v>
      </c>
      <c r="R1347" s="411">
        <v>69.390778047694937</v>
      </c>
      <c r="S1347" s="411">
        <f t="shared" si="224"/>
        <v>22.839842472062848</v>
      </c>
      <c r="T1347" s="411">
        <v>72.240739535319094</v>
      </c>
      <c r="U1347" s="411">
        <v>72.504655990847439</v>
      </c>
      <c r="V1347" s="411">
        <f t="shared" si="225"/>
        <v>23.864769468124923</v>
      </c>
      <c r="W1347" s="411">
        <v>74.870498010245953</v>
      </c>
      <c r="X1347" s="411">
        <v>75.814980660472401</v>
      </c>
      <c r="Y1347" s="411">
        <f t="shared" si="226"/>
        <v>24.954356530164343</v>
      </c>
      <c r="Z1347" s="411">
        <v>77.033177959296111</v>
      </c>
      <c r="AA1347" s="411">
        <v>78.290395183410567</v>
      </c>
      <c r="AB1347" s="441">
        <f t="shared" si="227"/>
        <v>25.496034296979694</v>
      </c>
      <c r="AC1347" s="438">
        <f t="shared" si="228"/>
        <v>26.258341788094153</v>
      </c>
      <c r="AD1347" s="410"/>
      <c r="AE1347" s="411"/>
      <c r="AF1347" s="411"/>
      <c r="AG1347" s="411"/>
    </row>
    <row r="1348" spans="1:33" s="409" customFormat="1" x14ac:dyDescent="0.2">
      <c r="A1348" s="409" t="s">
        <v>626</v>
      </c>
      <c r="B1348" s="23" t="str">
        <f>VLOOKUP(LEFT(A1348,7),'[7]Tariff Schedule Lookup Table'!$A$8:$G$186,2,FALSE)</f>
        <v>Incandescent 300</v>
      </c>
      <c r="C1348" s="375">
        <f t="shared" si="230"/>
        <v>610</v>
      </c>
      <c r="D1348" s="23">
        <f t="shared" si="231"/>
        <v>1</v>
      </c>
      <c r="E1348" s="23" t="str">
        <f>VLOOKUP(C1348,'[7]Tariff Schedule Lookup Table'!I$7:L$287,2,FALSE)</f>
        <v>METAL HALIDE/HPS 250W FLOOD (210/220)</v>
      </c>
      <c r="F1348" s="23" t="str">
        <f>IF(E1348 = "BULKHEADS ETC", "SHARED OR NO POLE", VLOOKUP(C1348,'[7]Tariff Schedule Lookup Table'!I$7:L$287,3,FALSE))</f>
        <v>SHARED OR NO POLE</v>
      </c>
      <c r="G1348" s="23">
        <f>IF(E1348 = "NO CAPITAL", 1, VLOOKUP(C1348,'[7]Tariff Schedule Lookup Table'!I$7:L$287,4,FALSE))</f>
        <v>1</v>
      </c>
      <c r="H1348" s="23" t="str">
        <f t="shared" si="229"/>
        <v>1-Unmetered, CE Funded, CE Maintained</v>
      </c>
      <c r="I1348" s="374">
        <f>VLOOKUP(F1348,'Maintenance Model'!$A$57:$B$61,2,FALSE)</f>
        <v>0</v>
      </c>
      <c r="J1348" s="374">
        <f>IF(D1348=1,VLOOKUP(C1348,'Capital Code Schedules'!A$15:F$300,2,FALSE),IF(D1348=2,VLOOKUP(C1348,'Capital Code Schedules'!A$15:F$300,3,FALSE),0))</f>
        <v>37.215587737644988</v>
      </c>
      <c r="K1348" s="374">
        <f>IF(D1348=1,VLOOKUP(C1348,'Capital Code Schedules'!E$15:G$300,2,FALSE),IF(D1348=2,VLOOKUP(C1348,'Capital Code Schedules'!E$15:G$300,3,FALSE),0))</f>
        <v>47.206885493274058</v>
      </c>
      <c r="L1348" s="374">
        <f>VLOOKUP(LEFT(A1348,10),'Streetlight Tariff Schedule'!B$11:H$260,7, FALSE)+I1348</f>
        <v>20.903227435573008</v>
      </c>
      <c r="M1348" s="410">
        <f t="shared" si="222"/>
        <v>68.110112928847059</v>
      </c>
      <c r="N1348" s="411">
        <f t="shared" si="223"/>
        <v>59.910909662769249</v>
      </c>
      <c r="O1348" s="411">
        <v>116.67017234184458</v>
      </c>
      <c r="P1348" s="411">
        <v>114.52856621367692</v>
      </c>
      <c r="Q1348" s="411">
        <v>118.96332154068104</v>
      </c>
      <c r="R1348" s="411">
        <v>121.15793242052084</v>
      </c>
      <c r="S1348" s="411">
        <f t="shared" si="224"/>
        <v>61.920398676184803</v>
      </c>
      <c r="T1348" s="411">
        <v>123.0402034797566</v>
      </c>
      <c r="U1348" s="411">
        <v>125.74717426329889</v>
      </c>
      <c r="V1348" s="411">
        <f t="shared" si="225"/>
        <v>64.059121524064352</v>
      </c>
      <c r="W1348" s="411">
        <v>126.92724868730829</v>
      </c>
      <c r="X1348" s="411">
        <v>130.86242030235994</v>
      </c>
      <c r="Y1348" s="411">
        <f t="shared" si="226"/>
        <v>66.511297120800123</v>
      </c>
      <c r="Z1348" s="411">
        <v>130.37833321561573</v>
      </c>
      <c r="AA1348" s="411">
        <v>134.90668685509192</v>
      </c>
      <c r="AB1348" s="441">
        <f t="shared" si="227"/>
        <v>67.784377042010675</v>
      </c>
      <c r="AC1348" s="438">
        <f t="shared" si="228"/>
        <v>69.777275307005524</v>
      </c>
      <c r="AD1348" s="410"/>
      <c r="AE1348" s="411"/>
      <c r="AF1348" s="411"/>
      <c r="AG1348" s="411"/>
    </row>
    <row r="1349" spans="1:33" s="409" customFormat="1" x14ac:dyDescent="0.2">
      <c r="A1349" s="409" t="s">
        <v>627</v>
      </c>
      <c r="B1349" s="23" t="str">
        <f>VLOOKUP(LEFT(A1349,7),'[7]Tariff Schedule Lookup Table'!$A$8:$G$186,2,FALSE)</f>
        <v>Incandescent 300</v>
      </c>
      <c r="C1349" s="375">
        <f t="shared" si="230"/>
        <v>810</v>
      </c>
      <c r="D1349" s="23">
        <f t="shared" si="231"/>
        <v>1</v>
      </c>
      <c r="E1349" s="23" t="str">
        <f>VLOOKUP(C1349,'[7]Tariff Schedule Lookup Table'!I$7:L$287,2,FALSE)</f>
        <v>MERCURY VAPOUR 80W</v>
      </c>
      <c r="F1349" s="23" t="str">
        <f>IF(E1349 = "BULKHEADS ETC", "SHARED OR NO POLE", VLOOKUP(C1349,'[7]Tariff Schedule Lookup Table'!I$7:L$287,3,FALSE))</f>
        <v>WOOD POLE</v>
      </c>
      <c r="G1349" s="23">
        <f>IF(E1349 = "NO CAPITAL", 1, VLOOKUP(C1349,'[7]Tariff Schedule Lookup Table'!I$7:L$287,4,FALSE))</f>
        <v>1</v>
      </c>
      <c r="H1349" s="23" t="str">
        <f t="shared" si="229"/>
        <v>1-Unmetered, CE Funded, CE Maintained</v>
      </c>
      <c r="I1349" s="374">
        <f>VLOOKUP(F1349,'Maintenance Model'!$A$57:$B$61,2,FALSE)</f>
        <v>10.731618231111112</v>
      </c>
      <c r="J1349" s="374">
        <f>IF(D1349=1,VLOOKUP(C1349,'Capital Code Schedules'!A$15:F$300,2,FALSE),IF(D1349=2,VLOOKUP(C1349,'Capital Code Schedules'!A$15:F$300,3,FALSE),0))</f>
        <v>51.156145528662286</v>
      </c>
      <c r="K1349" s="374">
        <f>IF(D1349=1,VLOOKUP(C1349,'Capital Code Schedules'!E$15:G$300,2,FALSE),IF(D1349=2,VLOOKUP(C1349,'Capital Code Schedules'!E$15:G$300,3,FALSE),0))</f>
        <v>64.890075665956445</v>
      </c>
      <c r="L1349" s="374">
        <f>VLOOKUP(LEFT(A1349,10),'Streetlight Tariff Schedule'!B$11:H$260,7, FALSE)+I1349</f>
        <v>31.634845666684122</v>
      </c>
      <c r="M1349" s="410">
        <f t="shared" si="222"/>
        <v>96.52492133264056</v>
      </c>
      <c r="N1349" s="411">
        <f t="shared" si="223"/>
        <v>85.375286239111631</v>
      </c>
      <c r="O1349" s="411">
        <v>145.98944410480433</v>
      </c>
      <c r="P1349" s="411">
        <v>143.04561541855739</v>
      </c>
      <c r="Q1349" s="411">
        <v>148.43763996538274</v>
      </c>
      <c r="R1349" s="411">
        <v>151.45432841161431</v>
      </c>
      <c r="S1349" s="411">
        <f t="shared" si="224"/>
        <v>88.285420784226147</v>
      </c>
      <c r="T1349" s="411">
        <v>153.42199345419365</v>
      </c>
      <c r="U1349" s="411">
        <v>157.08558133856167</v>
      </c>
      <c r="V1349" s="411">
        <f t="shared" si="225"/>
        <v>91.367552224384653</v>
      </c>
      <c r="W1349" s="411">
        <v>158.1932794992201</v>
      </c>
      <c r="X1349" s="411">
        <v>163.39715935449593</v>
      </c>
      <c r="Y1349" s="411">
        <f t="shared" si="226"/>
        <v>94.88952764159805</v>
      </c>
      <c r="Z1349" s="411">
        <v>162.46685842031624</v>
      </c>
      <c r="AA1349" s="411">
        <v>168.41812010889092</v>
      </c>
      <c r="AB1349" s="441">
        <f t="shared" si="227"/>
        <v>96.714677728488908</v>
      </c>
      <c r="AC1349" s="438">
        <f t="shared" si="228"/>
        <v>99.559907090534296</v>
      </c>
      <c r="AD1349" s="410"/>
      <c r="AE1349" s="411"/>
      <c r="AF1349" s="411"/>
      <c r="AG1349" s="411"/>
    </row>
    <row r="1350" spans="1:33" s="409" customFormat="1" x14ac:dyDescent="0.2">
      <c r="A1350" s="409" t="s">
        <v>628</v>
      </c>
      <c r="B1350" s="23" t="str">
        <f>VLOOKUP(LEFT(A1350,7),'[7]Tariff Schedule Lookup Table'!$A$8:$G$186,2,FALSE)</f>
        <v>Incandescent 300</v>
      </c>
      <c r="C1350" s="375">
        <f t="shared" si="230"/>
        <v>990</v>
      </c>
      <c r="D1350" s="23">
        <f t="shared" si="231"/>
        <v>1</v>
      </c>
      <c r="E1350" s="23" t="str">
        <f>VLOOKUP(C1350,'[7]Tariff Schedule Lookup Table'!I$7:L$287,2,FALSE)</f>
        <v>MERCURY VAPOUR 80W</v>
      </c>
      <c r="F1350" s="23" t="str">
        <f>IF(E1350 = "BULKHEADS ETC", "SHARED OR NO POLE", VLOOKUP(C1350,'[7]Tariff Schedule Lookup Table'!I$7:L$287,3,FALSE))</f>
        <v>STEEL POLE</v>
      </c>
      <c r="G1350" s="23">
        <f>IF(E1350 = "NO CAPITAL", 1, VLOOKUP(C1350,'[7]Tariff Schedule Lookup Table'!I$7:L$287,4,FALSE))</f>
        <v>1</v>
      </c>
      <c r="H1350" s="23" t="str">
        <f t="shared" si="229"/>
        <v>1-Unmetered, CE Funded, CE Maintained</v>
      </c>
      <c r="I1350" s="374">
        <f>VLOOKUP(F1350,'Maintenance Model'!$A$57:$B$61,2,FALSE)</f>
        <v>9.9616182311111103</v>
      </c>
      <c r="J1350" s="374">
        <f>IF(D1350=1,VLOOKUP(C1350,'Capital Code Schedules'!A$15:F$300,2,FALSE),IF(D1350=2,VLOOKUP(C1350,'Capital Code Schedules'!A$15:F$300,3,FALSE),0))</f>
        <v>86.253661186307269</v>
      </c>
      <c r="K1350" s="374">
        <f>IF(D1350=1,VLOOKUP(C1350,'Capital Code Schedules'!E$15:G$300,2,FALSE),IF(D1350=2,VLOOKUP(C1350,'Capital Code Schedules'!E$15:G$300,3,FALSE),0))</f>
        <v>109.41024862221688</v>
      </c>
      <c r="L1350" s="374">
        <f>VLOOKUP(LEFT(A1350,10),'Streetlight Tariff Schedule'!B$11:H$260,7, FALSE)+I1350</f>
        <v>30.864845666684118</v>
      </c>
      <c r="M1350" s="410">
        <f t="shared" si="222"/>
        <v>140.27509428890102</v>
      </c>
      <c r="N1350" s="411">
        <f t="shared" si="223"/>
        <v>120.53938056995833</v>
      </c>
      <c r="O1350" s="411">
        <v>192.82912617325474</v>
      </c>
      <c r="P1350" s="411">
        <v>187.86557781616025</v>
      </c>
      <c r="Q1350" s="411">
        <v>194.34749491260013</v>
      </c>
      <c r="R1350" s="411">
        <v>199.4338910915327</v>
      </c>
      <c r="S1350" s="411">
        <f t="shared" si="224"/>
        <v>124.30042493003515</v>
      </c>
      <c r="T1350" s="411">
        <v>200.45438567881897</v>
      </c>
      <c r="U1350" s="411">
        <v>206.41878504858349</v>
      </c>
      <c r="V1350" s="411">
        <f t="shared" si="225"/>
        <v>128.39520748207494</v>
      </c>
      <c r="W1350" s="411">
        <v>206.37951691033831</v>
      </c>
      <c r="X1350" s="411">
        <v>214.3924234260765</v>
      </c>
      <c r="Y1350" s="411">
        <f t="shared" si="226"/>
        <v>133.16208516831307</v>
      </c>
      <c r="Z1350" s="411">
        <v>211.84195099404852</v>
      </c>
      <c r="AA1350" s="411">
        <v>220.86293373407094</v>
      </c>
      <c r="AB1350" s="441">
        <f t="shared" si="227"/>
        <v>135.65705723145092</v>
      </c>
      <c r="AC1350" s="438">
        <f t="shared" si="228"/>
        <v>139.63475937265019</v>
      </c>
      <c r="AD1350" s="410"/>
      <c r="AE1350" s="411"/>
      <c r="AF1350" s="411"/>
      <c r="AG1350" s="411"/>
    </row>
    <row r="1351" spans="1:33" s="409" customFormat="1" x14ac:dyDescent="0.2">
      <c r="A1351" s="409" t="s">
        <v>629</v>
      </c>
      <c r="B1351" s="23" t="str">
        <f>VLOOKUP(LEFT(A1351,7),'[7]Tariff Schedule Lookup Table'!$A$8:$G$186,2,FALSE)</f>
        <v>Incandescent 500</v>
      </c>
      <c r="C1351" s="375">
        <f t="shared" si="230"/>
        <v>10</v>
      </c>
      <c r="D1351" s="23">
        <f t="shared" si="231"/>
        <v>1</v>
      </c>
      <c r="E1351" s="23" t="str">
        <f>VLOOKUP(C1351,'[7]Tariff Schedule Lookup Table'!I$7:L$287,2,FALSE)</f>
        <v>MERCURY VAPOUR 80W</v>
      </c>
      <c r="F1351" s="23" t="str">
        <f>IF(E1351 = "BULKHEADS ETC", "SHARED OR NO POLE", VLOOKUP(C1351,'[7]Tariff Schedule Lookup Table'!I$7:L$287,3,FALSE))</f>
        <v>SHARED OR NO POLE</v>
      </c>
      <c r="G1351" s="23">
        <f>IF(E1351 = "NO CAPITAL", 1, VLOOKUP(C1351,'[7]Tariff Schedule Lookup Table'!I$7:L$287,4,FALSE))</f>
        <v>1</v>
      </c>
      <c r="H1351" s="23" t="str">
        <f t="shared" si="229"/>
        <v>1-Unmetered, CE Funded, CE Maintained</v>
      </c>
      <c r="I1351" s="374">
        <f>VLOOKUP(F1351,'Maintenance Model'!$A$57:$B$61,2,FALSE)</f>
        <v>0</v>
      </c>
      <c r="J1351" s="374">
        <f>IF(D1351=1,VLOOKUP(C1351,'Capital Code Schedules'!A$15:F$300,2,FALSE),IF(D1351=2,VLOOKUP(C1351,'Capital Code Schedules'!A$15:F$300,3,FALSE),0))</f>
        <v>17.255027166785979</v>
      </c>
      <c r="K1351" s="374">
        <f>IF(D1351=1,VLOOKUP(C1351,'Capital Code Schedules'!E$15:G$300,2,FALSE),IF(D1351=2,VLOOKUP(C1351,'Capital Code Schedules'!E$15:G$300,3,FALSE),0))</f>
        <v>21.887497717034414</v>
      </c>
      <c r="L1351" s="374">
        <f>VLOOKUP(LEFT(A1351,10),'Streetlight Tariff Schedule'!B$11:H$260,7, FALSE)+I1351</f>
        <v>20.903227435573008</v>
      </c>
      <c r="M1351" s="410">
        <f t="shared" si="222"/>
        <v>42.790725152607422</v>
      </c>
      <c r="N1351" s="411">
        <f t="shared" si="223"/>
        <v>39.456325217781476</v>
      </c>
      <c r="O1351" s="411">
        <v>89.575480417168194</v>
      </c>
      <c r="P1351" s="411">
        <v>88.582523589975338</v>
      </c>
      <c r="Q1351" s="411">
        <v>92.375114362042837</v>
      </c>
      <c r="R1351" s="411">
        <v>93.392646870708703</v>
      </c>
      <c r="S1351" s="411">
        <f t="shared" si="224"/>
        <v>40.959563266183586</v>
      </c>
      <c r="T1351" s="411">
        <v>95.793938173447103</v>
      </c>
      <c r="U1351" s="411">
        <v>97.190578075317106</v>
      </c>
      <c r="V1351" s="411">
        <f t="shared" si="225"/>
        <v>42.500902304878103</v>
      </c>
      <c r="W1351" s="411">
        <v>99.00663831466764</v>
      </c>
      <c r="X1351" s="411">
        <v>101.33775550360558</v>
      </c>
      <c r="Y1351" s="411">
        <f t="shared" si="226"/>
        <v>44.222254270083454</v>
      </c>
      <c r="Z1351" s="411">
        <v>101.76668773625222</v>
      </c>
      <c r="AA1351" s="411">
        <v>104.54056910957306</v>
      </c>
      <c r="AB1351" s="441">
        <f t="shared" si="227"/>
        <v>45.103047037121385</v>
      </c>
      <c r="AC1351" s="438">
        <f t="shared" si="228"/>
        <v>46.43591859897397</v>
      </c>
      <c r="AD1351" s="410"/>
      <c r="AE1351" s="411"/>
      <c r="AF1351" s="411"/>
      <c r="AG1351" s="411"/>
    </row>
    <row r="1352" spans="1:33" s="409" customFormat="1" x14ac:dyDescent="0.2">
      <c r="A1352" s="409" t="s">
        <v>630</v>
      </c>
      <c r="B1352" s="23" t="str">
        <f>VLOOKUP(LEFT(A1352,7),'[7]Tariff Schedule Lookup Table'!$A$8:$G$186,2,FALSE)</f>
        <v>Incandescent 500</v>
      </c>
      <c r="C1352" s="375">
        <f t="shared" si="230"/>
        <v>10</v>
      </c>
      <c r="D1352" s="23">
        <f t="shared" si="231"/>
        <v>2</v>
      </c>
      <c r="E1352" s="23" t="str">
        <f>VLOOKUP(C1352,'[7]Tariff Schedule Lookup Table'!I$7:L$287,2,FALSE)</f>
        <v>MERCURY VAPOUR 80W</v>
      </c>
      <c r="F1352" s="23" t="str">
        <f>IF(E1352 = "BULKHEADS ETC", "SHARED OR NO POLE", VLOOKUP(C1352,'[7]Tariff Schedule Lookup Table'!I$7:L$287,3,FALSE))</f>
        <v>SHARED OR NO POLE</v>
      </c>
      <c r="G1352" s="23">
        <f>IF(E1352 = "NO CAPITAL", 1, VLOOKUP(C1352,'[7]Tariff Schedule Lookup Table'!I$7:L$287,4,FALSE))</f>
        <v>1</v>
      </c>
      <c r="H1352" s="23" t="str">
        <f t="shared" si="229"/>
        <v>2-Unmetered, Funded by Others, CE Maintained</v>
      </c>
      <c r="I1352" s="374">
        <f>VLOOKUP(F1352,'Maintenance Model'!$A$57:$B$61,2,FALSE)</f>
        <v>0</v>
      </c>
      <c r="J1352" s="374">
        <f>IF(D1352=1,VLOOKUP(C1352,'Capital Code Schedules'!A$15:F$300,2,FALSE),IF(D1352=2,VLOOKUP(C1352,'Capital Code Schedules'!A$15:F$300,3,FALSE),0))</f>
        <v>0</v>
      </c>
      <c r="K1352" s="374">
        <f>IF(D1352=1,VLOOKUP(C1352,'Capital Code Schedules'!E$15:G$300,2,FALSE),IF(D1352=2,VLOOKUP(C1352,'Capital Code Schedules'!E$15:G$300,3,FALSE),0))</f>
        <v>0</v>
      </c>
      <c r="L1352" s="374">
        <f>VLOOKUP(LEFT(A1352,10),'Streetlight Tariff Schedule'!B$11:H$260,7, FALSE)+I1352</f>
        <v>20.903227435573008</v>
      </c>
      <c r="M1352" s="410">
        <f t="shared" si="222"/>
        <v>20.903227435573008</v>
      </c>
      <c r="N1352" s="411">
        <f t="shared" si="223"/>
        <v>21.774236128617545</v>
      </c>
      <c r="O1352" s="411">
        <v>66.153310304444332</v>
      </c>
      <c r="P1352" s="411">
        <v>66.153310304444332</v>
      </c>
      <c r="Q1352" s="411">
        <v>69.390778047694937</v>
      </c>
      <c r="R1352" s="411">
        <v>69.390778047694937</v>
      </c>
      <c r="S1352" s="411">
        <f t="shared" si="224"/>
        <v>22.839842472062848</v>
      </c>
      <c r="T1352" s="411">
        <v>72.240739535319094</v>
      </c>
      <c r="U1352" s="411">
        <v>72.504655990847439</v>
      </c>
      <c r="V1352" s="411">
        <f t="shared" si="225"/>
        <v>23.864769468124923</v>
      </c>
      <c r="W1352" s="411">
        <v>74.870498010245953</v>
      </c>
      <c r="X1352" s="411">
        <v>75.814980660472401</v>
      </c>
      <c r="Y1352" s="411">
        <f t="shared" si="226"/>
        <v>24.954356530164343</v>
      </c>
      <c r="Z1352" s="411">
        <v>77.033177959296111</v>
      </c>
      <c r="AA1352" s="411">
        <v>78.290395183410567</v>
      </c>
      <c r="AB1352" s="441">
        <f t="shared" si="227"/>
        <v>25.496034296979694</v>
      </c>
      <c r="AC1352" s="438">
        <f t="shared" si="228"/>
        <v>26.258341788094153</v>
      </c>
      <c r="AD1352" s="410"/>
      <c r="AE1352" s="411"/>
      <c r="AF1352" s="411"/>
      <c r="AG1352" s="411"/>
    </row>
    <row r="1353" spans="1:33" s="409" customFormat="1" x14ac:dyDescent="0.2">
      <c r="A1353" s="409" t="s">
        <v>631</v>
      </c>
      <c r="B1353" s="23" t="str">
        <f>VLOOKUP(LEFT(A1353,7),'[7]Tariff Schedule Lookup Table'!$A$8:$G$186,2,FALSE)</f>
        <v>Incandescent 500</v>
      </c>
      <c r="C1353" s="375">
        <f t="shared" si="230"/>
        <v>110</v>
      </c>
      <c r="D1353" s="23">
        <f t="shared" si="231"/>
        <v>1</v>
      </c>
      <c r="E1353" s="23" t="str">
        <f>VLOOKUP(C1353,'[7]Tariff Schedule Lookup Table'!I$7:L$287,2,FALSE)</f>
        <v>BULKHEADS ETC</v>
      </c>
      <c r="F1353" s="23" t="str">
        <f>IF(E1353 = "BULKHEADS ETC", "SHARED OR NO POLE", VLOOKUP(C1353,'[7]Tariff Schedule Lookup Table'!I$7:L$287,3,FALSE))</f>
        <v>SHARED OR NO POLE</v>
      </c>
      <c r="G1353" s="23">
        <f>IF(E1353 = "NO CAPITAL", 1, VLOOKUP(C1353,'[7]Tariff Schedule Lookup Table'!I$7:L$287,4,FALSE))</f>
        <v>1</v>
      </c>
      <c r="H1353" s="23" t="str">
        <f t="shared" si="229"/>
        <v>1-Unmetered, CE Funded, CE Maintained</v>
      </c>
      <c r="I1353" s="374">
        <f>VLOOKUP(F1353,'Maintenance Model'!$A$57:$B$61,2,FALSE)</f>
        <v>0</v>
      </c>
      <c r="J1353" s="374">
        <f>IF(D1353=1,VLOOKUP(C1353,'Capital Code Schedules'!A$15:F$300,2,FALSE),IF(D1353=2,VLOOKUP(C1353,'Capital Code Schedules'!A$15:F$300,3,FALSE),0))</f>
        <v>8.1913367400317085</v>
      </c>
      <c r="K1353" s="374">
        <f>IF(D1353=1,VLOOKUP(C1353,'Capital Code Schedules'!E$15:G$300,2,FALSE),IF(D1353=2,VLOOKUP(C1353,'Capital Code Schedules'!E$15:G$300,3,FALSE),0))</f>
        <v>10.390471279118792</v>
      </c>
      <c r="L1353" s="374">
        <f>VLOOKUP(LEFT(A1353,10),'Streetlight Tariff Schedule'!B$11:H$260,7, FALSE)+I1353</f>
        <v>20.903227435573008</v>
      </c>
      <c r="M1353" s="410">
        <f t="shared" si="222"/>
        <v>31.2936987146918</v>
      </c>
      <c r="N1353" s="411">
        <f t="shared" si="223"/>
        <v>30.168308452965036</v>
      </c>
      <c r="O1353" s="411">
        <v>77.272323953112164</v>
      </c>
      <c r="P1353" s="411">
        <v>76.8009457477213</v>
      </c>
      <c r="Q1353" s="411">
        <v>80.301942468193019</v>
      </c>
      <c r="R1353" s="411">
        <v>80.7849872841673</v>
      </c>
      <c r="S1353" s="411">
        <f t="shared" si="224"/>
        <v>31.441668086437943</v>
      </c>
      <c r="T1353" s="411">
        <v>83.421955275224491</v>
      </c>
      <c r="U1353" s="411">
        <v>84.223600190559267</v>
      </c>
      <c r="V1353" s="411">
        <f t="shared" si="225"/>
        <v>32.711747112509705</v>
      </c>
      <c r="W1353" s="411">
        <v>86.328448839714014</v>
      </c>
      <c r="X1353" s="411">
        <v>87.93119706855444</v>
      </c>
      <c r="Y1353" s="411">
        <f t="shared" si="226"/>
        <v>34.101246716693772</v>
      </c>
      <c r="Z1353" s="411">
        <v>88.774713071793514</v>
      </c>
      <c r="AA1353" s="411">
        <v>90.75192375912296</v>
      </c>
      <c r="AB1353" s="441">
        <f t="shared" si="227"/>
        <v>34.803909750792045</v>
      </c>
      <c r="AC1353" s="438">
        <f t="shared" si="228"/>
        <v>35.837076417612437</v>
      </c>
      <c r="AD1353" s="410"/>
      <c r="AE1353" s="411"/>
      <c r="AF1353" s="411"/>
      <c r="AG1353" s="411"/>
    </row>
    <row r="1354" spans="1:33" s="409" customFormat="1" x14ac:dyDescent="0.2">
      <c r="A1354" s="409" t="s">
        <v>751</v>
      </c>
      <c r="B1354" s="23" t="str">
        <f>VLOOKUP(LEFT(A1354,7),'[7]Tariff Schedule Lookup Table'!$A$8:$G$186,2,FALSE)</f>
        <v>Incandescent 500</v>
      </c>
      <c r="C1354" s="375">
        <f t="shared" si="230"/>
        <v>990</v>
      </c>
      <c r="D1354" s="23">
        <f t="shared" si="231"/>
        <v>1</v>
      </c>
      <c r="E1354" s="23" t="str">
        <f>VLOOKUP(C1354,'[7]Tariff Schedule Lookup Table'!I$7:L$287,2,FALSE)</f>
        <v>MERCURY VAPOUR 80W</v>
      </c>
      <c r="F1354" s="23" t="str">
        <f>IF(E1354 = "BULKHEADS ETC", "SHARED OR NO POLE", VLOOKUP(C1354,'[7]Tariff Schedule Lookup Table'!I$7:L$287,3,FALSE))</f>
        <v>STEEL POLE</v>
      </c>
      <c r="G1354" s="23">
        <f>IF(E1354 = "NO CAPITAL", 1, VLOOKUP(C1354,'[7]Tariff Schedule Lookup Table'!I$7:L$287,4,FALSE))</f>
        <v>1</v>
      </c>
      <c r="H1354" s="23" t="str">
        <f t="shared" si="229"/>
        <v>1-Unmetered, CE Funded, CE Maintained</v>
      </c>
      <c r="I1354" s="374">
        <f>VLOOKUP(F1354,'Maintenance Model'!$A$57:$B$61,2,FALSE)</f>
        <v>9.9616182311111103</v>
      </c>
      <c r="J1354" s="374">
        <f>IF(D1354=1,VLOOKUP(C1354,'Capital Code Schedules'!A$15:F$300,2,FALSE),IF(D1354=2,VLOOKUP(C1354,'Capital Code Schedules'!A$15:F$300,3,FALSE),0))</f>
        <v>86.253661186307269</v>
      </c>
      <c r="K1354" s="374">
        <f>IF(D1354=1,VLOOKUP(C1354,'Capital Code Schedules'!E$15:G$300,2,FALSE),IF(D1354=2,VLOOKUP(C1354,'Capital Code Schedules'!E$15:G$300,3,FALSE),0))</f>
        <v>109.41024862221688</v>
      </c>
      <c r="L1354" s="374">
        <f>VLOOKUP(LEFT(A1354,10),'Streetlight Tariff Schedule'!B$11:H$260,7, FALSE)+I1354</f>
        <v>30.864845666684118</v>
      </c>
      <c r="M1354" s="410">
        <f t="shared" si="222"/>
        <v>140.27509428890102</v>
      </c>
      <c r="N1354" s="411">
        <f t="shared" si="223"/>
        <v>120.53938056995833</v>
      </c>
      <c r="O1354" s="411">
        <v>192.82912617325474</v>
      </c>
      <c r="P1354" s="411">
        <v>187.86557781616025</v>
      </c>
      <c r="Q1354" s="411">
        <v>194.34749491260013</v>
      </c>
      <c r="R1354" s="411">
        <v>199.4338910915327</v>
      </c>
      <c r="S1354" s="411">
        <f t="shared" si="224"/>
        <v>124.30042493003515</v>
      </c>
      <c r="T1354" s="411">
        <v>200.45438567881897</v>
      </c>
      <c r="U1354" s="411">
        <v>206.41878504858349</v>
      </c>
      <c r="V1354" s="411">
        <f t="shared" si="225"/>
        <v>128.39520748207494</v>
      </c>
      <c r="W1354" s="411">
        <v>206.37951691033831</v>
      </c>
      <c r="X1354" s="411">
        <v>214.3924234260765</v>
      </c>
      <c r="Y1354" s="411">
        <f t="shared" si="226"/>
        <v>133.16208516831307</v>
      </c>
      <c r="Z1354" s="411">
        <v>211.84195099404852</v>
      </c>
      <c r="AA1354" s="411">
        <v>220.86293373407094</v>
      </c>
      <c r="AB1354" s="441">
        <f t="shared" si="227"/>
        <v>135.65705723145092</v>
      </c>
      <c r="AC1354" s="438">
        <f t="shared" si="228"/>
        <v>139.63475937265019</v>
      </c>
      <c r="AD1354" s="410"/>
      <c r="AE1354" s="411"/>
      <c r="AF1354" s="411"/>
      <c r="AG1354" s="411"/>
    </row>
    <row r="1355" spans="1:33" s="409" customFormat="1" x14ac:dyDescent="0.2">
      <c r="A1355" s="409" t="s">
        <v>633</v>
      </c>
      <c r="B1355" s="23" t="str">
        <f>VLOOKUP(LEFT(A1355,7),'[7]Tariff Schedule Lookup Table'!$A$8:$G$186,2,FALSE)</f>
        <v>Incandescent 800</v>
      </c>
      <c r="C1355" s="375">
        <f t="shared" si="230"/>
        <v>10</v>
      </c>
      <c r="D1355" s="23">
        <f t="shared" si="231"/>
        <v>1</v>
      </c>
      <c r="E1355" s="23" t="str">
        <f>VLOOKUP(C1355,'[7]Tariff Schedule Lookup Table'!I$7:L$287,2,FALSE)</f>
        <v>MERCURY VAPOUR 80W</v>
      </c>
      <c r="F1355" s="23" t="str">
        <f>IF(E1355 = "BULKHEADS ETC", "SHARED OR NO POLE", VLOOKUP(C1355,'[7]Tariff Schedule Lookup Table'!I$7:L$287,3,FALSE))</f>
        <v>SHARED OR NO POLE</v>
      </c>
      <c r="G1355" s="23">
        <f>IF(E1355 = "NO CAPITAL", 1, VLOOKUP(C1355,'[7]Tariff Schedule Lookup Table'!I$7:L$287,4,FALSE))</f>
        <v>1</v>
      </c>
      <c r="H1355" s="23" t="str">
        <f t="shared" si="229"/>
        <v>1-Unmetered, CE Funded, CE Maintained</v>
      </c>
      <c r="I1355" s="374">
        <f>VLOOKUP(F1355,'Maintenance Model'!$A$57:$B$61,2,FALSE)</f>
        <v>0</v>
      </c>
      <c r="J1355" s="374">
        <f>IF(D1355=1,VLOOKUP(C1355,'Capital Code Schedules'!A$15:F$300,2,FALSE),IF(D1355=2,VLOOKUP(C1355,'Capital Code Schedules'!A$15:F$300,3,FALSE),0))</f>
        <v>17.255027166785979</v>
      </c>
      <c r="K1355" s="374">
        <f>IF(D1355=1,VLOOKUP(C1355,'Capital Code Schedules'!E$15:G$300,2,FALSE),IF(D1355=2,VLOOKUP(C1355,'Capital Code Schedules'!E$15:G$300,3,FALSE),0))</f>
        <v>21.887497717034414</v>
      </c>
      <c r="L1355" s="374">
        <f>VLOOKUP(LEFT(A1355,10),'Streetlight Tariff Schedule'!B$11:H$260,7, FALSE)+I1355</f>
        <v>20.903227435573008</v>
      </c>
      <c r="M1355" s="410">
        <f t="shared" si="222"/>
        <v>42.790725152607422</v>
      </c>
      <c r="N1355" s="411">
        <f t="shared" si="223"/>
        <v>39.456325217781476</v>
      </c>
      <c r="O1355" s="411">
        <v>89.575480417168194</v>
      </c>
      <c r="P1355" s="411">
        <v>88.582523589975338</v>
      </c>
      <c r="Q1355" s="411">
        <v>92.375114362042837</v>
      </c>
      <c r="R1355" s="411">
        <v>93.392646870708703</v>
      </c>
      <c r="S1355" s="411">
        <f t="shared" si="224"/>
        <v>40.959563266183586</v>
      </c>
      <c r="T1355" s="411">
        <v>95.793938173447103</v>
      </c>
      <c r="U1355" s="411">
        <v>97.190578075317106</v>
      </c>
      <c r="V1355" s="411">
        <f t="shared" si="225"/>
        <v>42.500902304878103</v>
      </c>
      <c r="W1355" s="411">
        <v>99.00663831466764</v>
      </c>
      <c r="X1355" s="411">
        <v>101.33775550360558</v>
      </c>
      <c r="Y1355" s="411">
        <f t="shared" si="226"/>
        <v>44.222254270083454</v>
      </c>
      <c r="Z1355" s="411">
        <v>101.76668773625222</v>
      </c>
      <c r="AA1355" s="411">
        <v>104.54056910957306</v>
      </c>
      <c r="AB1355" s="441">
        <f t="shared" si="227"/>
        <v>45.103047037121385</v>
      </c>
      <c r="AC1355" s="438">
        <f t="shared" si="228"/>
        <v>46.43591859897397</v>
      </c>
      <c r="AD1355" s="410"/>
      <c r="AE1355" s="411"/>
      <c r="AF1355" s="411"/>
      <c r="AG1355" s="411"/>
    </row>
    <row r="1356" spans="1:33" s="409" customFormat="1" x14ac:dyDescent="0.2">
      <c r="A1356" s="409" t="s">
        <v>634</v>
      </c>
      <c r="B1356" s="23" t="str">
        <f>VLOOKUP(LEFT(A1356,7),'[7]Tariff Schedule Lookup Table'!$A$8:$G$186,2,FALSE)</f>
        <v>Incandescent 1000</v>
      </c>
      <c r="C1356" s="375">
        <f t="shared" si="230"/>
        <v>680</v>
      </c>
      <c r="D1356" s="23">
        <f t="shared" si="231"/>
        <v>2</v>
      </c>
      <c r="E1356" s="23" t="str">
        <f>VLOOKUP(C1356,'[7]Tariff Schedule Lookup Table'!I$7:L$287,2,FALSE)</f>
        <v>METAL HALIDE/HPS 400W FLOOD (310/360)</v>
      </c>
      <c r="F1356" s="23" t="str">
        <f>IF(E1356 = "BULKHEADS ETC", "SHARED OR NO POLE", VLOOKUP(C1356,'[7]Tariff Schedule Lookup Table'!I$7:L$287,3,FALSE))</f>
        <v>SHARED OR NO POLE</v>
      </c>
      <c r="G1356" s="23">
        <f>IF(E1356 = "NO CAPITAL", 1, VLOOKUP(C1356,'[7]Tariff Schedule Lookup Table'!I$7:L$287,4,FALSE))</f>
        <v>2</v>
      </c>
      <c r="H1356" s="23" t="str">
        <f t="shared" si="229"/>
        <v>2-Unmetered, Funded by Others, CE Maintained</v>
      </c>
      <c r="I1356" s="374">
        <f>VLOOKUP(F1356,'Maintenance Model'!$A$57:$B$61,2,FALSE)</f>
        <v>0</v>
      </c>
      <c r="J1356" s="374">
        <f>IF(D1356=1,VLOOKUP(C1356,'Capital Code Schedules'!A$15:F$300,2,FALSE),IF(D1356=2,VLOOKUP(C1356,'Capital Code Schedules'!A$15:F$300,3,FALSE),0))</f>
        <v>0</v>
      </c>
      <c r="K1356" s="374">
        <f>IF(D1356=1,VLOOKUP(C1356,'Capital Code Schedules'!E$15:G$300,2,FALSE),IF(D1356=2,VLOOKUP(C1356,'Capital Code Schedules'!E$15:G$300,3,FALSE),0))</f>
        <v>0</v>
      </c>
      <c r="L1356" s="374">
        <f>VLOOKUP(LEFT(A1356,10),'Streetlight Tariff Schedule'!B$11:H$260,7, FALSE)+I1356</f>
        <v>20.903227435573008</v>
      </c>
      <c r="M1356" s="410">
        <f t="shared" si="222"/>
        <v>20.903227435573008</v>
      </c>
      <c r="N1356" s="411">
        <f t="shared" si="223"/>
        <v>21.774236128617545</v>
      </c>
      <c r="O1356" s="411">
        <v>66.153310304444332</v>
      </c>
      <c r="P1356" s="411">
        <v>66.153310304444332</v>
      </c>
      <c r="Q1356" s="411">
        <v>69.390778047694937</v>
      </c>
      <c r="R1356" s="411">
        <v>69.390778047694937</v>
      </c>
      <c r="S1356" s="411">
        <f t="shared" si="224"/>
        <v>22.839842472062848</v>
      </c>
      <c r="T1356" s="411">
        <v>72.240739535319094</v>
      </c>
      <c r="U1356" s="411">
        <v>72.504655990847439</v>
      </c>
      <c r="V1356" s="411">
        <f t="shared" si="225"/>
        <v>23.864769468124923</v>
      </c>
      <c r="W1356" s="411">
        <v>74.870498010245953</v>
      </c>
      <c r="X1356" s="411">
        <v>75.814980660472401</v>
      </c>
      <c r="Y1356" s="411">
        <f t="shared" si="226"/>
        <v>24.954356530164343</v>
      </c>
      <c r="Z1356" s="411">
        <v>77.033177959296111</v>
      </c>
      <c r="AA1356" s="411">
        <v>78.290395183410567</v>
      </c>
      <c r="AB1356" s="441">
        <f t="shared" si="227"/>
        <v>25.496034296979694</v>
      </c>
      <c r="AC1356" s="438">
        <f t="shared" si="228"/>
        <v>26.258341788094153</v>
      </c>
      <c r="AD1356" s="410"/>
      <c r="AE1356" s="411"/>
      <c r="AF1356" s="411"/>
      <c r="AG1356" s="411"/>
    </row>
    <row r="1357" spans="1:33" s="409" customFormat="1" x14ac:dyDescent="0.2">
      <c r="A1357" s="409" t="s">
        <v>635</v>
      </c>
      <c r="B1357" s="23" t="str">
        <f>VLOOKUP(LEFT(A1357,7),'[7]Tariff Schedule Lookup Table'!$A$8:$G$186,2,FALSE)</f>
        <v>Incandescent 1000</v>
      </c>
      <c r="C1357" s="375">
        <f t="shared" si="230"/>
        <v>900</v>
      </c>
      <c r="D1357" s="23">
        <f t="shared" si="231"/>
        <v>2</v>
      </c>
      <c r="E1357" s="23" t="str">
        <f>VLOOKUP(C1357,'[7]Tariff Schedule Lookup Table'!I$7:L$287,2,FALSE)</f>
        <v>METAL HALIDE/HPS 400W FLOOD (310/360)</v>
      </c>
      <c r="F1357" s="23" t="str">
        <f>IF(E1357 = "BULKHEADS ETC", "SHARED OR NO POLE", VLOOKUP(C1357,'[7]Tariff Schedule Lookup Table'!I$7:L$287,3,FALSE))</f>
        <v>WOOD POLE</v>
      </c>
      <c r="G1357" s="23">
        <f>IF(E1357 = "NO CAPITAL", 1, VLOOKUP(C1357,'[7]Tariff Schedule Lookup Table'!I$7:L$287,4,FALSE))</f>
        <v>2</v>
      </c>
      <c r="H1357" s="23" t="str">
        <f t="shared" si="229"/>
        <v>2-Unmetered, Funded by Others, CE Maintained</v>
      </c>
      <c r="I1357" s="374">
        <f>VLOOKUP(F1357,'Maintenance Model'!$A$57:$B$61,2,FALSE)</f>
        <v>10.731618231111112</v>
      </c>
      <c r="J1357" s="374">
        <f>IF(D1357=1,VLOOKUP(C1357,'Capital Code Schedules'!A$15:F$300,2,FALSE),IF(D1357=2,VLOOKUP(C1357,'Capital Code Schedules'!A$15:F$300,3,FALSE),0))</f>
        <v>0</v>
      </c>
      <c r="K1357" s="374">
        <f>IF(D1357=1,VLOOKUP(C1357,'Capital Code Schedules'!E$15:G$300,2,FALSE),IF(D1357=2,VLOOKUP(C1357,'Capital Code Schedules'!E$15:G$300,3,FALSE),0))</f>
        <v>0</v>
      </c>
      <c r="L1357" s="374">
        <f>VLOOKUP(LEFT(A1357,10),'Streetlight Tariff Schedule'!B$11:H$260,7, FALSE)+I1357</f>
        <v>31.634845666684122</v>
      </c>
      <c r="M1357" s="410">
        <f t="shared" si="222"/>
        <v>31.634845666684122</v>
      </c>
      <c r="N1357" s="411">
        <f t="shared" si="223"/>
        <v>32.953026108614942</v>
      </c>
      <c r="O1357" s="411">
        <v>76.549510379868494</v>
      </c>
      <c r="P1357" s="411">
        <v>76.549510379868494</v>
      </c>
      <c r="Q1357" s="411">
        <v>80.295756326986321</v>
      </c>
      <c r="R1357" s="411">
        <v>80.295756326986321</v>
      </c>
      <c r="S1357" s="411">
        <f t="shared" si="224"/>
        <v>34.565709715499672</v>
      </c>
      <c r="T1357" s="411">
        <v>83.593598195746935</v>
      </c>
      <c r="U1357" s="411">
        <v>83.898989949521791</v>
      </c>
      <c r="V1357" s="411">
        <f t="shared" si="225"/>
        <v>36.11682939019947</v>
      </c>
      <c r="W1357" s="411">
        <v>86.636631458126814</v>
      </c>
      <c r="X1357" s="411">
        <v>87.729542517367605</v>
      </c>
      <c r="Y1357" s="411">
        <f t="shared" si="226"/>
        <v>37.765805303334005</v>
      </c>
      <c r="Z1357" s="411">
        <v>89.139183340205889</v>
      </c>
      <c r="AA1357" s="411">
        <v>90.593976191904403</v>
      </c>
      <c r="AB1357" s="441">
        <f t="shared" si="227"/>
        <v>38.585577877071401</v>
      </c>
      <c r="AC1357" s="438">
        <f t="shared" si="228"/>
        <v>39.739250433440546</v>
      </c>
      <c r="AD1357" s="410"/>
      <c r="AE1357" s="411"/>
      <c r="AF1357" s="411"/>
      <c r="AG1357" s="411"/>
    </row>
    <row r="1358" spans="1:33" s="409" customFormat="1" x14ac:dyDescent="0.2">
      <c r="A1358" s="409" t="s">
        <v>636</v>
      </c>
      <c r="B1358" s="23" t="str">
        <f>VLOOKUP(LEFT(A1358,7),'[7]Tariff Schedule Lookup Table'!$A$8:$G$186,2,FALSE)</f>
        <v>Incandescent 1000</v>
      </c>
      <c r="C1358" s="375">
        <f t="shared" si="230"/>
        <v>1130</v>
      </c>
      <c r="D1358" s="23">
        <f t="shared" si="231"/>
        <v>2</v>
      </c>
      <c r="E1358" s="23" t="str">
        <f>VLOOKUP(C1358,'[7]Tariff Schedule Lookup Table'!I$7:L$287,2,FALSE)</f>
        <v>METAL HALIDE/HPS 400W FLOOD (310/360)</v>
      </c>
      <c r="F1358" s="23" t="str">
        <f>IF(E1358 = "BULKHEADS ETC", "SHARED OR NO POLE", VLOOKUP(C1358,'[7]Tariff Schedule Lookup Table'!I$7:L$287,3,FALSE))</f>
        <v>STEEL POLE</v>
      </c>
      <c r="G1358" s="23">
        <f>IF(E1358 = "NO CAPITAL", 1, VLOOKUP(C1358,'[7]Tariff Schedule Lookup Table'!I$7:L$287,4,FALSE))</f>
        <v>2</v>
      </c>
      <c r="H1358" s="23" t="str">
        <f t="shared" si="229"/>
        <v>2-Unmetered, Funded by Others, CE Maintained</v>
      </c>
      <c r="I1358" s="374">
        <f>VLOOKUP(F1358,'Maintenance Model'!$A$57:$B$61,2,FALSE)</f>
        <v>9.9616182311111103</v>
      </c>
      <c r="J1358" s="374">
        <f>IF(D1358=1,VLOOKUP(C1358,'Capital Code Schedules'!A$15:F$300,2,FALSE),IF(D1358=2,VLOOKUP(C1358,'Capital Code Schedules'!A$15:F$300,3,FALSE),0))</f>
        <v>0</v>
      </c>
      <c r="K1358" s="374">
        <f>IF(D1358=1,VLOOKUP(C1358,'Capital Code Schedules'!E$15:G$300,2,FALSE),IF(D1358=2,VLOOKUP(C1358,'Capital Code Schedules'!E$15:G$300,3,FALSE),0))</f>
        <v>0</v>
      </c>
      <c r="L1358" s="374">
        <f>VLOOKUP(LEFT(A1358,10),'Streetlight Tariff Schedule'!B$11:H$260,7, FALSE)+I1358</f>
        <v>30.864845666684118</v>
      </c>
      <c r="M1358" s="410">
        <f t="shared" si="222"/>
        <v>30.864845666684118</v>
      </c>
      <c r="N1358" s="411">
        <f t="shared" si="223"/>
        <v>32.150941269289937</v>
      </c>
      <c r="O1358" s="411">
        <v>75.747425540543503</v>
      </c>
      <c r="P1358" s="411">
        <v>75.747425540543503</v>
      </c>
      <c r="Q1358" s="411">
        <v>79.454418368161853</v>
      </c>
      <c r="R1358" s="411">
        <v>79.454418368161853</v>
      </c>
      <c r="S1358" s="411">
        <f t="shared" si="224"/>
        <v>33.724371756675211</v>
      </c>
      <c r="T1358" s="411">
        <v>82.717705489905839</v>
      </c>
      <c r="U1358" s="411">
        <v>83.019897352596573</v>
      </c>
      <c r="V1358" s="411">
        <f t="shared" si="225"/>
        <v>35.237736793274259</v>
      </c>
      <c r="W1358" s="411">
        <v>85.728853886749633</v>
      </c>
      <c r="X1358" s="411">
        <v>86.810313437195674</v>
      </c>
      <c r="Y1358" s="411">
        <f t="shared" si="226"/>
        <v>36.846576223162067</v>
      </c>
      <c r="Z1358" s="411">
        <v>88.205184060625996</v>
      </c>
      <c r="AA1358" s="411">
        <v>89.644733610506961</v>
      </c>
      <c r="AB1358" s="441">
        <f t="shared" si="227"/>
        <v>37.646395328865239</v>
      </c>
      <c r="AC1358" s="438">
        <f t="shared" si="228"/>
        <v>38.771987208699279</v>
      </c>
      <c r="AD1358" s="410"/>
      <c r="AE1358" s="411"/>
      <c r="AF1358" s="411"/>
      <c r="AG1358" s="411"/>
    </row>
    <row r="1359" spans="1:33" s="409" customFormat="1" x14ac:dyDescent="0.2">
      <c r="A1359" s="409" t="s">
        <v>637</v>
      </c>
      <c r="B1359" s="23" t="str">
        <f>VLOOKUP(LEFT(A1359,7),'[7]Tariff Schedule Lookup Table'!$A$8:$G$186,2,FALSE)</f>
        <v>Incandescent 1500</v>
      </c>
      <c r="C1359" s="375">
        <f t="shared" si="230"/>
        <v>640</v>
      </c>
      <c r="D1359" s="23">
        <f t="shared" si="231"/>
        <v>1</v>
      </c>
      <c r="E1359" s="23" t="str">
        <f>VLOOKUP(C1359,'[7]Tariff Schedule Lookup Table'!I$7:L$287,2,FALSE)</f>
        <v>METAL HALIDE/HPS 400W FLOOD (310/360)</v>
      </c>
      <c r="F1359" s="23" t="str">
        <f>IF(E1359 = "BULKHEADS ETC", "SHARED OR NO POLE", VLOOKUP(C1359,'[7]Tariff Schedule Lookup Table'!I$7:L$287,3,FALSE))</f>
        <v>SHARED OR NO POLE</v>
      </c>
      <c r="G1359" s="23">
        <f>IF(E1359 = "NO CAPITAL", 1, VLOOKUP(C1359,'[7]Tariff Schedule Lookup Table'!I$7:L$287,4,FALSE))</f>
        <v>1</v>
      </c>
      <c r="H1359" s="23" t="str">
        <f t="shared" si="229"/>
        <v>1-Unmetered, CE Funded, CE Maintained</v>
      </c>
      <c r="I1359" s="374">
        <f>VLOOKUP(F1359,'Maintenance Model'!$A$57:$B$61,2,FALSE)</f>
        <v>0</v>
      </c>
      <c r="J1359" s="374">
        <f>IF(D1359=1,VLOOKUP(C1359,'Capital Code Schedules'!A$15:F$300,2,FALSE),IF(D1359=2,VLOOKUP(C1359,'Capital Code Schedules'!A$15:F$300,3,FALSE),0))</f>
        <v>34.4552059087722</v>
      </c>
      <c r="K1359" s="374">
        <f>IF(D1359=1,VLOOKUP(C1359,'Capital Code Schedules'!E$15:G$300,2,FALSE),IF(D1359=2,VLOOKUP(C1359,'Capital Code Schedules'!E$15:G$300,3,FALSE),0))</f>
        <v>43.705421810047049</v>
      </c>
      <c r="L1359" s="374">
        <f>VLOOKUP(LEFT(A1359,10),'Streetlight Tariff Schedule'!B$11:H$260,7, FALSE)+I1359</f>
        <v>20.903227435573008</v>
      </c>
      <c r="M1359" s="410">
        <f t="shared" si="222"/>
        <v>64.608649245620057</v>
      </c>
      <c r="N1359" s="411">
        <f t="shared" si="223"/>
        <v>57.082208383631858</v>
      </c>
      <c r="O1359" s="411">
        <v>112.92319865429327</v>
      </c>
      <c r="P1359" s="411">
        <v>110.94044130429005</v>
      </c>
      <c r="Q1359" s="411">
        <v>115.28639053978682</v>
      </c>
      <c r="R1359" s="411">
        <v>117.31822113420264</v>
      </c>
      <c r="S1359" s="411">
        <f t="shared" si="224"/>
        <v>59.02168704038877</v>
      </c>
      <c r="T1359" s="411">
        <v>119.27226843659025</v>
      </c>
      <c r="U1359" s="411">
        <v>121.79803120532061</v>
      </c>
      <c r="V1359" s="411">
        <f t="shared" si="225"/>
        <v>61.077796606648128</v>
      </c>
      <c r="W1359" s="411">
        <v>123.06605725182358</v>
      </c>
      <c r="X1359" s="411">
        <v>126.77940129471619</v>
      </c>
      <c r="Y1359" s="411">
        <f t="shared" si="226"/>
        <v>63.428905288683481</v>
      </c>
      <c r="Z1359" s="411">
        <v>126.42157729210277</v>
      </c>
      <c r="AA1359" s="411">
        <v>130.70730180573034</v>
      </c>
      <c r="AB1359" s="441">
        <f t="shared" si="227"/>
        <v>64.647735113648778</v>
      </c>
      <c r="AC1359" s="438">
        <f t="shared" si="228"/>
        <v>66.549357098528304</v>
      </c>
      <c r="AD1359" s="410"/>
      <c r="AE1359" s="411"/>
      <c r="AF1359" s="411"/>
      <c r="AG1359" s="411"/>
    </row>
    <row r="1360" spans="1:33" s="409" customFormat="1" x14ac:dyDescent="0.2">
      <c r="A1360" s="409" t="s">
        <v>638</v>
      </c>
      <c r="B1360" s="23" t="str">
        <f>VLOOKUP(LEFT(A1360,7),'[7]Tariff Schedule Lookup Table'!$A$8:$G$186,2,FALSE)</f>
        <v>Incandescent 1500</v>
      </c>
      <c r="C1360" s="375">
        <f t="shared" si="230"/>
        <v>640</v>
      </c>
      <c r="D1360" s="23">
        <f t="shared" si="231"/>
        <v>2</v>
      </c>
      <c r="E1360" s="23" t="str">
        <f>VLOOKUP(C1360,'[7]Tariff Schedule Lookup Table'!I$7:L$287,2,FALSE)</f>
        <v>METAL HALIDE/HPS 400W FLOOD (310/360)</v>
      </c>
      <c r="F1360" s="23" t="str">
        <f>IF(E1360 = "BULKHEADS ETC", "SHARED OR NO POLE", VLOOKUP(C1360,'[7]Tariff Schedule Lookup Table'!I$7:L$287,3,FALSE))</f>
        <v>SHARED OR NO POLE</v>
      </c>
      <c r="G1360" s="23">
        <f>IF(E1360 = "NO CAPITAL", 1, VLOOKUP(C1360,'[7]Tariff Schedule Lookup Table'!I$7:L$287,4,FALSE))</f>
        <v>1</v>
      </c>
      <c r="H1360" s="23" t="str">
        <f t="shared" si="229"/>
        <v>2-Unmetered, Funded by Others, CE Maintained</v>
      </c>
      <c r="I1360" s="374">
        <f>VLOOKUP(F1360,'Maintenance Model'!$A$57:$B$61,2,FALSE)</f>
        <v>0</v>
      </c>
      <c r="J1360" s="374">
        <f>IF(D1360=1,VLOOKUP(C1360,'Capital Code Schedules'!A$15:F$300,2,FALSE),IF(D1360=2,VLOOKUP(C1360,'Capital Code Schedules'!A$15:F$300,3,FALSE),0))</f>
        <v>0</v>
      </c>
      <c r="K1360" s="374">
        <f>IF(D1360=1,VLOOKUP(C1360,'Capital Code Schedules'!E$15:G$300,2,FALSE),IF(D1360=2,VLOOKUP(C1360,'Capital Code Schedules'!E$15:G$300,3,FALSE),0))</f>
        <v>0</v>
      </c>
      <c r="L1360" s="374">
        <f>VLOOKUP(LEFT(A1360,10),'Streetlight Tariff Schedule'!B$11:H$260,7, FALSE)+I1360</f>
        <v>20.903227435573008</v>
      </c>
      <c r="M1360" s="410">
        <f t="shared" si="222"/>
        <v>20.903227435573008</v>
      </c>
      <c r="N1360" s="411">
        <f t="shared" si="223"/>
        <v>21.774236128617545</v>
      </c>
      <c r="O1360" s="411">
        <v>66.153310304444332</v>
      </c>
      <c r="P1360" s="411">
        <v>66.153310304444332</v>
      </c>
      <c r="Q1360" s="411">
        <v>69.390778047694937</v>
      </c>
      <c r="R1360" s="411">
        <v>69.390778047694937</v>
      </c>
      <c r="S1360" s="411">
        <f t="shared" si="224"/>
        <v>22.839842472062848</v>
      </c>
      <c r="T1360" s="411">
        <v>72.240739535319094</v>
      </c>
      <c r="U1360" s="411">
        <v>72.504655990847439</v>
      </c>
      <c r="V1360" s="411">
        <f t="shared" si="225"/>
        <v>23.864769468124923</v>
      </c>
      <c r="W1360" s="411">
        <v>74.870498010245953</v>
      </c>
      <c r="X1360" s="411">
        <v>75.814980660472401</v>
      </c>
      <c r="Y1360" s="411">
        <f t="shared" si="226"/>
        <v>24.954356530164343</v>
      </c>
      <c r="Z1360" s="411">
        <v>77.033177959296111</v>
      </c>
      <c r="AA1360" s="411">
        <v>78.290395183410567</v>
      </c>
      <c r="AB1360" s="441">
        <f t="shared" si="227"/>
        <v>25.496034296979694</v>
      </c>
      <c r="AC1360" s="438">
        <f t="shared" si="228"/>
        <v>26.258341788094153</v>
      </c>
      <c r="AD1360" s="410"/>
      <c r="AE1360" s="411"/>
      <c r="AF1360" s="411"/>
      <c r="AG1360" s="411"/>
    </row>
    <row r="1361" spans="1:33" s="409" customFormat="1" x14ac:dyDescent="0.2">
      <c r="A1361" s="409" t="s">
        <v>639</v>
      </c>
      <c r="B1361" s="23" t="str">
        <f>VLOOKUP(LEFT(A1361,7),'[7]Tariff Schedule Lookup Table'!$A$8:$G$186,2,FALSE)</f>
        <v>Incandescent 1500</v>
      </c>
      <c r="C1361" s="375">
        <f t="shared" si="230"/>
        <v>1170</v>
      </c>
      <c r="D1361" s="23">
        <f t="shared" si="231"/>
        <v>2</v>
      </c>
      <c r="E1361" s="23" t="str">
        <f>VLOOKUP(C1361,'[7]Tariff Schedule Lookup Table'!I$7:L$287,2,FALSE)</f>
        <v>METAL HALIDE/HPS 400W FLOOD (310/360)</v>
      </c>
      <c r="F1361" s="23" t="str">
        <f>IF(E1361 = "BULKHEADS ETC", "SHARED OR NO POLE", VLOOKUP(C1361,'[7]Tariff Schedule Lookup Table'!I$7:L$287,3,FALSE))</f>
        <v>STEEL POLE</v>
      </c>
      <c r="G1361" s="23">
        <f>IF(E1361 = "NO CAPITAL", 1, VLOOKUP(C1361,'[7]Tariff Schedule Lookup Table'!I$7:L$287,4,FALSE))</f>
        <v>1</v>
      </c>
      <c r="H1361" s="23" t="str">
        <f t="shared" si="229"/>
        <v>2-Unmetered, Funded by Others, CE Maintained</v>
      </c>
      <c r="I1361" s="374">
        <f>VLOOKUP(F1361,'Maintenance Model'!$A$57:$B$61,2,FALSE)</f>
        <v>9.9616182311111103</v>
      </c>
      <c r="J1361" s="374">
        <f>IF(D1361=1,VLOOKUP(C1361,'Capital Code Schedules'!A$15:F$300,2,FALSE),IF(D1361=2,VLOOKUP(C1361,'Capital Code Schedules'!A$15:F$300,3,FALSE),0))</f>
        <v>0</v>
      </c>
      <c r="K1361" s="374">
        <f>IF(D1361=1,VLOOKUP(C1361,'Capital Code Schedules'!E$15:G$300,2,FALSE),IF(D1361=2,VLOOKUP(C1361,'Capital Code Schedules'!E$15:G$300,3,FALSE),0))</f>
        <v>0</v>
      </c>
      <c r="L1361" s="374">
        <f>VLOOKUP(LEFT(A1361,10),'Streetlight Tariff Schedule'!B$11:H$260,7, FALSE)+I1361</f>
        <v>30.864845666684118</v>
      </c>
      <c r="M1361" s="410">
        <f t="shared" si="222"/>
        <v>30.864845666684118</v>
      </c>
      <c r="N1361" s="411">
        <f t="shared" si="223"/>
        <v>32.150941269289937</v>
      </c>
      <c r="O1361" s="411">
        <v>75.747425540543503</v>
      </c>
      <c r="P1361" s="411">
        <v>75.747425540543503</v>
      </c>
      <c r="Q1361" s="411">
        <v>79.454418368161853</v>
      </c>
      <c r="R1361" s="411">
        <v>79.454418368161853</v>
      </c>
      <c r="S1361" s="411">
        <f t="shared" si="224"/>
        <v>33.724371756675211</v>
      </c>
      <c r="T1361" s="411">
        <v>82.717705489905839</v>
      </c>
      <c r="U1361" s="411">
        <v>83.019897352596573</v>
      </c>
      <c r="V1361" s="411">
        <f t="shared" si="225"/>
        <v>35.237736793274259</v>
      </c>
      <c r="W1361" s="411">
        <v>85.728853886749633</v>
      </c>
      <c r="X1361" s="411">
        <v>86.810313437195674</v>
      </c>
      <c r="Y1361" s="411">
        <f t="shared" si="226"/>
        <v>36.846576223162067</v>
      </c>
      <c r="Z1361" s="411">
        <v>88.205184060625996</v>
      </c>
      <c r="AA1361" s="411">
        <v>89.644733610506961</v>
      </c>
      <c r="AB1361" s="441">
        <f t="shared" si="227"/>
        <v>37.646395328865239</v>
      </c>
      <c r="AC1361" s="438">
        <f t="shared" si="228"/>
        <v>38.771987208699279</v>
      </c>
      <c r="AD1361" s="410"/>
      <c r="AE1361" s="411"/>
      <c r="AF1361" s="411"/>
      <c r="AG1361" s="411"/>
    </row>
    <row r="1362" spans="1:33" s="409" customFormat="1" x14ac:dyDescent="0.2">
      <c r="A1362" s="409" t="s">
        <v>640</v>
      </c>
      <c r="B1362" s="23" t="str">
        <f>VLOOKUP(LEFT(A1362,7),'[7]Tariff Schedule Lookup Table'!$A$8:$G$186,2,FALSE)</f>
        <v>Low Pressure Sodium 18</v>
      </c>
      <c r="C1362" s="375">
        <f t="shared" si="230"/>
        <v>40</v>
      </c>
      <c r="D1362" s="23">
        <f t="shared" si="231"/>
        <v>1</v>
      </c>
      <c r="E1362" s="23" t="str">
        <f>VLOOKUP(C1362,'[7]Tariff Schedule Lookup Table'!I$7:L$287,2,FALSE)</f>
        <v>HIGH PRESSURE SODIUM 70W (100)</v>
      </c>
      <c r="F1362" s="23" t="str">
        <f>IF(E1362 = "BULKHEADS ETC", "SHARED OR NO POLE", VLOOKUP(C1362,'[7]Tariff Schedule Lookup Table'!I$7:L$287,3,FALSE))</f>
        <v>SHARED OR NO POLE</v>
      </c>
      <c r="G1362" s="23">
        <f>IF(E1362 = "NO CAPITAL", 1, VLOOKUP(C1362,'[7]Tariff Schedule Lookup Table'!I$7:L$287,4,FALSE))</f>
        <v>1</v>
      </c>
      <c r="H1362" s="23" t="str">
        <f t="shared" si="229"/>
        <v>1-Unmetered, CE Funded, CE Maintained</v>
      </c>
      <c r="I1362" s="374">
        <f>VLOOKUP(F1362,'Maintenance Model'!$A$57:$B$61,2,FALSE)</f>
        <v>0</v>
      </c>
      <c r="J1362" s="374">
        <f>IF(D1362=1,VLOOKUP(C1362,'Capital Code Schedules'!A$15:F$300,2,FALSE),IF(D1362=2,VLOOKUP(C1362,'Capital Code Schedules'!A$15:F$300,3,FALSE),0))</f>
        <v>18.483521869130684</v>
      </c>
      <c r="K1362" s="374">
        <f>IF(D1362=1,VLOOKUP(C1362,'Capital Code Schedules'!E$15:G$300,2,FALSE),IF(D1362=2,VLOOKUP(C1362,'Capital Code Schedules'!E$15:G$300,3,FALSE),0))</f>
        <v>23.445807346631316</v>
      </c>
      <c r="L1362" s="374">
        <f>VLOOKUP(LEFT(A1362,10),'Streetlight Tariff Schedule'!B$11:H$260,7, FALSE)+I1362</f>
        <v>52.323726597751772</v>
      </c>
      <c r="M1362" s="410">
        <f t="shared" si="222"/>
        <v>75.769533944383085</v>
      </c>
      <c r="N1362" s="411">
        <f t="shared" si="223"/>
        <v>73.444973244538375</v>
      </c>
      <c r="O1362" s="411">
        <v>71.893786389745046</v>
      </c>
      <c r="P1362" s="411">
        <v>70.830134675197215</v>
      </c>
      <c r="Q1362" s="411">
        <v>73.71531707375037</v>
      </c>
      <c r="R1362" s="411">
        <v>74.80529416823326</v>
      </c>
      <c r="S1362" s="411">
        <f t="shared" si="224"/>
        <v>76.581125700824686</v>
      </c>
      <c r="T1362" s="411">
        <v>76.341052901569881</v>
      </c>
      <c r="U1362" s="411">
        <v>77.741145298806842</v>
      </c>
      <c r="V1362" s="411">
        <f t="shared" si="225"/>
        <v>79.69984122195585</v>
      </c>
      <c r="W1362" s="411">
        <v>78.826074918842181</v>
      </c>
      <c r="X1362" s="411">
        <v>80.979662461949943</v>
      </c>
      <c r="Y1362" s="411">
        <f t="shared" si="226"/>
        <v>83.103975569789611</v>
      </c>
      <c r="Z1362" s="411">
        <v>80.996089821427489</v>
      </c>
      <c r="AA1362" s="411">
        <v>83.510227043447756</v>
      </c>
      <c r="AB1362" s="441">
        <f t="shared" si="227"/>
        <v>84.823130167401303</v>
      </c>
      <c r="AC1362" s="438">
        <f t="shared" si="228"/>
        <v>87.342479480157508</v>
      </c>
      <c r="AD1362" s="410"/>
      <c r="AE1362" s="411"/>
      <c r="AF1362" s="411"/>
      <c r="AG1362" s="411"/>
    </row>
    <row r="1363" spans="1:33" s="409" customFormat="1" x14ac:dyDescent="0.2">
      <c r="A1363" s="409" t="s">
        <v>641</v>
      </c>
      <c r="B1363" s="23" t="str">
        <f>VLOOKUP(LEFT(A1363,7),'[7]Tariff Schedule Lookup Table'!$A$8:$G$186,2,FALSE)</f>
        <v>Low Pressure Sodium 18</v>
      </c>
      <c r="C1363" s="375">
        <f t="shared" si="230"/>
        <v>350</v>
      </c>
      <c r="D1363" s="23">
        <f t="shared" si="231"/>
        <v>1</v>
      </c>
      <c r="E1363" s="23" t="str">
        <f>VLOOKUP(C1363,'[7]Tariff Schedule Lookup Table'!I$7:L$287,2,FALSE)</f>
        <v>HIGH PRESSURE SODIUM 70W (100)</v>
      </c>
      <c r="F1363" s="23" t="str">
        <f>IF(E1363 = "BULKHEADS ETC", "SHARED OR NO POLE", VLOOKUP(C1363,'[7]Tariff Schedule Lookup Table'!I$7:L$287,3,FALSE))</f>
        <v>WOOD POLE</v>
      </c>
      <c r="G1363" s="23">
        <f>IF(E1363 = "NO CAPITAL", 1, VLOOKUP(C1363,'[7]Tariff Schedule Lookup Table'!I$7:L$287,4,FALSE))</f>
        <v>1</v>
      </c>
      <c r="H1363" s="23" t="str">
        <f t="shared" si="229"/>
        <v>1-Unmetered, CE Funded, CE Maintained</v>
      </c>
      <c r="I1363" s="374">
        <f>VLOOKUP(F1363,'Maintenance Model'!$A$57:$B$61,2,FALSE)</f>
        <v>10.731618231111112</v>
      </c>
      <c r="J1363" s="374">
        <f>IF(D1363=1,VLOOKUP(C1363,'Capital Code Schedules'!A$15:F$300,2,FALSE),IF(D1363=2,VLOOKUP(C1363,'Capital Code Schedules'!A$15:F$300,3,FALSE),0))</f>
        <v>52.384640231006998</v>
      </c>
      <c r="K1363" s="374">
        <f>IF(D1363=1,VLOOKUP(C1363,'Capital Code Schedules'!E$15:G$300,2,FALSE),IF(D1363=2,VLOOKUP(C1363,'Capital Code Schedules'!E$15:G$300,3,FALSE),0))</f>
        <v>66.448385295553337</v>
      </c>
      <c r="L1363" s="374">
        <f>VLOOKUP(LEFT(A1363,10),'Streetlight Tariff Schedule'!B$11:H$260,7, FALSE)+I1363</f>
        <v>63.055344828862886</v>
      </c>
      <c r="M1363" s="410">
        <f t="shared" ref="M1363:M1426" si="232">IF(VLOOKUP(D1363,A$11:D$15,3,FALSE)="Y",IF(VLOOKUP(D1363,A$11:D$15,4,FALSE)="Y",K1363+L1363,K1363),IF(VLOOKUP(D1363,A$11:D$15,4,FALSE)="Y",L1363,0))</f>
        <v>129.50373012441622</v>
      </c>
      <c r="N1363" s="411">
        <f t="shared" ref="N1363:N1426" si="233">($J1363+$L1363+$L1363*$M$10*$M$14)*(1+$M$12)</f>
        <v>119.36393426586854</v>
      </c>
      <c r="O1363" s="411">
        <v>128.30775007738117</v>
      </c>
      <c r="P1363" s="411">
        <v>125.29322650377924</v>
      </c>
      <c r="Q1363" s="411">
        <v>129.77784267709026</v>
      </c>
      <c r="R1363" s="411">
        <v>132.86697570913884</v>
      </c>
      <c r="S1363" s="411">
        <f t="shared" ref="S1363:S1426" si="234">($J1363+$L1363+$L1363*$N$10*$N$14)*(1+$N$12)</f>
        <v>123.90698321886725</v>
      </c>
      <c r="T1363" s="411">
        <v>133.96910818231643</v>
      </c>
      <c r="U1363" s="411">
        <v>137.63614856205137</v>
      </c>
      <c r="V1363" s="411">
        <f t="shared" ref="V1363:V1426" si="235">($J1363+$L1363+$L1363*$O$10*$O$14)*(1+$O$12)</f>
        <v>128.56649114146239</v>
      </c>
      <c r="W1363" s="411">
        <v>138.01271610339464</v>
      </c>
      <c r="X1363" s="411">
        <v>143.03906631284028</v>
      </c>
      <c r="Y1363" s="411">
        <f t="shared" ref="Y1363:Y1426" si="236">($J1363+$L1363+$L1363*$P$10*$P$14)*(1+$P$12)</f>
        <v>133.77124894130421</v>
      </c>
      <c r="Z1363" s="411">
        <v>141.69626050549149</v>
      </c>
      <c r="AA1363" s="411">
        <v>147.3877780427656</v>
      </c>
      <c r="AB1363" s="441">
        <f t="shared" ref="AB1363:AB1426" si="237">($J1363+$L1363+$L1363*$Q$10*$Q$14)*(1+$Q$12)</f>
        <v>136.43476085876884</v>
      </c>
      <c r="AC1363" s="438">
        <f t="shared" ref="AC1363:AC1426" si="238">($J1363+$L1363+$L1363*$R$10*$R$14)*(1+$R$12)</f>
        <v>140.46646797171783</v>
      </c>
      <c r="AD1363" s="410"/>
      <c r="AE1363" s="411"/>
      <c r="AF1363" s="411"/>
      <c r="AG1363" s="411"/>
    </row>
    <row r="1364" spans="1:33" s="409" customFormat="1" x14ac:dyDescent="0.2">
      <c r="A1364" s="409" t="s">
        <v>749</v>
      </c>
      <c r="B1364" s="23" t="str">
        <f>VLOOKUP(LEFT(A1364,7),'[7]Tariff Schedule Lookup Table'!$A$8:$G$186,2,FALSE)</f>
        <v>Low Pressure Sodium 18</v>
      </c>
      <c r="C1364" s="375">
        <f t="shared" si="230"/>
        <v>360</v>
      </c>
      <c r="D1364" s="23">
        <f t="shared" si="231"/>
        <v>1</v>
      </c>
      <c r="E1364" s="23" t="str">
        <f>VLOOKUP(C1364,'[7]Tariff Schedule Lookup Table'!I$7:L$287,2,FALSE)</f>
        <v>HIGH PRESSURE SODIUM 70W (100)</v>
      </c>
      <c r="F1364" s="23" t="str">
        <f>IF(E1364 = "BULKHEADS ETC", "SHARED OR NO POLE", VLOOKUP(C1364,'[7]Tariff Schedule Lookup Table'!I$7:L$287,3,FALSE))</f>
        <v>STEEL POLE</v>
      </c>
      <c r="G1364" s="23">
        <f>IF(E1364 = "NO CAPITAL", 1, VLOOKUP(C1364,'[7]Tariff Schedule Lookup Table'!I$7:L$287,4,FALSE))</f>
        <v>1</v>
      </c>
      <c r="H1364" s="23" t="str">
        <f t="shared" si="229"/>
        <v>1-Unmetered, CE Funded, CE Maintained</v>
      </c>
      <c r="I1364" s="374">
        <f>VLOOKUP(F1364,'Maintenance Model'!$A$57:$B$61,2,FALSE)</f>
        <v>9.9616182311111103</v>
      </c>
      <c r="J1364" s="374">
        <f>IF(D1364=1,VLOOKUP(C1364,'Capital Code Schedules'!A$15:F$300,2,FALSE),IF(D1364=2,VLOOKUP(C1364,'Capital Code Schedules'!A$15:F$300,3,FALSE),0))</f>
        <v>87.482155888651974</v>
      </c>
      <c r="K1364" s="374">
        <f>IF(D1364=1,VLOOKUP(C1364,'Capital Code Schedules'!E$15:G$300,2,FALSE),IF(D1364=2,VLOOKUP(C1364,'Capital Code Schedules'!E$15:G$300,3,FALSE),0))</f>
        <v>110.96855825181379</v>
      </c>
      <c r="L1364" s="374">
        <f>VLOOKUP(LEFT(A1364,10),'Streetlight Tariff Schedule'!B$11:H$260,7, FALSE)+I1364</f>
        <v>62.285344828862883</v>
      </c>
      <c r="M1364" s="410">
        <f t="shared" si="232"/>
        <v>173.25390308067668</v>
      </c>
      <c r="N1364" s="411">
        <f t="shared" si="233"/>
        <v>154.52802859671522</v>
      </c>
      <c r="O1364" s="411">
        <v>175.1474321458316</v>
      </c>
      <c r="P1364" s="411">
        <v>170.1131889013821</v>
      </c>
      <c r="Q1364" s="411">
        <v>175.68769762430762</v>
      </c>
      <c r="R1364" s="411">
        <v>180.84653838905726</v>
      </c>
      <c r="S1364" s="411">
        <f t="shared" si="234"/>
        <v>159.92198736467623</v>
      </c>
      <c r="T1364" s="411">
        <v>181.00150040694172</v>
      </c>
      <c r="U1364" s="411">
        <v>186.96935227207322</v>
      </c>
      <c r="V1364" s="411">
        <f t="shared" si="235"/>
        <v>165.59414639915266</v>
      </c>
      <c r="W1364" s="411">
        <v>186.19895351451285</v>
      </c>
      <c r="X1364" s="411">
        <v>194.03433038442088</v>
      </c>
      <c r="Y1364" s="411">
        <f t="shared" si="236"/>
        <v>172.04380646801923</v>
      </c>
      <c r="Z1364" s="411">
        <v>191.07135307922377</v>
      </c>
      <c r="AA1364" s="411">
        <v>199.83259166794565</v>
      </c>
      <c r="AB1364" s="441">
        <f t="shared" si="237"/>
        <v>175.37714036173085</v>
      </c>
      <c r="AC1364" s="438">
        <f t="shared" si="238"/>
        <v>180.5413202538337</v>
      </c>
      <c r="AD1364" s="410"/>
      <c r="AE1364" s="411"/>
      <c r="AF1364" s="411"/>
      <c r="AG1364" s="411"/>
    </row>
    <row r="1365" spans="1:33" s="409" customFormat="1" x14ac:dyDescent="0.2">
      <c r="A1365" s="409" t="s">
        <v>643</v>
      </c>
      <c r="B1365" s="23" t="str">
        <f>VLOOKUP(LEFT(A1365,7),'[7]Tariff Schedule Lookup Table'!$A$8:$G$186,2,FALSE)</f>
        <v>Low Pressure Sodium 35</v>
      </c>
      <c r="C1365" s="375">
        <f t="shared" si="230"/>
        <v>40</v>
      </c>
      <c r="D1365" s="23">
        <f t="shared" si="231"/>
        <v>1</v>
      </c>
      <c r="E1365" s="23" t="str">
        <f>VLOOKUP(C1365,'[7]Tariff Schedule Lookup Table'!I$7:L$287,2,FALSE)</f>
        <v>HIGH PRESSURE SODIUM 70W (100)</v>
      </c>
      <c r="F1365" s="23" t="str">
        <f>IF(E1365 = "BULKHEADS ETC", "SHARED OR NO POLE", VLOOKUP(C1365,'[7]Tariff Schedule Lookup Table'!I$7:L$287,3,FALSE))</f>
        <v>SHARED OR NO POLE</v>
      </c>
      <c r="G1365" s="23">
        <f>IF(E1365 = "NO CAPITAL", 1, VLOOKUP(C1365,'[7]Tariff Schedule Lookup Table'!I$7:L$287,4,FALSE))</f>
        <v>1</v>
      </c>
      <c r="H1365" s="23" t="str">
        <f t="shared" si="229"/>
        <v>1-Unmetered, CE Funded, CE Maintained</v>
      </c>
      <c r="I1365" s="374">
        <f>VLOOKUP(F1365,'Maintenance Model'!$A$57:$B$61,2,FALSE)</f>
        <v>0</v>
      </c>
      <c r="J1365" s="374">
        <f>IF(D1365=1,VLOOKUP(C1365,'Capital Code Schedules'!A$15:F$300,2,FALSE),IF(D1365=2,VLOOKUP(C1365,'Capital Code Schedules'!A$15:F$300,3,FALSE),0))</f>
        <v>18.483521869130684</v>
      </c>
      <c r="K1365" s="374">
        <f>IF(D1365=1,VLOOKUP(C1365,'Capital Code Schedules'!E$15:G$300,2,FALSE),IF(D1365=2,VLOOKUP(C1365,'Capital Code Schedules'!E$15:G$300,3,FALSE),0))</f>
        <v>23.445807346631316</v>
      </c>
      <c r="L1365" s="374">
        <f>VLOOKUP(LEFT(A1365,10),'Streetlight Tariff Schedule'!B$11:H$260,7, FALSE)+I1365</f>
        <v>52.323726597751772</v>
      </c>
      <c r="M1365" s="410">
        <f t="shared" si="232"/>
        <v>75.769533944383085</v>
      </c>
      <c r="N1365" s="411">
        <f t="shared" si="233"/>
        <v>73.444973244538375</v>
      </c>
      <c r="O1365" s="411">
        <v>71.893786389745046</v>
      </c>
      <c r="P1365" s="411">
        <v>70.830134675197215</v>
      </c>
      <c r="Q1365" s="411">
        <v>73.71531707375037</v>
      </c>
      <c r="R1365" s="411">
        <v>74.80529416823326</v>
      </c>
      <c r="S1365" s="411">
        <f t="shared" si="234"/>
        <v>76.581125700824686</v>
      </c>
      <c r="T1365" s="411">
        <v>76.341052901569881</v>
      </c>
      <c r="U1365" s="411">
        <v>77.741145298806842</v>
      </c>
      <c r="V1365" s="411">
        <f t="shared" si="235"/>
        <v>79.69984122195585</v>
      </c>
      <c r="W1365" s="411">
        <v>78.826074918842181</v>
      </c>
      <c r="X1365" s="411">
        <v>80.979662461949943</v>
      </c>
      <c r="Y1365" s="411">
        <f t="shared" si="236"/>
        <v>83.103975569789611</v>
      </c>
      <c r="Z1365" s="411">
        <v>80.996089821427489</v>
      </c>
      <c r="AA1365" s="411">
        <v>83.510227043447756</v>
      </c>
      <c r="AB1365" s="441">
        <f t="shared" si="237"/>
        <v>84.823130167401303</v>
      </c>
      <c r="AC1365" s="438">
        <f t="shared" si="238"/>
        <v>87.342479480157508</v>
      </c>
      <c r="AD1365" s="410"/>
      <c r="AE1365" s="411"/>
      <c r="AF1365" s="411"/>
      <c r="AG1365" s="411"/>
    </row>
    <row r="1366" spans="1:33" s="409" customFormat="1" x14ac:dyDescent="0.2">
      <c r="A1366" s="409" t="s">
        <v>754</v>
      </c>
      <c r="B1366" s="23" t="str">
        <f>VLOOKUP(LEFT(A1366,7),'[7]Tariff Schedule Lookup Table'!$A$8:$G$186,2,FALSE)</f>
        <v>Low Pressure Sodium 35</v>
      </c>
      <c r="C1366" s="375">
        <f t="shared" si="230"/>
        <v>360</v>
      </c>
      <c r="D1366" s="23">
        <f t="shared" si="231"/>
        <v>1</v>
      </c>
      <c r="E1366" s="23" t="str">
        <f>VLOOKUP(C1366,'[7]Tariff Schedule Lookup Table'!I$7:L$287,2,FALSE)</f>
        <v>HIGH PRESSURE SODIUM 70W (100)</v>
      </c>
      <c r="F1366" s="23" t="str">
        <f>IF(E1366 = "BULKHEADS ETC", "SHARED OR NO POLE", VLOOKUP(C1366,'[7]Tariff Schedule Lookup Table'!I$7:L$287,3,FALSE))</f>
        <v>STEEL POLE</v>
      </c>
      <c r="G1366" s="23">
        <f>IF(E1366 = "NO CAPITAL", 1, VLOOKUP(C1366,'[7]Tariff Schedule Lookup Table'!I$7:L$287,4,FALSE))</f>
        <v>1</v>
      </c>
      <c r="H1366" s="23" t="str">
        <f t="shared" si="229"/>
        <v>1-Unmetered, CE Funded, CE Maintained</v>
      </c>
      <c r="I1366" s="374">
        <f>VLOOKUP(F1366,'Maintenance Model'!$A$57:$B$61,2,FALSE)</f>
        <v>9.9616182311111103</v>
      </c>
      <c r="J1366" s="374">
        <f>IF(D1366=1,VLOOKUP(C1366,'Capital Code Schedules'!A$15:F$300,2,FALSE),IF(D1366=2,VLOOKUP(C1366,'Capital Code Schedules'!A$15:F$300,3,FALSE),0))</f>
        <v>87.482155888651974</v>
      </c>
      <c r="K1366" s="374">
        <f>IF(D1366=1,VLOOKUP(C1366,'Capital Code Schedules'!E$15:G$300,2,FALSE),IF(D1366=2,VLOOKUP(C1366,'Capital Code Schedules'!E$15:G$300,3,FALSE),0))</f>
        <v>110.96855825181379</v>
      </c>
      <c r="L1366" s="374">
        <f>VLOOKUP(LEFT(A1366,10),'Streetlight Tariff Schedule'!B$11:H$260,7, FALSE)+I1366</f>
        <v>62.285344828862883</v>
      </c>
      <c r="M1366" s="410">
        <f t="shared" si="232"/>
        <v>173.25390308067668</v>
      </c>
      <c r="N1366" s="411">
        <f t="shared" si="233"/>
        <v>154.52802859671522</v>
      </c>
      <c r="O1366" s="411">
        <v>175.1474321458316</v>
      </c>
      <c r="P1366" s="411">
        <v>170.1131889013821</v>
      </c>
      <c r="Q1366" s="411">
        <v>175.68769762430762</v>
      </c>
      <c r="R1366" s="411">
        <v>180.84653838905726</v>
      </c>
      <c r="S1366" s="411">
        <f t="shared" si="234"/>
        <v>159.92198736467623</v>
      </c>
      <c r="T1366" s="411">
        <v>181.00150040694172</v>
      </c>
      <c r="U1366" s="411">
        <v>186.96935227207322</v>
      </c>
      <c r="V1366" s="411">
        <f t="shared" si="235"/>
        <v>165.59414639915266</v>
      </c>
      <c r="W1366" s="411">
        <v>186.19895351451285</v>
      </c>
      <c r="X1366" s="411">
        <v>194.03433038442088</v>
      </c>
      <c r="Y1366" s="411">
        <f t="shared" si="236"/>
        <v>172.04380646801923</v>
      </c>
      <c r="Z1366" s="411">
        <v>191.07135307922377</v>
      </c>
      <c r="AA1366" s="411">
        <v>199.83259166794565</v>
      </c>
      <c r="AB1366" s="441">
        <f t="shared" si="237"/>
        <v>175.37714036173085</v>
      </c>
      <c r="AC1366" s="438">
        <f t="shared" si="238"/>
        <v>180.5413202538337</v>
      </c>
      <c r="AD1366" s="410"/>
      <c r="AE1366" s="411"/>
      <c r="AF1366" s="411"/>
      <c r="AG1366" s="411"/>
    </row>
    <row r="1367" spans="1:33" s="409" customFormat="1" x14ac:dyDescent="0.2">
      <c r="A1367" s="409" t="s">
        <v>645</v>
      </c>
      <c r="B1367" s="23" t="str">
        <f>VLOOKUP(LEFT(A1367,7),'[7]Tariff Schedule Lookup Table'!$A$8:$G$186,2,FALSE)</f>
        <v>Low Pressure Sodium 55</v>
      </c>
      <c r="C1367" s="375">
        <f t="shared" si="230"/>
        <v>40</v>
      </c>
      <c r="D1367" s="23">
        <f t="shared" si="231"/>
        <v>1</v>
      </c>
      <c r="E1367" s="23" t="str">
        <f>VLOOKUP(C1367,'[7]Tariff Schedule Lookup Table'!I$7:L$287,2,FALSE)</f>
        <v>HIGH PRESSURE SODIUM 70W (100)</v>
      </c>
      <c r="F1367" s="23" t="str">
        <f>IF(E1367 = "BULKHEADS ETC", "SHARED OR NO POLE", VLOOKUP(C1367,'[7]Tariff Schedule Lookup Table'!I$7:L$287,3,FALSE))</f>
        <v>SHARED OR NO POLE</v>
      </c>
      <c r="G1367" s="23">
        <f>IF(E1367 = "NO CAPITAL", 1, VLOOKUP(C1367,'[7]Tariff Schedule Lookup Table'!I$7:L$287,4,FALSE))</f>
        <v>1</v>
      </c>
      <c r="H1367" s="23" t="str">
        <f t="shared" si="229"/>
        <v>1-Unmetered, CE Funded, CE Maintained</v>
      </c>
      <c r="I1367" s="374">
        <f>VLOOKUP(F1367,'Maintenance Model'!$A$57:$B$61,2,FALSE)</f>
        <v>0</v>
      </c>
      <c r="J1367" s="374">
        <f>IF(D1367=1,VLOOKUP(C1367,'Capital Code Schedules'!A$15:F$300,2,FALSE),IF(D1367=2,VLOOKUP(C1367,'Capital Code Schedules'!A$15:F$300,3,FALSE),0))</f>
        <v>18.483521869130684</v>
      </c>
      <c r="K1367" s="374">
        <f>IF(D1367=1,VLOOKUP(C1367,'Capital Code Schedules'!E$15:G$300,2,FALSE),IF(D1367=2,VLOOKUP(C1367,'Capital Code Schedules'!E$15:G$300,3,FALSE),0))</f>
        <v>23.445807346631316</v>
      </c>
      <c r="L1367" s="374">
        <f>VLOOKUP(LEFT(A1367,10),'Streetlight Tariff Schedule'!B$11:H$260,7, FALSE)+I1367</f>
        <v>52.323726597751772</v>
      </c>
      <c r="M1367" s="410">
        <f t="shared" si="232"/>
        <v>75.769533944383085</v>
      </c>
      <c r="N1367" s="411">
        <f t="shared" si="233"/>
        <v>73.444973244538375</v>
      </c>
      <c r="O1367" s="411">
        <v>71.893786389745046</v>
      </c>
      <c r="P1367" s="411">
        <v>70.830134675197215</v>
      </c>
      <c r="Q1367" s="411">
        <v>73.71531707375037</v>
      </c>
      <c r="R1367" s="411">
        <v>74.80529416823326</v>
      </c>
      <c r="S1367" s="411">
        <f t="shared" si="234"/>
        <v>76.581125700824686</v>
      </c>
      <c r="T1367" s="411">
        <v>76.341052901569881</v>
      </c>
      <c r="U1367" s="411">
        <v>77.741145298806842</v>
      </c>
      <c r="V1367" s="411">
        <f t="shared" si="235"/>
        <v>79.69984122195585</v>
      </c>
      <c r="W1367" s="411">
        <v>78.826074918842181</v>
      </c>
      <c r="X1367" s="411">
        <v>80.979662461949943</v>
      </c>
      <c r="Y1367" s="411">
        <f t="shared" si="236"/>
        <v>83.103975569789611</v>
      </c>
      <c r="Z1367" s="411">
        <v>80.996089821427489</v>
      </c>
      <c r="AA1367" s="411">
        <v>83.510227043447756</v>
      </c>
      <c r="AB1367" s="441">
        <f t="shared" si="237"/>
        <v>84.823130167401303</v>
      </c>
      <c r="AC1367" s="438">
        <f t="shared" si="238"/>
        <v>87.342479480157508</v>
      </c>
      <c r="AD1367" s="410"/>
      <c r="AE1367" s="411"/>
      <c r="AF1367" s="411"/>
      <c r="AG1367" s="411"/>
    </row>
    <row r="1368" spans="1:33" s="409" customFormat="1" x14ac:dyDescent="0.2">
      <c r="A1368" s="409" t="s">
        <v>646</v>
      </c>
      <c r="B1368" s="23" t="str">
        <f>VLOOKUP(LEFT(A1368,7),'[7]Tariff Schedule Lookup Table'!$A$8:$G$186,2,FALSE)</f>
        <v>Low Pressure Sodium 55</v>
      </c>
      <c r="C1368" s="375">
        <f t="shared" si="230"/>
        <v>40</v>
      </c>
      <c r="D1368" s="23">
        <f t="shared" si="231"/>
        <v>2</v>
      </c>
      <c r="E1368" s="23" t="str">
        <f>VLOOKUP(C1368,'[7]Tariff Schedule Lookup Table'!I$7:L$287,2,FALSE)</f>
        <v>HIGH PRESSURE SODIUM 70W (100)</v>
      </c>
      <c r="F1368" s="23" t="str">
        <f>IF(E1368 = "BULKHEADS ETC", "SHARED OR NO POLE", VLOOKUP(C1368,'[7]Tariff Schedule Lookup Table'!I$7:L$287,3,FALSE))</f>
        <v>SHARED OR NO POLE</v>
      </c>
      <c r="G1368" s="23">
        <f>IF(E1368 = "NO CAPITAL", 1, VLOOKUP(C1368,'[7]Tariff Schedule Lookup Table'!I$7:L$287,4,FALSE))</f>
        <v>1</v>
      </c>
      <c r="H1368" s="23" t="str">
        <f t="shared" si="229"/>
        <v>2-Unmetered, Funded by Others, CE Maintained</v>
      </c>
      <c r="I1368" s="374">
        <f>VLOOKUP(F1368,'Maintenance Model'!$A$57:$B$61,2,FALSE)</f>
        <v>0</v>
      </c>
      <c r="J1368" s="374">
        <f>IF(D1368=1,VLOOKUP(C1368,'Capital Code Schedules'!A$15:F$300,2,FALSE),IF(D1368=2,VLOOKUP(C1368,'Capital Code Schedules'!A$15:F$300,3,FALSE),0))</f>
        <v>0</v>
      </c>
      <c r="K1368" s="374">
        <f>IF(D1368=1,VLOOKUP(C1368,'Capital Code Schedules'!E$15:G$300,2,FALSE),IF(D1368=2,VLOOKUP(C1368,'Capital Code Schedules'!E$15:G$300,3,FALSE),0))</f>
        <v>0</v>
      </c>
      <c r="L1368" s="374">
        <f>VLOOKUP(LEFT(A1368,10),'Streetlight Tariff Schedule'!B$11:H$260,7, FALSE)+I1368</f>
        <v>52.323726597751772</v>
      </c>
      <c r="M1368" s="410">
        <f t="shared" si="232"/>
        <v>52.323726597751772</v>
      </c>
      <c r="N1368" s="411">
        <f t="shared" si="233"/>
        <v>54.503984209146701</v>
      </c>
      <c r="O1368" s="411">
        <v>46.804043596736783</v>
      </c>
      <c r="P1368" s="411">
        <v>46.804043596736783</v>
      </c>
      <c r="Q1368" s="411">
        <v>49.094580241098029</v>
      </c>
      <c r="R1368" s="411">
        <v>49.094580241098029</v>
      </c>
      <c r="S1368" s="411">
        <f t="shared" si="234"/>
        <v>57.171347186807076</v>
      </c>
      <c r="T1368" s="411">
        <v>51.11095283230938</v>
      </c>
      <c r="U1368" s="411">
        <v>51.297676024748256</v>
      </c>
      <c r="V1368" s="411">
        <f t="shared" si="235"/>
        <v>59.736884020288734</v>
      </c>
      <c r="W1368" s="411">
        <v>52.971529872867499</v>
      </c>
      <c r="X1368" s="411">
        <v>53.639759579500783</v>
      </c>
      <c r="Y1368" s="411">
        <f t="shared" si="236"/>
        <v>62.464274118985976</v>
      </c>
      <c r="Z1368" s="411">
        <v>54.501644785564942</v>
      </c>
      <c r="AA1368" s="411">
        <v>55.39113692884878</v>
      </c>
      <c r="AB1368" s="441">
        <f t="shared" si="237"/>
        <v>63.820169971063535</v>
      </c>
      <c r="AC1368" s="438">
        <f t="shared" si="238"/>
        <v>65.728333142106294</v>
      </c>
      <c r="AD1368" s="410"/>
      <c r="AE1368" s="411"/>
      <c r="AF1368" s="411"/>
      <c r="AG1368" s="411"/>
    </row>
    <row r="1369" spans="1:33" s="409" customFormat="1" x14ac:dyDescent="0.2">
      <c r="A1369" s="409" t="s">
        <v>647</v>
      </c>
      <c r="B1369" s="23" t="str">
        <f>VLOOKUP(LEFT(A1369,7),'[7]Tariff Schedule Lookup Table'!$A$8:$G$186,2,FALSE)</f>
        <v>Low Pressure Sodium 55</v>
      </c>
      <c r="C1369" s="375">
        <f t="shared" si="230"/>
        <v>360</v>
      </c>
      <c r="D1369" s="23">
        <f t="shared" si="231"/>
        <v>1</v>
      </c>
      <c r="E1369" s="23" t="str">
        <f>VLOOKUP(C1369,'[7]Tariff Schedule Lookup Table'!I$7:L$287,2,FALSE)</f>
        <v>HIGH PRESSURE SODIUM 70W (100)</v>
      </c>
      <c r="F1369" s="23" t="str">
        <f>IF(E1369 = "BULKHEADS ETC", "SHARED OR NO POLE", VLOOKUP(C1369,'[7]Tariff Schedule Lookup Table'!I$7:L$287,3,FALSE))</f>
        <v>STEEL POLE</v>
      </c>
      <c r="G1369" s="23">
        <f>IF(E1369 = "NO CAPITAL", 1, VLOOKUP(C1369,'[7]Tariff Schedule Lookup Table'!I$7:L$287,4,FALSE))</f>
        <v>1</v>
      </c>
      <c r="H1369" s="23" t="str">
        <f t="shared" si="229"/>
        <v>1-Unmetered, CE Funded, CE Maintained</v>
      </c>
      <c r="I1369" s="374">
        <f>VLOOKUP(F1369,'Maintenance Model'!$A$57:$B$61,2,FALSE)</f>
        <v>9.9616182311111103</v>
      </c>
      <c r="J1369" s="374">
        <f>IF(D1369=1,VLOOKUP(C1369,'Capital Code Schedules'!A$15:F$300,2,FALSE),IF(D1369=2,VLOOKUP(C1369,'Capital Code Schedules'!A$15:F$300,3,FALSE),0))</f>
        <v>87.482155888651974</v>
      </c>
      <c r="K1369" s="374">
        <f>IF(D1369=1,VLOOKUP(C1369,'Capital Code Schedules'!E$15:G$300,2,FALSE),IF(D1369=2,VLOOKUP(C1369,'Capital Code Schedules'!E$15:G$300,3,FALSE),0))</f>
        <v>110.96855825181379</v>
      </c>
      <c r="L1369" s="374">
        <f>VLOOKUP(LEFT(A1369,10),'Streetlight Tariff Schedule'!B$11:H$260,7, FALSE)+I1369</f>
        <v>62.285344828862883</v>
      </c>
      <c r="M1369" s="410">
        <f t="shared" si="232"/>
        <v>173.25390308067668</v>
      </c>
      <c r="N1369" s="411">
        <f t="shared" si="233"/>
        <v>154.52802859671522</v>
      </c>
      <c r="O1369" s="411">
        <v>175.1474321458316</v>
      </c>
      <c r="P1369" s="411">
        <v>170.1131889013821</v>
      </c>
      <c r="Q1369" s="411">
        <v>175.68769762430762</v>
      </c>
      <c r="R1369" s="411">
        <v>180.84653838905726</v>
      </c>
      <c r="S1369" s="411">
        <f t="shared" si="234"/>
        <v>159.92198736467623</v>
      </c>
      <c r="T1369" s="411">
        <v>181.00150040694172</v>
      </c>
      <c r="U1369" s="411">
        <v>186.96935227207322</v>
      </c>
      <c r="V1369" s="411">
        <f t="shared" si="235"/>
        <v>165.59414639915266</v>
      </c>
      <c r="W1369" s="411">
        <v>186.19895351451285</v>
      </c>
      <c r="X1369" s="411">
        <v>194.03433038442088</v>
      </c>
      <c r="Y1369" s="411">
        <f t="shared" si="236"/>
        <v>172.04380646801923</v>
      </c>
      <c r="Z1369" s="411">
        <v>191.07135307922377</v>
      </c>
      <c r="AA1369" s="411">
        <v>199.83259166794565</v>
      </c>
      <c r="AB1369" s="441">
        <f t="shared" si="237"/>
        <v>175.37714036173085</v>
      </c>
      <c r="AC1369" s="438">
        <f t="shared" si="238"/>
        <v>180.5413202538337</v>
      </c>
      <c r="AD1369" s="410"/>
      <c r="AE1369" s="411"/>
      <c r="AF1369" s="411"/>
      <c r="AG1369" s="411"/>
    </row>
    <row r="1370" spans="1:33" s="409" customFormat="1" x14ac:dyDescent="0.2">
      <c r="A1370" s="409" t="s">
        <v>648</v>
      </c>
      <c r="B1370" s="23" t="str">
        <f>VLOOKUP(LEFT(A1370,7),'[7]Tariff Schedule Lookup Table'!$A$8:$G$186,2,FALSE)</f>
        <v>Low Pressure Sodium 90/100</v>
      </c>
      <c r="C1370" s="375">
        <f t="shared" si="230"/>
        <v>50</v>
      </c>
      <c r="D1370" s="23">
        <f t="shared" si="231"/>
        <v>1</v>
      </c>
      <c r="E1370" s="23" t="str">
        <f>VLOOKUP(C1370,'[7]Tariff Schedule Lookup Table'!I$7:L$287,2,FALSE)</f>
        <v>HIGH PRESSURE SODIUM 150W</v>
      </c>
      <c r="F1370" s="23" t="str">
        <f>IF(E1370 = "BULKHEADS ETC", "SHARED OR NO POLE", VLOOKUP(C1370,'[7]Tariff Schedule Lookup Table'!I$7:L$287,3,FALSE))</f>
        <v>SHARED OR NO POLE</v>
      </c>
      <c r="G1370" s="23">
        <f>IF(E1370 = "NO CAPITAL", 1, VLOOKUP(C1370,'[7]Tariff Schedule Lookup Table'!I$7:L$287,4,FALSE))</f>
        <v>1</v>
      </c>
      <c r="H1370" s="23" t="str">
        <f t="shared" si="229"/>
        <v>1-Unmetered, CE Funded, CE Maintained</v>
      </c>
      <c r="I1370" s="374">
        <f>VLOOKUP(F1370,'Maintenance Model'!$A$57:$B$61,2,FALSE)</f>
        <v>0</v>
      </c>
      <c r="J1370" s="374">
        <f>IF(D1370=1,VLOOKUP(C1370,'Capital Code Schedules'!A$15:F$300,2,FALSE),IF(D1370=2,VLOOKUP(C1370,'Capital Code Schedules'!A$15:F$300,3,FALSE),0))</f>
        <v>32.009790998230237</v>
      </c>
      <c r="K1370" s="374">
        <f>IF(D1370=1,VLOOKUP(C1370,'Capital Code Schedules'!E$15:G$300,2,FALSE),IF(D1370=2,VLOOKUP(C1370,'Capital Code Schedules'!E$15:G$300,3,FALSE),0))</f>
        <v>40.603484458437606</v>
      </c>
      <c r="L1370" s="374">
        <f>VLOOKUP(LEFT(A1370,10),'Streetlight Tariff Schedule'!B$11:H$260,7, FALSE)+I1370</f>
        <v>54.487833851501769</v>
      </c>
      <c r="M1370" s="410">
        <f t="shared" si="232"/>
        <v>95.091318309939368</v>
      </c>
      <c r="N1370" s="411">
        <f t="shared" si="233"/>
        <v>89.560300156539157</v>
      </c>
      <c r="O1370" s="411">
        <v>92.462428513900392</v>
      </c>
      <c r="P1370" s="411">
        <v>90.620394873415052</v>
      </c>
      <c r="Q1370" s="411">
        <v>94.048793540576455</v>
      </c>
      <c r="R1370" s="411">
        <v>95.936417513663812</v>
      </c>
      <c r="S1370" s="411">
        <f t="shared" si="234"/>
        <v>93.149835485810684</v>
      </c>
      <c r="T1370" s="411">
        <v>97.215582517517177</v>
      </c>
      <c r="U1370" s="411">
        <v>99.512428791859648</v>
      </c>
      <c r="V1370" s="411">
        <f t="shared" si="235"/>
        <v>96.779478504852207</v>
      </c>
      <c r="W1370" s="411">
        <v>100.2453450359514</v>
      </c>
      <c r="X1370" s="411">
        <v>103.517442699862</v>
      </c>
      <c r="Y1370" s="411">
        <f t="shared" si="236"/>
        <v>100.79166005912967</v>
      </c>
      <c r="Z1370" s="411">
        <v>102.95582124501307</v>
      </c>
      <c r="AA1370" s="411">
        <v>106.70083701964052</v>
      </c>
      <c r="AB1370" s="441">
        <f t="shared" si="237"/>
        <v>102.83272775216128</v>
      </c>
      <c r="AC1370" s="438">
        <f t="shared" si="238"/>
        <v>105.87826555646963</v>
      </c>
      <c r="AD1370" s="410"/>
      <c r="AE1370" s="411"/>
      <c r="AF1370" s="411"/>
      <c r="AG1370" s="411"/>
    </row>
    <row r="1371" spans="1:33" s="409" customFormat="1" x14ac:dyDescent="0.2">
      <c r="A1371" s="409" t="s">
        <v>649</v>
      </c>
      <c r="B1371" s="23" t="str">
        <f>VLOOKUP(LEFT(A1371,7),'[7]Tariff Schedule Lookup Table'!$A$8:$G$186,2,FALSE)</f>
        <v>Low Pressure Sodium 90/100</v>
      </c>
      <c r="C1371" s="375">
        <f t="shared" si="230"/>
        <v>50</v>
      </c>
      <c r="D1371" s="23">
        <f t="shared" si="231"/>
        <v>2</v>
      </c>
      <c r="E1371" s="23" t="str">
        <f>VLOOKUP(C1371,'[7]Tariff Schedule Lookup Table'!I$7:L$287,2,FALSE)</f>
        <v>HIGH PRESSURE SODIUM 150W</v>
      </c>
      <c r="F1371" s="23" t="str">
        <f>IF(E1371 = "BULKHEADS ETC", "SHARED OR NO POLE", VLOOKUP(C1371,'[7]Tariff Schedule Lookup Table'!I$7:L$287,3,FALSE))</f>
        <v>SHARED OR NO POLE</v>
      </c>
      <c r="G1371" s="23">
        <f>IF(E1371 = "NO CAPITAL", 1, VLOOKUP(C1371,'[7]Tariff Schedule Lookup Table'!I$7:L$287,4,FALSE))</f>
        <v>1</v>
      </c>
      <c r="H1371" s="23" t="str">
        <f t="shared" ref="H1371:H1434" si="239">VLOOKUP(D1371,A$11:B$15, 2, FALSE)</f>
        <v>2-Unmetered, Funded by Others, CE Maintained</v>
      </c>
      <c r="I1371" s="374">
        <f>VLOOKUP(F1371,'Maintenance Model'!$A$57:$B$61,2,FALSE)</f>
        <v>0</v>
      </c>
      <c r="J1371" s="374">
        <f>IF(D1371=1,VLOOKUP(C1371,'Capital Code Schedules'!A$15:F$300,2,FALSE),IF(D1371=2,VLOOKUP(C1371,'Capital Code Schedules'!A$15:F$300,3,FALSE),0))</f>
        <v>0</v>
      </c>
      <c r="K1371" s="374">
        <f>IF(D1371=1,VLOOKUP(C1371,'Capital Code Schedules'!E$15:G$300,2,FALSE),IF(D1371=2,VLOOKUP(C1371,'Capital Code Schedules'!E$15:G$300,3,FALSE),0))</f>
        <v>0</v>
      </c>
      <c r="L1371" s="374">
        <f>VLOOKUP(LEFT(A1371,10),'Streetlight Tariff Schedule'!B$11:H$260,7, FALSE)+I1371</f>
        <v>54.487833851501769</v>
      </c>
      <c r="M1371" s="410">
        <f t="shared" si="232"/>
        <v>54.487833851501769</v>
      </c>
      <c r="N1371" s="411">
        <f t="shared" si="233"/>
        <v>56.758266831102723</v>
      </c>
      <c r="O1371" s="411">
        <v>49.011974174631113</v>
      </c>
      <c r="P1371" s="411">
        <v>49.011974174631113</v>
      </c>
      <c r="Q1371" s="411">
        <v>51.410564429497619</v>
      </c>
      <c r="R1371" s="411">
        <v>51.410564429497619</v>
      </c>
      <c r="S1371" s="411">
        <f t="shared" si="234"/>
        <v>59.535951835569705</v>
      </c>
      <c r="T1371" s="411">
        <v>53.522057235939144</v>
      </c>
      <c r="U1371" s="411">
        <v>53.717588894794723</v>
      </c>
      <c r="V1371" s="411">
        <f t="shared" si="235"/>
        <v>62.207599170579343</v>
      </c>
      <c r="W1371" s="411">
        <v>55.470405003654314</v>
      </c>
      <c r="X1371" s="411">
        <v>56.170157730286576</v>
      </c>
      <c r="Y1371" s="411">
        <f t="shared" si="236"/>
        <v>65.047794015424969</v>
      </c>
      <c r="Z1371" s="411">
        <v>57.072701446916618</v>
      </c>
      <c r="AA1371" s="411">
        <v>58.004154428432187</v>
      </c>
      <c r="AB1371" s="441">
        <f t="shared" si="237"/>
        <v>66.459769666087382</v>
      </c>
      <c r="AC1371" s="438">
        <f t="shared" si="238"/>
        <v>68.446854390090962</v>
      </c>
      <c r="AD1371" s="410"/>
      <c r="AE1371" s="411"/>
      <c r="AF1371" s="411"/>
      <c r="AG1371" s="411"/>
    </row>
    <row r="1372" spans="1:33" s="409" customFormat="1" x14ac:dyDescent="0.2">
      <c r="A1372" s="409" t="s">
        <v>650</v>
      </c>
      <c r="B1372" s="23" t="str">
        <f>VLOOKUP(LEFT(A1372,7),'[7]Tariff Schedule Lookup Table'!$A$8:$G$186,2,FALSE)</f>
        <v>Low Pressure Sodium 90/100</v>
      </c>
      <c r="C1372" s="375">
        <f t="shared" si="230"/>
        <v>60</v>
      </c>
      <c r="D1372" s="23">
        <f t="shared" si="231"/>
        <v>1</v>
      </c>
      <c r="E1372" s="23" t="str">
        <f>VLOOKUP(C1372,'[7]Tariff Schedule Lookup Table'!I$7:L$287,2,FALSE)</f>
        <v>HIGH PRESSURE SODIUM 250W (210/220)</v>
      </c>
      <c r="F1372" s="23" t="str">
        <f>IF(E1372 = "BULKHEADS ETC", "SHARED OR NO POLE", VLOOKUP(C1372,'[7]Tariff Schedule Lookup Table'!I$7:L$287,3,FALSE))</f>
        <v>SHARED OR NO POLE</v>
      </c>
      <c r="G1372" s="23">
        <f>IF(E1372 = "NO CAPITAL", 1, VLOOKUP(C1372,'[7]Tariff Schedule Lookup Table'!I$7:L$287,4,FALSE))</f>
        <v>1</v>
      </c>
      <c r="H1372" s="23" t="str">
        <f t="shared" si="239"/>
        <v>1-Unmetered, CE Funded, CE Maintained</v>
      </c>
      <c r="I1372" s="374">
        <f>VLOOKUP(F1372,'Maintenance Model'!$A$57:$B$61,2,FALSE)</f>
        <v>0</v>
      </c>
      <c r="J1372" s="374">
        <f>IF(D1372=1,VLOOKUP(C1372,'Capital Code Schedules'!A$15:F$300,2,FALSE),IF(D1372=2,VLOOKUP(C1372,'Capital Code Schedules'!A$15:F$300,3,FALSE),0))</f>
        <v>32.138130136529035</v>
      </c>
      <c r="K1372" s="374">
        <f>IF(D1372=1,VLOOKUP(C1372,'Capital Code Schedules'!E$15:G$300,2,FALSE),IF(D1372=2,VLOOKUP(C1372,'Capital Code Schedules'!E$15:G$300,3,FALSE),0))</f>
        <v>40.766278904912198</v>
      </c>
      <c r="L1372" s="374">
        <f>VLOOKUP(LEFT(A1372,10),'Streetlight Tariff Schedule'!B$11:H$260,7, FALSE)+I1372</f>
        <v>54.487833851501769</v>
      </c>
      <c r="M1372" s="410">
        <f t="shared" si="232"/>
        <v>95.254112756413974</v>
      </c>
      <c r="N1372" s="411">
        <f t="shared" si="233"/>
        <v>89.691815688510857</v>
      </c>
      <c r="O1372" s="411">
        <v>92.636637519791776</v>
      </c>
      <c r="P1372" s="411">
        <v>90.787218482439897</v>
      </c>
      <c r="Q1372" s="411">
        <v>94.219746033924665</v>
      </c>
      <c r="R1372" s="411">
        <v>96.114938192451021</v>
      </c>
      <c r="S1372" s="411">
        <f t="shared" si="234"/>
        <v>93.284606027198677</v>
      </c>
      <c r="T1372" s="411">
        <v>97.390766085075754</v>
      </c>
      <c r="U1372" s="411">
        <v>99.696037309992292</v>
      </c>
      <c r="V1372" s="411">
        <f t="shared" si="235"/>
        <v>96.918090006669757</v>
      </c>
      <c r="W1372" s="411">
        <v>100.42486439680705</v>
      </c>
      <c r="X1372" s="411">
        <v>103.70727554675935</v>
      </c>
      <c r="Y1372" s="411">
        <f t="shared" si="236"/>
        <v>100.93497049085883</v>
      </c>
      <c r="Z1372" s="411">
        <v>103.13978371004988</v>
      </c>
      <c r="AA1372" s="411">
        <v>106.89608010267443</v>
      </c>
      <c r="AB1372" s="441">
        <f t="shared" si="237"/>
        <v>102.97856044748887</v>
      </c>
      <c r="AC1372" s="438">
        <f t="shared" si="238"/>
        <v>106.02834198323126</v>
      </c>
      <c r="AD1372" s="410"/>
      <c r="AE1372" s="411"/>
      <c r="AF1372" s="411"/>
      <c r="AG1372" s="411"/>
    </row>
    <row r="1373" spans="1:33" s="409" customFormat="1" x14ac:dyDescent="0.2">
      <c r="A1373" s="409" t="s">
        <v>651</v>
      </c>
      <c r="B1373" s="23" t="str">
        <f>VLOOKUP(LEFT(A1373,7),'[7]Tariff Schedule Lookup Table'!$A$8:$G$186,2,FALSE)</f>
        <v>Low Pressure Sodium 90/100</v>
      </c>
      <c r="C1373" s="375">
        <f t="shared" si="230"/>
        <v>220</v>
      </c>
      <c r="D1373" s="23">
        <f t="shared" si="231"/>
        <v>1</v>
      </c>
      <c r="E1373" s="23" t="str">
        <f>VLOOKUP(C1373,'[7]Tariff Schedule Lookup Table'!I$7:L$287,2,FALSE)</f>
        <v>HIGH PRESSURE SODIUM 150W</v>
      </c>
      <c r="F1373" s="23" t="str">
        <f>IF(E1373 = "BULKHEADS ETC", "SHARED OR NO POLE", VLOOKUP(C1373,'[7]Tariff Schedule Lookup Table'!I$7:L$287,3,FALSE))</f>
        <v>WOOD POLE</v>
      </c>
      <c r="G1373" s="23">
        <f>IF(E1373 = "NO CAPITAL", 1, VLOOKUP(C1373,'[7]Tariff Schedule Lookup Table'!I$7:L$287,4,FALSE))</f>
        <v>1</v>
      </c>
      <c r="H1373" s="23" t="str">
        <f t="shared" si="239"/>
        <v>1-Unmetered, CE Funded, CE Maintained</v>
      </c>
      <c r="I1373" s="374">
        <f>VLOOKUP(F1373,'Maintenance Model'!$A$57:$B$61,2,FALSE)</f>
        <v>10.731618231111112</v>
      </c>
      <c r="J1373" s="374">
        <f>IF(D1373=1,VLOOKUP(C1373,'Capital Code Schedules'!A$15:F$300,2,FALSE),IF(D1373=2,VLOOKUP(C1373,'Capital Code Schedules'!A$15:F$300,3,FALSE),0))</f>
        <v>65.91090936010653</v>
      </c>
      <c r="K1373" s="374">
        <f>IF(D1373=1,VLOOKUP(C1373,'Capital Code Schedules'!E$15:G$300,2,FALSE),IF(D1373=2,VLOOKUP(C1373,'Capital Code Schedules'!E$15:G$300,3,FALSE),0))</f>
        <v>83.606062407359644</v>
      </c>
      <c r="L1373" s="374">
        <f>VLOOKUP(LEFT(A1373,10),'Streetlight Tariff Schedule'!B$11:H$260,7, FALSE)+I1373</f>
        <v>65.219452082612875</v>
      </c>
      <c r="M1373" s="410">
        <f t="shared" si="232"/>
        <v>148.82551448997253</v>
      </c>
      <c r="N1373" s="411">
        <f t="shared" si="233"/>
        <v>135.47926117786929</v>
      </c>
      <c r="O1373" s="411">
        <v>148.87639220153656</v>
      </c>
      <c r="P1373" s="411">
        <v>145.08348670199709</v>
      </c>
      <c r="Q1373" s="411">
        <v>150.11131914391638</v>
      </c>
      <c r="R1373" s="411">
        <v>153.99809905456945</v>
      </c>
      <c r="S1373" s="411">
        <f t="shared" si="234"/>
        <v>140.47569300385319</v>
      </c>
      <c r="T1373" s="411">
        <v>154.84363779826376</v>
      </c>
      <c r="U1373" s="411">
        <v>159.40743205510424</v>
      </c>
      <c r="V1373" s="411">
        <f t="shared" si="235"/>
        <v>145.64612842435869</v>
      </c>
      <c r="W1373" s="411">
        <v>159.43198622050389</v>
      </c>
      <c r="X1373" s="411">
        <v>165.57684655075238</v>
      </c>
      <c r="Y1373" s="411">
        <f t="shared" si="236"/>
        <v>151.45893343064424</v>
      </c>
      <c r="Z1373" s="411">
        <v>163.65599192907706</v>
      </c>
      <c r="AA1373" s="411">
        <v>170.57838801895838</v>
      </c>
      <c r="AB1373" s="441">
        <f t="shared" si="237"/>
        <v>154.44435844352876</v>
      </c>
      <c r="AC1373" s="438">
        <f t="shared" si="238"/>
        <v>159.0022540480299</v>
      </c>
      <c r="AD1373" s="410"/>
      <c r="AE1373" s="411"/>
      <c r="AF1373" s="411"/>
      <c r="AG1373" s="411"/>
    </row>
    <row r="1374" spans="1:33" s="409" customFormat="1" x14ac:dyDescent="0.2">
      <c r="A1374" s="409" t="s">
        <v>652</v>
      </c>
      <c r="B1374" s="23" t="str">
        <f>VLOOKUP(LEFT(A1374,7),'[7]Tariff Schedule Lookup Table'!$A$8:$G$186,2,FALSE)</f>
        <v>Low Pressure Sodium 90/100</v>
      </c>
      <c r="C1374" s="375">
        <f t="shared" si="230"/>
        <v>310</v>
      </c>
      <c r="D1374" s="23">
        <f t="shared" si="231"/>
        <v>1</v>
      </c>
      <c r="E1374" s="23" t="str">
        <f>VLOOKUP(C1374,'[7]Tariff Schedule Lookup Table'!I$7:L$287,2,FALSE)</f>
        <v>HIGH PRESSURE SODIUM 150W</v>
      </c>
      <c r="F1374" s="23" t="str">
        <f>IF(E1374 = "BULKHEADS ETC", "SHARED OR NO POLE", VLOOKUP(C1374,'[7]Tariff Schedule Lookup Table'!I$7:L$287,3,FALSE))</f>
        <v>STEEL POLE</v>
      </c>
      <c r="G1374" s="23">
        <f>IF(E1374 = "NO CAPITAL", 1, VLOOKUP(C1374,'[7]Tariff Schedule Lookup Table'!I$7:L$287,4,FALSE))</f>
        <v>1</v>
      </c>
      <c r="H1374" s="23" t="str">
        <f t="shared" si="239"/>
        <v>1-Unmetered, CE Funded, CE Maintained</v>
      </c>
      <c r="I1374" s="374">
        <f>VLOOKUP(F1374,'Maintenance Model'!$A$57:$B$61,2,FALSE)</f>
        <v>9.9616182311111103</v>
      </c>
      <c r="J1374" s="374">
        <f>IF(D1374=1,VLOOKUP(C1374,'Capital Code Schedules'!A$15:F$300,2,FALSE),IF(D1374=2,VLOOKUP(C1374,'Capital Code Schedules'!A$15:F$300,3,FALSE),0))</f>
        <v>92.1941745337366</v>
      </c>
      <c r="K1374" s="374">
        <f>IF(D1374=1,VLOOKUP(C1374,'Capital Code Schedules'!E$15:G$300,2,FALSE),IF(D1374=2,VLOOKUP(C1374,'Capital Code Schedules'!E$15:G$300,3,FALSE),0))</f>
        <v>116.94561620368043</v>
      </c>
      <c r="L1374" s="374">
        <f>VLOOKUP(LEFT(A1374,10),'Streetlight Tariff Schedule'!B$11:H$260,7, FALSE)+I1374</f>
        <v>64.449452082612879</v>
      </c>
      <c r="M1374" s="410">
        <f t="shared" si="232"/>
        <v>181.39506828629331</v>
      </c>
      <c r="N1374" s="411">
        <f t="shared" si="233"/>
        <v>161.61095232522172</v>
      </c>
      <c r="O1374" s="411">
        <v>183.75151042101501</v>
      </c>
      <c r="P1374" s="411">
        <v>178.4461096154518</v>
      </c>
      <c r="Q1374" s="411">
        <v>184.28026545475294</v>
      </c>
      <c r="R1374" s="411">
        <v>189.71697493025383</v>
      </c>
      <c r="S1374" s="411">
        <f t="shared" si="234"/>
        <v>167.23474198737645</v>
      </c>
      <c r="T1374" s="411">
        <v>189.8445338977578</v>
      </c>
      <c r="U1374" s="411">
        <v>196.13051938697137</v>
      </c>
      <c r="V1374" s="411">
        <f t="shared" si="235"/>
        <v>173.15403379763811</v>
      </c>
      <c r="W1374" s="411">
        <v>195.28894797739383</v>
      </c>
      <c r="X1374" s="411">
        <v>203.53451129895882</v>
      </c>
      <c r="Y1374" s="411">
        <f t="shared" si="236"/>
        <v>179.88902155186682</v>
      </c>
      <c r="Z1374" s="411">
        <v>200.39665927613896</v>
      </c>
      <c r="AA1374" s="411">
        <v>209.61403074004812</v>
      </c>
      <c r="AB1374" s="441">
        <f t="shared" si="237"/>
        <v>183.37104107946169</v>
      </c>
      <c r="AC1374" s="438">
        <f t="shared" si="238"/>
        <v>188.76995268428618</v>
      </c>
      <c r="AD1374" s="410"/>
      <c r="AE1374" s="411"/>
      <c r="AF1374" s="411"/>
      <c r="AG1374" s="411"/>
    </row>
    <row r="1375" spans="1:33" s="409" customFormat="1" x14ac:dyDescent="0.2">
      <c r="A1375" s="409" t="s">
        <v>653</v>
      </c>
      <c r="B1375" s="23" t="str">
        <f>VLOOKUP(LEFT(A1375,7),'[7]Tariff Schedule Lookup Table'!$A$8:$G$186,2,FALSE)</f>
        <v>Low Pressure Sodium 135</v>
      </c>
      <c r="C1375" s="375">
        <f t="shared" ref="C1375:C1438" si="240">1*MID(A1375,12,4)</f>
        <v>60</v>
      </c>
      <c r="D1375" s="23">
        <f t="shared" ref="D1375:D1438" si="241">1*(MID(A1375,17,3))</f>
        <v>1</v>
      </c>
      <c r="E1375" s="23" t="str">
        <f>VLOOKUP(C1375,'[7]Tariff Schedule Lookup Table'!I$7:L$287,2,FALSE)</f>
        <v>HIGH PRESSURE SODIUM 250W (210/220)</v>
      </c>
      <c r="F1375" s="23" t="str">
        <f>IF(E1375 = "BULKHEADS ETC", "SHARED OR NO POLE", VLOOKUP(C1375,'[7]Tariff Schedule Lookup Table'!I$7:L$287,3,FALSE))</f>
        <v>SHARED OR NO POLE</v>
      </c>
      <c r="G1375" s="23">
        <f>IF(E1375 = "NO CAPITAL", 1, VLOOKUP(C1375,'[7]Tariff Schedule Lookup Table'!I$7:L$287,4,FALSE))</f>
        <v>1</v>
      </c>
      <c r="H1375" s="23" t="str">
        <f t="shared" si="239"/>
        <v>1-Unmetered, CE Funded, CE Maintained</v>
      </c>
      <c r="I1375" s="374">
        <f>VLOOKUP(F1375,'Maintenance Model'!$A$57:$B$61,2,FALSE)</f>
        <v>0</v>
      </c>
      <c r="J1375" s="374">
        <f>IF(D1375=1,VLOOKUP(C1375,'Capital Code Schedules'!A$15:F$300,2,FALSE),IF(D1375=2,VLOOKUP(C1375,'Capital Code Schedules'!A$15:F$300,3,FALSE),0))</f>
        <v>32.138130136529035</v>
      </c>
      <c r="K1375" s="374">
        <f>IF(D1375=1,VLOOKUP(C1375,'Capital Code Schedules'!E$15:G$300,2,FALSE),IF(D1375=2,VLOOKUP(C1375,'Capital Code Schedules'!E$15:G$300,3,FALSE),0))</f>
        <v>40.766278904912198</v>
      </c>
      <c r="L1375" s="374">
        <f>VLOOKUP(LEFT(A1375,10),'Streetlight Tariff Schedule'!B$11:H$260,7, FALSE)+I1375</f>
        <v>57.114304072118436</v>
      </c>
      <c r="M1375" s="410">
        <f t="shared" si="232"/>
        <v>97.880582977030627</v>
      </c>
      <c r="N1375" s="411">
        <f t="shared" si="233"/>
        <v>92.427727305257889</v>
      </c>
      <c r="O1375" s="411">
        <v>95.328781992955527</v>
      </c>
      <c r="P1375" s="411">
        <v>93.479362955603634</v>
      </c>
      <c r="Q1375" s="411">
        <v>97.043640994734858</v>
      </c>
      <c r="R1375" s="411">
        <v>98.938833153261214</v>
      </c>
      <c r="S1375" s="411">
        <f t="shared" si="234"/>
        <v>96.15441004580498</v>
      </c>
      <c r="T1375" s="411">
        <v>100.33064175845085</v>
      </c>
      <c r="U1375" s="411">
        <v>102.64665320519238</v>
      </c>
      <c r="V1375" s="411">
        <f t="shared" si="235"/>
        <v>99.916675106654992</v>
      </c>
      <c r="W1375" s="411">
        <v>103.47175950294296</v>
      </c>
      <c r="X1375" s="411">
        <v>106.79260688133346</v>
      </c>
      <c r="Y1375" s="411">
        <f t="shared" si="236"/>
        <v>104.07046114669836</v>
      </c>
      <c r="Z1375" s="411">
        <v>106.27469023761371</v>
      </c>
      <c r="AA1375" s="411">
        <v>110.0821497600331</v>
      </c>
      <c r="AB1375" s="441">
        <f t="shared" si="237"/>
        <v>106.18211238851012</v>
      </c>
      <c r="AC1375" s="438">
        <f t="shared" si="238"/>
        <v>109.32767711995929</v>
      </c>
      <c r="AD1375" s="410"/>
      <c r="AE1375" s="411"/>
      <c r="AF1375" s="411"/>
      <c r="AG1375" s="411"/>
    </row>
    <row r="1376" spans="1:33" s="409" customFormat="1" x14ac:dyDescent="0.2">
      <c r="A1376" s="409" t="s">
        <v>660</v>
      </c>
      <c r="B1376" s="23" t="str">
        <f>VLOOKUP(LEFT(A1376,7),'[7]Tariff Schedule Lookup Table'!$A$8:$G$186,2,FALSE)</f>
        <v>Low Pressure Sodium 135</v>
      </c>
      <c r="C1376" s="375">
        <f t="shared" si="240"/>
        <v>60</v>
      </c>
      <c r="D1376" s="23">
        <f t="shared" si="241"/>
        <v>2</v>
      </c>
      <c r="E1376" s="23" t="str">
        <f>VLOOKUP(C1376,'[7]Tariff Schedule Lookup Table'!I$7:L$287,2,FALSE)</f>
        <v>HIGH PRESSURE SODIUM 250W (210/220)</v>
      </c>
      <c r="F1376" s="23" t="str">
        <f>IF(E1376 = "BULKHEADS ETC", "SHARED OR NO POLE", VLOOKUP(C1376,'[7]Tariff Schedule Lookup Table'!I$7:L$287,3,FALSE))</f>
        <v>SHARED OR NO POLE</v>
      </c>
      <c r="G1376" s="23">
        <f>IF(E1376 = "NO CAPITAL", 1, VLOOKUP(C1376,'[7]Tariff Schedule Lookup Table'!I$7:L$287,4,FALSE))</f>
        <v>1</v>
      </c>
      <c r="H1376" s="23" t="str">
        <f t="shared" si="239"/>
        <v>2-Unmetered, Funded by Others, CE Maintained</v>
      </c>
      <c r="I1376" s="374">
        <f>VLOOKUP(F1376,'Maintenance Model'!$A$57:$B$61,2,FALSE)</f>
        <v>0</v>
      </c>
      <c r="J1376" s="374">
        <f>IF(D1376=1,VLOOKUP(C1376,'Capital Code Schedules'!A$15:F$300,2,FALSE),IF(D1376=2,VLOOKUP(C1376,'Capital Code Schedules'!A$15:F$300,3,FALSE),0))</f>
        <v>0</v>
      </c>
      <c r="K1376" s="374">
        <f>IF(D1376=1,VLOOKUP(C1376,'Capital Code Schedules'!E$15:G$300,2,FALSE),IF(D1376=2,VLOOKUP(C1376,'Capital Code Schedules'!E$15:G$300,3,FALSE),0))</f>
        <v>0</v>
      </c>
      <c r="L1376" s="374">
        <f>VLOOKUP(LEFT(A1376,10),'Streetlight Tariff Schedule'!B$11:H$260,7, FALSE)+I1376</f>
        <v>57.114304072118436</v>
      </c>
      <c r="M1376" s="410">
        <f t="shared" si="232"/>
        <v>57.114304072118436</v>
      </c>
      <c r="N1376" s="411">
        <f t="shared" si="233"/>
        <v>59.494178447849755</v>
      </c>
      <c r="O1376" s="411">
        <v>51.704118647794857</v>
      </c>
      <c r="P1376" s="411">
        <v>51.704118647794857</v>
      </c>
      <c r="Q1376" s="411">
        <v>54.234459390307819</v>
      </c>
      <c r="R1376" s="411">
        <v>54.234459390307819</v>
      </c>
      <c r="S1376" s="411">
        <f t="shared" si="234"/>
        <v>62.405755854176</v>
      </c>
      <c r="T1376" s="411">
        <v>56.46193290931425</v>
      </c>
      <c r="U1376" s="411">
        <v>56.668204789994824</v>
      </c>
      <c r="V1376" s="411">
        <f t="shared" si="235"/>
        <v>65.206184270564592</v>
      </c>
      <c r="W1376" s="411">
        <v>58.517300109790206</v>
      </c>
      <c r="X1376" s="411">
        <v>59.25548906486069</v>
      </c>
      <c r="Y1376" s="411">
        <f t="shared" si="236"/>
        <v>68.183284671264502</v>
      </c>
      <c r="Z1376" s="411">
        <v>60.207607974480439</v>
      </c>
      <c r="AA1376" s="411">
        <v>61.190224085790874</v>
      </c>
      <c r="AB1376" s="441">
        <f t="shared" si="237"/>
        <v>69.663321607108614</v>
      </c>
      <c r="AC1376" s="438">
        <f t="shared" si="238"/>
        <v>71.746189526818995</v>
      </c>
      <c r="AD1376" s="410"/>
      <c r="AE1376" s="411"/>
      <c r="AF1376" s="411"/>
      <c r="AG1376" s="411"/>
    </row>
    <row r="1377" spans="1:33" s="409" customFormat="1" x14ac:dyDescent="0.2">
      <c r="A1377" s="409" t="s">
        <v>661</v>
      </c>
      <c r="B1377" s="23" t="str">
        <f>VLOOKUP(LEFT(A1377,7),'[7]Tariff Schedule Lookup Table'!$A$8:$G$186,2,FALSE)</f>
        <v>Low Pressure Sodium 135</v>
      </c>
      <c r="C1377" s="375">
        <f t="shared" si="240"/>
        <v>230</v>
      </c>
      <c r="D1377" s="23">
        <f t="shared" si="241"/>
        <v>1</v>
      </c>
      <c r="E1377" s="23" t="str">
        <f>VLOOKUP(C1377,'[7]Tariff Schedule Lookup Table'!I$7:L$287,2,FALSE)</f>
        <v>HIGH PRESSURE SODIUM 250W (210/220)</v>
      </c>
      <c r="F1377" s="23" t="str">
        <f>IF(E1377 = "BULKHEADS ETC", "SHARED OR NO POLE", VLOOKUP(C1377,'[7]Tariff Schedule Lookup Table'!I$7:L$287,3,FALSE))</f>
        <v>WOOD POLE</v>
      </c>
      <c r="G1377" s="23">
        <f>IF(E1377 = "NO CAPITAL", 1, VLOOKUP(C1377,'[7]Tariff Schedule Lookup Table'!I$7:L$287,4,FALSE))</f>
        <v>1</v>
      </c>
      <c r="H1377" s="23" t="str">
        <f t="shared" si="239"/>
        <v>1-Unmetered, CE Funded, CE Maintained</v>
      </c>
      <c r="I1377" s="374">
        <f>VLOOKUP(F1377,'Maintenance Model'!$A$57:$B$61,2,FALSE)</f>
        <v>10.731618231111112</v>
      </c>
      <c r="J1377" s="374">
        <f>IF(D1377=1,VLOOKUP(C1377,'Capital Code Schedules'!A$15:F$300,2,FALSE),IF(D1377=2,VLOOKUP(C1377,'Capital Code Schedules'!A$15:F$300,3,FALSE),0))</f>
        <v>66.039248498405314</v>
      </c>
      <c r="K1377" s="374">
        <f>IF(D1377=1,VLOOKUP(C1377,'Capital Code Schedules'!E$15:G$300,2,FALSE),IF(D1377=2,VLOOKUP(C1377,'Capital Code Schedules'!E$15:G$300,3,FALSE),0))</f>
        <v>83.768856853834222</v>
      </c>
      <c r="L1377" s="374">
        <f>VLOOKUP(LEFT(A1377,10),'Streetlight Tariff Schedule'!B$11:H$260,7, FALSE)+I1377</f>
        <v>67.845922303229543</v>
      </c>
      <c r="M1377" s="410">
        <f t="shared" si="232"/>
        <v>151.61477915706377</v>
      </c>
      <c r="N1377" s="411">
        <f t="shared" si="233"/>
        <v>138.34668832658798</v>
      </c>
      <c r="O1377" s="411">
        <v>151.74274568059164</v>
      </c>
      <c r="P1377" s="411">
        <v>147.94245478418566</v>
      </c>
      <c r="Q1377" s="411">
        <v>153.10616659807474</v>
      </c>
      <c r="R1377" s="411">
        <v>157.00051469416678</v>
      </c>
      <c r="S1377" s="411">
        <f t="shared" si="234"/>
        <v>143.48026756384749</v>
      </c>
      <c r="T1377" s="411">
        <v>157.95869703919743</v>
      </c>
      <c r="U1377" s="411">
        <v>162.54165646843694</v>
      </c>
      <c r="V1377" s="411">
        <f t="shared" si="235"/>
        <v>148.78332502616149</v>
      </c>
      <c r="W1377" s="411">
        <v>162.65840068749543</v>
      </c>
      <c r="X1377" s="411">
        <v>168.85201073222379</v>
      </c>
      <c r="Y1377" s="411">
        <f t="shared" si="236"/>
        <v>154.73773451821293</v>
      </c>
      <c r="Z1377" s="411">
        <v>166.9748609216777</v>
      </c>
      <c r="AA1377" s="411">
        <v>173.95970075935094</v>
      </c>
      <c r="AB1377" s="441">
        <f t="shared" si="237"/>
        <v>157.79374307987757</v>
      </c>
      <c r="AC1377" s="438">
        <f t="shared" si="238"/>
        <v>162.45166561151956</v>
      </c>
      <c r="AD1377" s="410"/>
      <c r="AE1377" s="411"/>
      <c r="AF1377" s="411"/>
      <c r="AG1377" s="411"/>
    </row>
    <row r="1378" spans="1:33" s="409" customFormat="1" x14ac:dyDescent="0.2">
      <c r="A1378" s="409" t="s">
        <v>753</v>
      </c>
      <c r="B1378" s="23" t="str">
        <f>VLOOKUP(LEFT(A1378,7),'[7]Tariff Schedule Lookup Table'!$A$8:$G$186,2,FALSE)</f>
        <v>Low Pressure Sodium 135</v>
      </c>
      <c r="C1378" s="375">
        <f t="shared" si="240"/>
        <v>320</v>
      </c>
      <c r="D1378" s="23">
        <f t="shared" si="241"/>
        <v>1</v>
      </c>
      <c r="E1378" s="23" t="str">
        <f>VLOOKUP(C1378,'[7]Tariff Schedule Lookup Table'!I$7:L$287,2,FALSE)</f>
        <v>HIGH PRESSURE SODIUM 250W (210/220)</v>
      </c>
      <c r="F1378" s="23" t="str">
        <f>IF(E1378 = "BULKHEADS ETC", "SHARED OR NO POLE", VLOOKUP(C1378,'[7]Tariff Schedule Lookup Table'!I$7:L$287,3,FALSE))</f>
        <v>STEEL POLE</v>
      </c>
      <c r="G1378" s="23">
        <f>IF(E1378 = "NO CAPITAL", 1, VLOOKUP(C1378,'[7]Tariff Schedule Lookup Table'!I$7:L$287,4,FALSE))</f>
        <v>1</v>
      </c>
      <c r="H1378" s="23" t="str">
        <f t="shared" si="239"/>
        <v>1-Unmetered, CE Funded, CE Maintained</v>
      </c>
      <c r="I1378" s="374">
        <f>VLOOKUP(F1378,'Maintenance Model'!$A$57:$B$61,2,FALSE)</f>
        <v>9.9616182311111103</v>
      </c>
      <c r="J1378" s="374">
        <f>IF(D1378=1,VLOOKUP(C1378,'Capital Code Schedules'!A$15:F$300,2,FALSE),IF(D1378=2,VLOOKUP(C1378,'Capital Code Schedules'!A$15:F$300,3,FALSE),0))</f>
        <v>92.322513672035399</v>
      </c>
      <c r="K1378" s="374">
        <f>IF(D1378=1,VLOOKUP(C1378,'Capital Code Schedules'!E$15:G$300,2,FALSE),IF(D1378=2,VLOOKUP(C1378,'Capital Code Schedules'!E$15:G$300,3,FALSE),0))</f>
        <v>117.10841065015505</v>
      </c>
      <c r="L1378" s="374">
        <f>VLOOKUP(LEFT(A1378,10),'Streetlight Tariff Schedule'!B$11:H$260,7, FALSE)+I1378</f>
        <v>67.075922303229547</v>
      </c>
      <c r="M1378" s="410">
        <f t="shared" si="232"/>
        <v>184.1843329533846</v>
      </c>
      <c r="N1378" s="411">
        <f t="shared" si="233"/>
        <v>164.47837947394041</v>
      </c>
      <c r="O1378" s="411">
        <v>186.61786390007015</v>
      </c>
      <c r="P1378" s="411">
        <v>181.30507769764043</v>
      </c>
      <c r="Q1378" s="411">
        <v>187.27511290891135</v>
      </c>
      <c r="R1378" s="411">
        <v>192.71939056985124</v>
      </c>
      <c r="S1378" s="411">
        <f t="shared" si="234"/>
        <v>170.23931654737075</v>
      </c>
      <c r="T1378" s="411">
        <v>192.9595931386915</v>
      </c>
      <c r="U1378" s="411">
        <v>199.2647438003041</v>
      </c>
      <c r="V1378" s="411">
        <f t="shared" si="235"/>
        <v>176.29123039944091</v>
      </c>
      <c r="W1378" s="411">
        <v>198.51536244438543</v>
      </c>
      <c r="X1378" s="411">
        <v>206.80967548043031</v>
      </c>
      <c r="Y1378" s="411">
        <f t="shared" si="236"/>
        <v>183.16782263943551</v>
      </c>
      <c r="Z1378" s="411">
        <v>203.71552826873963</v>
      </c>
      <c r="AA1378" s="411">
        <v>212.99534348044074</v>
      </c>
      <c r="AB1378" s="441">
        <f t="shared" si="237"/>
        <v>186.72042571581051</v>
      </c>
      <c r="AC1378" s="438">
        <f t="shared" si="238"/>
        <v>192.21936424777584</v>
      </c>
      <c r="AD1378" s="410"/>
      <c r="AE1378" s="411"/>
      <c r="AF1378" s="411"/>
      <c r="AG1378" s="411"/>
    </row>
    <row r="1379" spans="1:33" s="409" customFormat="1" x14ac:dyDescent="0.2">
      <c r="A1379" s="409" t="s">
        <v>663</v>
      </c>
      <c r="B1379" s="23" t="str">
        <f>VLOOKUP(LEFT(A1379,7),'[7]Tariff Schedule Lookup Table'!$A$8:$G$186,2,FALSE)</f>
        <v>Low Pressure Sodium 150</v>
      </c>
      <c r="C1379" s="375">
        <f t="shared" si="240"/>
        <v>60</v>
      </c>
      <c r="D1379" s="23">
        <f t="shared" si="241"/>
        <v>2</v>
      </c>
      <c r="E1379" s="23" t="str">
        <f>VLOOKUP(C1379,'[7]Tariff Schedule Lookup Table'!I$7:L$287,2,FALSE)</f>
        <v>HIGH PRESSURE SODIUM 250W (210/220)</v>
      </c>
      <c r="F1379" s="23" t="str">
        <f>IF(E1379 = "BULKHEADS ETC", "SHARED OR NO POLE", VLOOKUP(C1379,'[7]Tariff Schedule Lookup Table'!I$7:L$287,3,FALSE))</f>
        <v>SHARED OR NO POLE</v>
      </c>
      <c r="G1379" s="23">
        <f>IF(E1379 = "NO CAPITAL", 1, VLOOKUP(C1379,'[7]Tariff Schedule Lookup Table'!I$7:L$287,4,FALSE))</f>
        <v>1</v>
      </c>
      <c r="H1379" s="23" t="str">
        <f t="shared" si="239"/>
        <v>2-Unmetered, Funded by Others, CE Maintained</v>
      </c>
      <c r="I1379" s="374">
        <f>VLOOKUP(F1379,'Maintenance Model'!$A$57:$B$61,2,FALSE)</f>
        <v>0</v>
      </c>
      <c r="J1379" s="374">
        <f>IF(D1379=1,VLOOKUP(C1379,'Capital Code Schedules'!A$15:F$300,2,FALSE),IF(D1379=2,VLOOKUP(C1379,'Capital Code Schedules'!A$15:F$300,3,FALSE),0))</f>
        <v>0</v>
      </c>
      <c r="K1379" s="374">
        <f>IF(D1379=1,VLOOKUP(C1379,'Capital Code Schedules'!E$15:G$300,2,FALSE),IF(D1379=2,VLOOKUP(C1379,'Capital Code Schedules'!E$15:G$300,3,FALSE),0))</f>
        <v>0</v>
      </c>
      <c r="L1379" s="374">
        <f>VLOOKUP(LEFT(A1379,10),'Streetlight Tariff Schedule'!B$11:H$260,7, FALSE)+I1379</f>
        <v>62.261757494340657</v>
      </c>
      <c r="M1379" s="410">
        <f t="shared" si="232"/>
        <v>62.261757494340657</v>
      </c>
      <c r="N1379" s="411">
        <f t="shared" si="233"/>
        <v>64.856119163558887</v>
      </c>
      <c r="O1379" s="411">
        <v>55.461440517343959</v>
      </c>
      <c r="P1379" s="411">
        <v>55.461440517343959</v>
      </c>
      <c r="Q1379" s="411">
        <v>58.175660317423272</v>
      </c>
      <c r="R1379" s="411">
        <v>58.175660317423272</v>
      </c>
      <c r="S1379" s="411">
        <f t="shared" si="234"/>
        <v>68.030103848197314</v>
      </c>
      <c r="T1379" s="411">
        <v>60.56500362912098</v>
      </c>
      <c r="U1379" s="411">
        <v>60.786265221813359</v>
      </c>
      <c r="V1379" s="411">
        <f t="shared" si="235"/>
        <v>71.082922188087835</v>
      </c>
      <c r="W1379" s="411">
        <v>62.769733710819388</v>
      </c>
      <c r="X1379" s="411">
        <v>63.56156662264388</v>
      </c>
      <c r="Y1379" s="411">
        <f t="shared" si="236"/>
        <v>74.328335157676463</v>
      </c>
      <c r="Z1379" s="411">
        <v>64.582875710823572</v>
      </c>
      <c r="AA1379" s="411">
        <v>65.636898222648199</v>
      </c>
      <c r="AB1379" s="441">
        <f t="shared" si="237"/>
        <v>75.941761116011449</v>
      </c>
      <c r="AC1379" s="438">
        <f t="shared" si="238"/>
        <v>78.212348483162046</v>
      </c>
      <c r="AD1379" s="410"/>
      <c r="AE1379" s="411"/>
      <c r="AF1379" s="411"/>
      <c r="AG1379" s="411"/>
    </row>
    <row r="1380" spans="1:33" s="409" customFormat="1" x14ac:dyDescent="0.2">
      <c r="A1380" s="409" t="s">
        <v>664</v>
      </c>
      <c r="B1380" s="23" t="str">
        <f>VLOOKUP(LEFT(A1380,7),'[7]Tariff Schedule Lookup Table'!$A$8:$G$186,2,FALSE)</f>
        <v>Low Pressure Sodium 150</v>
      </c>
      <c r="C1380" s="375">
        <f t="shared" si="240"/>
        <v>230</v>
      </c>
      <c r="D1380" s="23">
        <f t="shared" si="241"/>
        <v>2</v>
      </c>
      <c r="E1380" s="23" t="str">
        <f>VLOOKUP(C1380,'[7]Tariff Schedule Lookup Table'!I$7:L$287,2,FALSE)</f>
        <v>HIGH PRESSURE SODIUM 250W (210/220)</v>
      </c>
      <c r="F1380" s="23" t="str">
        <f>IF(E1380 = "BULKHEADS ETC", "SHARED OR NO POLE", VLOOKUP(C1380,'[7]Tariff Schedule Lookup Table'!I$7:L$287,3,FALSE))</f>
        <v>WOOD POLE</v>
      </c>
      <c r="G1380" s="23">
        <f>IF(E1380 = "NO CAPITAL", 1, VLOOKUP(C1380,'[7]Tariff Schedule Lookup Table'!I$7:L$287,4,FALSE))</f>
        <v>1</v>
      </c>
      <c r="H1380" s="23" t="str">
        <f t="shared" si="239"/>
        <v>2-Unmetered, Funded by Others, CE Maintained</v>
      </c>
      <c r="I1380" s="374">
        <f>VLOOKUP(F1380,'Maintenance Model'!$A$57:$B$61,2,FALSE)</f>
        <v>10.731618231111112</v>
      </c>
      <c r="J1380" s="374">
        <f>IF(D1380=1,VLOOKUP(C1380,'Capital Code Schedules'!A$15:F$300,2,FALSE),IF(D1380=2,VLOOKUP(C1380,'Capital Code Schedules'!A$15:F$300,3,FALSE),0))</f>
        <v>0</v>
      </c>
      <c r="K1380" s="374">
        <f>IF(D1380=1,VLOOKUP(C1380,'Capital Code Schedules'!E$15:G$300,2,FALSE),IF(D1380=2,VLOOKUP(C1380,'Capital Code Schedules'!E$15:G$300,3,FALSE),0))</f>
        <v>0</v>
      </c>
      <c r="L1380" s="374">
        <f>VLOOKUP(LEFT(A1380,10),'Streetlight Tariff Schedule'!B$11:H$260,7, FALSE)+I1380</f>
        <v>72.99337572545177</v>
      </c>
      <c r="M1380" s="410">
        <f t="shared" si="232"/>
        <v>72.99337572545177</v>
      </c>
      <c r="N1380" s="411">
        <f t="shared" si="233"/>
        <v>76.034909143556291</v>
      </c>
      <c r="O1380" s="411">
        <v>65.857640592768135</v>
      </c>
      <c r="P1380" s="411">
        <v>65.857640592768135</v>
      </c>
      <c r="Q1380" s="411">
        <v>69.08063859671465</v>
      </c>
      <c r="R1380" s="411">
        <v>69.08063859671465</v>
      </c>
      <c r="S1380" s="411">
        <f t="shared" si="234"/>
        <v>79.755971091634137</v>
      </c>
      <c r="T1380" s="411">
        <v>71.917862289548836</v>
      </c>
      <c r="U1380" s="411">
        <v>72.180599180487704</v>
      </c>
      <c r="V1380" s="411">
        <f t="shared" si="235"/>
        <v>83.334982110162372</v>
      </c>
      <c r="W1380" s="411">
        <v>74.535867158700256</v>
      </c>
      <c r="X1380" s="411">
        <v>75.476128479539085</v>
      </c>
      <c r="Y1380" s="411">
        <f t="shared" si="236"/>
        <v>87.139783930846122</v>
      </c>
      <c r="Z1380" s="411">
        <v>76.688881091733364</v>
      </c>
      <c r="AA1380" s="411">
        <v>77.940479231142049</v>
      </c>
      <c r="AB1380" s="441">
        <f t="shared" si="237"/>
        <v>89.031304696103163</v>
      </c>
      <c r="AC1380" s="438">
        <f t="shared" si="238"/>
        <v>91.693257128508435</v>
      </c>
      <c r="AD1380" s="410"/>
      <c r="AE1380" s="411"/>
      <c r="AF1380" s="411"/>
      <c r="AG1380" s="411"/>
    </row>
    <row r="1381" spans="1:33" s="409" customFormat="1" x14ac:dyDescent="0.2">
      <c r="A1381" s="409" t="s">
        <v>665</v>
      </c>
      <c r="B1381" s="23" t="str">
        <f>VLOOKUP(LEFT(A1381,7),'[7]Tariff Schedule Lookup Table'!$A$8:$G$186,2,FALSE)</f>
        <v>Low Pressure Sodium 150</v>
      </c>
      <c r="C1381" s="375">
        <f t="shared" si="240"/>
        <v>320</v>
      </c>
      <c r="D1381" s="23">
        <f t="shared" si="241"/>
        <v>2</v>
      </c>
      <c r="E1381" s="23" t="str">
        <f>VLOOKUP(C1381,'[7]Tariff Schedule Lookup Table'!I$7:L$287,2,FALSE)</f>
        <v>HIGH PRESSURE SODIUM 250W (210/220)</v>
      </c>
      <c r="F1381" s="23" t="str">
        <f>IF(E1381 = "BULKHEADS ETC", "SHARED OR NO POLE", VLOOKUP(C1381,'[7]Tariff Schedule Lookup Table'!I$7:L$287,3,FALSE))</f>
        <v>STEEL POLE</v>
      </c>
      <c r="G1381" s="23">
        <f>IF(E1381 = "NO CAPITAL", 1, VLOOKUP(C1381,'[7]Tariff Schedule Lookup Table'!I$7:L$287,4,FALSE))</f>
        <v>1</v>
      </c>
      <c r="H1381" s="23" t="str">
        <f t="shared" si="239"/>
        <v>2-Unmetered, Funded by Others, CE Maintained</v>
      </c>
      <c r="I1381" s="374">
        <f>VLOOKUP(F1381,'Maintenance Model'!$A$57:$B$61,2,FALSE)</f>
        <v>9.9616182311111103</v>
      </c>
      <c r="J1381" s="374">
        <f>IF(D1381=1,VLOOKUP(C1381,'Capital Code Schedules'!A$15:F$300,2,FALSE),IF(D1381=2,VLOOKUP(C1381,'Capital Code Schedules'!A$15:F$300,3,FALSE),0))</f>
        <v>0</v>
      </c>
      <c r="K1381" s="374">
        <f>IF(D1381=1,VLOOKUP(C1381,'Capital Code Schedules'!E$15:G$300,2,FALSE),IF(D1381=2,VLOOKUP(C1381,'Capital Code Schedules'!E$15:G$300,3,FALSE),0))</f>
        <v>0</v>
      </c>
      <c r="L1381" s="374">
        <f>VLOOKUP(LEFT(A1381,10),'Streetlight Tariff Schedule'!B$11:H$260,7, FALSE)+I1381</f>
        <v>72.223375725451774</v>
      </c>
      <c r="M1381" s="410">
        <f t="shared" si="232"/>
        <v>72.223375725451774</v>
      </c>
      <c r="N1381" s="411">
        <f t="shared" si="233"/>
        <v>75.232824304231286</v>
      </c>
      <c r="O1381" s="411">
        <v>65.055555753443116</v>
      </c>
      <c r="P1381" s="411">
        <v>65.055555753443116</v>
      </c>
      <c r="Q1381" s="411">
        <v>68.239300637890196</v>
      </c>
      <c r="R1381" s="411">
        <v>68.239300637890196</v>
      </c>
      <c r="S1381" s="411">
        <f t="shared" si="234"/>
        <v>78.914633132809684</v>
      </c>
      <c r="T1381" s="411">
        <v>71.04196958370774</v>
      </c>
      <c r="U1381" s="411">
        <v>71.301506583562485</v>
      </c>
      <c r="V1381" s="411">
        <f t="shared" si="235"/>
        <v>82.455889513237182</v>
      </c>
      <c r="W1381" s="411">
        <v>73.628089587323046</v>
      </c>
      <c r="X1381" s="411">
        <v>74.55689939936714</v>
      </c>
      <c r="Y1381" s="411">
        <f t="shared" si="236"/>
        <v>86.220554850674191</v>
      </c>
      <c r="Z1381" s="411">
        <v>75.754881812153471</v>
      </c>
      <c r="AA1381" s="411">
        <v>76.991236649744593</v>
      </c>
      <c r="AB1381" s="441">
        <f t="shared" si="237"/>
        <v>88.092122147897001</v>
      </c>
      <c r="AC1381" s="438">
        <f t="shared" si="238"/>
        <v>90.725993903767161</v>
      </c>
      <c r="AD1381" s="410"/>
      <c r="AE1381" s="411"/>
      <c r="AF1381" s="411"/>
      <c r="AG1381" s="411"/>
    </row>
    <row r="1382" spans="1:33" s="409" customFormat="1" x14ac:dyDescent="0.2">
      <c r="A1382" s="409" t="s">
        <v>666</v>
      </c>
      <c r="B1382" s="23" t="str">
        <f>VLOOKUP(LEFT(A1382,7),'[7]Tariff Schedule Lookup Table'!$A$8:$G$186,2,FALSE)</f>
        <v>Low Pressure Sodium 180</v>
      </c>
      <c r="C1382" s="375">
        <f t="shared" si="240"/>
        <v>70</v>
      </c>
      <c r="D1382" s="23">
        <f t="shared" si="241"/>
        <v>1</v>
      </c>
      <c r="E1382" s="23" t="str">
        <f>VLOOKUP(C1382,'[7]Tariff Schedule Lookup Table'!I$7:L$287,2,FALSE)</f>
        <v>HIGH PRESSURE SODIUM 400W (310/360)</v>
      </c>
      <c r="F1382" s="23" t="str">
        <f>IF(E1382 = "BULKHEADS ETC", "SHARED OR NO POLE", VLOOKUP(C1382,'[7]Tariff Schedule Lookup Table'!I$7:L$287,3,FALSE))</f>
        <v>SHARED OR NO POLE</v>
      </c>
      <c r="G1382" s="23">
        <f>IF(E1382 = "NO CAPITAL", 1, VLOOKUP(C1382,'[7]Tariff Schedule Lookup Table'!I$7:L$287,4,FALSE))</f>
        <v>1</v>
      </c>
      <c r="H1382" s="23" t="str">
        <f t="shared" si="239"/>
        <v>1-Unmetered, CE Funded, CE Maintained</v>
      </c>
      <c r="I1382" s="374">
        <f>VLOOKUP(F1382,'Maintenance Model'!$A$57:$B$61,2,FALSE)</f>
        <v>0</v>
      </c>
      <c r="J1382" s="374">
        <f>IF(D1382=1,VLOOKUP(C1382,'Capital Code Schedules'!A$15:F$300,2,FALSE),IF(D1382=2,VLOOKUP(C1382,'Capital Code Schedules'!A$15:F$300,3,FALSE),0))</f>
        <v>35.784047435083579</v>
      </c>
      <c r="K1382" s="374">
        <f>IF(D1382=1,VLOOKUP(C1382,'Capital Code Schedules'!E$15:G$300,2,FALSE),IF(D1382=2,VLOOKUP(C1382,'Capital Code Schedules'!E$15:G$300,3,FALSE),0))</f>
        <v>45.391018453408257</v>
      </c>
      <c r="L1382" s="374">
        <f>VLOOKUP(LEFT(A1382,10),'Streetlight Tariff Schedule'!B$11:H$260,7, FALSE)+I1382</f>
        <v>62.261757494340657</v>
      </c>
      <c r="M1382" s="410">
        <f t="shared" si="232"/>
        <v>107.65277594774892</v>
      </c>
      <c r="N1382" s="411">
        <f t="shared" si="233"/>
        <v>101.52582177266078</v>
      </c>
      <c r="O1382" s="411">
        <v>104.03511346754563</v>
      </c>
      <c r="P1382" s="411">
        <v>101.97588667747408</v>
      </c>
      <c r="Q1382" s="411">
        <v>105.8413390200166</v>
      </c>
      <c r="R1382" s="411">
        <v>107.95153167314243</v>
      </c>
      <c r="S1382" s="411">
        <f t="shared" si="234"/>
        <v>105.60738159687448</v>
      </c>
      <c r="T1382" s="411">
        <v>109.41040787960351</v>
      </c>
      <c r="U1382" s="411">
        <v>111.98074891117051</v>
      </c>
      <c r="V1382" s="411">
        <f t="shared" si="235"/>
        <v>109.73115235260231</v>
      </c>
      <c r="W1382" s="411">
        <v>112.82406171650136</v>
      </c>
      <c r="X1382" s="411">
        <v>116.49154330907025</v>
      </c>
      <c r="Y1382" s="411">
        <f t="shared" si="236"/>
        <v>114.28674032476796</v>
      </c>
      <c r="Z1382" s="411">
        <v>115.87604833464617</v>
      </c>
      <c r="AA1382" s="411">
        <v>120.07537924463773</v>
      </c>
      <c r="AB1382" s="441">
        <f t="shared" si="237"/>
        <v>116.60343421404377</v>
      </c>
      <c r="AC1382" s="438">
        <f t="shared" si="238"/>
        <v>120.05727626834711</v>
      </c>
      <c r="AD1382" s="410"/>
      <c r="AE1382" s="411"/>
      <c r="AF1382" s="411"/>
      <c r="AG1382" s="411"/>
    </row>
    <row r="1383" spans="1:33" s="409" customFormat="1" x14ac:dyDescent="0.2">
      <c r="A1383" s="409" t="s">
        <v>667</v>
      </c>
      <c r="B1383" s="23" t="str">
        <f>VLOOKUP(LEFT(A1383,7),'[7]Tariff Schedule Lookup Table'!$A$8:$G$186,2,FALSE)</f>
        <v>Low Pressure Sodium 180</v>
      </c>
      <c r="C1383" s="375">
        <f t="shared" si="240"/>
        <v>230</v>
      </c>
      <c r="D1383" s="23">
        <f t="shared" si="241"/>
        <v>1</v>
      </c>
      <c r="E1383" s="23" t="str">
        <f>VLOOKUP(C1383,'[7]Tariff Schedule Lookup Table'!I$7:L$287,2,FALSE)</f>
        <v>HIGH PRESSURE SODIUM 250W (210/220)</v>
      </c>
      <c r="F1383" s="23" t="str">
        <f>IF(E1383 = "BULKHEADS ETC", "SHARED OR NO POLE", VLOOKUP(C1383,'[7]Tariff Schedule Lookup Table'!I$7:L$287,3,FALSE))</f>
        <v>WOOD POLE</v>
      </c>
      <c r="G1383" s="23">
        <f>IF(E1383 = "NO CAPITAL", 1, VLOOKUP(C1383,'[7]Tariff Schedule Lookup Table'!I$7:L$287,4,FALSE))</f>
        <v>1</v>
      </c>
      <c r="H1383" s="23" t="str">
        <f t="shared" si="239"/>
        <v>1-Unmetered, CE Funded, CE Maintained</v>
      </c>
      <c r="I1383" s="374">
        <f>VLOOKUP(F1383,'Maintenance Model'!$A$57:$B$61,2,FALSE)</f>
        <v>10.731618231111112</v>
      </c>
      <c r="J1383" s="374">
        <f>IF(D1383=1,VLOOKUP(C1383,'Capital Code Schedules'!A$15:F$300,2,FALSE),IF(D1383=2,VLOOKUP(C1383,'Capital Code Schedules'!A$15:F$300,3,FALSE),0))</f>
        <v>66.039248498405314</v>
      </c>
      <c r="K1383" s="374">
        <f>IF(D1383=1,VLOOKUP(C1383,'Capital Code Schedules'!E$15:G$300,2,FALSE),IF(D1383=2,VLOOKUP(C1383,'Capital Code Schedules'!E$15:G$300,3,FALSE),0))</f>
        <v>83.768856853834222</v>
      </c>
      <c r="L1383" s="374">
        <f>VLOOKUP(LEFT(A1383,10),'Streetlight Tariff Schedule'!B$11:H$260,7, FALSE)+I1383</f>
        <v>72.99337572545177</v>
      </c>
      <c r="M1383" s="410">
        <f t="shared" si="232"/>
        <v>156.76223257928598</v>
      </c>
      <c r="N1383" s="411">
        <f t="shared" si="233"/>
        <v>143.70862904229713</v>
      </c>
      <c r="O1383" s="411">
        <v>155.50006755014076</v>
      </c>
      <c r="P1383" s="411">
        <v>151.69977665373474</v>
      </c>
      <c r="Q1383" s="411">
        <v>157.0473675251902</v>
      </c>
      <c r="R1383" s="411">
        <v>160.94171562128224</v>
      </c>
      <c r="S1383" s="411">
        <f t="shared" si="234"/>
        <v>149.10461555786884</v>
      </c>
      <c r="T1383" s="411">
        <v>162.06176775900414</v>
      </c>
      <c r="U1383" s="411">
        <v>166.65971690025549</v>
      </c>
      <c r="V1383" s="411">
        <f t="shared" si="235"/>
        <v>154.66006294368475</v>
      </c>
      <c r="W1383" s="411">
        <v>166.9108342885246</v>
      </c>
      <c r="X1383" s="411">
        <v>173.15808829000696</v>
      </c>
      <c r="Y1383" s="411">
        <f t="shared" si="236"/>
        <v>160.88278500462491</v>
      </c>
      <c r="Z1383" s="411">
        <v>171.35012865802082</v>
      </c>
      <c r="AA1383" s="411">
        <v>178.40637489620829</v>
      </c>
      <c r="AB1383" s="441">
        <f t="shared" si="237"/>
        <v>164.07218258878046</v>
      </c>
      <c r="AC1383" s="438">
        <f t="shared" si="238"/>
        <v>168.91782456786262</v>
      </c>
      <c r="AD1383" s="410"/>
      <c r="AE1383" s="411"/>
      <c r="AF1383" s="411"/>
      <c r="AG1383" s="411"/>
    </row>
    <row r="1384" spans="1:33" s="409" customFormat="1" x14ac:dyDescent="0.2">
      <c r="A1384" s="409" t="s">
        <v>668</v>
      </c>
      <c r="B1384" s="23" t="str">
        <f>VLOOKUP(LEFT(A1384,7),'[7]Tariff Schedule Lookup Table'!$A$8:$G$186,2,FALSE)</f>
        <v>Low Pressure Sodium 180</v>
      </c>
      <c r="C1384" s="375">
        <f t="shared" si="240"/>
        <v>240</v>
      </c>
      <c r="D1384" s="23">
        <f t="shared" si="241"/>
        <v>1</v>
      </c>
      <c r="E1384" s="23" t="str">
        <f>VLOOKUP(C1384,'[7]Tariff Schedule Lookup Table'!I$7:L$287,2,FALSE)</f>
        <v>HIGH PRESSURE SODIUM 400W (310/360)</v>
      </c>
      <c r="F1384" s="23" t="str">
        <f>IF(E1384 = "BULKHEADS ETC", "SHARED OR NO POLE", VLOOKUP(C1384,'[7]Tariff Schedule Lookup Table'!I$7:L$287,3,FALSE))</f>
        <v>WOOD POLE</v>
      </c>
      <c r="G1384" s="23">
        <f>IF(E1384 = "NO CAPITAL", 1, VLOOKUP(C1384,'[7]Tariff Schedule Lookup Table'!I$7:L$287,4,FALSE))</f>
        <v>1</v>
      </c>
      <c r="H1384" s="23" t="str">
        <f t="shared" si="239"/>
        <v>1-Unmetered, CE Funded, CE Maintained</v>
      </c>
      <c r="I1384" s="374">
        <f>VLOOKUP(F1384,'Maintenance Model'!$A$57:$B$61,2,FALSE)</f>
        <v>10.731618231111112</v>
      </c>
      <c r="J1384" s="374">
        <f>IF(D1384=1,VLOOKUP(C1384,'Capital Code Schedules'!A$15:F$300,2,FALSE),IF(D1384=2,VLOOKUP(C1384,'Capital Code Schedules'!A$15:F$300,3,FALSE),0))</f>
        <v>69.685165796959865</v>
      </c>
      <c r="K1384" s="374">
        <f>IF(D1384=1,VLOOKUP(C1384,'Capital Code Schedules'!E$15:G$300,2,FALSE),IF(D1384=2,VLOOKUP(C1384,'Capital Code Schedules'!E$15:G$300,3,FALSE),0))</f>
        <v>88.393596402330274</v>
      </c>
      <c r="L1384" s="374">
        <f>VLOOKUP(LEFT(A1384,10),'Streetlight Tariff Schedule'!B$11:H$260,7, FALSE)+I1384</f>
        <v>72.99337572545177</v>
      </c>
      <c r="M1384" s="410">
        <f t="shared" si="232"/>
        <v>161.38697212778203</v>
      </c>
      <c r="N1384" s="411">
        <f t="shared" si="233"/>
        <v>147.44478279399092</v>
      </c>
      <c r="O1384" s="411">
        <v>160.44907715518175</v>
      </c>
      <c r="P1384" s="411">
        <v>156.43897850605606</v>
      </c>
      <c r="Q1384" s="411">
        <v>161.90386462335647</v>
      </c>
      <c r="R1384" s="411">
        <v>166.01321321404802</v>
      </c>
      <c r="S1384" s="411">
        <f t="shared" si="234"/>
        <v>152.93323911491706</v>
      </c>
      <c r="T1384" s="411">
        <v>167.03846316035003</v>
      </c>
      <c r="U1384" s="411">
        <v>171.87575217441508</v>
      </c>
      <c r="V1384" s="411">
        <f t="shared" si="235"/>
        <v>158.59780227210882</v>
      </c>
      <c r="W1384" s="411">
        <v>172.0107029010538</v>
      </c>
      <c r="X1384" s="411">
        <v>178.55094715996057</v>
      </c>
      <c r="Y1384" s="411">
        <f t="shared" si="236"/>
        <v>164.95401369628257</v>
      </c>
      <c r="Z1384" s="411">
        <v>176.57621901871013</v>
      </c>
      <c r="AA1384" s="411">
        <v>183.95293024395559</v>
      </c>
      <c r="AB1384" s="441">
        <f t="shared" si="237"/>
        <v>168.21506490541128</v>
      </c>
      <c r="AC1384" s="438">
        <f t="shared" si="238"/>
        <v>173.18126475990741</v>
      </c>
      <c r="AD1384" s="410"/>
      <c r="AE1384" s="411"/>
      <c r="AF1384" s="411"/>
      <c r="AG1384" s="411"/>
    </row>
    <row r="1385" spans="1:33" s="409" customFormat="1" x14ac:dyDescent="0.2">
      <c r="A1385" s="409" t="s">
        <v>669</v>
      </c>
      <c r="B1385" s="23" t="str">
        <f>VLOOKUP(LEFT(A1385,7),'[7]Tariff Schedule Lookup Table'!$A$8:$G$186,2,FALSE)</f>
        <v>Low Pressure Sodium 310</v>
      </c>
      <c r="C1385" s="375">
        <f t="shared" si="240"/>
        <v>70</v>
      </c>
      <c r="D1385" s="23">
        <f t="shared" si="241"/>
        <v>2</v>
      </c>
      <c r="E1385" s="23" t="str">
        <f>VLOOKUP(C1385,'[7]Tariff Schedule Lookup Table'!I$7:L$287,2,FALSE)</f>
        <v>HIGH PRESSURE SODIUM 400W (310/360)</v>
      </c>
      <c r="F1385" s="23" t="str">
        <f>IF(E1385 = "BULKHEADS ETC", "SHARED OR NO POLE", VLOOKUP(C1385,'[7]Tariff Schedule Lookup Table'!I$7:L$287,3,FALSE))</f>
        <v>SHARED OR NO POLE</v>
      </c>
      <c r="G1385" s="23">
        <f>IF(E1385 = "NO CAPITAL", 1, VLOOKUP(C1385,'[7]Tariff Schedule Lookup Table'!I$7:L$287,4,FALSE))</f>
        <v>1</v>
      </c>
      <c r="H1385" s="23" t="str">
        <f t="shared" si="239"/>
        <v>2-Unmetered, Funded by Others, CE Maintained</v>
      </c>
      <c r="I1385" s="374">
        <f>VLOOKUP(F1385,'Maintenance Model'!$A$57:$B$61,2,FALSE)</f>
        <v>0</v>
      </c>
      <c r="J1385" s="374">
        <f>IF(D1385=1,VLOOKUP(C1385,'Capital Code Schedules'!A$15:F$300,2,FALSE),IF(D1385=2,VLOOKUP(C1385,'Capital Code Schedules'!A$15:F$300,3,FALSE),0))</f>
        <v>0</v>
      </c>
      <c r="K1385" s="374">
        <f>IF(D1385=1,VLOOKUP(C1385,'Capital Code Schedules'!E$15:G$300,2,FALSE),IF(D1385=2,VLOOKUP(C1385,'Capital Code Schedules'!E$15:G$300,3,FALSE),0))</f>
        <v>0</v>
      </c>
      <c r="L1385" s="374">
        <f>VLOOKUP(LEFT(A1385,10),'Streetlight Tariff Schedule'!B$11:H$260,7, FALSE)+I1385</f>
        <v>62.261757494340657</v>
      </c>
      <c r="M1385" s="410">
        <f t="shared" si="232"/>
        <v>62.261757494340657</v>
      </c>
      <c r="N1385" s="411">
        <f t="shared" si="233"/>
        <v>64.856119163558887</v>
      </c>
      <c r="O1385" s="411">
        <v>55.461440517343959</v>
      </c>
      <c r="P1385" s="411">
        <v>55.461440517343959</v>
      </c>
      <c r="Q1385" s="411">
        <v>58.175660317423272</v>
      </c>
      <c r="R1385" s="411">
        <v>58.175660317423272</v>
      </c>
      <c r="S1385" s="411">
        <f t="shared" si="234"/>
        <v>68.030103848197314</v>
      </c>
      <c r="T1385" s="411">
        <v>60.56500362912098</v>
      </c>
      <c r="U1385" s="411">
        <v>60.786265221813359</v>
      </c>
      <c r="V1385" s="411">
        <f t="shared" si="235"/>
        <v>71.082922188087835</v>
      </c>
      <c r="W1385" s="411">
        <v>62.769733710819388</v>
      </c>
      <c r="X1385" s="411">
        <v>63.56156662264388</v>
      </c>
      <c r="Y1385" s="411">
        <f t="shared" si="236"/>
        <v>74.328335157676463</v>
      </c>
      <c r="Z1385" s="411">
        <v>64.582875710823572</v>
      </c>
      <c r="AA1385" s="411">
        <v>65.636898222648199</v>
      </c>
      <c r="AB1385" s="441">
        <f t="shared" si="237"/>
        <v>75.941761116011449</v>
      </c>
      <c r="AC1385" s="438">
        <f t="shared" si="238"/>
        <v>78.212348483162046</v>
      </c>
      <c r="AD1385" s="410"/>
      <c r="AE1385" s="411"/>
      <c r="AF1385" s="411"/>
      <c r="AG1385" s="411"/>
    </row>
    <row r="1386" spans="1:33" s="409" customFormat="1" x14ac:dyDescent="0.2">
      <c r="A1386" s="409" t="s">
        <v>670</v>
      </c>
      <c r="B1386" s="23" t="str">
        <f>VLOOKUP(LEFT(A1386,7),'[7]Tariff Schedule Lookup Table'!$A$8:$G$186,2,FALSE)</f>
        <v>Metal Hallide (Reactor Control Gear) 70</v>
      </c>
      <c r="C1386" s="375">
        <f t="shared" si="240"/>
        <v>40</v>
      </c>
      <c r="D1386" s="23">
        <f t="shared" si="241"/>
        <v>2</v>
      </c>
      <c r="E1386" s="23" t="str">
        <f>VLOOKUP(C1386,'[7]Tariff Schedule Lookup Table'!I$7:L$287,2,FALSE)</f>
        <v>HIGH PRESSURE SODIUM 70W (100)</v>
      </c>
      <c r="F1386" s="23" t="str">
        <f>IF(E1386 = "BULKHEADS ETC", "SHARED OR NO POLE", VLOOKUP(C1386,'[7]Tariff Schedule Lookup Table'!I$7:L$287,3,FALSE))</f>
        <v>SHARED OR NO POLE</v>
      </c>
      <c r="G1386" s="23">
        <f>IF(E1386 = "NO CAPITAL", 1, VLOOKUP(C1386,'[7]Tariff Schedule Lookup Table'!I$7:L$287,4,FALSE))</f>
        <v>1</v>
      </c>
      <c r="H1386" s="23" t="str">
        <f t="shared" si="239"/>
        <v>2-Unmetered, Funded by Others, CE Maintained</v>
      </c>
      <c r="I1386" s="374">
        <f>VLOOKUP(F1386,'Maintenance Model'!$A$57:$B$61,2,FALSE)</f>
        <v>0</v>
      </c>
      <c r="J1386" s="374">
        <f>IF(D1386=1,VLOOKUP(C1386,'Capital Code Schedules'!A$15:F$300,2,FALSE),IF(D1386=2,VLOOKUP(C1386,'Capital Code Schedules'!A$15:F$300,3,FALSE),0))</f>
        <v>0</v>
      </c>
      <c r="K1386" s="374">
        <f>IF(D1386=1,VLOOKUP(C1386,'Capital Code Schedules'!E$15:G$300,2,FALSE),IF(D1386=2,VLOOKUP(C1386,'Capital Code Schedules'!E$15:G$300,3,FALSE),0))</f>
        <v>0</v>
      </c>
      <c r="L1386" s="374">
        <f>VLOOKUP(LEFT(A1386,10),'Streetlight Tariff Schedule'!B$11:H$260,7, FALSE)+I1386</f>
        <v>65.211775100276469</v>
      </c>
      <c r="M1386" s="410">
        <f t="shared" si="232"/>
        <v>65.211775100276469</v>
      </c>
      <c r="N1386" s="411">
        <f t="shared" si="233"/>
        <v>67.929059939484802</v>
      </c>
      <c r="O1386" s="411">
        <v>55.968177805366196</v>
      </c>
      <c r="P1386" s="411">
        <v>55.968177805366196</v>
      </c>
      <c r="Q1386" s="411">
        <v>58.707196751803032</v>
      </c>
      <c r="R1386" s="411">
        <v>58.707196751803032</v>
      </c>
      <c r="S1386" s="411">
        <f t="shared" si="234"/>
        <v>71.253430849592434</v>
      </c>
      <c r="T1386" s="411">
        <v>61.118370894770713</v>
      </c>
      <c r="U1386" s="411">
        <v>61.341654099205918</v>
      </c>
      <c r="V1386" s="411">
        <f t="shared" si="235"/>
        <v>74.450894445460833</v>
      </c>
      <c r="W1386" s="411">
        <v>63.343245042905181</v>
      </c>
      <c r="X1386" s="411">
        <v>64.142312733678096</v>
      </c>
      <c r="Y1386" s="411">
        <f t="shared" si="236"/>
        <v>77.850077976371779</v>
      </c>
      <c r="Z1386" s="411">
        <v>65.172953267142105</v>
      </c>
      <c r="AA1386" s="411">
        <v>66.236606118607654</v>
      </c>
      <c r="AB1386" s="441">
        <f t="shared" si="237"/>
        <v>79.539949495746299</v>
      </c>
      <c r="AC1386" s="438">
        <f t="shared" si="238"/>
        <v>81.918119317656831</v>
      </c>
      <c r="AD1386" s="410"/>
      <c r="AE1386" s="411"/>
      <c r="AF1386" s="411"/>
      <c r="AG1386" s="411"/>
    </row>
    <row r="1387" spans="1:33" s="409" customFormat="1" x14ac:dyDescent="0.2">
      <c r="A1387" s="409" t="s">
        <v>671</v>
      </c>
      <c r="B1387" s="23" t="str">
        <f>VLOOKUP(LEFT(A1387,7),'[7]Tariff Schedule Lookup Table'!$A$8:$G$186,2,FALSE)</f>
        <v>Metal Hallide (Reactor Control Gear) 70</v>
      </c>
      <c r="C1387" s="375">
        <f t="shared" si="240"/>
        <v>360</v>
      </c>
      <c r="D1387" s="23">
        <f t="shared" si="241"/>
        <v>2</v>
      </c>
      <c r="E1387" s="23" t="str">
        <f>VLOOKUP(C1387,'[7]Tariff Schedule Lookup Table'!I$7:L$287,2,FALSE)</f>
        <v>HIGH PRESSURE SODIUM 70W (100)</v>
      </c>
      <c r="F1387" s="23" t="str">
        <f>IF(E1387 = "BULKHEADS ETC", "SHARED OR NO POLE", VLOOKUP(C1387,'[7]Tariff Schedule Lookup Table'!I$7:L$287,3,FALSE))</f>
        <v>STEEL POLE</v>
      </c>
      <c r="G1387" s="23">
        <f>IF(E1387 = "NO CAPITAL", 1, VLOOKUP(C1387,'[7]Tariff Schedule Lookup Table'!I$7:L$287,4,FALSE))</f>
        <v>1</v>
      </c>
      <c r="H1387" s="23" t="str">
        <f t="shared" si="239"/>
        <v>2-Unmetered, Funded by Others, CE Maintained</v>
      </c>
      <c r="I1387" s="374">
        <f>VLOOKUP(F1387,'Maintenance Model'!$A$57:$B$61,2,FALSE)</f>
        <v>9.9616182311111103</v>
      </c>
      <c r="J1387" s="374">
        <f>IF(D1387=1,VLOOKUP(C1387,'Capital Code Schedules'!A$15:F$300,2,FALSE),IF(D1387=2,VLOOKUP(C1387,'Capital Code Schedules'!A$15:F$300,3,FALSE),0))</f>
        <v>0</v>
      </c>
      <c r="K1387" s="374">
        <f>IF(D1387=1,VLOOKUP(C1387,'Capital Code Schedules'!E$15:G$300,2,FALSE),IF(D1387=2,VLOOKUP(C1387,'Capital Code Schedules'!E$15:G$300,3,FALSE),0))</f>
        <v>0</v>
      </c>
      <c r="L1387" s="374">
        <f>VLOOKUP(LEFT(A1387,10),'Streetlight Tariff Schedule'!B$11:H$260,7, FALSE)+I1387</f>
        <v>75.173393331387587</v>
      </c>
      <c r="M1387" s="410">
        <f t="shared" si="232"/>
        <v>75.173393331387587</v>
      </c>
      <c r="N1387" s="411">
        <f t="shared" si="233"/>
        <v>78.305765080157201</v>
      </c>
      <c r="O1387" s="411">
        <v>65.562293041465367</v>
      </c>
      <c r="P1387" s="411">
        <v>65.562293041465367</v>
      </c>
      <c r="Q1387" s="411">
        <v>68.770837072269941</v>
      </c>
      <c r="R1387" s="411">
        <v>68.770837072269941</v>
      </c>
      <c r="S1387" s="411">
        <f t="shared" si="234"/>
        <v>82.137960134204818</v>
      </c>
      <c r="T1387" s="411">
        <v>71.595336849357466</v>
      </c>
      <c r="U1387" s="411">
        <v>71.856895460955059</v>
      </c>
      <c r="V1387" s="411">
        <f t="shared" si="235"/>
        <v>85.823861770610179</v>
      </c>
      <c r="W1387" s="411">
        <v>74.201600919408833</v>
      </c>
      <c r="X1387" s="411">
        <v>75.13764551040137</v>
      </c>
      <c r="Y1387" s="411">
        <f t="shared" si="236"/>
        <v>89.74229766936952</v>
      </c>
      <c r="Z1387" s="411">
        <v>76.34495936847199</v>
      </c>
      <c r="AA1387" s="411">
        <v>77.590944545704033</v>
      </c>
      <c r="AB1387" s="441">
        <f t="shared" si="237"/>
        <v>91.690310527631851</v>
      </c>
      <c r="AC1387" s="438">
        <f t="shared" si="238"/>
        <v>94.431764738261947</v>
      </c>
      <c r="AD1387" s="410"/>
      <c r="AE1387" s="411"/>
      <c r="AF1387" s="411"/>
      <c r="AG1387" s="411"/>
    </row>
    <row r="1388" spans="1:33" s="409" customFormat="1" x14ac:dyDescent="0.2">
      <c r="A1388" s="409" t="s">
        <v>672</v>
      </c>
      <c r="B1388" s="23" t="str">
        <f>VLOOKUP(LEFT(A1388,7),'[7]Tariff Schedule Lookup Table'!$A$8:$G$186,2,FALSE)</f>
        <v>Metal Hallide (Reactor Control Gear) 150</v>
      </c>
      <c r="C1388" s="375">
        <f t="shared" si="240"/>
        <v>50</v>
      </c>
      <c r="D1388" s="23">
        <f t="shared" si="241"/>
        <v>2</v>
      </c>
      <c r="E1388" s="23" t="str">
        <f>VLOOKUP(C1388,'[7]Tariff Schedule Lookup Table'!I$7:L$287,2,FALSE)</f>
        <v>HIGH PRESSURE SODIUM 150W</v>
      </c>
      <c r="F1388" s="23" t="str">
        <f>IF(E1388 = "BULKHEADS ETC", "SHARED OR NO POLE", VLOOKUP(C1388,'[7]Tariff Schedule Lookup Table'!I$7:L$287,3,FALSE))</f>
        <v>SHARED OR NO POLE</v>
      </c>
      <c r="G1388" s="23">
        <f>IF(E1388 = "NO CAPITAL", 1, VLOOKUP(C1388,'[7]Tariff Schedule Lookup Table'!I$7:L$287,4,FALSE))</f>
        <v>1</v>
      </c>
      <c r="H1388" s="23" t="str">
        <f t="shared" si="239"/>
        <v>2-Unmetered, Funded by Others, CE Maintained</v>
      </c>
      <c r="I1388" s="374">
        <f>VLOOKUP(F1388,'Maintenance Model'!$A$57:$B$61,2,FALSE)</f>
        <v>0</v>
      </c>
      <c r="J1388" s="374">
        <f>IF(D1388=1,VLOOKUP(C1388,'Capital Code Schedules'!A$15:F$300,2,FALSE),IF(D1388=2,VLOOKUP(C1388,'Capital Code Schedules'!A$15:F$300,3,FALSE),0))</f>
        <v>0</v>
      </c>
      <c r="K1388" s="374">
        <f>IF(D1388=1,VLOOKUP(C1388,'Capital Code Schedules'!E$15:G$300,2,FALSE),IF(D1388=2,VLOOKUP(C1388,'Capital Code Schedules'!E$15:G$300,3,FALSE),0))</f>
        <v>0</v>
      </c>
      <c r="L1388" s="374">
        <f>VLOOKUP(LEFT(A1388,10),'Streetlight Tariff Schedule'!B$11:H$260,7, FALSE)+I1388</f>
        <v>70.992054655832021</v>
      </c>
      <c r="M1388" s="410">
        <f t="shared" si="232"/>
        <v>70.992054655832021</v>
      </c>
      <c r="N1388" s="411">
        <f t="shared" si="233"/>
        <v>73.950195781785254</v>
      </c>
      <c r="O1388" s="411">
        <v>59.725499674915305</v>
      </c>
      <c r="P1388" s="411">
        <v>59.725499674915305</v>
      </c>
      <c r="Q1388" s="411">
        <v>62.648397678918485</v>
      </c>
      <c r="R1388" s="411">
        <v>62.648397678918485</v>
      </c>
      <c r="S1388" s="411">
        <f t="shared" si="234"/>
        <v>77.569234229729915</v>
      </c>
      <c r="T1388" s="411">
        <v>65.221441614577458</v>
      </c>
      <c r="U1388" s="411">
        <v>65.45971453102446</v>
      </c>
      <c r="V1388" s="411">
        <f t="shared" si="235"/>
        <v>81.050116478508926</v>
      </c>
      <c r="W1388" s="411">
        <v>67.595678643934377</v>
      </c>
      <c r="X1388" s="411">
        <v>68.448390291461308</v>
      </c>
      <c r="Y1388" s="411">
        <f t="shared" si="236"/>
        <v>84.750598832202911</v>
      </c>
      <c r="Z1388" s="411">
        <v>69.548221003485253</v>
      </c>
      <c r="AA1388" s="411">
        <v>70.683280255464993</v>
      </c>
      <c r="AB1388" s="441">
        <f t="shared" si="237"/>
        <v>86.590258174097769</v>
      </c>
      <c r="AC1388" s="438">
        <f t="shared" si="238"/>
        <v>89.179225607023952</v>
      </c>
      <c r="AD1388" s="410"/>
      <c r="AE1388" s="411"/>
      <c r="AF1388" s="411"/>
      <c r="AG1388" s="411"/>
    </row>
    <row r="1389" spans="1:33" s="409" customFormat="1" x14ac:dyDescent="0.2">
      <c r="A1389" s="409" t="s">
        <v>673</v>
      </c>
      <c r="B1389" s="23" t="str">
        <f>VLOOKUP(LEFT(A1389,7),'[7]Tariff Schedule Lookup Table'!$A$8:$G$186,2,FALSE)</f>
        <v>Metal Hallide (Reactor Control Gear) 150</v>
      </c>
      <c r="C1389" s="375">
        <f t="shared" si="240"/>
        <v>310</v>
      </c>
      <c r="D1389" s="23">
        <f t="shared" si="241"/>
        <v>2</v>
      </c>
      <c r="E1389" s="23" t="str">
        <f>VLOOKUP(C1389,'[7]Tariff Schedule Lookup Table'!I$7:L$287,2,FALSE)</f>
        <v>HIGH PRESSURE SODIUM 150W</v>
      </c>
      <c r="F1389" s="23" t="str">
        <f>IF(E1389 = "BULKHEADS ETC", "SHARED OR NO POLE", VLOOKUP(C1389,'[7]Tariff Schedule Lookup Table'!I$7:L$287,3,FALSE))</f>
        <v>STEEL POLE</v>
      </c>
      <c r="G1389" s="23">
        <f>IF(E1389 = "NO CAPITAL", 1, VLOOKUP(C1389,'[7]Tariff Schedule Lookup Table'!I$7:L$287,4,FALSE))</f>
        <v>1</v>
      </c>
      <c r="H1389" s="23" t="str">
        <f t="shared" si="239"/>
        <v>2-Unmetered, Funded by Others, CE Maintained</v>
      </c>
      <c r="I1389" s="374">
        <f>VLOOKUP(F1389,'Maintenance Model'!$A$57:$B$61,2,FALSE)</f>
        <v>9.9616182311111103</v>
      </c>
      <c r="J1389" s="374">
        <f>IF(D1389=1,VLOOKUP(C1389,'Capital Code Schedules'!A$15:F$300,2,FALSE),IF(D1389=2,VLOOKUP(C1389,'Capital Code Schedules'!A$15:F$300,3,FALSE),0))</f>
        <v>0</v>
      </c>
      <c r="K1389" s="374">
        <f>IF(D1389=1,VLOOKUP(C1389,'Capital Code Schedules'!E$15:G$300,2,FALSE),IF(D1389=2,VLOOKUP(C1389,'Capital Code Schedules'!E$15:G$300,3,FALSE),0))</f>
        <v>0</v>
      </c>
      <c r="L1389" s="374">
        <f>VLOOKUP(LEFT(A1389,10),'Streetlight Tariff Schedule'!B$11:H$260,7, FALSE)+I1389</f>
        <v>80.953672886943139</v>
      </c>
      <c r="M1389" s="410">
        <f t="shared" si="232"/>
        <v>80.953672886943139</v>
      </c>
      <c r="N1389" s="411">
        <f t="shared" si="233"/>
        <v>84.326900922457668</v>
      </c>
      <c r="O1389" s="411">
        <v>69.319614911014469</v>
      </c>
      <c r="P1389" s="411">
        <v>69.319614911014469</v>
      </c>
      <c r="Q1389" s="411">
        <v>72.712037999385402</v>
      </c>
      <c r="R1389" s="411">
        <v>72.712037999385402</v>
      </c>
      <c r="S1389" s="411">
        <f t="shared" si="234"/>
        <v>88.453763514342285</v>
      </c>
      <c r="T1389" s="411">
        <v>75.698407569164203</v>
      </c>
      <c r="U1389" s="411">
        <v>75.974955892773608</v>
      </c>
      <c r="V1389" s="411">
        <f t="shared" si="235"/>
        <v>92.423083803658272</v>
      </c>
      <c r="W1389" s="411">
        <v>78.454034520438043</v>
      </c>
      <c r="X1389" s="411">
        <v>79.443723068184568</v>
      </c>
      <c r="Y1389" s="411">
        <f t="shared" si="236"/>
        <v>96.642818525200653</v>
      </c>
      <c r="Z1389" s="411">
        <v>80.720227104815152</v>
      </c>
      <c r="AA1389" s="411">
        <v>82.037618682561387</v>
      </c>
      <c r="AB1389" s="441">
        <f t="shared" si="237"/>
        <v>98.740619205983322</v>
      </c>
      <c r="AC1389" s="438">
        <f t="shared" si="238"/>
        <v>101.6928710276291</v>
      </c>
      <c r="AD1389" s="410"/>
      <c r="AE1389" s="411"/>
      <c r="AF1389" s="411"/>
      <c r="AG1389" s="411"/>
    </row>
    <row r="1390" spans="1:33" s="409" customFormat="1" x14ac:dyDescent="0.2">
      <c r="A1390" s="409" t="s">
        <v>674</v>
      </c>
      <c r="B1390" s="23" t="str">
        <f>VLOOKUP(LEFT(A1390,7),'[7]Tariff Schedule Lookup Table'!$A$8:$G$186,2,FALSE)</f>
        <v>Metal Hallide (Reactor Control Gear) 250</v>
      </c>
      <c r="C1390" s="375">
        <f t="shared" si="240"/>
        <v>60</v>
      </c>
      <c r="D1390" s="23">
        <f t="shared" si="241"/>
        <v>2</v>
      </c>
      <c r="E1390" s="23" t="str">
        <f>VLOOKUP(C1390,'[7]Tariff Schedule Lookup Table'!I$7:L$287,2,FALSE)</f>
        <v>HIGH PRESSURE SODIUM 250W (210/220)</v>
      </c>
      <c r="F1390" s="23" t="str">
        <f>IF(E1390 = "BULKHEADS ETC", "SHARED OR NO POLE", VLOOKUP(C1390,'[7]Tariff Schedule Lookup Table'!I$7:L$287,3,FALSE))</f>
        <v>SHARED OR NO POLE</v>
      </c>
      <c r="G1390" s="23">
        <f>IF(E1390 = "NO CAPITAL", 1, VLOOKUP(C1390,'[7]Tariff Schedule Lookup Table'!I$7:L$287,4,FALSE))</f>
        <v>1</v>
      </c>
      <c r="H1390" s="23" t="str">
        <f t="shared" si="239"/>
        <v>2-Unmetered, Funded by Others, CE Maintained</v>
      </c>
      <c r="I1390" s="374">
        <f>VLOOKUP(F1390,'Maintenance Model'!$A$57:$B$61,2,FALSE)</f>
        <v>0</v>
      </c>
      <c r="J1390" s="374">
        <f>IF(D1390=1,VLOOKUP(C1390,'Capital Code Schedules'!A$15:F$300,2,FALSE),IF(D1390=2,VLOOKUP(C1390,'Capital Code Schedules'!A$15:F$300,3,FALSE),0))</f>
        <v>0</v>
      </c>
      <c r="K1390" s="374">
        <f>IF(D1390=1,VLOOKUP(C1390,'Capital Code Schedules'!E$15:G$300,2,FALSE),IF(D1390=2,VLOOKUP(C1390,'Capital Code Schedules'!E$15:G$300,3,FALSE),0))</f>
        <v>0</v>
      </c>
      <c r="L1390" s="374">
        <f>VLOOKUP(LEFT(A1390,10),'Streetlight Tariff Schedule'!B$11:H$260,7, FALSE)+I1390</f>
        <v>70.992054655832021</v>
      </c>
      <c r="M1390" s="410">
        <f t="shared" si="232"/>
        <v>70.992054655832021</v>
      </c>
      <c r="N1390" s="411">
        <f t="shared" si="233"/>
        <v>73.950195781785254</v>
      </c>
      <c r="O1390" s="411">
        <v>59.725499674915305</v>
      </c>
      <c r="P1390" s="411">
        <v>59.725499674915305</v>
      </c>
      <c r="Q1390" s="411">
        <v>62.648397678918485</v>
      </c>
      <c r="R1390" s="411">
        <v>62.648397678918485</v>
      </c>
      <c r="S1390" s="411">
        <f t="shared" si="234"/>
        <v>77.569234229729915</v>
      </c>
      <c r="T1390" s="411">
        <v>65.221441614577458</v>
      </c>
      <c r="U1390" s="411">
        <v>65.45971453102446</v>
      </c>
      <c r="V1390" s="411">
        <f t="shared" si="235"/>
        <v>81.050116478508926</v>
      </c>
      <c r="W1390" s="411">
        <v>67.595678643934377</v>
      </c>
      <c r="X1390" s="411">
        <v>68.448390291461308</v>
      </c>
      <c r="Y1390" s="411">
        <f t="shared" si="236"/>
        <v>84.750598832202911</v>
      </c>
      <c r="Z1390" s="411">
        <v>69.548221003485253</v>
      </c>
      <c r="AA1390" s="411">
        <v>70.683280255464993</v>
      </c>
      <c r="AB1390" s="441">
        <f t="shared" si="237"/>
        <v>86.590258174097769</v>
      </c>
      <c r="AC1390" s="438">
        <f t="shared" si="238"/>
        <v>89.179225607023952</v>
      </c>
      <c r="AD1390" s="410"/>
      <c r="AE1390" s="411"/>
      <c r="AF1390" s="411"/>
      <c r="AG1390" s="411"/>
    </row>
    <row r="1391" spans="1:33" s="409" customFormat="1" x14ac:dyDescent="0.2">
      <c r="A1391" s="409" t="s">
        <v>677</v>
      </c>
      <c r="B1391" s="23" t="str">
        <f>VLOOKUP(LEFT(A1391,7),'[7]Tariff Schedule Lookup Table'!$A$8:$G$186,2,FALSE)</f>
        <v>Metal Hallide (Reactor Control Gear) 250</v>
      </c>
      <c r="C1391" s="375">
        <f t="shared" si="240"/>
        <v>390</v>
      </c>
      <c r="D1391" s="23">
        <f t="shared" si="241"/>
        <v>2</v>
      </c>
      <c r="E1391" s="23" t="str">
        <f>VLOOKUP(C1391,'[7]Tariff Schedule Lookup Table'!I$7:L$287,2,FALSE)</f>
        <v>HIGH PRESSURE SODIUM 250W (210/220)</v>
      </c>
      <c r="F1391" s="23" t="str">
        <f>IF(E1391 = "BULKHEADS ETC", "SHARED OR NO POLE", VLOOKUP(C1391,'[7]Tariff Schedule Lookup Table'!I$7:L$287,3,FALSE))</f>
        <v>STEEL POLE</v>
      </c>
      <c r="G1391" s="23">
        <f>IF(E1391 = "NO CAPITAL", 1, VLOOKUP(C1391,'[7]Tariff Schedule Lookup Table'!I$7:L$287,4,FALSE))</f>
        <v>2</v>
      </c>
      <c r="H1391" s="23" t="str">
        <f t="shared" si="239"/>
        <v>2-Unmetered, Funded by Others, CE Maintained</v>
      </c>
      <c r="I1391" s="374">
        <f>VLOOKUP(F1391,'Maintenance Model'!$A$57:$B$61,2,FALSE)</f>
        <v>9.9616182311111103</v>
      </c>
      <c r="J1391" s="374">
        <f>IF(D1391=1,VLOOKUP(C1391,'Capital Code Schedules'!A$15:F$300,2,FALSE),IF(D1391=2,VLOOKUP(C1391,'Capital Code Schedules'!A$15:F$300,3,FALSE),0))</f>
        <v>0</v>
      </c>
      <c r="K1391" s="374">
        <f>IF(D1391=1,VLOOKUP(C1391,'Capital Code Schedules'!E$15:G$300,2,FALSE),IF(D1391=2,VLOOKUP(C1391,'Capital Code Schedules'!E$15:G$300,3,FALSE),0))</f>
        <v>0</v>
      </c>
      <c r="L1391" s="374">
        <f>VLOOKUP(LEFT(A1391,10),'Streetlight Tariff Schedule'!B$11:H$260,7, FALSE)+I1391</f>
        <v>80.953672886943139</v>
      </c>
      <c r="M1391" s="410">
        <f t="shared" si="232"/>
        <v>80.953672886943139</v>
      </c>
      <c r="N1391" s="411">
        <f t="shared" si="233"/>
        <v>84.326900922457668</v>
      </c>
      <c r="O1391" s="411">
        <v>69.319614911014469</v>
      </c>
      <c r="P1391" s="411">
        <v>69.319614911014469</v>
      </c>
      <c r="Q1391" s="411">
        <v>72.712037999385402</v>
      </c>
      <c r="R1391" s="411">
        <v>72.712037999385402</v>
      </c>
      <c r="S1391" s="411">
        <f t="shared" si="234"/>
        <v>88.453763514342285</v>
      </c>
      <c r="T1391" s="411">
        <v>75.698407569164203</v>
      </c>
      <c r="U1391" s="411">
        <v>75.974955892773608</v>
      </c>
      <c r="V1391" s="411">
        <f t="shared" si="235"/>
        <v>92.423083803658272</v>
      </c>
      <c r="W1391" s="411">
        <v>78.454034520438043</v>
      </c>
      <c r="X1391" s="411">
        <v>79.443723068184568</v>
      </c>
      <c r="Y1391" s="411">
        <f t="shared" si="236"/>
        <v>96.642818525200653</v>
      </c>
      <c r="Z1391" s="411">
        <v>80.720227104815152</v>
      </c>
      <c r="AA1391" s="411">
        <v>82.037618682561387</v>
      </c>
      <c r="AB1391" s="441">
        <f t="shared" si="237"/>
        <v>98.740619205983322</v>
      </c>
      <c r="AC1391" s="438">
        <f t="shared" si="238"/>
        <v>101.6928710276291</v>
      </c>
      <c r="AD1391" s="410"/>
      <c r="AE1391" s="411"/>
      <c r="AF1391" s="411"/>
      <c r="AG1391" s="411"/>
    </row>
    <row r="1392" spans="1:33" s="409" customFormat="1" x14ac:dyDescent="0.2">
      <c r="A1392" s="409" t="s">
        <v>678</v>
      </c>
      <c r="B1392" s="23" t="str">
        <f>VLOOKUP(LEFT(A1392,7),'[7]Tariff Schedule Lookup Table'!$A$8:$G$186,2,FALSE)</f>
        <v>Metal Hallide (Reactor Control Gear) 250</v>
      </c>
      <c r="C1392" s="375">
        <f t="shared" si="240"/>
        <v>430</v>
      </c>
      <c r="D1392" s="23">
        <f t="shared" si="241"/>
        <v>2</v>
      </c>
      <c r="E1392" s="23" t="str">
        <f>VLOOKUP(C1392,'[7]Tariff Schedule Lookup Table'!I$7:L$287,2,FALSE)</f>
        <v>HIGH PRESSURE SODIUM 250W (210/220)</v>
      </c>
      <c r="F1392" s="23" t="str">
        <f>IF(E1392 = "BULKHEADS ETC", "SHARED OR NO POLE", VLOOKUP(C1392,'[7]Tariff Schedule Lookup Table'!I$7:L$287,3,FALSE))</f>
        <v>STEEL POLE</v>
      </c>
      <c r="G1392" s="23">
        <f>IF(E1392 = "NO CAPITAL", 1, VLOOKUP(C1392,'[7]Tariff Schedule Lookup Table'!I$7:L$287,4,FALSE))</f>
        <v>3</v>
      </c>
      <c r="H1392" s="23" t="str">
        <f t="shared" si="239"/>
        <v>2-Unmetered, Funded by Others, CE Maintained</v>
      </c>
      <c r="I1392" s="374">
        <f>VLOOKUP(F1392,'Maintenance Model'!$A$57:$B$61,2,FALSE)</f>
        <v>9.9616182311111103</v>
      </c>
      <c r="J1392" s="374">
        <f>IF(D1392=1,VLOOKUP(C1392,'Capital Code Schedules'!A$15:F$300,2,FALSE),IF(D1392=2,VLOOKUP(C1392,'Capital Code Schedules'!A$15:F$300,3,FALSE),0))</f>
        <v>0</v>
      </c>
      <c r="K1392" s="374">
        <f>IF(D1392=1,VLOOKUP(C1392,'Capital Code Schedules'!E$15:G$300,2,FALSE),IF(D1392=2,VLOOKUP(C1392,'Capital Code Schedules'!E$15:G$300,3,FALSE),0))</f>
        <v>0</v>
      </c>
      <c r="L1392" s="374">
        <f>VLOOKUP(LEFT(A1392,10),'Streetlight Tariff Schedule'!B$11:H$260,7, FALSE)+I1392</f>
        <v>80.953672886943139</v>
      </c>
      <c r="M1392" s="410">
        <f t="shared" si="232"/>
        <v>80.953672886943139</v>
      </c>
      <c r="N1392" s="411">
        <f t="shared" si="233"/>
        <v>84.326900922457668</v>
      </c>
      <c r="O1392" s="411">
        <v>69.319614911014469</v>
      </c>
      <c r="P1392" s="411">
        <v>69.319614911014469</v>
      </c>
      <c r="Q1392" s="411">
        <v>72.712037999385402</v>
      </c>
      <c r="R1392" s="411">
        <v>72.712037999385402</v>
      </c>
      <c r="S1392" s="411">
        <f t="shared" si="234"/>
        <v>88.453763514342285</v>
      </c>
      <c r="T1392" s="411">
        <v>75.698407569164203</v>
      </c>
      <c r="U1392" s="411">
        <v>75.974955892773608</v>
      </c>
      <c r="V1392" s="411">
        <f t="shared" si="235"/>
        <v>92.423083803658272</v>
      </c>
      <c r="W1392" s="411">
        <v>78.454034520438043</v>
      </c>
      <c r="X1392" s="411">
        <v>79.443723068184568</v>
      </c>
      <c r="Y1392" s="411">
        <f t="shared" si="236"/>
        <v>96.642818525200653</v>
      </c>
      <c r="Z1392" s="411">
        <v>80.720227104815152</v>
      </c>
      <c r="AA1392" s="411">
        <v>82.037618682561387</v>
      </c>
      <c r="AB1392" s="441">
        <f t="shared" si="237"/>
        <v>98.740619205983322</v>
      </c>
      <c r="AC1392" s="438">
        <f t="shared" si="238"/>
        <v>101.6928710276291</v>
      </c>
      <c r="AD1392" s="410"/>
      <c r="AE1392" s="411"/>
      <c r="AF1392" s="411"/>
      <c r="AG1392" s="411"/>
    </row>
    <row r="1393" spans="1:33" s="409" customFormat="1" x14ac:dyDescent="0.2">
      <c r="A1393" s="409" t="s">
        <v>680</v>
      </c>
      <c r="B1393" s="23" t="str">
        <f>VLOOKUP(LEFT(A1393,7),'[7]Tariff Schedule Lookup Table'!$A$8:$G$186,2,FALSE)</f>
        <v>Metal Hallide (Reactor Control Gear) 250</v>
      </c>
      <c r="C1393" s="375">
        <f t="shared" si="240"/>
        <v>610</v>
      </c>
      <c r="D1393" s="23">
        <f t="shared" si="241"/>
        <v>2</v>
      </c>
      <c r="E1393" s="23" t="str">
        <f>VLOOKUP(C1393,'[7]Tariff Schedule Lookup Table'!I$7:L$287,2,FALSE)</f>
        <v>METAL HALIDE/HPS 250W FLOOD (210/220)</v>
      </c>
      <c r="F1393" s="23" t="str">
        <f>IF(E1393 = "BULKHEADS ETC", "SHARED OR NO POLE", VLOOKUP(C1393,'[7]Tariff Schedule Lookup Table'!I$7:L$287,3,FALSE))</f>
        <v>SHARED OR NO POLE</v>
      </c>
      <c r="G1393" s="23">
        <f>IF(E1393 = "NO CAPITAL", 1, VLOOKUP(C1393,'[7]Tariff Schedule Lookup Table'!I$7:L$287,4,FALSE))</f>
        <v>1</v>
      </c>
      <c r="H1393" s="23" t="str">
        <f t="shared" si="239"/>
        <v>2-Unmetered, Funded by Others, CE Maintained</v>
      </c>
      <c r="I1393" s="374">
        <f>VLOOKUP(F1393,'Maintenance Model'!$A$57:$B$61,2,FALSE)</f>
        <v>0</v>
      </c>
      <c r="J1393" s="374">
        <f>IF(D1393=1,VLOOKUP(C1393,'Capital Code Schedules'!A$15:F$300,2,FALSE),IF(D1393=2,VLOOKUP(C1393,'Capital Code Schedules'!A$15:F$300,3,FALSE),0))</f>
        <v>0</v>
      </c>
      <c r="K1393" s="374">
        <f>IF(D1393=1,VLOOKUP(C1393,'Capital Code Schedules'!E$15:G$300,2,FALSE),IF(D1393=2,VLOOKUP(C1393,'Capital Code Schedules'!E$15:G$300,3,FALSE),0))</f>
        <v>0</v>
      </c>
      <c r="L1393" s="374">
        <f>VLOOKUP(LEFT(A1393,10),'Streetlight Tariff Schedule'!B$11:H$260,7, FALSE)+I1393</f>
        <v>70.992054655832021</v>
      </c>
      <c r="M1393" s="410">
        <f t="shared" si="232"/>
        <v>70.992054655832021</v>
      </c>
      <c r="N1393" s="411">
        <f t="shared" si="233"/>
        <v>73.950195781785254</v>
      </c>
      <c r="O1393" s="411">
        <v>59.725499674915305</v>
      </c>
      <c r="P1393" s="411">
        <v>59.725499674915305</v>
      </c>
      <c r="Q1393" s="411">
        <v>62.648397678918485</v>
      </c>
      <c r="R1393" s="411">
        <v>62.648397678918485</v>
      </c>
      <c r="S1393" s="411">
        <f t="shared" si="234"/>
        <v>77.569234229729915</v>
      </c>
      <c r="T1393" s="411">
        <v>65.221441614577458</v>
      </c>
      <c r="U1393" s="411">
        <v>65.45971453102446</v>
      </c>
      <c r="V1393" s="411">
        <f t="shared" si="235"/>
        <v>81.050116478508926</v>
      </c>
      <c r="W1393" s="411">
        <v>67.595678643934377</v>
      </c>
      <c r="X1393" s="411">
        <v>68.448390291461308</v>
      </c>
      <c r="Y1393" s="411">
        <f t="shared" si="236"/>
        <v>84.750598832202911</v>
      </c>
      <c r="Z1393" s="411">
        <v>69.548221003485253</v>
      </c>
      <c r="AA1393" s="411">
        <v>70.683280255464993</v>
      </c>
      <c r="AB1393" s="441">
        <f t="shared" si="237"/>
        <v>86.590258174097769</v>
      </c>
      <c r="AC1393" s="438">
        <f t="shared" si="238"/>
        <v>89.179225607023952</v>
      </c>
      <c r="AD1393" s="410"/>
      <c r="AE1393" s="411"/>
      <c r="AF1393" s="411"/>
      <c r="AG1393" s="411"/>
    </row>
    <row r="1394" spans="1:33" s="409" customFormat="1" x14ac:dyDescent="0.2">
      <c r="A1394" s="409" t="s">
        <v>681</v>
      </c>
      <c r="B1394" s="23" t="str">
        <f>VLOOKUP(LEFT(A1394,7),'[7]Tariff Schedule Lookup Table'!$A$8:$G$186,2,FALSE)</f>
        <v>Metal Hallide (Reactor Control Gear) 250</v>
      </c>
      <c r="C1394" s="375">
        <f t="shared" si="240"/>
        <v>960</v>
      </c>
      <c r="D1394" s="23">
        <f t="shared" si="241"/>
        <v>2</v>
      </c>
      <c r="E1394" s="23" t="str">
        <f>VLOOKUP(C1394,'[7]Tariff Schedule Lookup Table'!I$7:L$287,2,FALSE)</f>
        <v>HIGH PRESSURE SODIUM 250W (210/220)</v>
      </c>
      <c r="F1394" s="23" t="str">
        <f>IF(E1394 = "BULKHEADS ETC", "SHARED OR NO POLE", VLOOKUP(C1394,'[7]Tariff Schedule Lookup Table'!I$7:L$287,3,FALSE))</f>
        <v>SHARED OR NO POLE</v>
      </c>
      <c r="G1394" s="23">
        <f>IF(E1394 = "NO CAPITAL", 1, VLOOKUP(C1394,'[7]Tariff Schedule Lookup Table'!I$7:L$287,4,FALSE))</f>
        <v>2</v>
      </c>
      <c r="H1394" s="23" t="str">
        <f t="shared" si="239"/>
        <v>2-Unmetered, Funded by Others, CE Maintained</v>
      </c>
      <c r="I1394" s="374">
        <f>VLOOKUP(F1394,'Maintenance Model'!$A$57:$B$61,2,FALSE)</f>
        <v>0</v>
      </c>
      <c r="J1394" s="374">
        <f>IF(D1394=1,VLOOKUP(C1394,'Capital Code Schedules'!A$15:F$300,2,FALSE),IF(D1394=2,VLOOKUP(C1394,'Capital Code Schedules'!A$15:F$300,3,FALSE),0))</f>
        <v>0</v>
      </c>
      <c r="K1394" s="374">
        <f>IF(D1394=1,VLOOKUP(C1394,'Capital Code Schedules'!E$15:G$300,2,FALSE),IF(D1394=2,VLOOKUP(C1394,'Capital Code Schedules'!E$15:G$300,3,FALSE),0))</f>
        <v>0</v>
      </c>
      <c r="L1394" s="374">
        <f>VLOOKUP(LEFT(A1394,10),'Streetlight Tariff Schedule'!B$11:H$260,7, FALSE)+I1394</f>
        <v>70.992054655832021</v>
      </c>
      <c r="M1394" s="410">
        <f t="shared" si="232"/>
        <v>70.992054655832021</v>
      </c>
      <c r="N1394" s="411">
        <f t="shared" si="233"/>
        <v>73.950195781785254</v>
      </c>
      <c r="O1394" s="411">
        <v>59.725499674915305</v>
      </c>
      <c r="P1394" s="411">
        <v>59.725499674915305</v>
      </c>
      <c r="Q1394" s="411">
        <v>62.648397678918485</v>
      </c>
      <c r="R1394" s="411">
        <v>62.648397678918485</v>
      </c>
      <c r="S1394" s="411">
        <f t="shared" si="234"/>
        <v>77.569234229729915</v>
      </c>
      <c r="T1394" s="411">
        <v>65.221441614577458</v>
      </c>
      <c r="U1394" s="411">
        <v>65.45971453102446</v>
      </c>
      <c r="V1394" s="411">
        <f t="shared" si="235"/>
        <v>81.050116478508926</v>
      </c>
      <c r="W1394" s="411">
        <v>67.595678643934377</v>
      </c>
      <c r="X1394" s="411">
        <v>68.448390291461308</v>
      </c>
      <c r="Y1394" s="411">
        <f t="shared" si="236"/>
        <v>84.750598832202911</v>
      </c>
      <c r="Z1394" s="411">
        <v>69.548221003485253</v>
      </c>
      <c r="AA1394" s="411">
        <v>70.683280255464993</v>
      </c>
      <c r="AB1394" s="441">
        <f t="shared" si="237"/>
        <v>86.590258174097769</v>
      </c>
      <c r="AC1394" s="438">
        <f t="shared" si="238"/>
        <v>89.179225607023952</v>
      </c>
      <c r="AD1394" s="410"/>
      <c r="AE1394" s="411"/>
      <c r="AF1394" s="411"/>
      <c r="AG1394" s="411"/>
    </row>
    <row r="1395" spans="1:33" s="409" customFormat="1" x14ac:dyDescent="0.2">
      <c r="A1395" s="409" t="s">
        <v>682</v>
      </c>
      <c r="B1395" s="23" t="str">
        <f>VLOOKUP(LEFT(A1395,7),'[7]Tariff Schedule Lookup Table'!$A$8:$G$186,2,FALSE)</f>
        <v>Metal Hallide (Reactor Control Gear) 250</v>
      </c>
      <c r="C1395" s="375">
        <f t="shared" si="240"/>
        <v>1120</v>
      </c>
      <c r="D1395" s="23">
        <f t="shared" si="241"/>
        <v>2</v>
      </c>
      <c r="E1395" s="23" t="str">
        <f>VLOOKUP(C1395,'[7]Tariff Schedule Lookup Table'!I$7:L$287,2,FALSE)</f>
        <v>METAL HALIDE/HPS 250W FLOOD (210/220)</v>
      </c>
      <c r="F1395" s="23" t="str">
        <f>IF(E1395 = "BULKHEADS ETC", "SHARED OR NO POLE", VLOOKUP(C1395,'[7]Tariff Schedule Lookup Table'!I$7:L$287,3,FALSE))</f>
        <v>STEEL POLE</v>
      </c>
      <c r="G1395" s="23">
        <f>IF(E1395 = "NO CAPITAL", 1, VLOOKUP(C1395,'[7]Tariff Schedule Lookup Table'!I$7:L$287,4,FALSE))</f>
        <v>1</v>
      </c>
      <c r="H1395" s="23" t="str">
        <f t="shared" si="239"/>
        <v>2-Unmetered, Funded by Others, CE Maintained</v>
      </c>
      <c r="I1395" s="374">
        <f>VLOOKUP(F1395,'Maintenance Model'!$A$57:$B$61,2,FALSE)</f>
        <v>9.9616182311111103</v>
      </c>
      <c r="J1395" s="374">
        <f>IF(D1395=1,VLOOKUP(C1395,'Capital Code Schedules'!A$15:F$300,2,FALSE),IF(D1395=2,VLOOKUP(C1395,'Capital Code Schedules'!A$15:F$300,3,FALSE),0))</f>
        <v>0</v>
      </c>
      <c r="K1395" s="374">
        <f>IF(D1395=1,VLOOKUP(C1395,'Capital Code Schedules'!E$15:G$300,2,FALSE),IF(D1395=2,VLOOKUP(C1395,'Capital Code Schedules'!E$15:G$300,3,FALSE),0))</f>
        <v>0</v>
      </c>
      <c r="L1395" s="374">
        <f>VLOOKUP(LEFT(A1395,10),'Streetlight Tariff Schedule'!B$11:H$260,7, FALSE)+I1395</f>
        <v>80.953672886943139</v>
      </c>
      <c r="M1395" s="410">
        <f t="shared" si="232"/>
        <v>80.953672886943139</v>
      </c>
      <c r="N1395" s="411">
        <f t="shared" si="233"/>
        <v>84.326900922457668</v>
      </c>
      <c r="O1395" s="411">
        <v>69.319614911014469</v>
      </c>
      <c r="P1395" s="411">
        <v>69.319614911014469</v>
      </c>
      <c r="Q1395" s="411">
        <v>72.712037999385402</v>
      </c>
      <c r="R1395" s="411">
        <v>72.712037999385402</v>
      </c>
      <c r="S1395" s="411">
        <f t="shared" si="234"/>
        <v>88.453763514342285</v>
      </c>
      <c r="T1395" s="411">
        <v>75.698407569164203</v>
      </c>
      <c r="U1395" s="411">
        <v>75.974955892773608</v>
      </c>
      <c r="V1395" s="411">
        <f t="shared" si="235"/>
        <v>92.423083803658272</v>
      </c>
      <c r="W1395" s="411">
        <v>78.454034520438043</v>
      </c>
      <c r="X1395" s="411">
        <v>79.443723068184568</v>
      </c>
      <c r="Y1395" s="411">
        <f t="shared" si="236"/>
        <v>96.642818525200653</v>
      </c>
      <c r="Z1395" s="411">
        <v>80.720227104815152</v>
      </c>
      <c r="AA1395" s="411">
        <v>82.037618682561387</v>
      </c>
      <c r="AB1395" s="441">
        <f t="shared" si="237"/>
        <v>98.740619205983322</v>
      </c>
      <c r="AC1395" s="438">
        <f t="shared" si="238"/>
        <v>101.6928710276291</v>
      </c>
      <c r="AD1395" s="410"/>
      <c r="AE1395" s="411"/>
      <c r="AF1395" s="411"/>
      <c r="AG1395" s="411"/>
    </row>
    <row r="1396" spans="1:33" s="409" customFormat="1" x14ac:dyDescent="0.2">
      <c r="A1396" s="409" t="s">
        <v>683</v>
      </c>
      <c r="B1396" s="23" t="str">
        <f>VLOOKUP(LEFT(A1396,7),'[7]Tariff Schedule Lookup Table'!$A$8:$G$186,2,FALSE)</f>
        <v>Metal Hallide (Reactor Control Gear) 250</v>
      </c>
      <c r="C1396" s="375">
        <f t="shared" si="240"/>
        <v>1270</v>
      </c>
      <c r="D1396" s="23">
        <f t="shared" si="241"/>
        <v>2</v>
      </c>
      <c r="E1396" s="23" t="str">
        <f>VLOOKUP(C1396,'[7]Tariff Schedule Lookup Table'!I$7:L$287,2,FALSE)</f>
        <v>METAL HALIDE 250W BOSTON 3</v>
      </c>
      <c r="F1396" s="23" t="str">
        <f>IF(E1396 = "BULKHEADS ETC", "SHARED OR NO POLE", VLOOKUP(C1396,'[7]Tariff Schedule Lookup Table'!I$7:L$287,3,FALSE))</f>
        <v>STEEL POLE</v>
      </c>
      <c r="G1396" s="23">
        <f>IF(E1396 = "NO CAPITAL", 1, VLOOKUP(C1396,'[7]Tariff Schedule Lookup Table'!I$7:L$287,4,FALSE))</f>
        <v>1</v>
      </c>
      <c r="H1396" s="23" t="str">
        <f t="shared" si="239"/>
        <v>2-Unmetered, Funded by Others, CE Maintained</v>
      </c>
      <c r="I1396" s="374">
        <f>VLOOKUP(F1396,'Maintenance Model'!$A$57:$B$61,2,FALSE)</f>
        <v>9.9616182311111103</v>
      </c>
      <c r="J1396" s="374">
        <f>IF(D1396=1,VLOOKUP(C1396,'Capital Code Schedules'!A$15:F$300,2,FALSE),IF(D1396=2,VLOOKUP(C1396,'Capital Code Schedules'!A$15:F$300,3,FALSE),0))</f>
        <v>0</v>
      </c>
      <c r="K1396" s="374">
        <f>IF(D1396=1,VLOOKUP(C1396,'Capital Code Schedules'!E$15:G$300,2,FALSE),IF(D1396=2,VLOOKUP(C1396,'Capital Code Schedules'!E$15:G$300,3,FALSE),0))</f>
        <v>0</v>
      </c>
      <c r="L1396" s="374">
        <f>VLOOKUP(LEFT(A1396,10),'Streetlight Tariff Schedule'!B$11:H$260,7, FALSE)+I1396</f>
        <v>80.953672886943139</v>
      </c>
      <c r="M1396" s="410">
        <f t="shared" si="232"/>
        <v>80.953672886943139</v>
      </c>
      <c r="N1396" s="411">
        <f t="shared" si="233"/>
        <v>84.326900922457668</v>
      </c>
      <c r="O1396" s="411">
        <v>69.319614911014469</v>
      </c>
      <c r="P1396" s="411">
        <v>69.319614911014469</v>
      </c>
      <c r="Q1396" s="411">
        <v>72.712037999385402</v>
      </c>
      <c r="R1396" s="411">
        <v>72.712037999385402</v>
      </c>
      <c r="S1396" s="411">
        <f t="shared" si="234"/>
        <v>88.453763514342285</v>
      </c>
      <c r="T1396" s="411">
        <v>75.698407569164203</v>
      </c>
      <c r="U1396" s="411">
        <v>75.974955892773608</v>
      </c>
      <c r="V1396" s="411">
        <f t="shared" si="235"/>
        <v>92.423083803658272</v>
      </c>
      <c r="W1396" s="411">
        <v>78.454034520438043</v>
      </c>
      <c r="X1396" s="411">
        <v>79.443723068184568</v>
      </c>
      <c r="Y1396" s="411">
        <f t="shared" si="236"/>
        <v>96.642818525200653</v>
      </c>
      <c r="Z1396" s="411">
        <v>80.720227104815152</v>
      </c>
      <c r="AA1396" s="411">
        <v>82.037618682561387</v>
      </c>
      <c r="AB1396" s="441">
        <f t="shared" si="237"/>
        <v>98.740619205983322</v>
      </c>
      <c r="AC1396" s="438">
        <f t="shared" si="238"/>
        <v>101.6928710276291</v>
      </c>
      <c r="AD1396" s="410"/>
      <c r="AE1396" s="411"/>
      <c r="AF1396" s="411"/>
      <c r="AG1396" s="411"/>
    </row>
    <row r="1397" spans="1:33" s="409" customFormat="1" x14ac:dyDescent="0.2">
      <c r="A1397" s="409" t="s">
        <v>684</v>
      </c>
      <c r="B1397" s="23" t="str">
        <f>VLOOKUP(LEFT(A1397,7),'[7]Tariff Schedule Lookup Table'!$A$8:$G$186,2,FALSE)</f>
        <v>Metal Hallide (Reactor Control Gear) 250</v>
      </c>
      <c r="C1397" s="375">
        <f t="shared" si="240"/>
        <v>1280</v>
      </c>
      <c r="D1397" s="23">
        <f t="shared" si="241"/>
        <v>2</v>
      </c>
      <c r="E1397" s="23" t="str">
        <f>VLOOKUP(C1397,'[7]Tariff Schedule Lookup Table'!I$7:L$287,2,FALSE)</f>
        <v>METAL HALIDE 250W BOSTON 3</v>
      </c>
      <c r="F1397" s="23" t="str">
        <f>IF(E1397 = "BULKHEADS ETC", "SHARED OR NO POLE", VLOOKUP(C1397,'[7]Tariff Schedule Lookup Table'!I$7:L$287,3,FALSE))</f>
        <v>STEEL POLE</v>
      </c>
      <c r="G1397" s="23">
        <f>IF(E1397 = "NO CAPITAL", 1, VLOOKUP(C1397,'[7]Tariff Schedule Lookup Table'!I$7:L$287,4,FALSE))</f>
        <v>2</v>
      </c>
      <c r="H1397" s="23" t="str">
        <f t="shared" si="239"/>
        <v>2-Unmetered, Funded by Others, CE Maintained</v>
      </c>
      <c r="I1397" s="374">
        <f>VLOOKUP(F1397,'Maintenance Model'!$A$57:$B$61,2,FALSE)</f>
        <v>9.9616182311111103</v>
      </c>
      <c r="J1397" s="374">
        <f>IF(D1397=1,VLOOKUP(C1397,'Capital Code Schedules'!A$15:F$300,2,FALSE),IF(D1397=2,VLOOKUP(C1397,'Capital Code Schedules'!A$15:F$300,3,FALSE),0))</f>
        <v>0</v>
      </c>
      <c r="K1397" s="374">
        <f>IF(D1397=1,VLOOKUP(C1397,'Capital Code Schedules'!E$15:G$300,2,FALSE),IF(D1397=2,VLOOKUP(C1397,'Capital Code Schedules'!E$15:G$300,3,FALSE),0))</f>
        <v>0</v>
      </c>
      <c r="L1397" s="374">
        <f>VLOOKUP(LEFT(A1397,10),'Streetlight Tariff Schedule'!B$11:H$260,7, FALSE)+I1397</f>
        <v>80.953672886943139</v>
      </c>
      <c r="M1397" s="410">
        <f t="shared" si="232"/>
        <v>80.953672886943139</v>
      </c>
      <c r="N1397" s="411">
        <f t="shared" si="233"/>
        <v>84.326900922457668</v>
      </c>
      <c r="O1397" s="411">
        <v>69.319614911014469</v>
      </c>
      <c r="P1397" s="411">
        <v>69.319614911014469</v>
      </c>
      <c r="Q1397" s="411">
        <v>72.712037999385402</v>
      </c>
      <c r="R1397" s="411">
        <v>72.712037999385402</v>
      </c>
      <c r="S1397" s="411">
        <f t="shared" si="234"/>
        <v>88.453763514342285</v>
      </c>
      <c r="T1397" s="411">
        <v>75.698407569164203</v>
      </c>
      <c r="U1397" s="411">
        <v>75.974955892773608</v>
      </c>
      <c r="V1397" s="411">
        <f t="shared" si="235"/>
        <v>92.423083803658272</v>
      </c>
      <c r="W1397" s="411">
        <v>78.454034520438043</v>
      </c>
      <c r="X1397" s="411">
        <v>79.443723068184568</v>
      </c>
      <c r="Y1397" s="411">
        <f t="shared" si="236"/>
        <v>96.642818525200653</v>
      </c>
      <c r="Z1397" s="411">
        <v>80.720227104815152</v>
      </c>
      <c r="AA1397" s="411">
        <v>82.037618682561387</v>
      </c>
      <c r="AB1397" s="441">
        <f t="shared" si="237"/>
        <v>98.740619205983322</v>
      </c>
      <c r="AC1397" s="438">
        <f t="shared" si="238"/>
        <v>101.6928710276291</v>
      </c>
      <c r="AD1397" s="410"/>
      <c r="AE1397" s="411"/>
      <c r="AF1397" s="411"/>
      <c r="AG1397" s="411"/>
    </row>
    <row r="1398" spans="1:33" s="409" customFormat="1" x14ac:dyDescent="0.2">
      <c r="A1398" s="409" t="s">
        <v>685</v>
      </c>
      <c r="B1398" s="23" t="str">
        <f>VLOOKUP(LEFT(A1398,7),'[7]Tariff Schedule Lookup Table'!$A$8:$G$186,2,FALSE)</f>
        <v>Metal Hallide (Reactor Control Gear) 250</v>
      </c>
      <c r="C1398" s="375">
        <f t="shared" si="240"/>
        <v>1290</v>
      </c>
      <c r="D1398" s="23">
        <f t="shared" si="241"/>
        <v>2</v>
      </c>
      <c r="E1398" s="23" t="str">
        <f>VLOOKUP(C1398,'[7]Tariff Schedule Lookup Table'!I$7:L$287,2,FALSE)</f>
        <v>METAL HALIDE 250W BOSTON 3</v>
      </c>
      <c r="F1398" s="23" t="str">
        <f>IF(E1398 = "BULKHEADS ETC", "SHARED OR NO POLE", VLOOKUP(C1398,'[7]Tariff Schedule Lookup Table'!I$7:L$287,3,FALSE))</f>
        <v>STEEL POLE</v>
      </c>
      <c r="G1398" s="23">
        <f>IF(E1398 = "NO CAPITAL", 1, VLOOKUP(C1398,'[7]Tariff Schedule Lookup Table'!I$7:L$287,4,FALSE))</f>
        <v>4</v>
      </c>
      <c r="H1398" s="23" t="str">
        <f t="shared" si="239"/>
        <v>2-Unmetered, Funded by Others, CE Maintained</v>
      </c>
      <c r="I1398" s="374">
        <f>VLOOKUP(F1398,'Maintenance Model'!$A$57:$B$61,2,FALSE)</f>
        <v>9.9616182311111103</v>
      </c>
      <c r="J1398" s="374">
        <f>IF(D1398=1,VLOOKUP(C1398,'Capital Code Schedules'!A$15:F$300,2,FALSE),IF(D1398=2,VLOOKUP(C1398,'Capital Code Schedules'!A$15:F$300,3,FALSE),0))</f>
        <v>0</v>
      </c>
      <c r="K1398" s="374">
        <f>IF(D1398=1,VLOOKUP(C1398,'Capital Code Schedules'!E$15:G$300,2,FALSE),IF(D1398=2,VLOOKUP(C1398,'Capital Code Schedules'!E$15:G$300,3,FALSE),0))</f>
        <v>0</v>
      </c>
      <c r="L1398" s="374">
        <f>VLOOKUP(LEFT(A1398,10),'Streetlight Tariff Schedule'!B$11:H$260,7, FALSE)+I1398</f>
        <v>80.953672886943139</v>
      </c>
      <c r="M1398" s="410">
        <f t="shared" si="232"/>
        <v>80.953672886943139</v>
      </c>
      <c r="N1398" s="411">
        <f t="shared" si="233"/>
        <v>84.326900922457668</v>
      </c>
      <c r="O1398" s="411">
        <v>69.319614911014469</v>
      </c>
      <c r="P1398" s="411">
        <v>69.319614911014469</v>
      </c>
      <c r="Q1398" s="411">
        <v>72.712037999385402</v>
      </c>
      <c r="R1398" s="411">
        <v>72.712037999385402</v>
      </c>
      <c r="S1398" s="411">
        <f t="shared" si="234"/>
        <v>88.453763514342285</v>
      </c>
      <c r="T1398" s="411">
        <v>75.698407569164203</v>
      </c>
      <c r="U1398" s="411">
        <v>75.974955892773608</v>
      </c>
      <c r="V1398" s="411">
        <f t="shared" si="235"/>
        <v>92.423083803658272</v>
      </c>
      <c r="W1398" s="411">
        <v>78.454034520438043</v>
      </c>
      <c r="X1398" s="411">
        <v>79.443723068184568</v>
      </c>
      <c r="Y1398" s="411">
        <f t="shared" si="236"/>
        <v>96.642818525200653</v>
      </c>
      <c r="Z1398" s="411">
        <v>80.720227104815152</v>
      </c>
      <c r="AA1398" s="411">
        <v>82.037618682561387</v>
      </c>
      <c r="AB1398" s="441">
        <f t="shared" si="237"/>
        <v>98.740619205983322</v>
      </c>
      <c r="AC1398" s="438">
        <f t="shared" si="238"/>
        <v>101.6928710276291</v>
      </c>
      <c r="AD1398" s="410"/>
      <c r="AE1398" s="411"/>
      <c r="AF1398" s="411"/>
      <c r="AG1398" s="411"/>
    </row>
    <row r="1399" spans="1:33" s="409" customFormat="1" x14ac:dyDescent="0.2">
      <c r="A1399" s="409" t="s">
        <v>686</v>
      </c>
      <c r="B1399" s="23" t="str">
        <f>VLOOKUP(LEFT(A1399,7),'[7]Tariff Schedule Lookup Table'!$A$8:$G$186,2,FALSE)</f>
        <v>Metal Hallide (Reactor Control Gear) 400</v>
      </c>
      <c r="C1399" s="375">
        <f t="shared" si="240"/>
        <v>70</v>
      </c>
      <c r="D1399" s="23">
        <f t="shared" si="241"/>
        <v>1</v>
      </c>
      <c r="E1399" s="23" t="str">
        <f>VLOOKUP(C1399,'[7]Tariff Schedule Lookup Table'!I$7:L$287,2,FALSE)</f>
        <v>HIGH PRESSURE SODIUM 400W (310/360)</v>
      </c>
      <c r="F1399" s="23" t="str">
        <f>IF(E1399 = "BULKHEADS ETC", "SHARED OR NO POLE", VLOOKUP(C1399,'[7]Tariff Schedule Lookup Table'!I$7:L$287,3,FALSE))</f>
        <v>SHARED OR NO POLE</v>
      </c>
      <c r="G1399" s="23">
        <f>IF(E1399 = "NO CAPITAL", 1, VLOOKUP(C1399,'[7]Tariff Schedule Lookup Table'!I$7:L$287,4,FALSE))</f>
        <v>1</v>
      </c>
      <c r="H1399" s="23" t="str">
        <f t="shared" si="239"/>
        <v>1-Unmetered, CE Funded, CE Maintained</v>
      </c>
      <c r="I1399" s="374">
        <f>VLOOKUP(F1399,'Maintenance Model'!$A$57:$B$61,2,FALSE)</f>
        <v>0</v>
      </c>
      <c r="J1399" s="374">
        <f>IF(D1399=1,VLOOKUP(C1399,'Capital Code Schedules'!A$15:F$300,2,FALSE),IF(D1399=2,VLOOKUP(C1399,'Capital Code Schedules'!A$15:F$300,3,FALSE),0))</f>
        <v>35.784047435083579</v>
      </c>
      <c r="K1399" s="374">
        <f>IF(D1399=1,VLOOKUP(C1399,'Capital Code Schedules'!E$15:G$300,2,FALSE),IF(D1399=2,VLOOKUP(C1399,'Capital Code Schedules'!E$15:G$300,3,FALSE),0))</f>
        <v>45.391018453408257</v>
      </c>
      <c r="L1399" s="374">
        <f>VLOOKUP(LEFT(A1399,10),'Streetlight Tariff Schedule'!B$11:H$260,7, FALSE)+I1399</f>
        <v>74.613917220498692</v>
      </c>
      <c r="M1399" s="410">
        <f t="shared" si="232"/>
        <v>120.00493567390694</v>
      </c>
      <c r="N1399" s="411">
        <f t="shared" si="233"/>
        <v>114.39267897950781</v>
      </c>
      <c r="O1399" s="411">
        <v>111.95998040141451</v>
      </c>
      <c r="P1399" s="411">
        <v>109.90075361134296</v>
      </c>
      <c r="Q1399" s="411">
        <v>114.1540399254567</v>
      </c>
      <c r="R1399" s="411">
        <v>116.26423257858252</v>
      </c>
      <c r="S1399" s="411">
        <f t="shared" si="234"/>
        <v>119.10392815671794</v>
      </c>
      <c r="T1399" s="411">
        <v>118.06452126239553</v>
      </c>
      <c r="U1399" s="411">
        <v>120.66647828992852</v>
      </c>
      <c r="V1399" s="411">
        <f t="shared" si="235"/>
        <v>123.83334997767147</v>
      </c>
      <c r="W1399" s="411">
        <v>121.79320825313104</v>
      </c>
      <c r="X1399" s="411">
        <v>125.57383458917451</v>
      </c>
      <c r="Y1399" s="411">
        <f t="shared" si="236"/>
        <v>129.0327980172525</v>
      </c>
      <c r="Z1399" s="411">
        <v>125.10427413333989</v>
      </c>
      <c r="AA1399" s="411">
        <v>129.45421397223043</v>
      </c>
      <c r="AB1399" s="441">
        <f t="shared" si="237"/>
        <v>131.66958076919002</v>
      </c>
      <c r="AC1399" s="438">
        <f t="shared" si="238"/>
        <v>135.57388646216899</v>
      </c>
      <c r="AD1399" s="410"/>
      <c r="AE1399" s="411"/>
      <c r="AF1399" s="411"/>
      <c r="AG1399" s="411"/>
    </row>
    <row r="1400" spans="1:33" s="409" customFormat="1" x14ac:dyDescent="0.2">
      <c r="A1400" s="409" t="s">
        <v>687</v>
      </c>
      <c r="B1400" s="23" t="str">
        <f>VLOOKUP(LEFT(A1400,7),'[7]Tariff Schedule Lookup Table'!$A$8:$G$186,2,FALSE)</f>
        <v>Metal Hallide (Reactor Control Gear) 400</v>
      </c>
      <c r="C1400" s="375">
        <f t="shared" si="240"/>
        <v>70</v>
      </c>
      <c r="D1400" s="23">
        <f t="shared" si="241"/>
        <v>2</v>
      </c>
      <c r="E1400" s="23" t="str">
        <f>VLOOKUP(C1400,'[7]Tariff Schedule Lookup Table'!I$7:L$287,2,FALSE)</f>
        <v>HIGH PRESSURE SODIUM 400W (310/360)</v>
      </c>
      <c r="F1400" s="23" t="str">
        <f>IF(E1400 = "BULKHEADS ETC", "SHARED OR NO POLE", VLOOKUP(C1400,'[7]Tariff Schedule Lookup Table'!I$7:L$287,3,FALSE))</f>
        <v>SHARED OR NO POLE</v>
      </c>
      <c r="G1400" s="23">
        <f>IF(E1400 = "NO CAPITAL", 1, VLOOKUP(C1400,'[7]Tariff Schedule Lookup Table'!I$7:L$287,4,FALSE))</f>
        <v>1</v>
      </c>
      <c r="H1400" s="23" t="str">
        <f t="shared" si="239"/>
        <v>2-Unmetered, Funded by Others, CE Maintained</v>
      </c>
      <c r="I1400" s="374">
        <f>VLOOKUP(F1400,'Maintenance Model'!$A$57:$B$61,2,FALSE)</f>
        <v>0</v>
      </c>
      <c r="J1400" s="374">
        <f>IF(D1400=1,VLOOKUP(C1400,'Capital Code Schedules'!A$15:F$300,2,FALSE),IF(D1400=2,VLOOKUP(C1400,'Capital Code Schedules'!A$15:F$300,3,FALSE),0))</f>
        <v>0</v>
      </c>
      <c r="K1400" s="374">
        <f>IF(D1400=1,VLOOKUP(C1400,'Capital Code Schedules'!E$15:G$300,2,FALSE),IF(D1400=2,VLOOKUP(C1400,'Capital Code Schedules'!E$15:G$300,3,FALSE),0))</f>
        <v>0</v>
      </c>
      <c r="L1400" s="374">
        <f>VLOOKUP(LEFT(A1400,10),'Streetlight Tariff Schedule'!B$11:H$260,7, FALSE)+I1400</f>
        <v>74.613917220498692</v>
      </c>
      <c r="M1400" s="410">
        <f t="shared" si="232"/>
        <v>74.613917220498692</v>
      </c>
      <c r="N1400" s="411">
        <f t="shared" si="233"/>
        <v>77.722976370405902</v>
      </c>
      <c r="O1400" s="411">
        <v>63.386307451212851</v>
      </c>
      <c r="P1400" s="411">
        <v>63.386307451212851</v>
      </c>
      <c r="Q1400" s="411">
        <v>66.488361222863347</v>
      </c>
      <c r="R1400" s="411">
        <v>66.488361222863347</v>
      </c>
      <c r="S1400" s="411">
        <f t="shared" si="234"/>
        <v>81.52665040804078</v>
      </c>
      <c r="T1400" s="411">
        <v>69.219117011912999</v>
      </c>
      <c r="U1400" s="411">
        <v>69.47199460057135</v>
      </c>
      <c r="V1400" s="411">
        <f t="shared" si="235"/>
        <v>85.185119813157002</v>
      </c>
      <c r="W1400" s="411">
        <v>71.73888024744906</v>
      </c>
      <c r="X1400" s="411">
        <v>72.643857902748152</v>
      </c>
      <c r="Y1400" s="411">
        <f t="shared" si="236"/>
        <v>89.074392850160976</v>
      </c>
      <c r="Z1400" s="411">
        <v>73.811101509517286</v>
      </c>
      <c r="AA1400" s="411">
        <v>75.015732950240903</v>
      </c>
      <c r="AB1400" s="441">
        <f t="shared" si="237"/>
        <v>91.007907671157696</v>
      </c>
      <c r="AC1400" s="438">
        <f t="shared" si="238"/>
        <v>93.728958676983922</v>
      </c>
      <c r="AD1400" s="410"/>
      <c r="AE1400" s="411"/>
      <c r="AF1400" s="411"/>
      <c r="AG1400" s="411"/>
    </row>
    <row r="1401" spans="1:33" s="409" customFormat="1" x14ac:dyDescent="0.2">
      <c r="A1401" s="409" t="s">
        <v>755</v>
      </c>
      <c r="B1401" s="23" t="str">
        <f>VLOOKUP(LEFT(A1401,7),'[7]Tariff Schedule Lookup Table'!$A$8:$G$186,2,FALSE)</f>
        <v>Metal Hallide (Reactor Control Gear) 400</v>
      </c>
      <c r="C1401" s="375">
        <f t="shared" si="240"/>
        <v>330</v>
      </c>
      <c r="D1401" s="23">
        <f t="shared" si="241"/>
        <v>1</v>
      </c>
      <c r="E1401" s="23" t="str">
        <f>VLOOKUP(C1401,'[7]Tariff Schedule Lookup Table'!I$7:L$287,2,FALSE)</f>
        <v>HIGH PRESSURE SODIUM 400W (310/360)</v>
      </c>
      <c r="F1401" s="23" t="str">
        <f>IF(E1401 = "BULKHEADS ETC", "SHARED OR NO POLE", VLOOKUP(C1401,'[7]Tariff Schedule Lookup Table'!I$7:L$287,3,FALSE))</f>
        <v>STEEL POLE</v>
      </c>
      <c r="G1401" s="23">
        <f>IF(E1401 = "NO CAPITAL", 1, VLOOKUP(C1401,'[7]Tariff Schedule Lookup Table'!I$7:L$287,4,FALSE))</f>
        <v>1</v>
      </c>
      <c r="H1401" s="23" t="str">
        <f t="shared" si="239"/>
        <v>1-Unmetered, CE Funded, CE Maintained</v>
      </c>
      <c r="I1401" s="374">
        <f>VLOOKUP(F1401,'Maintenance Model'!$A$57:$B$61,2,FALSE)</f>
        <v>9.9616182311111103</v>
      </c>
      <c r="J1401" s="374">
        <f>IF(D1401=1,VLOOKUP(C1401,'Capital Code Schedules'!A$15:F$300,2,FALSE),IF(D1401=2,VLOOKUP(C1401,'Capital Code Schedules'!A$15:F$300,3,FALSE),0))</f>
        <v>95.968430970589921</v>
      </c>
      <c r="K1401" s="374">
        <f>IF(D1401=1,VLOOKUP(C1401,'Capital Code Schedules'!E$15:G$300,2,FALSE),IF(D1401=2,VLOOKUP(C1401,'Capital Code Schedules'!E$15:G$300,3,FALSE),0))</f>
        <v>121.73315019865107</v>
      </c>
      <c r="L1401" s="374">
        <f>VLOOKUP(LEFT(A1401,10),'Streetlight Tariff Schedule'!B$11:H$260,7, FALSE)+I1401</f>
        <v>84.575535451609795</v>
      </c>
      <c r="M1401" s="410">
        <f t="shared" si="232"/>
        <v>206.30868565026088</v>
      </c>
      <c r="N1401" s="411">
        <f t="shared" si="233"/>
        <v>186.44333114819031</v>
      </c>
      <c r="O1401" s="411">
        <v>203.24906230852912</v>
      </c>
      <c r="P1401" s="411">
        <v>197.72646835337972</v>
      </c>
      <c r="Q1401" s="411">
        <v>204.38551183963312</v>
      </c>
      <c r="R1401" s="411">
        <v>210.04478999517247</v>
      </c>
      <c r="S1401" s="411">
        <f t="shared" si="234"/>
        <v>193.1888346582837</v>
      </c>
      <c r="T1401" s="411">
        <v>210.69347264263612</v>
      </c>
      <c r="U1401" s="411">
        <v>217.28456888504019</v>
      </c>
      <c r="V1401" s="411">
        <f t="shared" si="235"/>
        <v>200.20790527045736</v>
      </c>
      <c r="W1401" s="411">
        <v>216.8368111945735</v>
      </c>
      <c r="X1401" s="411">
        <v>225.59090318827134</v>
      </c>
      <c r="Y1401" s="411">
        <f t="shared" si="236"/>
        <v>208.13015950998965</v>
      </c>
      <c r="Z1401" s="411">
        <v>222.54511216446576</v>
      </c>
      <c r="AA1401" s="411">
        <v>232.36740769263804</v>
      </c>
      <c r="AB1401" s="441">
        <f t="shared" si="237"/>
        <v>212.20789409649041</v>
      </c>
      <c r="AC1401" s="438">
        <f t="shared" si="238"/>
        <v>218.46557358998552</v>
      </c>
      <c r="AD1401" s="410"/>
      <c r="AE1401" s="411"/>
      <c r="AF1401" s="411"/>
      <c r="AG1401" s="411"/>
    </row>
    <row r="1402" spans="1:33" s="409" customFormat="1" x14ac:dyDescent="0.2">
      <c r="A1402" s="409" t="s">
        <v>688</v>
      </c>
      <c r="B1402" s="23" t="str">
        <f>VLOOKUP(LEFT(A1402,7),'[7]Tariff Schedule Lookup Table'!$A$8:$G$186,2,FALSE)</f>
        <v>Metal Hallide (Reactor Control Gear) 400</v>
      </c>
      <c r="C1402" s="375">
        <f t="shared" si="240"/>
        <v>620</v>
      </c>
      <c r="D1402" s="23">
        <f t="shared" si="241"/>
        <v>1</v>
      </c>
      <c r="E1402" s="23" t="str">
        <f>VLOOKUP(C1402,'[7]Tariff Schedule Lookup Table'!I$7:L$287,2,FALSE)</f>
        <v>METAL HALIDE/HPS 400W FLOOD (310/360)</v>
      </c>
      <c r="F1402" s="23" t="str">
        <f>IF(E1402 = "BULKHEADS ETC", "SHARED OR NO POLE", VLOOKUP(C1402,'[7]Tariff Schedule Lookup Table'!I$7:L$287,3,FALSE))</f>
        <v>SHARED OR NO POLE</v>
      </c>
      <c r="G1402" s="23">
        <f>IF(E1402 = "NO CAPITAL", 1, VLOOKUP(C1402,'[7]Tariff Schedule Lookup Table'!I$7:L$287,4,FALSE))</f>
        <v>1</v>
      </c>
      <c r="H1402" s="23" t="str">
        <f t="shared" si="239"/>
        <v>1-Unmetered, CE Funded, CE Maintained</v>
      </c>
      <c r="I1402" s="374">
        <f>VLOOKUP(F1402,'Maintenance Model'!$A$57:$B$61,2,FALSE)</f>
        <v>0</v>
      </c>
      <c r="J1402" s="374">
        <f>IF(D1402=1,VLOOKUP(C1402,'Capital Code Schedules'!A$15:F$300,2,FALSE),IF(D1402=2,VLOOKUP(C1402,'Capital Code Schedules'!A$15:F$300,3,FALSE),0))</f>
        <v>34.455205908772193</v>
      </c>
      <c r="K1402" s="374">
        <f>IF(D1402=1,VLOOKUP(C1402,'Capital Code Schedules'!E$15:G$300,2,FALSE),IF(D1402=2,VLOOKUP(C1402,'Capital Code Schedules'!E$15:G$300,3,FALSE),0))</f>
        <v>43.705421810047042</v>
      </c>
      <c r="L1402" s="374">
        <f>VLOOKUP(LEFT(A1402,10),'Streetlight Tariff Schedule'!B$11:H$260,7, FALSE)+I1402</f>
        <v>74.613917220498692</v>
      </c>
      <c r="M1402" s="410">
        <f t="shared" si="232"/>
        <v>118.31933903054573</v>
      </c>
      <c r="N1402" s="411">
        <f t="shared" si="233"/>
        <v>113.03094862542021</v>
      </c>
      <c r="O1402" s="411">
        <v>110.15619580106177</v>
      </c>
      <c r="P1402" s="411">
        <v>108.17343845105856</v>
      </c>
      <c r="Q1402" s="411">
        <v>112.38397371495525</v>
      </c>
      <c r="R1402" s="411">
        <v>114.41580430937104</v>
      </c>
      <c r="S1402" s="411">
        <f t="shared" si="234"/>
        <v>117.70849497636668</v>
      </c>
      <c r="T1402" s="411">
        <v>116.25064591318416</v>
      </c>
      <c r="U1402" s="411">
        <v>118.76536981504451</v>
      </c>
      <c r="V1402" s="411">
        <f t="shared" si="235"/>
        <v>122.3981469516802</v>
      </c>
      <c r="W1402" s="411">
        <v>119.9344394890267</v>
      </c>
      <c r="X1402" s="411">
        <v>123.60827853699195</v>
      </c>
      <c r="Y1402" s="411">
        <f t="shared" si="236"/>
        <v>127.54894160868011</v>
      </c>
      <c r="Z1402" s="411">
        <v>123.19950084232396</v>
      </c>
      <c r="AA1402" s="411">
        <v>127.43263957256066</v>
      </c>
      <c r="AB1402" s="441">
        <f t="shared" si="237"/>
        <v>130.15960848782677</v>
      </c>
      <c r="AC1402" s="438">
        <f t="shared" si="238"/>
        <v>134.01997398741804</v>
      </c>
      <c r="AD1402" s="410"/>
      <c r="AE1402" s="411"/>
      <c r="AF1402" s="411"/>
      <c r="AG1402" s="411"/>
    </row>
    <row r="1403" spans="1:33" s="409" customFormat="1" x14ac:dyDescent="0.2">
      <c r="A1403" s="409" t="s">
        <v>689</v>
      </c>
      <c r="B1403" s="23" t="str">
        <f>VLOOKUP(LEFT(A1403,7),'[7]Tariff Schedule Lookup Table'!$A$8:$G$186,2,FALSE)</f>
        <v>Metal Hallide (Reactor Control Gear) 400</v>
      </c>
      <c r="C1403" s="375">
        <f t="shared" si="240"/>
        <v>640</v>
      </c>
      <c r="D1403" s="23">
        <f t="shared" si="241"/>
        <v>1</v>
      </c>
      <c r="E1403" s="23" t="str">
        <f>VLOOKUP(C1403,'[7]Tariff Schedule Lookup Table'!I$7:L$287,2,FALSE)</f>
        <v>METAL HALIDE/HPS 400W FLOOD (310/360)</v>
      </c>
      <c r="F1403" s="23" t="str">
        <f>IF(E1403 = "BULKHEADS ETC", "SHARED OR NO POLE", VLOOKUP(C1403,'[7]Tariff Schedule Lookup Table'!I$7:L$287,3,FALSE))</f>
        <v>SHARED OR NO POLE</v>
      </c>
      <c r="G1403" s="23">
        <f>IF(E1403 = "NO CAPITAL", 1, VLOOKUP(C1403,'[7]Tariff Schedule Lookup Table'!I$7:L$287,4,FALSE))</f>
        <v>1</v>
      </c>
      <c r="H1403" s="23" t="str">
        <f t="shared" si="239"/>
        <v>1-Unmetered, CE Funded, CE Maintained</v>
      </c>
      <c r="I1403" s="374">
        <f>VLOOKUP(F1403,'Maintenance Model'!$A$57:$B$61,2,FALSE)</f>
        <v>0</v>
      </c>
      <c r="J1403" s="374">
        <f>IF(D1403=1,VLOOKUP(C1403,'Capital Code Schedules'!A$15:F$300,2,FALSE),IF(D1403=2,VLOOKUP(C1403,'Capital Code Schedules'!A$15:F$300,3,FALSE),0))</f>
        <v>34.4552059087722</v>
      </c>
      <c r="K1403" s="374">
        <f>IF(D1403=1,VLOOKUP(C1403,'Capital Code Schedules'!E$15:G$300,2,FALSE),IF(D1403=2,VLOOKUP(C1403,'Capital Code Schedules'!E$15:G$300,3,FALSE),0))</f>
        <v>43.705421810047049</v>
      </c>
      <c r="L1403" s="374">
        <f>VLOOKUP(LEFT(A1403,10),'Streetlight Tariff Schedule'!B$11:H$260,7, FALSE)+I1403</f>
        <v>74.613917220498692</v>
      </c>
      <c r="M1403" s="410">
        <f t="shared" si="232"/>
        <v>118.31933903054573</v>
      </c>
      <c r="N1403" s="411">
        <f t="shared" si="233"/>
        <v>113.03094862542022</v>
      </c>
      <c r="O1403" s="411">
        <v>110.15619580106177</v>
      </c>
      <c r="P1403" s="411">
        <v>108.17343845105856</v>
      </c>
      <c r="Q1403" s="411">
        <v>112.38397371495526</v>
      </c>
      <c r="R1403" s="411">
        <v>114.41580430937104</v>
      </c>
      <c r="S1403" s="411">
        <f t="shared" si="234"/>
        <v>117.70849497636669</v>
      </c>
      <c r="T1403" s="411">
        <v>116.25064591318419</v>
      </c>
      <c r="U1403" s="411">
        <v>118.76536981504451</v>
      </c>
      <c r="V1403" s="411">
        <f t="shared" si="235"/>
        <v>122.39814695168022</v>
      </c>
      <c r="W1403" s="411">
        <v>119.93443948902672</v>
      </c>
      <c r="X1403" s="411">
        <v>123.60827853699195</v>
      </c>
      <c r="Y1403" s="411">
        <f t="shared" si="236"/>
        <v>127.54894160868012</v>
      </c>
      <c r="Z1403" s="411">
        <v>123.19950084232397</v>
      </c>
      <c r="AA1403" s="411">
        <v>127.43263957256066</v>
      </c>
      <c r="AB1403" s="441">
        <f t="shared" si="237"/>
        <v>130.15960848782677</v>
      </c>
      <c r="AC1403" s="438">
        <f t="shared" si="238"/>
        <v>134.01997398741807</v>
      </c>
      <c r="AD1403" s="410"/>
      <c r="AE1403" s="411"/>
      <c r="AF1403" s="411"/>
      <c r="AG1403" s="411"/>
    </row>
    <row r="1404" spans="1:33" s="409" customFormat="1" x14ac:dyDescent="0.2">
      <c r="A1404" s="409" t="s">
        <v>690</v>
      </c>
      <c r="B1404" s="23" t="str">
        <f>VLOOKUP(LEFT(A1404,7),'[7]Tariff Schedule Lookup Table'!$A$8:$G$186,2,FALSE)</f>
        <v>Metal Hallide (Reactor Control Gear) 400</v>
      </c>
      <c r="C1404" s="375">
        <f t="shared" si="240"/>
        <v>640</v>
      </c>
      <c r="D1404" s="23">
        <f t="shared" si="241"/>
        <v>2</v>
      </c>
      <c r="E1404" s="23" t="str">
        <f>VLOOKUP(C1404,'[7]Tariff Schedule Lookup Table'!I$7:L$287,2,FALSE)</f>
        <v>METAL HALIDE/HPS 400W FLOOD (310/360)</v>
      </c>
      <c r="F1404" s="23" t="str">
        <f>IF(E1404 = "BULKHEADS ETC", "SHARED OR NO POLE", VLOOKUP(C1404,'[7]Tariff Schedule Lookup Table'!I$7:L$287,3,FALSE))</f>
        <v>SHARED OR NO POLE</v>
      </c>
      <c r="G1404" s="23">
        <f>IF(E1404 = "NO CAPITAL", 1, VLOOKUP(C1404,'[7]Tariff Schedule Lookup Table'!I$7:L$287,4,FALSE))</f>
        <v>1</v>
      </c>
      <c r="H1404" s="23" t="str">
        <f t="shared" si="239"/>
        <v>2-Unmetered, Funded by Others, CE Maintained</v>
      </c>
      <c r="I1404" s="374">
        <f>VLOOKUP(F1404,'Maintenance Model'!$A$57:$B$61,2,FALSE)</f>
        <v>0</v>
      </c>
      <c r="J1404" s="374">
        <f>IF(D1404=1,VLOOKUP(C1404,'Capital Code Schedules'!A$15:F$300,2,FALSE),IF(D1404=2,VLOOKUP(C1404,'Capital Code Schedules'!A$15:F$300,3,FALSE),0))</f>
        <v>0</v>
      </c>
      <c r="K1404" s="374">
        <f>IF(D1404=1,VLOOKUP(C1404,'Capital Code Schedules'!E$15:G$300,2,FALSE),IF(D1404=2,VLOOKUP(C1404,'Capital Code Schedules'!E$15:G$300,3,FALSE),0))</f>
        <v>0</v>
      </c>
      <c r="L1404" s="374">
        <f>VLOOKUP(LEFT(A1404,10),'Streetlight Tariff Schedule'!B$11:H$260,7, FALSE)+I1404</f>
        <v>74.613917220498692</v>
      </c>
      <c r="M1404" s="410">
        <f t="shared" si="232"/>
        <v>74.613917220498692</v>
      </c>
      <c r="N1404" s="411">
        <f t="shared" si="233"/>
        <v>77.722976370405902</v>
      </c>
      <c r="O1404" s="411">
        <v>63.386307451212851</v>
      </c>
      <c r="P1404" s="411">
        <v>63.386307451212851</v>
      </c>
      <c r="Q1404" s="411">
        <v>66.488361222863347</v>
      </c>
      <c r="R1404" s="411">
        <v>66.488361222863347</v>
      </c>
      <c r="S1404" s="411">
        <f t="shared" si="234"/>
        <v>81.52665040804078</v>
      </c>
      <c r="T1404" s="411">
        <v>69.219117011912999</v>
      </c>
      <c r="U1404" s="411">
        <v>69.47199460057135</v>
      </c>
      <c r="V1404" s="411">
        <f t="shared" si="235"/>
        <v>85.185119813157002</v>
      </c>
      <c r="W1404" s="411">
        <v>71.73888024744906</v>
      </c>
      <c r="X1404" s="411">
        <v>72.643857902748152</v>
      </c>
      <c r="Y1404" s="411">
        <f t="shared" si="236"/>
        <v>89.074392850160976</v>
      </c>
      <c r="Z1404" s="411">
        <v>73.811101509517286</v>
      </c>
      <c r="AA1404" s="411">
        <v>75.015732950240903</v>
      </c>
      <c r="AB1404" s="441">
        <f t="shared" si="237"/>
        <v>91.007907671157696</v>
      </c>
      <c r="AC1404" s="438">
        <f t="shared" si="238"/>
        <v>93.728958676983922</v>
      </c>
      <c r="AD1404" s="410"/>
      <c r="AE1404" s="411"/>
      <c r="AF1404" s="411"/>
      <c r="AG1404" s="411"/>
    </row>
    <row r="1405" spans="1:33" s="409" customFormat="1" x14ac:dyDescent="0.2">
      <c r="A1405" s="409" t="s">
        <v>691</v>
      </c>
      <c r="B1405" s="23" t="str">
        <f>VLOOKUP(LEFT(A1405,7),'[7]Tariff Schedule Lookup Table'!$A$8:$G$186,2,FALSE)</f>
        <v>Metal Hallide (Reactor Control Gear) 400</v>
      </c>
      <c r="C1405" s="375">
        <f t="shared" si="240"/>
        <v>680</v>
      </c>
      <c r="D1405" s="23">
        <f t="shared" si="241"/>
        <v>2</v>
      </c>
      <c r="E1405" s="23" t="str">
        <f>VLOOKUP(C1405,'[7]Tariff Schedule Lookup Table'!I$7:L$287,2,FALSE)</f>
        <v>METAL HALIDE/HPS 400W FLOOD (310/360)</v>
      </c>
      <c r="F1405" s="23" t="str">
        <f>IF(E1405 = "BULKHEADS ETC", "SHARED OR NO POLE", VLOOKUP(C1405,'[7]Tariff Schedule Lookup Table'!I$7:L$287,3,FALSE))</f>
        <v>SHARED OR NO POLE</v>
      </c>
      <c r="G1405" s="23">
        <f>IF(E1405 = "NO CAPITAL", 1, VLOOKUP(C1405,'[7]Tariff Schedule Lookup Table'!I$7:L$287,4,FALSE))</f>
        <v>2</v>
      </c>
      <c r="H1405" s="23" t="str">
        <f t="shared" si="239"/>
        <v>2-Unmetered, Funded by Others, CE Maintained</v>
      </c>
      <c r="I1405" s="374">
        <f>VLOOKUP(F1405,'Maintenance Model'!$A$57:$B$61,2,FALSE)</f>
        <v>0</v>
      </c>
      <c r="J1405" s="374">
        <f>IF(D1405=1,VLOOKUP(C1405,'Capital Code Schedules'!A$15:F$300,2,FALSE),IF(D1405=2,VLOOKUP(C1405,'Capital Code Schedules'!A$15:F$300,3,FALSE),0))</f>
        <v>0</v>
      </c>
      <c r="K1405" s="374">
        <f>IF(D1405=1,VLOOKUP(C1405,'Capital Code Schedules'!E$15:G$300,2,FALSE),IF(D1405=2,VLOOKUP(C1405,'Capital Code Schedules'!E$15:G$300,3,FALSE),0))</f>
        <v>0</v>
      </c>
      <c r="L1405" s="374">
        <f>VLOOKUP(LEFT(A1405,10),'Streetlight Tariff Schedule'!B$11:H$260,7, FALSE)+I1405</f>
        <v>74.613917220498692</v>
      </c>
      <c r="M1405" s="410">
        <f t="shared" si="232"/>
        <v>74.613917220498692</v>
      </c>
      <c r="N1405" s="411">
        <f t="shared" si="233"/>
        <v>77.722976370405902</v>
      </c>
      <c r="O1405" s="411">
        <v>63.386307451212851</v>
      </c>
      <c r="P1405" s="411">
        <v>63.386307451212851</v>
      </c>
      <c r="Q1405" s="411">
        <v>66.488361222863347</v>
      </c>
      <c r="R1405" s="411">
        <v>66.488361222863347</v>
      </c>
      <c r="S1405" s="411">
        <f t="shared" si="234"/>
        <v>81.52665040804078</v>
      </c>
      <c r="T1405" s="411">
        <v>69.219117011912999</v>
      </c>
      <c r="U1405" s="411">
        <v>69.47199460057135</v>
      </c>
      <c r="V1405" s="411">
        <f t="shared" si="235"/>
        <v>85.185119813157002</v>
      </c>
      <c r="W1405" s="411">
        <v>71.73888024744906</v>
      </c>
      <c r="X1405" s="411">
        <v>72.643857902748152</v>
      </c>
      <c r="Y1405" s="411">
        <f t="shared" si="236"/>
        <v>89.074392850160976</v>
      </c>
      <c r="Z1405" s="411">
        <v>73.811101509517286</v>
      </c>
      <c r="AA1405" s="411">
        <v>75.015732950240903</v>
      </c>
      <c r="AB1405" s="441">
        <f t="shared" si="237"/>
        <v>91.007907671157696</v>
      </c>
      <c r="AC1405" s="438">
        <f t="shared" si="238"/>
        <v>93.728958676983922</v>
      </c>
      <c r="AD1405" s="410"/>
      <c r="AE1405" s="411"/>
      <c r="AF1405" s="411"/>
      <c r="AG1405" s="411"/>
    </row>
    <row r="1406" spans="1:33" s="409" customFormat="1" x14ac:dyDescent="0.2">
      <c r="A1406" s="409" t="s">
        <v>692</v>
      </c>
      <c r="B1406" s="23" t="str">
        <f>VLOOKUP(LEFT(A1406,7),'[7]Tariff Schedule Lookup Table'!$A$8:$G$186,2,FALSE)</f>
        <v>Metal Hallide (Reactor Control Gear) 400</v>
      </c>
      <c r="C1406" s="375">
        <f t="shared" si="240"/>
        <v>1100</v>
      </c>
      <c r="D1406" s="23">
        <f t="shared" si="241"/>
        <v>1</v>
      </c>
      <c r="E1406" s="23" t="str">
        <f>VLOOKUP(C1406,'[7]Tariff Schedule Lookup Table'!I$7:L$287,2,FALSE)</f>
        <v>METAL HALIDE/HPS 400W FLOOD (310/360)</v>
      </c>
      <c r="F1406" s="23" t="str">
        <f>IF(E1406 = "BULKHEADS ETC", "SHARED OR NO POLE", VLOOKUP(C1406,'[7]Tariff Schedule Lookup Table'!I$7:L$287,3,FALSE))</f>
        <v>WOOD POLE</v>
      </c>
      <c r="G1406" s="23">
        <f>IF(E1406 = "NO CAPITAL", 1, VLOOKUP(C1406,'[7]Tariff Schedule Lookup Table'!I$7:L$287,4,FALSE))</f>
        <v>1</v>
      </c>
      <c r="H1406" s="23" t="str">
        <f t="shared" si="239"/>
        <v>1-Unmetered, CE Funded, CE Maintained</v>
      </c>
      <c r="I1406" s="374">
        <f>VLOOKUP(F1406,'Maintenance Model'!$A$57:$B$61,2,FALSE)</f>
        <v>10.731618231111112</v>
      </c>
      <c r="J1406" s="374">
        <f>IF(D1406=1,VLOOKUP(C1406,'Capital Code Schedules'!A$15:F$300,2,FALSE),IF(D1406=2,VLOOKUP(C1406,'Capital Code Schedules'!A$15:F$300,3,FALSE),0))</f>
        <v>73.527525225964666</v>
      </c>
      <c r="K1406" s="374">
        <f>IF(D1406=1,VLOOKUP(C1406,'Capital Code Schedules'!E$15:G$300,2,FALSE),IF(D1406=2,VLOOKUP(C1406,'Capital Code Schedules'!E$15:G$300,3,FALSE),0))</f>
        <v>93.267517052669831</v>
      </c>
      <c r="L1406" s="374">
        <f>VLOOKUP(LEFT(A1406,10),'Streetlight Tariff Schedule'!B$11:H$260,7, FALSE)+I1406</f>
        <v>85.345535451609805</v>
      </c>
      <c r="M1406" s="410">
        <f t="shared" si="232"/>
        <v>178.61305250427964</v>
      </c>
      <c r="N1406" s="411">
        <f t="shared" si="233"/>
        <v>164.24909782571061</v>
      </c>
      <c r="O1406" s="411">
        <v>173.58960647604542</v>
      </c>
      <c r="P1406" s="411">
        <v>169.35839562636042</v>
      </c>
      <c r="Q1406" s="411">
        <v>175.33473083234628</v>
      </c>
      <c r="R1406" s="411">
        <v>179.67066415056098</v>
      </c>
      <c r="S1406" s="411">
        <f t="shared" si="234"/>
        <v>170.46469558079878</v>
      </c>
      <c r="T1406" s="411">
        <v>180.93741643795465</v>
      </c>
      <c r="U1406" s="411">
        <v>186.05855696013151</v>
      </c>
      <c r="V1406" s="411">
        <f t="shared" si="235"/>
        <v>176.84990473553836</v>
      </c>
      <c r="W1406" s="411">
        <v>186.35449911989269</v>
      </c>
      <c r="X1406" s="411">
        <v>193.31666470331922</v>
      </c>
      <c r="Y1406" s="411">
        <f t="shared" si="236"/>
        <v>183.99065800114786</v>
      </c>
      <c r="Z1406" s="411">
        <v>191.31211707924771</v>
      </c>
      <c r="AA1406" s="411">
        <v>199.1771688833054</v>
      </c>
      <c r="AB1406" s="441">
        <f t="shared" si="237"/>
        <v>187.64731239731617</v>
      </c>
      <c r="AC1406" s="438">
        <f t="shared" si="238"/>
        <v>193.19102942774762</v>
      </c>
      <c r="AD1406" s="410"/>
      <c r="AE1406" s="411"/>
      <c r="AF1406" s="411"/>
      <c r="AG1406" s="411"/>
    </row>
    <row r="1407" spans="1:33" s="409" customFormat="1" x14ac:dyDescent="0.2">
      <c r="A1407" s="409" t="s">
        <v>693</v>
      </c>
      <c r="B1407" s="23" t="str">
        <f>VLOOKUP(LEFT(A1407,7),'[7]Tariff Schedule Lookup Table'!$A$8:$G$186,2,FALSE)</f>
        <v>Metal Hallide (Reactor Control Gear) 400</v>
      </c>
      <c r="C1407" s="375">
        <f t="shared" si="240"/>
        <v>1100</v>
      </c>
      <c r="D1407" s="23">
        <f t="shared" si="241"/>
        <v>2</v>
      </c>
      <c r="E1407" s="23" t="str">
        <f>VLOOKUP(C1407,'[7]Tariff Schedule Lookup Table'!I$7:L$287,2,FALSE)</f>
        <v>METAL HALIDE/HPS 400W FLOOD (310/360)</v>
      </c>
      <c r="F1407" s="23" t="str">
        <f>IF(E1407 = "BULKHEADS ETC", "SHARED OR NO POLE", VLOOKUP(C1407,'[7]Tariff Schedule Lookup Table'!I$7:L$287,3,FALSE))</f>
        <v>WOOD POLE</v>
      </c>
      <c r="G1407" s="23">
        <f>IF(E1407 = "NO CAPITAL", 1, VLOOKUP(C1407,'[7]Tariff Schedule Lookup Table'!I$7:L$287,4,FALSE))</f>
        <v>1</v>
      </c>
      <c r="H1407" s="23" t="str">
        <f t="shared" si="239"/>
        <v>2-Unmetered, Funded by Others, CE Maintained</v>
      </c>
      <c r="I1407" s="374">
        <f>VLOOKUP(F1407,'Maintenance Model'!$A$57:$B$61,2,FALSE)</f>
        <v>10.731618231111112</v>
      </c>
      <c r="J1407" s="374">
        <f>IF(D1407=1,VLOOKUP(C1407,'Capital Code Schedules'!A$15:F$300,2,FALSE),IF(D1407=2,VLOOKUP(C1407,'Capital Code Schedules'!A$15:F$300,3,FALSE),0))</f>
        <v>0</v>
      </c>
      <c r="K1407" s="374">
        <f>IF(D1407=1,VLOOKUP(C1407,'Capital Code Schedules'!E$15:G$300,2,FALSE),IF(D1407=2,VLOOKUP(C1407,'Capital Code Schedules'!E$15:G$300,3,FALSE),0))</f>
        <v>0</v>
      </c>
      <c r="L1407" s="374">
        <f>VLOOKUP(LEFT(A1407,10),'Streetlight Tariff Schedule'!B$11:H$260,7, FALSE)+I1407</f>
        <v>85.345535451609805</v>
      </c>
      <c r="M1407" s="410">
        <f t="shared" si="232"/>
        <v>85.345535451609805</v>
      </c>
      <c r="N1407" s="411">
        <f t="shared" si="233"/>
        <v>88.901766350403307</v>
      </c>
      <c r="O1407" s="411">
        <v>73.782507526637019</v>
      </c>
      <c r="P1407" s="411">
        <v>73.782507526637019</v>
      </c>
      <c r="Q1407" s="411">
        <v>77.393339502154731</v>
      </c>
      <c r="R1407" s="411">
        <v>77.393339502154731</v>
      </c>
      <c r="S1407" s="411">
        <f t="shared" si="234"/>
        <v>93.252517651477604</v>
      </c>
      <c r="T1407" s="411">
        <v>80.571975672340855</v>
      </c>
      <c r="U1407" s="411">
        <v>80.866328559245687</v>
      </c>
      <c r="V1407" s="411">
        <f t="shared" si="235"/>
        <v>97.437179735231567</v>
      </c>
      <c r="W1407" s="411">
        <v>83.505013695329922</v>
      </c>
      <c r="X1407" s="411">
        <v>84.558419759643371</v>
      </c>
      <c r="Y1407" s="411">
        <f t="shared" si="236"/>
        <v>101.88584162333063</v>
      </c>
      <c r="Z1407" s="411">
        <v>85.917106890427064</v>
      </c>
      <c r="AA1407" s="411">
        <v>87.319313958734739</v>
      </c>
      <c r="AB1407" s="441">
        <f t="shared" si="237"/>
        <v>104.0974512512494</v>
      </c>
      <c r="AC1407" s="438">
        <f t="shared" si="238"/>
        <v>107.20986732233031</v>
      </c>
      <c r="AD1407" s="410"/>
      <c r="AE1407" s="411"/>
      <c r="AF1407" s="411"/>
      <c r="AG1407" s="411"/>
    </row>
    <row r="1408" spans="1:33" s="409" customFormat="1" x14ac:dyDescent="0.2">
      <c r="A1408" s="409" t="s">
        <v>694</v>
      </c>
      <c r="B1408" s="23" t="str">
        <f>VLOOKUP(LEFT(A1408,7),'[7]Tariff Schedule Lookup Table'!$A$8:$G$186,2,FALSE)</f>
        <v>Metal Hallide (Reactor Control Gear) 1000</v>
      </c>
      <c r="C1408" s="375">
        <f t="shared" si="240"/>
        <v>120</v>
      </c>
      <c r="D1408" s="23">
        <f t="shared" si="241"/>
        <v>1</v>
      </c>
      <c r="E1408" s="23" t="str">
        <f>VLOOKUP(C1408,'[7]Tariff Schedule Lookup Table'!I$7:L$287,2,FALSE)</f>
        <v xml:space="preserve">METAL HALIDE 1000W FLOODLIGHT </v>
      </c>
      <c r="F1408" s="23" t="str">
        <f>IF(E1408 = "BULKHEADS ETC", "SHARED OR NO POLE", VLOOKUP(C1408,'[7]Tariff Schedule Lookup Table'!I$7:L$287,3,FALSE))</f>
        <v>SHARED OR NO POLE</v>
      </c>
      <c r="G1408" s="23">
        <f>IF(E1408 = "NO CAPITAL", 1, VLOOKUP(C1408,'[7]Tariff Schedule Lookup Table'!I$7:L$287,4,FALSE))</f>
        <v>1</v>
      </c>
      <c r="H1408" s="23" t="str">
        <f t="shared" si="239"/>
        <v>1-Unmetered, CE Funded, CE Maintained</v>
      </c>
      <c r="I1408" s="374">
        <f>VLOOKUP(F1408,'Maintenance Model'!$A$57:$B$61,2,FALSE)</f>
        <v>0</v>
      </c>
      <c r="J1408" s="374">
        <f>IF(D1408=1,VLOOKUP(C1408,'Capital Code Schedules'!A$15:F$300,2,FALSE),IF(D1408=2,VLOOKUP(C1408,'Capital Code Schedules'!A$15:F$300,3,FALSE),0))</f>
        <v>60.355285078550516</v>
      </c>
      <c r="K1408" s="374">
        <f>IF(D1408=1,VLOOKUP(C1408,'Capital Code Schedules'!E$15:G$300,2,FALSE),IF(D1408=2,VLOOKUP(C1408,'Capital Code Schedules'!E$15:G$300,3,FALSE),0))</f>
        <v>76.558915358334843</v>
      </c>
      <c r="L1408" s="374">
        <f>VLOOKUP(LEFT(A1408,10),'Streetlight Tariff Schedule'!B$11:H$260,7, FALSE)+I1408</f>
        <v>168.20557774034535</v>
      </c>
      <c r="M1408" s="410">
        <f t="shared" si="232"/>
        <v>244.76449309868019</v>
      </c>
      <c r="N1408" s="411">
        <f t="shared" si="233"/>
        <v>237.06355084584683</v>
      </c>
      <c r="O1408" s="411">
        <v>238.1144334933926</v>
      </c>
      <c r="P1408" s="411">
        <v>234.64123163768789</v>
      </c>
      <c r="Q1408" s="411">
        <v>244.22659964198641</v>
      </c>
      <c r="R1408" s="411">
        <v>247.78576324361981</v>
      </c>
      <c r="S1408" s="411">
        <f t="shared" si="234"/>
        <v>247.16911247548941</v>
      </c>
      <c r="T1408" s="411">
        <v>252.94512602744163</v>
      </c>
      <c r="U1408" s="411">
        <v>257.53031366374734</v>
      </c>
      <c r="V1408" s="411">
        <f t="shared" si="235"/>
        <v>257.22289347598212</v>
      </c>
      <c r="W1408" s="411">
        <v>261.19300196149629</v>
      </c>
      <c r="X1408" s="411">
        <v>268.27314121890254</v>
      </c>
      <c r="Y1408" s="411">
        <f t="shared" si="236"/>
        <v>268.20047128376871</v>
      </c>
      <c r="Z1408" s="411">
        <v>268.38857502775068</v>
      </c>
      <c r="AA1408" s="411">
        <v>276.66190081087905</v>
      </c>
      <c r="AB1408" s="441">
        <f t="shared" si="237"/>
        <v>273.74545171980947</v>
      </c>
      <c r="AC1408" s="438">
        <f t="shared" si="238"/>
        <v>281.87538241031041</v>
      </c>
      <c r="AD1408" s="410"/>
      <c r="AE1408" s="411"/>
      <c r="AF1408" s="411"/>
      <c r="AG1408" s="411"/>
    </row>
    <row r="1409" spans="1:33" s="409" customFormat="1" x14ac:dyDescent="0.2">
      <c r="A1409" s="409" t="s">
        <v>695</v>
      </c>
      <c r="B1409" s="23" t="str">
        <f>VLOOKUP(LEFT(A1409,7),'[7]Tariff Schedule Lookup Table'!$A$8:$G$186,2,FALSE)</f>
        <v>Metal Hallide (Reactor Control Gear) 1000</v>
      </c>
      <c r="C1409" s="375">
        <f t="shared" si="240"/>
        <v>120</v>
      </c>
      <c r="D1409" s="23">
        <f t="shared" si="241"/>
        <v>2</v>
      </c>
      <c r="E1409" s="23" t="str">
        <f>VLOOKUP(C1409,'[7]Tariff Schedule Lookup Table'!I$7:L$287,2,FALSE)</f>
        <v xml:space="preserve">METAL HALIDE 1000W FLOODLIGHT </v>
      </c>
      <c r="F1409" s="23" t="str">
        <f>IF(E1409 = "BULKHEADS ETC", "SHARED OR NO POLE", VLOOKUP(C1409,'[7]Tariff Schedule Lookup Table'!I$7:L$287,3,FALSE))</f>
        <v>SHARED OR NO POLE</v>
      </c>
      <c r="G1409" s="23">
        <f>IF(E1409 = "NO CAPITAL", 1, VLOOKUP(C1409,'[7]Tariff Schedule Lookup Table'!I$7:L$287,4,FALSE))</f>
        <v>1</v>
      </c>
      <c r="H1409" s="23" t="str">
        <f t="shared" si="239"/>
        <v>2-Unmetered, Funded by Others, CE Maintained</v>
      </c>
      <c r="I1409" s="374">
        <f>VLOOKUP(F1409,'Maintenance Model'!$A$57:$B$61,2,FALSE)</f>
        <v>0</v>
      </c>
      <c r="J1409" s="374">
        <f>IF(D1409=1,VLOOKUP(C1409,'Capital Code Schedules'!A$15:F$300,2,FALSE),IF(D1409=2,VLOOKUP(C1409,'Capital Code Schedules'!A$15:F$300,3,FALSE),0))</f>
        <v>0</v>
      </c>
      <c r="K1409" s="374">
        <f>IF(D1409=1,VLOOKUP(C1409,'Capital Code Schedules'!E$15:G$300,2,FALSE),IF(D1409=2,VLOOKUP(C1409,'Capital Code Schedules'!E$15:G$300,3,FALSE),0))</f>
        <v>0</v>
      </c>
      <c r="L1409" s="374">
        <f>VLOOKUP(LEFT(A1409,10),'Streetlight Tariff Schedule'!B$11:H$260,7, FALSE)+I1409</f>
        <v>168.20557774034535</v>
      </c>
      <c r="M1409" s="410">
        <f t="shared" si="232"/>
        <v>168.20557774034535</v>
      </c>
      <c r="N1409" s="411">
        <f t="shared" si="233"/>
        <v>175.21447246160221</v>
      </c>
      <c r="O1409" s="411">
        <v>156.18748312423426</v>
      </c>
      <c r="P1409" s="411">
        <v>156.18748312423426</v>
      </c>
      <c r="Q1409" s="411">
        <v>163.8311208528248</v>
      </c>
      <c r="R1409" s="411">
        <v>163.8311208528248</v>
      </c>
      <c r="S1409" s="411">
        <f t="shared" si="234"/>
        <v>183.78926940123472</v>
      </c>
      <c r="T1409" s="411">
        <v>170.55985913824827</v>
      </c>
      <c r="U1409" s="411">
        <v>171.18296396481466</v>
      </c>
      <c r="V1409" s="411">
        <f t="shared" si="235"/>
        <v>192.0367248741112</v>
      </c>
      <c r="W1409" s="411">
        <v>176.76869971679537</v>
      </c>
      <c r="X1409" s="411">
        <v>178.99861636517608</v>
      </c>
      <c r="Y1409" s="411">
        <f t="shared" si="236"/>
        <v>200.80449156629436</v>
      </c>
      <c r="Z1409" s="411">
        <v>181.87477130249346</v>
      </c>
      <c r="AA1409" s="411">
        <v>184.84305199882138</v>
      </c>
      <c r="AB1409" s="441">
        <f t="shared" si="237"/>
        <v>205.16330275930756</v>
      </c>
      <c r="AC1409" s="438">
        <f t="shared" si="238"/>
        <v>211.29749291505786</v>
      </c>
      <c r="AD1409" s="410"/>
      <c r="AE1409" s="411"/>
      <c r="AF1409" s="411"/>
      <c r="AG1409" s="411"/>
    </row>
    <row r="1410" spans="1:33" s="409" customFormat="1" x14ac:dyDescent="0.2">
      <c r="A1410" s="409" t="s">
        <v>696</v>
      </c>
      <c r="B1410" s="23" t="str">
        <f>VLOOKUP(LEFT(A1410,7),'[7]Tariff Schedule Lookup Table'!$A$8:$G$186,2,FALSE)</f>
        <v>Mercury Vapour 50</v>
      </c>
      <c r="C1410" s="375">
        <f t="shared" si="240"/>
        <v>10</v>
      </c>
      <c r="D1410" s="23">
        <f t="shared" si="241"/>
        <v>1</v>
      </c>
      <c r="E1410" s="23" t="str">
        <f>VLOOKUP(C1410,'[7]Tariff Schedule Lookup Table'!I$7:L$287,2,FALSE)</f>
        <v>MERCURY VAPOUR 80W</v>
      </c>
      <c r="F1410" s="23" t="str">
        <f>IF(E1410 = "BULKHEADS ETC", "SHARED OR NO POLE", VLOOKUP(C1410,'[7]Tariff Schedule Lookup Table'!I$7:L$287,3,FALSE))</f>
        <v>SHARED OR NO POLE</v>
      </c>
      <c r="G1410" s="23">
        <f>IF(E1410 = "NO CAPITAL", 1, VLOOKUP(C1410,'[7]Tariff Schedule Lookup Table'!I$7:L$287,4,FALSE))</f>
        <v>1</v>
      </c>
      <c r="H1410" s="23" t="str">
        <f t="shared" si="239"/>
        <v>1-Unmetered, CE Funded, CE Maintained</v>
      </c>
      <c r="I1410" s="374">
        <f>VLOOKUP(F1410,'Maintenance Model'!$A$57:$B$61,2,FALSE)</f>
        <v>0</v>
      </c>
      <c r="J1410" s="374">
        <f>IF(D1410=1,VLOOKUP(C1410,'Capital Code Schedules'!A$15:F$300,2,FALSE),IF(D1410=2,VLOOKUP(C1410,'Capital Code Schedules'!A$15:F$300,3,FALSE),0))</f>
        <v>17.255027166785979</v>
      </c>
      <c r="K1410" s="374">
        <f>IF(D1410=1,VLOOKUP(C1410,'Capital Code Schedules'!E$15:G$300,2,FALSE),IF(D1410=2,VLOOKUP(C1410,'Capital Code Schedules'!E$15:G$300,3,FALSE),0))</f>
        <v>21.887497717034414</v>
      </c>
      <c r="L1410" s="374">
        <f>VLOOKUP(LEFT(A1410,10),'Streetlight Tariff Schedule'!B$11:H$260,7, FALSE)+I1410</f>
        <v>34.136728572789771</v>
      </c>
      <c r="M1410" s="410">
        <f t="shared" si="232"/>
        <v>56.024226289824185</v>
      </c>
      <c r="N1410" s="411">
        <f t="shared" si="233"/>
        <v>53.241248118238246</v>
      </c>
      <c r="O1410" s="411">
        <v>52.989703699083528</v>
      </c>
      <c r="P1410" s="411">
        <v>51.996746871890693</v>
      </c>
      <c r="Q1410" s="411">
        <v>53.998871355249875</v>
      </c>
      <c r="R1410" s="411">
        <v>55.016403863915734</v>
      </c>
      <c r="S1410" s="411">
        <f t="shared" si="234"/>
        <v>55.41910461019279</v>
      </c>
      <c r="T1410" s="411">
        <v>55.841537387678223</v>
      </c>
      <c r="U1410" s="411">
        <v>57.092219536719924</v>
      </c>
      <c r="V1410" s="411">
        <f t="shared" si="235"/>
        <v>57.60930864400617</v>
      </c>
      <c r="W1410" s="411">
        <v>57.599861989059733</v>
      </c>
      <c r="X1410" s="411">
        <v>59.408637496284896</v>
      </c>
      <c r="Y1410" s="411">
        <f t="shared" si="236"/>
        <v>60.020460864652321</v>
      </c>
      <c r="Z1410" s="411">
        <v>59.163851449857866</v>
      </c>
      <c r="AA1410" s="411">
        <v>61.242434758185368</v>
      </c>
      <c r="AB1410" s="441">
        <f t="shared" si="237"/>
        <v>61.244181218602357</v>
      </c>
      <c r="AC1410" s="438">
        <f t="shared" si="238"/>
        <v>63.059657540014911</v>
      </c>
      <c r="AD1410" s="410"/>
      <c r="AE1410" s="411"/>
      <c r="AF1410" s="411"/>
      <c r="AG1410" s="411"/>
    </row>
    <row r="1411" spans="1:33" s="409" customFormat="1" x14ac:dyDescent="0.2">
      <c r="A1411" s="409" t="s">
        <v>697</v>
      </c>
      <c r="B1411" s="23" t="str">
        <f>VLOOKUP(LEFT(A1411,7),'[7]Tariff Schedule Lookup Table'!$A$8:$G$186,2,FALSE)</f>
        <v>Mercury Vapour 50</v>
      </c>
      <c r="C1411" s="375">
        <f t="shared" si="240"/>
        <v>10</v>
      </c>
      <c r="D1411" s="23">
        <f t="shared" si="241"/>
        <v>2</v>
      </c>
      <c r="E1411" s="23" t="str">
        <f>VLOOKUP(C1411,'[7]Tariff Schedule Lookup Table'!I$7:L$287,2,FALSE)</f>
        <v>MERCURY VAPOUR 80W</v>
      </c>
      <c r="F1411" s="23" t="str">
        <f>IF(E1411 = "BULKHEADS ETC", "SHARED OR NO POLE", VLOOKUP(C1411,'[7]Tariff Schedule Lookup Table'!I$7:L$287,3,FALSE))</f>
        <v>SHARED OR NO POLE</v>
      </c>
      <c r="G1411" s="23">
        <f>IF(E1411 = "NO CAPITAL", 1, VLOOKUP(C1411,'[7]Tariff Schedule Lookup Table'!I$7:L$287,4,FALSE))</f>
        <v>1</v>
      </c>
      <c r="H1411" s="23" t="str">
        <f t="shared" si="239"/>
        <v>2-Unmetered, Funded by Others, CE Maintained</v>
      </c>
      <c r="I1411" s="374">
        <f>VLOOKUP(F1411,'Maintenance Model'!$A$57:$B$61,2,FALSE)</f>
        <v>0</v>
      </c>
      <c r="J1411" s="374">
        <f>IF(D1411=1,VLOOKUP(C1411,'Capital Code Schedules'!A$15:F$300,2,FALSE),IF(D1411=2,VLOOKUP(C1411,'Capital Code Schedules'!A$15:F$300,3,FALSE),0))</f>
        <v>0</v>
      </c>
      <c r="K1411" s="374">
        <f>IF(D1411=1,VLOOKUP(C1411,'Capital Code Schedules'!E$15:G$300,2,FALSE),IF(D1411=2,VLOOKUP(C1411,'Capital Code Schedules'!E$15:G$300,3,FALSE),0))</f>
        <v>0</v>
      </c>
      <c r="L1411" s="374">
        <f>VLOOKUP(LEFT(A1411,10),'Streetlight Tariff Schedule'!B$11:H$260,7, FALSE)+I1411</f>
        <v>34.136728572789771</v>
      </c>
      <c r="M1411" s="410">
        <f t="shared" si="232"/>
        <v>34.136728572789771</v>
      </c>
      <c r="N1411" s="411">
        <f t="shared" si="233"/>
        <v>35.559159029074316</v>
      </c>
      <c r="O1411" s="411">
        <v>29.567533586359676</v>
      </c>
      <c r="P1411" s="411">
        <v>29.567533586359676</v>
      </c>
      <c r="Q1411" s="411">
        <v>31.014535040901965</v>
      </c>
      <c r="R1411" s="411">
        <v>31.014535040901965</v>
      </c>
      <c r="S1411" s="411">
        <f t="shared" si="234"/>
        <v>37.299383816072051</v>
      </c>
      <c r="T1411" s="411">
        <v>32.288338749550199</v>
      </c>
      <c r="U1411" s="411">
        <v>32.406297452250271</v>
      </c>
      <c r="V1411" s="411">
        <f t="shared" si="235"/>
        <v>38.973175807252993</v>
      </c>
      <c r="W1411" s="411">
        <v>33.463721684638038</v>
      </c>
      <c r="X1411" s="411">
        <v>33.885862653151719</v>
      </c>
      <c r="Y1411" s="411">
        <f t="shared" si="236"/>
        <v>40.752563124733207</v>
      </c>
      <c r="Z1411" s="411">
        <v>34.43034167290174</v>
      </c>
      <c r="AA1411" s="411">
        <v>34.992260832022893</v>
      </c>
      <c r="AB1411" s="441">
        <f t="shared" si="237"/>
        <v>41.637168478460666</v>
      </c>
      <c r="AC1411" s="438">
        <f t="shared" si="238"/>
        <v>42.882080729135097</v>
      </c>
      <c r="AD1411" s="410"/>
      <c r="AE1411" s="411"/>
      <c r="AF1411" s="411"/>
      <c r="AG1411" s="411"/>
    </row>
    <row r="1412" spans="1:33" s="409" customFormat="1" x14ac:dyDescent="0.2">
      <c r="A1412" s="409" t="s">
        <v>698</v>
      </c>
      <c r="B1412" s="23" t="str">
        <f>VLOOKUP(LEFT(A1412,7),'[7]Tariff Schedule Lookup Table'!$A$8:$G$186,2,FALSE)</f>
        <v>Mercury Vapour 50</v>
      </c>
      <c r="C1412" s="375">
        <f t="shared" si="240"/>
        <v>810</v>
      </c>
      <c r="D1412" s="23">
        <f t="shared" si="241"/>
        <v>2</v>
      </c>
      <c r="E1412" s="23" t="str">
        <f>VLOOKUP(C1412,'[7]Tariff Schedule Lookup Table'!I$7:L$287,2,FALSE)</f>
        <v>MERCURY VAPOUR 80W</v>
      </c>
      <c r="F1412" s="23" t="str">
        <f>IF(E1412 = "BULKHEADS ETC", "SHARED OR NO POLE", VLOOKUP(C1412,'[7]Tariff Schedule Lookup Table'!I$7:L$287,3,FALSE))</f>
        <v>WOOD POLE</v>
      </c>
      <c r="G1412" s="23">
        <f>IF(E1412 = "NO CAPITAL", 1, VLOOKUP(C1412,'[7]Tariff Schedule Lookup Table'!I$7:L$287,4,FALSE))</f>
        <v>1</v>
      </c>
      <c r="H1412" s="23" t="str">
        <f t="shared" si="239"/>
        <v>2-Unmetered, Funded by Others, CE Maintained</v>
      </c>
      <c r="I1412" s="374">
        <f>VLOOKUP(F1412,'Maintenance Model'!$A$57:$B$61,2,FALSE)</f>
        <v>10.731618231111112</v>
      </c>
      <c r="J1412" s="374">
        <f>IF(D1412=1,VLOOKUP(C1412,'Capital Code Schedules'!A$15:F$300,2,FALSE),IF(D1412=2,VLOOKUP(C1412,'Capital Code Schedules'!A$15:F$300,3,FALSE),0))</f>
        <v>0</v>
      </c>
      <c r="K1412" s="374">
        <f>IF(D1412=1,VLOOKUP(C1412,'Capital Code Schedules'!E$15:G$300,2,FALSE),IF(D1412=2,VLOOKUP(C1412,'Capital Code Schedules'!E$15:G$300,3,FALSE),0))</f>
        <v>0</v>
      </c>
      <c r="L1412" s="374">
        <f>VLOOKUP(LEFT(A1412,10),'Streetlight Tariff Schedule'!B$11:H$260,7, FALSE)+I1412</f>
        <v>44.868346803900884</v>
      </c>
      <c r="M1412" s="410">
        <f t="shared" si="232"/>
        <v>44.868346803900884</v>
      </c>
      <c r="N1412" s="411">
        <f t="shared" si="233"/>
        <v>46.737949009071713</v>
      </c>
      <c r="O1412" s="411">
        <v>39.963733661783849</v>
      </c>
      <c r="P1412" s="411">
        <v>39.963733661783849</v>
      </c>
      <c r="Q1412" s="411">
        <v>41.919513320193339</v>
      </c>
      <c r="R1412" s="411">
        <v>41.919513320193339</v>
      </c>
      <c r="S1412" s="411">
        <f t="shared" si="234"/>
        <v>49.025251059508875</v>
      </c>
      <c r="T1412" s="411">
        <v>43.641197409978048</v>
      </c>
      <c r="U1412" s="411">
        <v>43.800631410924616</v>
      </c>
      <c r="V1412" s="411">
        <f t="shared" si="235"/>
        <v>51.225235729327537</v>
      </c>
      <c r="W1412" s="411">
        <v>45.2298551325189</v>
      </c>
      <c r="X1412" s="411">
        <v>45.800424510046923</v>
      </c>
      <c r="Y1412" s="411">
        <f t="shared" si="236"/>
        <v>53.56401189790288</v>
      </c>
      <c r="Z1412" s="411">
        <v>46.536347053811518</v>
      </c>
      <c r="AA1412" s="411">
        <v>47.295841840516729</v>
      </c>
      <c r="AB1412" s="441">
        <f t="shared" si="237"/>
        <v>54.72671205855238</v>
      </c>
      <c r="AC1412" s="438">
        <f t="shared" si="238"/>
        <v>56.362989374481494</v>
      </c>
      <c r="AD1412" s="410"/>
      <c r="AE1412" s="411"/>
      <c r="AF1412" s="411"/>
      <c r="AG1412" s="411"/>
    </row>
    <row r="1413" spans="1:33" s="409" customFormat="1" x14ac:dyDescent="0.2">
      <c r="A1413" s="409" t="s">
        <v>699</v>
      </c>
      <c r="B1413" s="23" t="str">
        <f>VLOOKUP(LEFT(A1413,7),'[7]Tariff Schedule Lookup Table'!$A$8:$G$186,2,FALSE)</f>
        <v>Mercury Vapour 50</v>
      </c>
      <c r="C1413" s="375">
        <f t="shared" si="240"/>
        <v>990</v>
      </c>
      <c r="D1413" s="23">
        <f t="shared" si="241"/>
        <v>1</v>
      </c>
      <c r="E1413" s="23" t="str">
        <f>VLOOKUP(C1413,'[7]Tariff Schedule Lookup Table'!I$7:L$287,2,FALSE)</f>
        <v>MERCURY VAPOUR 80W</v>
      </c>
      <c r="F1413" s="23" t="str">
        <f>IF(E1413 = "BULKHEADS ETC", "SHARED OR NO POLE", VLOOKUP(C1413,'[7]Tariff Schedule Lookup Table'!I$7:L$287,3,FALSE))</f>
        <v>STEEL POLE</v>
      </c>
      <c r="G1413" s="23">
        <f>IF(E1413 = "NO CAPITAL", 1, VLOOKUP(C1413,'[7]Tariff Schedule Lookup Table'!I$7:L$287,4,FALSE))</f>
        <v>1</v>
      </c>
      <c r="H1413" s="23" t="str">
        <f t="shared" si="239"/>
        <v>1-Unmetered, CE Funded, CE Maintained</v>
      </c>
      <c r="I1413" s="374">
        <f>VLOOKUP(F1413,'Maintenance Model'!$A$57:$B$61,2,FALSE)</f>
        <v>9.9616182311111103</v>
      </c>
      <c r="J1413" s="374">
        <f>IF(D1413=1,VLOOKUP(C1413,'Capital Code Schedules'!A$15:F$300,2,FALSE),IF(D1413=2,VLOOKUP(C1413,'Capital Code Schedules'!A$15:F$300,3,FALSE),0))</f>
        <v>86.253661186307269</v>
      </c>
      <c r="K1413" s="374">
        <f>IF(D1413=1,VLOOKUP(C1413,'Capital Code Schedules'!E$15:G$300,2,FALSE),IF(D1413=2,VLOOKUP(C1413,'Capital Code Schedules'!E$15:G$300,3,FALSE),0))</f>
        <v>109.41024862221688</v>
      </c>
      <c r="L1413" s="374">
        <f>VLOOKUP(LEFT(A1413,10),'Streetlight Tariff Schedule'!B$11:H$260,7, FALSE)+I1413</f>
        <v>44.098346803900881</v>
      </c>
      <c r="M1413" s="410">
        <f t="shared" si="232"/>
        <v>153.50859542611778</v>
      </c>
      <c r="N1413" s="411">
        <f t="shared" si="233"/>
        <v>134.32430347041512</v>
      </c>
      <c r="O1413" s="411">
        <v>156.24334945517006</v>
      </c>
      <c r="P1413" s="411">
        <v>151.27980109807558</v>
      </c>
      <c r="Q1413" s="411">
        <v>155.97125190580715</v>
      </c>
      <c r="R1413" s="411">
        <v>161.05764808473972</v>
      </c>
      <c r="S1413" s="411">
        <f t="shared" si="234"/>
        <v>138.75996627404436</v>
      </c>
      <c r="T1413" s="411">
        <v>160.50198489305006</v>
      </c>
      <c r="U1413" s="411">
        <v>166.32042650998631</v>
      </c>
      <c r="V1413" s="411">
        <f t="shared" si="235"/>
        <v>143.503613821203</v>
      </c>
      <c r="W1413" s="411">
        <v>164.97274058473039</v>
      </c>
      <c r="X1413" s="411">
        <v>172.46330541875582</v>
      </c>
      <c r="Y1413" s="411">
        <f t="shared" si="236"/>
        <v>148.96029176288195</v>
      </c>
      <c r="Z1413" s="411">
        <v>169.23911470765412</v>
      </c>
      <c r="AA1413" s="411">
        <v>177.56479938268325</v>
      </c>
      <c r="AB1413" s="441">
        <f t="shared" si="237"/>
        <v>151.79819141293194</v>
      </c>
      <c r="AC1413" s="438">
        <f t="shared" si="238"/>
        <v>156.25849831369115</v>
      </c>
      <c r="AD1413" s="410"/>
      <c r="AE1413" s="411"/>
      <c r="AF1413" s="411"/>
      <c r="AG1413" s="411"/>
    </row>
    <row r="1414" spans="1:33" s="409" customFormat="1" x14ac:dyDescent="0.2">
      <c r="A1414" s="409" t="s">
        <v>700</v>
      </c>
      <c r="B1414" s="23" t="str">
        <f>VLOOKUP(LEFT(A1414,7),'[7]Tariff Schedule Lookup Table'!$A$8:$G$186,2,FALSE)</f>
        <v>Mercury Vapour 50</v>
      </c>
      <c r="C1414" s="375">
        <f t="shared" si="240"/>
        <v>990</v>
      </c>
      <c r="D1414" s="23">
        <f t="shared" si="241"/>
        <v>2</v>
      </c>
      <c r="E1414" s="23" t="str">
        <f>VLOOKUP(C1414,'[7]Tariff Schedule Lookup Table'!I$7:L$287,2,FALSE)</f>
        <v>MERCURY VAPOUR 80W</v>
      </c>
      <c r="F1414" s="23" t="str">
        <f>IF(E1414 = "BULKHEADS ETC", "SHARED OR NO POLE", VLOOKUP(C1414,'[7]Tariff Schedule Lookup Table'!I$7:L$287,3,FALSE))</f>
        <v>STEEL POLE</v>
      </c>
      <c r="G1414" s="23">
        <f>IF(E1414 = "NO CAPITAL", 1, VLOOKUP(C1414,'[7]Tariff Schedule Lookup Table'!I$7:L$287,4,FALSE))</f>
        <v>1</v>
      </c>
      <c r="H1414" s="23" t="str">
        <f t="shared" si="239"/>
        <v>2-Unmetered, Funded by Others, CE Maintained</v>
      </c>
      <c r="I1414" s="374">
        <f>VLOOKUP(F1414,'Maintenance Model'!$A$57:$B$61,2,FALSE)</f>
        <v>9.9616182311111103</v>
      </c>
      <c r="J1414" s="374">
        <f>IF(D1414=1,VLOOKUP(C1414,'Capital Code Schedules'!A$15:F$300,2,FALSE),IF(D1414=2,VLOOKUP(C1414,'Capital Code Schedules'!A$15:F$300,3,FALSE),0))</f>
        <v>0</v>
      </c>
      <c r="K1414" s="374">
        <f>IF(D1414=1,VLOOKUP(C1414,'Capital Code Schedules'!E$15:G$300,2,FALSE),IF(D1414=2,VLOOKUP(C1414,'Capital Code Schedules'!E$15:G$300,3,FALSE),0))</f>
        <v>0</v>
      </c>
      <c r="L1414" s="374">
        <f>VLOOKUP(LEFT(A1414,10),'Streetlight Tariff Schedule'!B$11:H$260,7, FALSE)+I1414</f>
        <v>44.098346803900881</v>
      </c>
      <c r="M1414" s="410">
        <f t="shared" si="232"/>
        <v>44.098346803900881</v>
      </c>
      <c r="N1414" s="411">
        <f t="shared" si="233"/>
        <v>45.935864169746708</v>
      </c>
      <c r="O1414" s="411">
        <v>39.161648822458844</v>
      </c>
      <c r="P1414" s="411">
        <v>39.161648822458844</v>
      </c>
      <c r="Q1414" s="411">
        <v>41.078175361368878</v>
      </c>
      <c r="R1414" s="411">
        <v>41.078175361368878</v>
      </c>
      <c r="S1414" s="411">
        <f t="shared" si="234"/>
        <v>48.183913100684421</v>
      </c>
      <c r="T1414" s="411">
        <v>42.765304704136952</v>
      </c>
      <c r="U1414" s="411">
        <v>42.921538813999405</v>
      </c>
      <c r="V1414" s="411">
        <f t="shared" si="235"/>
        <v>50.346143132402332</v>
      </c>
      <c r="W1414" s="411">
        <v>44.32207756114169</v>
      </c>
      <c r="X1414" s="411">
        <v>44.881195429874985</v>
      </c>
      <c r="Y1414" s="411">
        <f t="shared" si="236"/>
        <v>52.644782817730935</v>
      </c>
      <c r="Z1414" s="411">
        <v>45.602347774231617</v>
      </c>
      <c r="AA1414" s="411">
        <v>46.346599259119287</v>
      </c>
      <c r="AB1414" s="441">
        <f t="shared" si="237"/>
        <v>53.787529510346211</v>
      </c>
      <c r="AC1414" s="438">
        <f t="shared" si="238"/>
        <v>55.395726149740213</v>
      </c>
      <c r="AD1414" s="410"/>
      <c r="AE1414" s="411"/>
      <c r="AF1414" s="411"/>
      <c r="AG1414" s="411"/>
    </row>
    <row r="1415" spans="1:33" s="409" customFormat="1" x14ac:dyDescent="0.2">
      <c r="A1415" s="409" t="s">
        <v>744</v>
      </c>
      <c r="B1415" s="23" t="str">
        <f>VLOOKUP(LEFT(A1415,7),'[7]Tariff Schedule Lookup Table'!$A$8:$G$186,2,FALSE)</f>
        <v>Mercury Vapour 80</v>
      </c>
      <c r="C1415" s="375">
        <f t="shared" si="240"/>
        <v>5</v>
      </c>
      <c r="D1415" s="23">
        <f t="shared" si="241"/>
        <v>1</v>
      </c>
      <c r="E1415" s="23" t="str">
        <f>VLOOKUP(C1415,'[7]Tariff Schedule Lookup Table'!I$7:L$287,2,FALSE)</f>
        <v>MAINTENANCE COMPONENT</v>
      </c>
      <c r="F1415" s="23" t="str">
        <f>IF(E1415 = "BULKHEADS ETC", "SHARED OR NO POLE", VLOOKUP(C1415,'[7]Tariff Schedule Lookup Table'!I$7:L$287,3,FALSE))</f>
        <v>NO CAPITAL</v>
      </c>
      <c r="G1415" s="23">
        <f>IF(E1415 = "NO CAPITAL", 1, VLOOKUP(C1415,'[7]Tariff Schedule Lookup Table'!I$7:L$287,4,FALSE))</f>
        <v>1</v>
      </c>
      <c r="H1415" s="23" t="str">
        <f t="shared" si="239"/>
        <v>1-Unmetered, CE Funded, CE Maintained</v>
      </c>
      <c r="I1415" s="374">
        <f>VLOOKUP(F1415,'Maintenance Model'!$A$57:$B$61,2,FALSE)</f>
        <v>0</v>
      </c>
      <c r="J1415" s="374">
        <f>IF(D1415=1,VLOOKUP(C1415,'Capital Code Schedules'!A$15:F$300,2,FALSE),IF(D1415=2,VLOOKUP(C1415,'Capital Code Schedules'!A$15:F$300,3,FALSE),0))</f>
        <v>0</v>
      </c>
      <c r="K1415" s="374">
        <f>IF(D1415=1,VLOOKUP(C1415,'Capital Code Schedules'!E$15:G$300,2,FALSE),IF(D1415=2,VLOOKUP(C1415,'Capital Code Schedules'!E$15:G$300,3,FALSE),0))</f>
        <v>0</v>
      </c>
      <c r="L1415" s="374">
        <f>VLOOKUP(LEFT(A1415,10),'Streetlight Tariff Schedule'!B$11:H$260,7, FALSE)+I1415</f>
        <v>34.396113742339779</v>
      </c>
      <c r="M1415" s="410">
        <f t="shared" si="232"/>
        <v>34.396113742339779</v>
      </c>
      <c r="N1415" s="411">
        <f t="shared" si="233"/>
        <v>35.829352421336402</v>
      </c>
      <c r="O1415" s="411">
        <v>29.84449639805074</v>
      </c>
      <c r="P1415" s="411">
        <v>29.84449639805074</v>
      </c>
      <c r="Q1415" s="411">
        <v>31.305052097494812</v>
      </c>
      <c r="R1415" s="411">
        <v>31.305052097494812</v>
      </c>
      <c r="S1415" s="411">
        <f t="shared" si="234"/>
        <v>37.582800165550672</v>
      </c>
      <c r="T1415" s="411">
        <v>32.590787685941514</v>
      </c>
      <c r="U1415" s="411">
        <v>32.709851322668897</v>
      </c>
      <c r="V1415" s="411">
        <f t="shared" si="235"/>
        <v>39.269310329725201</v>
      </c>
      <c r="W1415" s="411">
        <v>33.777180581043936</v>
      </c>
      <c r="X1415" s="411">
        <v>34.203275797186286</v>
      </c>
      <c r="Y1415" s="411">
        <f t="shared" si="236"/>
        <v>41.062218177740604</v>
      </c>
      <c r="Z1415" s="411">
        <v>34.752855020501691</v>
      </c>
      <c r="AA1415" s="411">
        <v>35.320037747170637</v>
      </c>
      <c r="AB1415" s="441">
        <f t="shared" si="237"/>
        <v>41.953545133661791</v>
      </c>
      <c r="AC1415" s="438">
        <f t="shared" si="238"/>
        <v>43.207916749328604</v>
      </c>
      <c r="AD1415" s="410"/>
      <c r="AE1415" s="411"/>
      <c r="AF1415" s="411"/>
      <c r="AG1415" s="411"/>
    </row>
    <row r="1416" spans="1:33" s="409" customFormat="1" x14ac:dyDescent="0.2">
      <c r="A1416" s="409" t="s">
        <v>701</v>
      </c>
      <c r="B1416" s="23" t="str">
        <f>VLOOKUP(LEFT(A1416,7),'[7]Tariff Schedule Lookup Table'!$A$8:$G$186,2,FALSE)</f>
        <v>Mercury Vapour 80</v>
      </c>
      <c r="C1416" s="375">
        <f t="shared" si="240"/>
        <v>10</v>
      </c>
      <c r="D1416" s="23">
        <f t="shared" si="241"/>
        <v>1</v>
      </c>
      <c r="E1416" s="23" t="str">
        <f>VLOOKUP(C1416,'[7]Tariff Schedule Lookup Table'!I$7:L$287,2,FALSE)</f>
        <v>MERCURY VAPOUR 80W</v>
      </c>
      <c r="F1416" s="23" t="str">
        <f>IF(E1416 = "BULKHEADS ETC", "SHARED OR NO POLE", VLOOKUP(C1416,'[7]Tariff Schedule Lookup Table'!I$7:L$287,3,FALSE))</f>
        <v>SHARED OR NO POLE</v>
      </c>
      <c r="G1416" s="23">
        <f>IF(E1416 = "NO CAPITAL", 1, VLOOKUP(C1416,'[7]Tariff Schedule Lookup Table'!I$7:L$287,4,FALSE))</f>
        <v>1</v>
      </c>
      <c r="H1416" s="23" t="str">
        <f t="shared" si="239"/>
        <v>1-Unmetered, CE Funded, CE Maintained</v>
      </c>
      <c r="I1416" s="374">
        <f>VLOOKUP(F1416,'Maintenance Model'!$A$57:$B$61,2,FALSE)</f>
        <v>0</v>
      </c>
      <c r="J1416" s="374">
        <f>IF(D1416=1,VLOOKUP(C1416,'Capital Code Schedules'!A$15:F$300,2,FALSE),IF(D1416=2,VLOOKUP(C1416,'Capital Code Schedules'!A$15:F$300,3,FALSE),0))</f>
        <v>17.255027166785979</v>
      </c>
      <c r="K1416" s="374">
        <f>IF(D1416=1,VLOOKUP(C1416,'Capital Code Schedules'!E$15:G$300,2,FALSE),IF(D1416=2,VLOOKUP(C1416,'Capital Code Schedules'!E$15:G$300,3,FALSE),0))</f>
        <v>21.887497717034414</v>
      </c>
      <c r="L1416" s="374">
        <f>VLOOKUP(LEFT(A1416,10),'Streetlight Tariff Schedule'!B$11:H$260,7, FALSE)+I1416</f>
        <v>34.396113742339779</v>
      </c>
      <c r="M1416" s="410">
        <f t="shared" si="232"/>
        <v>56.283611459374193</v>
      </c>
      <c r="N1416" s="411">
        <f t="shared" si="233"/>
        <v>53.511441510500333</v>
      </c>
      <c r="O1416" s="411">
        <v>53.266666510774591</v>
      </c>
      <c r="P1416" s="411">
        <v>52.273709683581764</v>
      </c>
      <c r="Q1416" s="411">
        <v>54.289388411842722</v>
      </c>
      <c r="R1416" s="411">
        <v>55.306920920508581</v>
      </c>
      <c r="S1416" s="411">
        <f t="shared" si="234"/>
        <v>55.702520959671418</v>
      </c>
      <c r="T1416" s="411">
        <v>56.143986324069537</v>
      </c>
      <c r="U1416" s="411">
        <v>57.395773407138563</v>
      </c>
      <c r="V1416" s="411">
        <f t="shared" si="235"/>
        <v>57.905443166478378</v>
      </c>
      <c r="W1416" s="411">
        <v>57.91332088546563</v>
      </c>
      <c r="X1416" s="411">
        <v>59.726050640319464</v>
      </c>
      <c r="Y1416" s="411">
        <f t="shared" si="236"/>
        <v>60.330115917659718</v>
      </c>
      <c r="Z1416" s="411">
        <v>59.486364797457824</v>
      </c>
      <c r="AA1416" s="411">
        <v>61.570211673333112</v>
      </c>
      <c r="AB1416" s="441">
        <f t="shared" si="237"/>
        <v>61.560557873803482</v>
      </c>
      <c r="AC1416" s="438">
        <f t="shared" si="238"/>
        <v>63.385493560208417</v>
      </c>
      <c r="AD1416" s="410"/>
      <c r="AE1416" s="411"/>
      <c r="AF1416" s="411"/>
      <c r="AG1416" s="411"/>
    </row>
    <row r="1417" spans="1:33" s="409" customFormat="1" x14ac:dyDescent="0.2">
      <c r="A1417" s="409" t="s">
        <v>702</v>
      </c>
      <c r="B1417" s="23" t="str">
        <f>VLOOKUP(LEFT(A1417,7),'[7]Tariff Schedule Lookup Table'!$A$8:$G$186,2,FALSE)</f>
        <v>Mercury Vapour 80</v>
      </c>
      <c r="C1417" s="375">
        <f t="shared" si="240"/>
        <v>10</v>
      </c>
      <c r="D1417" s="23">
        <f t="shared" si="241"/>
        <v>2</v>
      </c>
      <c r="E1417" s="23" t="str">
        <f>VLOOKUP(C1417,'[7]Tariff Schedule Lookup Table'!I$7:L$287,2,FALSE)</f>
        <v>MERCURY VAPOUR 80W</v>
      </c>
      <c r="F1417" s="23" t="str">
        <f>IF(E1417 = "BULKHEADS ETC", "SHARED OR NO POLE", VLOOKUP(C1417,'[7]Tariff Schedule Lookup Table'!I$7:L$287,3,FALSE))</f>
        <v>SHARED OR NO POLE</v>
      </c>
      <c r="G1417" s="23">
        <f>IF(E1417 = "NO CAPITAL", 1, VLOOKUP(C1417,'[7]Tariff Schedule Lookup Table'!I$7:L$287,4,FALSE))</f>
        <v>1</v>
      </c>
      <c r="H1417" s="23" t="str">
        <f t="shared" si="239"/>
        <v>2-Unmetered, Funded by Others, CE Maintained</v>
      </c>
      <c r="I1417" s="374">
        <f>VLOOKUP(F1417,'Maintenance Model'!$A$57:$B$61,2,FALSE)</f>
        <v>0</v>
      </c>
      <c r="J1417" s="374">
        <f>IF(D1417=1,VLOOKUP(C1417,'Capital Code Schedules'!A$15:F$300,2,FALSE),IF(D1417=2,VLOOKUP(C1417,'Capital Code Schedules'!A$15:F$300,3,FALSE),0))</f>
        <v>0</v>
      </c>
      <c r="K1417" s="374">
        <f>IF(D1417=1,VLOOKUP(C1417,'Capital Code Schedules'!E$15:G$300,2,FALSE),IF(D1417=2,VLOOKUP(C1417,'Capital Code Schedules'!E$15:G$300,3,FALSE),0))</f>
        <v>0</v>
      </c>
      <c r="L1417" s="374">
        <f>VLOOKUP(LEFT(A1417,10),'Streetlight Tariff Schedule'!B$11:H$260,7, FALSE)+I1417</f>
        <v>34.396113742339779</v>
      </c>
      <c r="M1417" s="410">
        <f t="shared" si="232"/>
        <v>34.396113742339779</v>
      </c>
      <c r="N1417" s="411">
        <f t="shared" si="233"/>
        <v>35.829352421336402</v>
      </c>
      <c r="O1417" s="411">
        <v>29.84449639805074</v>
      </c>
      <c r="P1417" s="411">
        <v>29.84449639805074</v>
      </c>
      <c r="Q1417" s="411">
        <v>31.305052097494812</v>
      </c>
      <c r="R1417" s="411">
        <v>31.305052097494812</v>
      </c>
      <c r="S1417" s="411">
        <f t="shared" si="234"/>
        <v>37.582800165550672</v>
      </c>
      <c r="T1417" s="411">
        <v>32.590787685941514</v>
      </c>
      <c r="U1417" s="411">
        <v>32.709851322668897</v>
      </c>
      <c r="V1417" s="411">
        <f t="shared" si="235"/>
        <v>39.269310329725201</v>
      </c>
      <c r="W1417" s="411">
        <v>33.777180581043936</v>
      </c>
      <c r="X1417" s="411">
        <v>34.203275797186286</v>
      </c>
      <c r="Y1417" s="411">
        <f t="shared" si="236"/>
        <v>41.062218177740604</v>
      </c>
      <c r="Z1417" s="411">
        <v>34.752855020501691</v>
      </c>
      <c r="AA1417" s="411">
        <v>35.320037747170637</v>
      </c>
      <c r="AB1417" s="441">
        <f t="shared" si="237"/>
        <v>41.953545133661791</v>
      </c>
      <c r="AC1417" s="438">
        <f t="shared" si="238"/>
        <v>43.207916749328604</v>
      </c>
      <c r="AD1417" s="410"/>
      <c r="AE1417" s="411"/>
      <c r="AF1417" s="411"/>
      <c r="AG1417" s="411"/>
    </row>
    <row r="1418" spans="1:33" s="409" customFormat="1" x14ac:dyDescent="0.2">
      <c r="A1418" s="409" t="s">
        <v>704</v>
      </c>
      <c r="B1418" s="23" t="str">
        <f>VLOOKUP(LEFT(A1418,7),'[7]Tariff Schedule Lookup Table'!$A$8:$G$186,2,FALSE)</f>
        <v>Mercury Vapour 80</v>
      </c>
      <c r="C1418" s="375">
        <f t="shared" si="240"/>
        <v>740</v>
      </c>
      <c r="D1418" s="23">
        <f t="shared" si="241"/>
        <v>1</v>
      </c>
      <c r="E1418" s="23" t="str">
        <f>VLOOKUP(C1418,'[7]Tariff Schedule Lookup Table'!I$7:L$287,2,FALSE)</f>
        <v>MERCURY VAPOUR 80W</v>
      </c>
      <c r="F1418" s="23" t="str">
        <f>IF(E1418 = "BULKHEADS ETC", "SHARED OR NO POLE", VLOOKUP(C1418,'[7]Tariff Schedule Lookup Table'!I$7:L$287,3,FALSE))</f>
        <v>SHARED OR NO POLE</v>
      </c>
      <c r="G1418" s="23">
        <f>IF(E1418 = "NO CAPITAL", 1, VLOOKUP(C1418,'[7]Tariff Schedule Lookup Table'!I$7:L$287,4,FALSE))</f>
        <v>2</v>
      </c>
      <c r="H1418" s="23" t="str">
        <f t="shared" si="239"/>
        <v>1-Unmetered, CE Funded, CE Maintained</v>
      </c>
      <c r="I1418" s="374">
        <f>VLOOKUP(F1418,'Maintenance Model'!$A$57:$B$61,2,FALSE)</f>
        <v>0</v>
      </c>
      <c r="J1418" s="374">
        <f>IF(D1418=1,VLOOKUP(C1418,'Capital Code Schedules'!A$15:F$300,2,FALSE),IF(D1418=2,VLOOKUP(C1418,'Capital Code Schedules'!A$15:F$300,3,FALSE),0))</f>
        <v>23.919781035330548</v>
      </c>
      <c r="K1418" s="374">
        <f>IF(D1418=1,VLOOKUP(C1418,'Capital Code Schedules'!E$15:G$300,2,FALSE),IF(D1418=2,VLOOKUP(C1418,'Capital Code Schedules'!E$15:G$300,3,FALSE),0))</f>
        <v>30.34154323503618</v>
      </c>
      <c r="L1418" s="374">
        <f>VLOOKUP(LEFT(A1418,10),'Streetlight Tariff Schedule'!B$11:H$260,7, FALSE)+I1418</f>
        <v>34.396113742339779</v>
      </c>
      <c r="M1418" s="410">
        <f t="shared" si="232"/>
        <v>64.737656977375963</v>
      </c>
      <c r="N1418" s="411">
        <f t="shared" si="233"/>
        <v>60.341148037291376</v>
      </c>
      <c r="O1418" s="411">
        <v>62.313479208291888</v>
      </c>
      <c r="P1418" s="411">
        <v>60.936992828154068</v>
      </c>
      <c r="Q1418" s="411">
        <v>63.167087814243196</v>
      </c>
      <c r="R1418" s="411">
        <v>64.577642232289435</v>
      </c>
      <c r="S1418" s="411">
        <f t="shared" si="234"/>
        <v>62.701262723000539</v>
      </c>
      <c r="T1418" s="411">
        <v>65.241408786679429</v>
      </c>
      <c r="U1418" s="411">
        <v>66.930710276305163</v>
      </c>
      <c r="V1418" s="411">
        <f t="shared" si="235"/>
        <v>65.103649070062374</v>
      </c>
      <c r="W1418" s="411">
        <v>67.235904554025112</v>
      </c>
      <c r="X1418" s="411">
        <v>69.584221869350813</v>
      </c>
      <c r="Y1418" s="411">
        <f t="shared" si="236"/>
        <v>67.772341001375224</v>
      </c>
      <c r="Z1418" s="411">
        <v>69.039682411814141</v>
      </c>
      <c r="AA1418" s="411">
        <v>71.709340782391862</v>
      </c>
      <c r="AB1418" s="441">
        <f t="shared" si="237"/>
        <v>69.133766118992369</v>
      </c>
      <c r="AC1418" s="438">
        <f t="shared" si="238"/>
        <v>71.179082165332304</v>
      </c>
      <c r="AD1418" s="410"/>
      <c r="AE1418" s="411"/>
      <c r="AF1418" s="411"/>
      <c r="AG1418" s="411"/>
    </row>
    <row r="1419" spans="1:33" s="409" customFormat="1" x14ac:dyDescent="0.2">
      <c r="A1419" s="409" t="s">
        <v>705</v>
      </c>
      <c r="B1419" s="23" t="str">
        <f>VLOOKUP(LEFT(A1419,7),'[7]Tariff Schedule Lookup Table'!$A$8:$G$186,2,FALSE)</f>
        <v>Mercury Vapour 80</v>
      </c>
      <c r="C1419" s="375">
        <f t="shared" si="240"/>
        <v>740</v>
      </c>
      <c r="D1419" s="23">
        <f t="shared" si="241"/>
        <v>2</v>
      </c>
      <c r="E1419" s="23" t="str">
        <f>VLOOKUP(C1419,'[7]Tariff Schedule Lookup Table'!I$7:L$287,2,FALSE)</f>
        <v>MERCURY VAPOUR 80W</v>
      </c>
      <c r="F1419" s="23" t="str">
        <f>IF(E1419 = "BULKHEADS ETC", "SHARED OR NO POLE", VLOOKUP(C1419,'[7]Tariff Schedule Lookup Table'!I$7:L$287,3,FALSE))</f>
        <v>SHARED OR NO POLE</v>
      </c>
      <c r="G1419" s="23">
        <f>IF(E1419 = "NO CAPITAL", 1, VLOOKUP(C1419,'[7]Tariff Schedule Lookup Table'!I$7:L$287,4,FALSE))</f>
        <v>2</v>
      </c>
      <c r="H1419" s="23" t="str">
        <f t="shared" si="239"/>
        <v>2-Unmetered, Funded by Others, CE Maintained</v>
      </c>
      <c r="I1419" s="374">
        <f>VLOOKUP(F1419,'Maintenance Model'!$A$57:$B$61,2,FALSE)</f>
        <v>0</v>
      </c>
      <c r="J1419" s="374">
        <f>IF(D1419=1,VLOOKUP(C1419,'Capital Code Schedules'!A$15:F$300,2,FALSE),IF(D1419=2,VLOOKUP(C1419,'Capital Code Schedules'!A$15:F$300,3,FALSE),0))</f>
        <v>0</v>
      </c>
      <c r="K1419" s="374">
        <f>IF(D1419=1,VLOOKUP(C1419,'Capital Code Schedules'!E$15:G$300,2,FALSE),IF(D1419=2,VLOOKUP(C1419,'Capital Code Schedules'!E$15:G$300,3,FALSE),0))</f>
        <v>0</v>
      </c>
      <c r="L1419" s="374">
        <f>VLOOKUP(LEFT(A1419,10),'Streetlight Tariff Schedule'!B$11:H$260,7, FALSE)+I1419</f>
        <v>34.396113742339779</v>
      </c>
      <c r="M1419" s="410">
        <f t="shared" si="232"/>
        <v>34.396113742339779</v>
      </c>
      <c r="N1419" s="411">
        <f t="shared" si="233"/>
        <v>35.829352421336402</v>
      </c>
      <c r="O1419" s="411">
        <v>29.84449639805074</v>
      </c>
      <c r="P1419" s="411">
        <v>29.84449639805074</v>
      </c>
      <c r="Q1419" s="411">
        <v>31.305052097494812</v>
      </c>
      <c r="R1419" s="411">
        <v>31.305052097494812</v>
      </c>
      <c r="S1419" s="411">
        <f t="shared" si="234"/>
        <v>37.582800165550672</v>
      </c>
      <c r="T1419" s="411">
        <v>32.590787685941514</v>
      </c>
      <c r="U1419" s="411">
        <v>32.709851322668897</v>
      </c>
      <c r="V1419" s="411">
        <f t="shared" si="235"/>
        <v>39.269310329725201</v>
      </c>
      <c r="W1419" s="411">
        <v>33.777180581043936</v>
      </c>
      <c r="X1419" s="411">
        <v>34.203275797186286</v>
      </c>
      <c r="Y1419" s="411">
        <f t="shared" si="236"/>
        <v>41.062218177740604</v>
      </c>
      <c r="Z1419" s="411">
        <v>34.752855020501691</v>
      </c>
      <c r="AA1419" s="411">
        <v>35.320037747170637</v>
      </c>
      <c r="AB1419" s="441">
        <f t="shared" si="237"/>
        <v>41.953545133661791</v>
      </c>
      <c r="AC1419" s="438">
        <f t="shared" si="238"/>
        <v>43.207916749328604</v>
      </c>
      <c r="AD1419" s="410"/>
      <c r="AE1419" s="411"/>
      <c r="AF1419" s="411"/>
      <c r="AG1419" s="411"/>
    </row>
    <row r="1420" spans="1:33" s="409" customFormat="1" x14ac:dyDescent="0.2">
      <c r="A1420" s="409" t="s">
        <v>706</v>
      </c>
      <c r="B1420" s="23" t="str">
        <f>VLOOKUP(LEFT(A1420,7),'[7]Tariff Schedule Lookup Table'!$A$8:$G$186,2,FALSE)</f>
        <v>Mercury Vapour 80</v>
      </c>
      <c r="C1420" s="375">
        <f t="shared" si="240"/>
        <v>810</v>
      </c>
      <c r="D1420" s="23">
        <f t="shared" si="241"/>
        <v>1</v>
      </c>
      <c r="E1420" s="23" t="str">
        <f>VLOOKUP(C1420,'[7]Tariff Schedule Lookup Table'!I$7:L$287,2,FALSE)</f>
        <v>MERCURY VAPOUR 80W</v>
      </c>
      <c r="F1420" s="23" t="str">
        <f>IF(E1420 = "BULKHEADS ETC", "SHARED OR NO POLE", VLOOKUP(C1420,'[7]Tariff Schedule Lookup Table'!I$7:L$287,3,FALSE))</f>
        <v>WOOD POLE</v>
      </c>
      <c r="G1420" s="23">
        <f>IF(E1420 = "NO CAPITAL", 1, VLOOKUP(C1420,'[7]Tariff Schedule Lookup Table'!I$7:L$287,4,FALSE))</f>
        <v>1</v>
      </c>
      <c r="H1420" s="23" t="str">
        <f t="shared" si="239"/>
        <v>1-Unmetered, CE Funded, CE Maintained</v>
      </c>
      <c r="I1420" s="374">
        <f>VLOOKUP(F1420,'Maintenance Model'!$A$57:$B$61,2,FALSE)</f>
        <v>10.731618231111112</v>
      </c>
      <c r="J1420" s="374">
        <f>IF(D1420=1,VLOOKUP(C1420,'Capital Code Schedules'!A$15:F$300,2,FALSE),IF(D1420=2,VLOOKUP(C1420,'Capital Code Schedules'!A$15:F$300,3,FALSE),0))</f>
        <v>51.156145528662286</v>
      </c>
      <c r="K1420" s="374">
        <f>IF(D1420=1,VLOOKUP(C1420,'Capital Code Schedules'!E$15:G$300,2,FALSE),IF(D1420=2,VLOOKUP(C1420,'Capital Code Schedules'!E$15:G$300,3,FALSE),0))</f>
        <v>64.890075665956445</v>
      </c>
      <c r="L1420" s="374">
        <f>VLOOKUP(LEFT(A1420,10),'Streetlight Tariff Schedule'!B$11:H$260,7, FALSE)+I1420</f>
        <v>45.127731973450892</v>
      </c>
      <c r="M1420" s="410">
        <f t="shared" si="232"/>
        <v>110.01780763940734</v>
      </c>
      <c r="N1420" s="411">
        <f t="shared" si="233"/>
        <v>99.430402531830481</v>
      </c>
      <c r="O1420" s="411">
        <v>109.68063019841073</v>
      </c>
      <c r="P1420" s="411">
        <v>106.73680151216377</v>
      </c>
      <c r="Q1420" s="411">
        <v>110.35191401518262</v>
      </c>
      <c r="R1420" s="411">
        <v>113.36860246141417</v>
      </c>
      <c r="S1420" s="411">
        <f t="shared" si="234"/>
        <v>103.02837847771397</v>
      </c>
      <c r="T1420" s="411">
        <v>113.77204160481611</v>
      </c>
      <c r="U1420" s="411">
        <v>117.29077667038312</v>
      </c>
      <c r="V1420" s="411">
        <f t="shared" si="235"/>
        <v>106.77209308598492</v>
      </c>
      <c r="W1420" s="411">
        <v>117.09996207001808</v>
      </c>
      <c r="X1420" s="411">
        <v>121.78545449120982</v>
      </c>
      <c r="Y1420" s="411">
        <f t="shared" si="236"/>
        <v>110.99738928917431</v>
      </c>
      <c r="Z1420" s="411">
        <v>120.1865354815218</v>
      </c>
      <c r="AA1420" s="411">
        <v>125.44776267265095</v>
      </c>
      <c r="AB1420" s="441">
        <f t="shared" si="237"/>
        <v>113.172188565171</v>
      </c>
      <c r="AC1420" s="438">
        <f t="shared" si="238"/>
        <v>116.50948205176874</v>
      </c>
      <c r="AD1420" s="410"/>
      <c r="AE1420" s="411"/>
      <c r="AF1420" s="411"/>
      <c r="AG1420" s="411"/>
    </row>
    <row r="1421" spans="1:33" s="409" customFormat="1" x14ac:dyDescent="0.2">
      <c r="A1421" s="409" t="s">
        <v>707</v>
      </c>
      <c r="B1421" s="23" t="str">
        <f>VLOOKUP(LEFT(A1421,7),'[7]Tariff Schedule Lookup Table'!$A$8:$G$186,2,FALSE)</f>
        <v>Mercury Vapour 80</v>
      </c>
      <c r="C1421" s="375">
        <f t="shared" si="240"/>
        <v>810</v>
      </c>
      <c r="D1421" s="23">
        <f t="shared" si="241"/>
        <v>2</v>
      </c>
      <c r="E1421" s="23" t="str">
        <f>VLOOKUP(C1421,'[7]Tariff Schedule Lookup Table'!I$7:L$287,2,FALSE)</f>
        <v>MERCURY VAPOUR 80W</v>
      </c>
      <c r="F1421" s="23" t="str">
        <f>IF(E1421 = "BULKHEADS ETC", "SHARED OR NO POLE", VLOOKUP(C1421,'[7]Tariff Schedule Lookup Table'!I$7:L$287,3,FALSE))</f>
        <v>WOOD POLE</v>
      </c>
      <c r="G1421" s="23">
        <f>IF(E1421 = "NO CAPITAL", 1, VLOOKUP(C1421,'[7]Tariff Schedule Lookup Table'!I$7:L$287,4,FALSE))</f>
        <v>1</v>
      </c>
      <c r="H1421" s="23" t="str">
        <f t="shared" si="239"/>
        <v>2-Unmetered, Funded by Others, CE Maintained</v>
      </c>
      <c r="I1421" s="374">
        <f>VLOOKUP(F1421,'Maintenance Model'!$A$57:$B$61,2,FALSE)</f>
        <v>10.731618231111112</v>
      </c>
      <c r="J1421" s="374">
        <f>IF(D1421=1,VLOOKUP(C1421,'Capital Code Schedules'!A$15:F$300,2,FALSE),IF(D1421=2,VLOOKUP(C1421,'Capital Code Schedules'!A$15:F$300,3,FALSE),0))</f>
        <v>0</v>
      </c>
      <c r="K1421" s="374">
        <f>IF(D1421=1,VLOOKUP(C1421,'Capital Code Schedules'!E$15:G$300,2,FALSE),IF(D1421=2,VLOOKUP(C1421,'Capital Code Schedules'!E$15:G$300,3,FALSE),0))</f>
        <v>0</v>
      </c>
      <c r="L1421" s="374">
        <f>VLOOKUP(LEFT(A1421,10),'Streetlight Tariff Schedule'!B$11:H$260,7, FALSE)+I1421</f>
        <v>45.127731973450892</v>
      </c>
      <c r="M1421" s="410">
        <f t="shared" si="232"/>
        <v>45.127731973450892</v>
      </c>
      <c r="N1421" s="411">
        <f t="shared" si="233"/>
        <v>47.008142401333799</v>
      </c>
      <c r="O1421" s="411">
        <v>40.240696473474905</v>
      </c>
      <c r="P1421" s="411">
        <v>40.240696473474905</v>
      </c>
      <c r="Q1421" s="411">
        <v>42.210030376786186</v>
      </c>
      <c r="R1421" s="411">
        <v>42.210030376786186</v>
      </c>
      <c r="S1421" s="411">
        <f t="shared" si="234"/>
        <v>49.308667408987503</v>
      </c>
      <c r="T1421" s="411">
        <v>43.943646346369363</v>
      </c>
      <c r="U1421" s="411">
        <v>44.104185281343241</v>
      </c>
      <c r="V1421" s="411">
        <f t="shared" si="235"/>
        <v>51.521370251799752</v>
      </c>
      <c r="W1421" s="411">
        <v>45.54331402892479</v>
      </c>
      <c r="X1421" s="411">
        <v>46.117837654081491</v>
      </c>
      <c r="Y1421" s="411">
        <f t="shared" si="236"/>
        <v>53.87366695091027</v>
      </c>
      <c r="Z1421" s="411">
        <v>46.858860401411469</v>
      </c>
      <c r="AA1421" s="411">
        <v>47.623618755664467</v>
      </c>
      <c r="AB1421" s="441">
        <f t="shared" si="237"/>
        <v>55.043088713753505</v>
      </c>
      <c r="AC1421" s="438">
        <f t="shared" si="238"/>
        <v>56.688825394675</v>
      </c>
      <c r="AD1421" s="410"/>
      <c r="AE1421" s="411"/>
      <c r="AF1421" s="411"/>
      <c r="AG1421" s="411"/>
    </row>
    <row r="1422" spans="1:33" s="409" customFormat="1" x14ac:dyDescent="0.2">
      <c r="A1422" s="409" t="s">
        <v>750</v>
      </c>
      <c r="B1422" s="23" t="str">
        <f>VLOOKUP(LEFT(A1422,7),'[7]Tariff Schedule Lookup Table'!$A$8:$G$186,2,FALSE)</f>
        <v>Mercury Vapour 80</v>
      </c>
      <c r="C1422" s="375">
        <f t="shared" si="240"/>
        <v>820</v>
      </c>
      <c r="D1422" s="23">
        <f t="shared" si="241"/>
        <v>1</v>
      </c>
      <c r="E1422" s="23" t="str">
        <f>VLOOKUP(C1422,'[7]Tariff Schedule Lookup Table'!I$7:L$287,2,FALSE)</f>
        <v>MERCURY VAPOUR 80W</v>
      </c>
      <c r="F1422" s="23" t="str">
        <f>IF(E1422 = "BULKHEADS ETC", "SHARED OR NO POLE", VLOOKUP(C1422,'[7]Tariff Schedule Lookup Table'!I$7:L$287,3,FALSE))</f>
        <v>SHARED OR NO POLE</v>
      </c>
      <c r="G1422" s="23">
        <f>IF(E1422 = "NO CAPITAL", 1, VLOOKUP(C1422,'[7]Tariff Schedule Lookup Table'!I$7:L$287,4,FALSE))</f>
        <v>3</v>
      </c>
      <c r="H1422" s="23" t="str">
        <f t="shared" si="239"/>
        <v>1-Unmetered, CE Funded, CE Maintained</v>
      </c>
      <c r="I1422" s="374">
        <f>VLOOKUP(F1422,'Maintenance Model'!$A$57:$B$61,2,FALSE)</f>
        <v>0</v>
      </c>
      <c r="J1422" s="374">
        <f>IF(D1422=1,VLOOKUP(C1422,'Capital Code Schedules'!A$15:F$300,2,FALSE),IF(D1422=2,VLOOKUP(C1422,'Capital Code Schedules'!A$15:F$300,3,FALSE),0))</f>
        <v>30.584534903875124</v>
      </c>
      <c r="K1422" s="374">
        <f>IF(D1422=1,VLOOKUP(C1422,'Capital Code Schedules'!E$15:G$300,2,FALSE),IF(D1422=2,VLOOKUP(C1422,'Capital Code Schedules'!E$15:G$300,3,FALSE),0))</f>
        <v>38.795588753037947</v>
      </c>
      <c r="L1422" s="374">
        <f>VLOOKUP(LEFT(A1422,10),'Streetlight Tariff Schedule'!B$11:H$260,7, FALSE)+I1422</f>
        <v>34.396113742339779</v>
      </c>
      <c r="M1422" s="410">
        <f t="shared" si="232"/>
        <v>73.191702495377726</v>
      </c>
      <c r="N1422" s="411">
        <f t="shared" si="233"/>
        <v>67.170854564082433</v>
      </c>
      <c r="O1422" s="411">
        <v>71.360291905809191</v>
      </c>
      <c r="P1422" s="411">
        <v>69.600275972726379</v>
      </c>
      <c r="Q1422" s="411">
        <v>72.04478721664367</v>
      </c>
      <c r="R1422" s="411">
        <v>73.848363544070281</v>
      </c>
      <c r="S1422" s="411">
        <f t="shared" si="234"/>
        <v>69.700004486329675</v>
      </c>
      <c r="T1422" s="411">
        <v>74.338831249289314</v>
      </c>
      <c r="U1422" s="411">
        <v>76.465647145471763</v>
      </c>
      <c r="V1422" s="411">
        <f t="shared" si="235"/>
        <v>72.3018549736464</v>
      </c>
      <c r="W1422" s="411">
        <v>76.558488222584586</v>
      </c>
      <c r="X1422" s="411">
        <v>79.442393098382169</v>
      </c>
      <c r="Y1422" s="411">
        <f t="shared" si="236"/>
        <v>75.214566085090723</v>
      </c>
      <c r="Z1422" s="411">
        <v>78.593000026170458</v>
      </c>
      <c r="AA1422" s="411">
        <v>81.848469891450591</v>
      </c>
      <c r="AB1422" s="441">
        <f t="shared" si="237"/>
        <v>76.706974364181278</v>
      </c>
      <c r="AC1422" s="438">
        <f t="shared" si="238"/>
        <v>78.972670770456219</v>
      </c>
      <c r="AD1422" s="410"/>
      <c r="AE1422" s="411"/>
      <c r="AF1422" s="411"/>
      <c r="AG1422" s="411"/>
    </row>
    <row r="1423" spans="1:33" s="409" customFormat="1" x14ac:dyDescent="0.2">
      <c r="A1423" s="409" t="s">
        <v>708</v>
      </c>
      <c r="B1423" s="23" t="str">
        <f>VLOOKUP(LEFT(A1423,7),'[7]Tariff Schedule Lookup Table'!$A$8:$G$186,2,FALSE)</f>
        <v>Mercury Vapour 80</v>
      </c>
      <c r="C1423" s="375">
        <f t="shared" si="240"/>
        <v>990</v>
      </c>
      <c r="D1423" s="23">
        <f t="shared" si="241"/>
        <v>1</v>
      </c>
      <c r="E1423" s="23" t="str">
        <f>VLOOKUP(C1423,'[7]Tariff Schedule Lookup Table'!I$7:L$287,2,FALSE)</f>
        <v>MERCURY VAPOUR 80W</v>
      </c>
      <c r="F1423" s="23" t="str">
        <f>IF(E1423 = "BULKHEADS ETC", "SHARED OR NO POLE", VLOOKUP(C1423,'[7]Tariff Schedule Lookup Table'!I$7:L$287,3,FALSE))</f>
        <v>STEEL POLE</v>
      </c>
      <c r="G1423" s="23">
        <f>IF(E1423 = "NO CAPITAL", 1, VLOOKUP(C1423,'[7]Tariff Schedule Lookup Table'!I$7:L$287,4,FALSE))</f>
        <v>1</v>
      </c>
      <c r="H1423" s="23" t="str">
        <f t="shared" si="239"/>
        <v>1-Unmetered, CE Funded, CE Maintained</v>
      </c>
      <c r="I1423" s="374">
        <f>VLOOKUP(F1423,'Maintenance Model'!$A$57:$B$61,2,FALSE)</f>
        <v>9.9616182311111103</v>
      </c>
      <c r="J1423" s="374">
        <f>IF(D1423=1,VLOOKUP(C1423,'Capital Code Schedules'!A$15:F$300,2,FALSE),IF(D1423=2,VLOOKUP(C1423,'Capital Code Schedules'!A$15:F$300,3,FALSE),0))</f>
        <v>86.253661186307269</v>
      </c>
      <c r="K1423" s="374">
        <f>IF(D1423=1,VLOOKUP(C1423,'Capital Code Schedules'!E$15:G$300,2,FALSE),IF(D1423=2,VLOOKUP(C1423,'Capital Code Schedules'!E$15:G$300,3,FALSE),0))</f>
        <v>109.41024862221688</v>
      </c>
      <c r="L1423" s="374">
        <f>VLOOKUP(LEFT(A1423,10),'Streetlight Tariff Schedule'!B$11:H$260,7, FALSE)+I1423</f>
        <v>44.357731973450889</v>
      </c>
      <c r="M1423" s="410">
        <f t="shared" si="232"/>
        <v>153.76798059566778</v>
      </c>
      <c r="N1423" s="411">
        <f t="shared" si="233"/>
        <v>134.59449686267718</v>
      </c>
      <c r="O1423" s="411">
        <v>156.52031226686111</v>
      </c>
      <c r="P1423" s="411">
        <v>151.55676390976666</v>
      </c>
      <c r="Q1423" s="411">
        <v>156.2617689624</v>
      </c>
      <c r="R1423" s="411">
        <v>161.34816514133254</v>
      </c>
      <c r="S1423" s="411">
        <f t="shared" si="234"/>
        <v>139.04338262352297</v>
      </c>
      <c r="T1423" s="411">
        <v>160.80443382944136</v>
      </c>
      <c r="U1423" s="411">
        <v>166.62398038040493</v>
      </c>
      <c r="V1423" s="411">
        <f t="shared" si="235"/>
        <v>143.79974834367522</v>
      </c>
      <c r="W1423" s="411">
        <v>165.28619948113632</v>
      </c>
      <c r="X1423" s="411">
        <v>172.78071856279038</v>
      </c>
      <c r="Y1423" s="411">
        <f t="shared" si="236"/>
        <v>149.26994681588934</v>
      </c>
      <c r="Z1423" s="411">
        <v>169.56162805525409</v>
      </c>
      <c r="AA1423" s="411">
        <v>177.89257629783097</v>
      </c>
      <c r="AB1423" s="441">
        <f t="shared" si="237"/>
        <v>152.11456806813302</v>
      </c>
      <c r="AC1423" s="438">
        <f t="shared" si="238"/>
        <v>156.58433433388464</v>
      </c>
      <c r="AD1423" s="410"/>
      <c r="AE1423" s="411"/>
      <c r="AF1423" s="411"/>
      <c r="AG1423" s="411"/>
    </row>
    <row r="1424" spans="1:33" s="409" customFormat="1" x14ac:dyDescent="0.2">
      <c r="A1424" s="409" t="s">
        <v>709</v>
      </c>
      <c r="B1424" s="23" t="str">
        <f>VLOOKUP(LEFT(A1424,7),'[7]Tariff Schedule Lookup Table'!$A$8:$G$186,2,FALSE)</f>
        <v>Mercury Vapour 80</v>
      </c>
      <c r="C1424" s="375">
        <f t="shared" si="240"/>
        <v>990</v>
      </c>
      <c r="D1424" s="23">
        <f t="shared" si="241"/>
        <v>2</v>
      </c>
      <c r="E1424" s="23" t="str">
        <f>VLOOKUP(C1424,'[7]Tariff Schedule Lookup Table'!I$7:L$287,2,FALSE)</f>
        <v>MERCURY VAPOUR 80W</v>
      </c>
      <c r="F1424" s="23" t="str">
        <f>IF(E1424 = "BULKHEADS ETC", "SHARED OR NO POLE", VLOOKUP(C1424,'[7]Tariff Schedule Lookup Table'!I$7:L$287,3,FALSE))</f>
        <v>STEEL POLE</v>
      </c>
      <c r="G1424" s="23">
        <f>IF(E1424 = "NO CAPITAL", 1, VLOOKUP(C1424,'[7]Tariff Schedule Lookup Table'!I$7:L$287,4,FALSE))</f>
        <v>1</v>
      </c>
      <c r="H1424" s="23" t="str">
        <f t="shared" si="239"/>
        <v>2-Unmetered, Funded by Others, CE Maintained</v>
      </c>
      <c r="I1424" s="374">
        <f>VLOOKUP(F1424,'Maintenance Model'!$A$57:$B$61,2,FALSE)</f>
        <v>9.9616182311111103</v>
      </c>
      <c r="J1424" s="374">
        <f>IF(D1424=1,VLOOKUP(C1424,'Capital Code Schedules'!A$15:F$300,2,FALSE),IF(D1424=2,VLOOKUP(C1424,'Capital Code Schedules'!A$15:F$300,3,FALSE),0))</f>
        <v>0</v>
      </c>
      <c r="K1424" s="374">
        <f>IF(D1424=1,VLOOKUP(C1424,'Capital Code Schedules'!E$15:G$300,2,FALSE),IF(D1424=2,VLOOKUP(C1424,'Capital Code Schedules'!E$15:G$300,3,FALSE),0))</f>
        <v>0</v>
      </c>
      <c r="L1424" s="374">
        <f>VLOOKUP(LEFT(A1424,10),'Streetlight Tariff Schedule'!B$11:H$260,7, FALSE)+I1424</f>
        <v>44.357731973450889</v>
      </c>
      <c r="M1424" s="410">
        <f t="shared" si="232"/>
        <v>44.357731973450889</v>
      </c>
      <c r="N1424" s="411">
        <f t="shared" si="233"/>
        <v>46.206057562008795</v>
      </c>
      <c r="O1424" s="411">
        <v>39.438611634149908</v>
      </c>
      <c r="P1424" s="411">
        <v>39.438611634149908</v>
      </c>
      <c r="Q1424" s="411">
        <v>41.368692417961732</v>
      </c>
      <c r="R1424" s="411">
        <v>41.368692417961732</v>
      </c>
      <c r="S1424" s="411">
        <f t="shared" si="234"/>
        <v>48.467329450163042</v>
      </c>
      <c r="T1424" s="411">
        <v>43.067753640528267</v>
      </c>
      <c r="U1424" s="411">
        <v>43.22509268441803</v>
      </c>
      <c r="V1424" s="411">
        <f t="shared" si="235"/>
        <v>50.64227765487454</v>
      </c>
      <c r="W1424" s="411">
        <v>44.635536457547595</v>
      </c>
      <c r="X1424" s="411">
        <v>45.198608573909553</v>
      </c>
      <c r="Y1424" s="411">
        <f t="shared" si="236"/>
        <v>52.954437870738332</v>
      </c>
      <c r="Z1424" s="411">
        <v>45.924861121831583</v>
      </c>
      <c r="AA1424" s="411">
        <v>46.674376174267032</v>
      </c>
      <c r="AB1424" s="441">
        <f t="shared" si="237"/>
        <v>54.103906165547336</v>
      </c>
      <c r="AC1424" s="438">
        <f t="shared" si="238"/>
        <v>55.721562169933726</v>
      </c>
      <c r="AD1424" s="410"/>
      <c r="AE1424" s="411"/>
      <c r="AF1424" s="411"/>
      <c r="AG1424" s="411"/>
    </row>
    <row r="1425" spans="1:33" s="409" customFormat="1" x14ac:dyDescent="0.2">
      <c r="A1425" s="409" t="s">
        <v>710</v>
      </c>
      <c r="B1425" s="23" t="str">
        <f>VLOOKUP(LEFT(A1425,7),'[7]Tariff Schedule Lookup Table'!$A$8:$G$186,2,FALSE)</f>
        <v>Mercury Vapour 80</v>
      </c>
      <c r="C1425" s="375">
        <f t="shared" si="240"/>
        <v>1000</v>
      </c>
      <c r="D1425" s="23">
        <f t="shared" si="241"/>
        <v>2</v>
      </c>
      <c r="E1425" s="23" t="str">
        <f>VLOOKUP(C1425,'[7]Tariff Schedule Lookup Table'!I$7:L$287,2,FALSE)</f>
        <v>MERCURY VAPOUR 80W</v>
      </c>
      <c r="F1425" s="23" t="str">
        <f>IF(E1425 = "BULKHEADS ETC", "SHARED OR NO POLE", VLOOKUP(C1425,'[7]Tariff Schedule Lookup Table'!I$7:L$287,3,FALSE))</f>
        <v>STEEL POLE</v>
      </c>
      <c r="G1425" s="23">
        <f>IF(E1425 = "NO CAPITAL", 1, VLOOKUP(C1425,'[7]Tariff Schedule Lookup Table'!I$7:L$287,4,FALSE))</f>
        <v>2</v>
      </c>
      <c r="H1425" s="23" t="str">
        <f t="shared" si="239"/>
        <v>2-Unmetered, Funded by Others, CE Maintained</v>
      </c>
      <c r="I1425" s="374">
        <f>VLOOKUP(F1425,'Maintenance Model'!$A$57:$B$61,2,FALSE)</f>
        <v>9.9616182311111103</v>
      </c>
      <c r="J1425" s="374">
        <f>IF(D1425=1,VLOOKUP(C1425,'Capital Code Schedules'!A$15:F$300,2,FALSE),IF(D1425=2,VLOOKUP(C1425,'Capital Code Schedules'!A$15:F$300,3,FALSE),0))</f>
        <v>0</v>
      </c>
      <c r="K1425" s="374">
        <f>IF(D1425=1,VLOOKUP(C1425,'Capital Code Schedules'!E$15:G$300,2,FALSE),IF(D1425=2,VLOOKUP(C1425,'Capital Code Schedules'!E$15:G$300,3,FALSE),0))</f>
        <v>0</v>
      </c>
      <c r="L1425" s="374">
        <f>VLOOKUP(LEFT(A1425,10),'Streetlight Tariff Schedule'!B$11:H$260,7, FALSE)+I1425</f>
        <v>44.357731973450889</v>
      </c>
      <c r="M1425" s="410">
        <f t="shared" si="232"/>
        <v>44.357731973450889</v>
      </c>
      <c r="N1425" s="411">
        <f t="shared" si="233"/>
        <v>46.206057562008795</v>
      </c>
      <c r="O1425" s="411">
        <v>39.438611634149908</v>
      </c>
      <c r="P1425" s="411">
        <v>39.438611634149908</v>
      </c>
      <c r="Q1425" s="411">
        <v>41.368692417961732</v>
      </c>
      <c r="R1425" s="411">
        <v>41.368692417961732</v>
      </c>
      <c r="S1425" s="411">
        <f t="shared" si="234"/>
        <v>48.467329450163042</v>
      </c>
      <c r="T1425" s="411">
        <v>43.067753640528267</v>
      </c>
      <c r="U1425" s="411">
        <v>43.22509268441803</v>
      </c>
      <c r="V1425" s="411">
        <f t="shared" si="235"/>
        <v>50.64227765487454</v>
      </c>
      <c r="W1425" s="411">
        <v>44.635536457547595</v>
      </c>
      <c r="X1425" s="411">
        <v>45.198608573909553</v>
      </c>
      <c r="Y1425" s="411">
        <f t="shared" si="236"/>
        <v>52.954437870738332</v>
      </c>
      <c r="Z1425" s="411">
        <v>45.924861121831583</v>
      </c>
      <c r="AA1425" s="411">
        <v>46.674376174267032</v>
      </c>
      <c r="AB1425" s="441">
        <f t="shared" si="237"/>
        <v>54.103906165547336</v>
      </c>
      <c r="AC1425" s="438">
        <f t="shared" si="238"/>
        <v>55.721562169933726</v>
      </c>
      <c r="AD1425" s="410"/>
      <c r="AE1425" s="411"/>
      <c r="AF1425" s="411"/>
      <c r="AG1425" s="411"/>
    </row>
    <row r="1426" spans="1:33" s="409" customFormat="1" x14ac:dyDescent="0.2">
      <c r="A1426" s="409" t="s">
        <v>711</v>
      </c>
      <c r="B1426" s="23" t="str">
        <f>VLOOKUP(LEFT(A1426,7),'[7]Tariff Schedule Lookup Table'!$A$8:$G$186,2,FALSE)</f>
        <v>Mercury Vapour 80</v>
      </c>
      <c r="C1426" s="375">
        <f t="shared" si="240"/>
        <v>1260</v>
      </c>
      <c r="D1426" s="23">
        <f t="shared" si="241"/>
        <v>2</v>
      </c>
      <c r="E1426" s="23" t="str">
        <f>VLOOKUP(C1426,'[7]Tariff Schedule Lookup Table'!I$7:L$287,2,FALSE)</f>
        <v>MERCURY VAPOUR 80W</v>
      </c>
      <c r="F1426" s="23" t="str">
        <f>IF(E1426 = "BULKHEADS ETC", "SHARED OR NO POLE", VLOOKUP(C1426,'[7]Tariff Schedule Lookup Table'!I$7:L$287,3,FALSE))</f>
        <v>WOOD POLE</v>
      </c>
      <c r="G1426" s="23">
        <f>IF(E1426 = "NO CAPITAL", 1, VLOOKUP(C1426,'[7]Tariff Schedule Lookup Table'!I$7:L$287,4,FALSE))</f>
        <v>2</v>
      </c>
      <c r="H1426" s="23" t="str">
        <f t="shared" si="239"/>
        <v>2-Unmetered, Funded by Others, CE Maintained</v>
      </c>
      <c r="I1426" s="374">
        <f>VLOOKUP(F1426,'Maintenance Model'!$A$57:$B$61,2,FALSE)</f>
        <v>10.731618231111112</v>
      </c>
      <c r="J1426" s="374">
        <f>IF(D1426=1,VLOOKUP(C1426,'Capital Code Schedules'!A$15:F$300,2,FALSE),IF(D1426=2,VLOOKUP(C1426,'Capital Code Schedules'!A$15:F$300,3,FALSE),0))</f>
        <v>0</v>
      </c>
      <c r="K1426" s="374">
        <f>IF(D1426=1,VLOOKUP(C1426,'Capital Code Schedules'!E$15:G$300,2,FALSE),IF(D1426=2,VLOOKUP(C1426,'Capital Code Schedules'!E$15:G$300,3,FALSE),0))</f>
        <v>0</v>
      </c>
      <c r="L1426" s="374">
        <f>VLOOKUP(LEFT(A1426,10),'Streetlight Tariff Schedule'!B$11:H$260,7, FALSE)+I1426</f>
        <v>45.127731973450892</v>
      </c>
      <c r="M1426" s="410">
        <f t="shared" si="232"/>
        <v>45.127731973450892</v>
      </c>
      <c r="N1426" s="411">
        <f t="shared" si="233"/>
        <v>47.008142401333799</v>
      </c>
      <c r="O1426" s="411">
        <v>40.240696473474905</v>
      </c>
      <c r="P1426" s="411">
        <v>40.240696473474905</v>
      </c>
      <c r="Q1426" s="411">
        <v>42.210030376786186</v>
      </c>
      <c r="R1426" s="411">
        <v>42.210030376786186</v>
      </c>
      <c r="S1426" s="411">
        <f t="shared" si="234"/>
        <v>49.308667408987503</v>
      </c>
      <c r="T1426" s="411">
        <v>43.943646346369363</v>
      </c>
      <c r="U1426" s="411">
        <v>44.104185281343241</v>
      </c>
      <c r="V1426" s="411">
        <f t="shared" si="235"/>
        <v>51.521370251799752</v>
      </c>
      <c r="W1426" s="411">
        <v>45.54331402892479</v>
      </c>
      <c r="X1426" s="411">
        <v>46.117837654081491</v>
      </c>
      <c r="Y1426" s="411">
        <f t="shared" si="236"/>
        <v>53.87366695091027</v>
      </c>
      <c r="Z1426" s="411">
        <v>46.858860401411469</v>
      </c>
      <c r="AA1426" s="411">
        <v>47.623618755664467</v>
      </c>
      <c r="AB1426" s="441">
        <f t="shared" si="237"/>
        <v>55.043088713753505</v>
      </c>
      <c r="AC1426" s="438">
        <f t="shared" si="238"/>
        <v>56.688825394675</v>
      </c>
      <c r="AD1426" s="410"/>
      <c r="AE1426" s="411"/>
      <c r="AF1426" s="411"/>
      <c r="AG1426" s="411"/>
    </row>
    <row r="1427" spans="1:33" s="409" customFormat="1" x14ac:dyDescent="0.2">
      <c r="A1427" s="409" t="s">
        <v>745</v>
      </c>
      <c r="B1427" s="23" t="str">
        <f>VLOOKUP(LEFT(A1427,7),'[7]Tariff Schedule Lookup Table'!$A$8:$G$186,2,FALSE)</f>
        <v>Mercury Vapour 125</v>
      </c>
      <c r="C1427" s="375">
        <f t="shared" si="240"/>
        <v>5</v>
      </c>
      <c r="D1427" s="23">
        <f t="shared" si="241"/>
        <v>1</v>
      </c>
      <c r="E1427" s="23" t="str">
        <f>VLOOKUP(C1427,'[7]Tariff Schedule Lookup Table'!I$7:L$287,2,FALSE)</f>
        <v>MAINTENANCE COMPONENT</v>
      </c>
      <c r="F1427" s="23" t="str">
        <f>IF(E1427 = "BULKHEADS ETC", "SHARED OR NO POLE", VLOOKUP(C1427,'[7]Tariff Schedule Lookup Table'!I$7:L$287,3,FALSE))</f>
        <v>NO CAPITAL</v>
      </c>
      <c r="G1427" s="23">
        <f>IF(E1427 = "NO CAPITAL", 1, VLOOKUP(C1427,'[7]Tariff Schedule Lookup Table'!I$7:L$287,4,FALSE))</f>
        <v>1</v>
      </c>
      <c r="H1427" s="23" t="str">
        <f t="shared" si="239"/>
        <v>1-Unmetered, CE Funded, CE Maintained</v>
      </c>
      <c r="I1427" s="374">
        <f>VLOOKUP(F1427,'Maintenance Model'!$A$57:$B$61,2,FALSE)</f>
        <v>0</v>
      </c>
      <c r="J1427" s="374">
        <f>IF(D1427=1,VLOOKUP(C1427,'Capital Code Schedules'!A$15:F$300,2,FALSE),IF(D1427=2,VLOOKUP(C1427,'Capital Code Schedules'!A$15:F$300,3,FALSE),0))</f>
        <v>0</v>
      </c>
      <c r="K1427" s="374">
        <f>IF(D1427=1,VLOOKUP(C1427,'Capital Code Schedules'!E$15:G$300,2,FALSE),IF(D1427=2,VLOOKUP(C1427,'Capital Code Schedules'!E$15:G$300,3,FALSE),0))</f>
        <v>0</v>
      </c>
      <c r="L1427" s="374">
        <f>VLOOKUP(LEFT(A1427,10),'Streetlight Tariff Schedule'!B$11:H$260,7, FALSE)+I1427</f>
        <v>34.764063013691775</v>
      </c>
      <c r="M1427" s="410">
        <f t="shared" ref="M1427:M1469" si="242">IF(VLOOKUP(D1427,A$11:D$15,3,FALSE)="Y",IF(VLOOKUP(D1427,A$11:D$15,4,FALSE)="Y",K1427+L1427,K1427),IF(VLOOKUP(D1427,A$11:D$15,4,FALSE)="Y",L1427,0))</f>
        <v>34.764063013691775</v>
      </c>
      <c r="N1427" s="411">
        <f t="shared" ref="N1427:N1472" si="243">($J1427+$L1427+$L1427*$M$10*$M$14)*(1+$M$12)</f>
        <v>36.212633631975514</v>
      </c>
      <c r="O1427" s="411">
        <v>30.237444452515287</v>
      </c>
      <c r="P1427" s="411">
        <v>30.237444452515287</v>
      </c>
      <c r="Q1427" s="411">
        <v>31.71723058268531</v>
      </c>
      <c r="R1427" s="411">
        <v>31.71723058268531</v>
      </c>
      <c r="S1427" s="411">
        <f t="shared" ref="S1427:S1472" si="244">($J1427+$L1427+$L1427*$N$10*$N$14)*(1+$N$12)</f>
        <v>37.984838722576946</v>
      </c>
      <c r="T1427" s="411">
        <v>33.019894829980778</v>
      </c>
      <c r="U1427" s="411">
        <v>33.140526120046509</v>
      </c>
      <c r="V1427" s="411">
        <f t="shared" ref="V1427:V1472" si="245">($J1427+$L1427+$L1427*$O$10*$O$14)*(1+$O$12)</f>
        <v>39.689390174516845</v>
      </c>
      <c r="W1427" s="411">
        <v>34.221908386720216</v>
      </c>
      <c r="X1427" s="411">
        <v>34.653613792559412</v>
      </c>
      <c r="Y1427" s="411">
        <f t="shared" ref="Y1427:Y1472" si="246">($J1427+$L1427+$L1427*$P$10*$P$14)*(1+$P$12)</f>
        <v>41.501477489759864</v>
      </c>
      <c r="Z1427" s="411">
        <v>35.210429059790435</v>
      </c>
      <c r="AA1427" s="411">
        <v>35.785079607192486</v>
      </c>
      <c r="AB1427" s="441">
        <f t="shared" ref="AB1427:AB1472" si="247">($J1427+$L1427+$L1427*$Q$10*$Q$14)*(1+$Q$12)</f>
        <v>42.402339334024091</v>
      </c>
      <c r="AC1427" s="438">
        <f t="shared" ref="AC1427:AC1472" si="248">($J1427+$L1427+$L1427*$R$10*$R$14)*(1+$R$12)</f>
        <v>43.670129474976825</v>
      </c>
      <c r="AD1427" s="410"/>
      <c r="AE1427" s="411"/>
      <c r="AF1427" s="411"/>
      <c r="AG1427" s="411"/>
    </row>
    <row r="1428" spans="1:33" s="409" customFormat="1" x14ac:dyDescent="0.2">
      <c r="A1428" s="409" t="s">
        <v>712</v>
      </c>
      <c r="B1428" s="23" t="str">
        <f>VLOOKUP(LEFT(A1428,7),'[7]Tariff Schedule Lookup Table'!$A$8:$G$186,2,FALSE)</f>
        <v>Mercury Vapour 125</v>
      </c>
      <c r="C1428" s="375">
        <f t="shared" si="240"/>
        <v>10</v>
      </c>
      <c r="D1428" s="23">
        <f t="shared" si="241"/>
        <v>1</v>
      </c>
      <c r="E1428" s="23" t="str">
        <f>VLOOKUP(C1428,'[7]Tariff Schedule Lookup Table'!I$7:L$287,2,FALSE)</f>
        <v>MERCURY VAPOUR 80W</v>
      </c>
      <c r="F1428" s="23" t="str">
        <f>IF(E1428 = "BULKHEADS ETC", "SHARED OR NO POLE", VLOOKUP(C1428,'[7]Tariff Schedule Lookup Table'!I$7:L$287,3,FALSE))</f>
        <v>SHARED OR NO POLE</v>
      </c>
      <c r="G1428" s="23">
        <f>IF(E1428 = "NO CAPITAL", 1, VLOOKUP(C1428,'[7]Tariff Schedule Lookup Table'!I$7:L$287,4,FALSE))</f>
        <v>1</v>
      </c>
      <c r="H1428" s="23" t="str">
        <f t="shared" si="239"/>
        <v>1-Unmetered, CE Funded, CE Maintained</v>
      </c>
      <c r="I1428" s="374">
        <f>VLOOKUP(F1428,'Maintenance Model'!$A$57:$B$61,2,FALSE)</f>
        <v>0</v>
      </c>
      <c r="J1428" s="374">
        <f>IF(D1428=1,VLOOKUP(C1428,'Capital Code Schedules'!A$15:F$300,2,FALSE),IF(D1428=2,VLOOKUP(C1428,'Capital Code Schedules'!A$15:F$300,3,FALSE),0))</f>
        <v>17.255027166785979</v>
      </c>
      <c r="K1428" s="374">
        <f>IF(D1428=1,VLOOKUP(C1428,'Capital Code Schedules'!E$15:G$300,2,FALSE),IF(D1428=2,VLOOKUP(C1428,'Capital Code Schedules'!E$15:G$300,3,FALSE),0))</f>
        <v>21.887497717034414</v>
      </c>
      <c r="L1428" s="374">
        <f>VLOOKUP(LEFT(A1428,10),'Streetlight Tariff Schedule'!B$11:H$260,7, FALSE)+I1428</f>
        <v>34.764063013691775</v>
      </c>
      <c r="M1428" s="410">
        <f t="shared" si="242"/>
        <v>56.651560730726189</v>
      </c>
      <c r="N1428" s="411">
        <f t="shared" si="243"/>
        <v>53.894722721139445</v>
      </c>
      <c r="O1428" s="411">
        <v>53.659614565239131</v>
      </c>
      <c r="P1428" s="411">
        <v>52.666657738046304</v>
      </c>
      <c r="Q1428" s="411">
        <v>54.701566897033217</v>
      </c>
      <c r="R1428" s="411">
        <v>55.719099405699076</v>
      </c>
      <c r="S1428" s="411">
        <f t="shared" si="244"/>
        <v>56.104559516697691</v>
      </c>
      <c r="T1428" s="411">
        <v>56.573093468108809</v>
      </c>
      <c r="U1428" s="411">
        <v>57.826448204516161</v>
      </c>
      <c r="V1428" s="411">
        <f t="shared" si="245"/>
        <v>58.325523011270022</v>
      </c>
      <c r="W1428" s="411">
        <v>58.35804869114191</v>
      </c>
      <c r="X1428" s="411">
        <v>60.176388635692589</v>
      </c>
      <c r="Y1428" s="411">
        <f t="shared" si="246"/>
        <v>60.769375229678971</v>
      </c>
      <c r="Z1428" s="411">
        <v>59.943938836746561</v>
      </c>
      <c r="AA1428" s="411">
        <v>62.035253533354961</v>
      </c>
      <c r="AB1428" s="441">
        <f t="shared" si="247"/>
        <v>62.009352074165783</v>
      </c>
      <c r="AC1428" s="438">
        <f t="shared" si="248"/>
        <v>63.847706285856638</v>
      </c>
      <c r="AD1428" s="410"/>
      <c r="AE1428" s="411"/>
      <c r="AF1428" s="411"/>
      <c r="AG1428" s="411"/>
    </row>
    <row r="1429" spans="1:33" s="409" customFormat="1" x14ac:dyDescent="0.2">
      <c r="A1429" s="409" t="s">
        <v>713</v>
      </c>
      <c r="B1429" s="23" t="str">
        <f>VLOOKUP(LEFT(A1429,7),'[7]Tariff Schedule Lookup Table'!$A$8:$G$186,2,FALSE)</f>
        <v>Mercury Vapour 125</v>
      </c>
      <c r="C1429" s="375">
        <f t="shared" si="240"/>
        <v>10</v>
      </c>
      <c r="D1429" s="23">
        <f t="shared" si="241"/>
        <v>2</v>
      </c>
      <c r="E1429" s="23" t="str">
        <f>VLOOKUP(C1429,'[7]Tariff Schedule Lookup Table'!I$7:L$287,2,FALSE)</f>
        <v>MERCURY VAPOUR 80W</v>
      </c>
      <c r="F1429" s="23" t="str">
        <f>IF(E1429 = "BULKHEADS ETC", "SHARED OR NO POLE", VLOOKUP(C1429,'[7]Tariff Schedule Lookup Table'!I$7:L$287,3,FALSE))</f>
        <v>SHARED OR NO POLE</v>
      </c>
      <c r="G1429" s="23">
        <f>IF(E1429 = "NO CAPITAL", 1, VLOOKUP(C1429,'[7]Tariff Schedule Lookup Table'!I$7:L$287,4,FALSE))</f>
        <v>1</v>
      </c>
      <c r="H1429" s="23" t="str">
        <f t="shared" si="239"/>
        <v>2-Unmetered, Funded by Others, CE Maintained</v>
      </c>
      <c r="I1429" s="374">
        <f>VLOOKUP(F1429,'Maintenance Model'!$A$57:$B$61,2,FALSE)</f>
        <v>0</v>
      </c>
      <c r="J1429" s="374">
        <f>IF(D1429=1,VLOOKUP(C1429,'Capital Code Schedules'!A$15:F$300,2,FALSE),IF(D1429=2,VLOOKUP(C1429,'Capital Code Schedules'!A$15:F$300,3,FALSE),0))</f>
        <v>0</v>
      </c>
      <c r="K1429" s="374">
        <f>IF(D1429=1,VLOOKUP(C1429,'Capital Code Schedules'!E$15:G$300,2,FALSE),IF(D1429=2,VLOOKUP(C1429,'Capital Code Schedules'!E$15:G$300,3,FALSE),0))</f>
        <v>0</v>
      </c>
      <c r="L1429" s="374">
        <f>VLOOKUP(LEFT(A1429,10),'Streetlight Tariff Schedule'!B$11:H$260,7, FALSE)+I1429</f>
        <v>34.764063013691775</v>
      </c>
      <c r="M1429" s="410">
        <f t="shared" si="242"/>
        <v>34.764063013691775</v>
      </c>
      <c r="N1429" s="411">
        <f t="shared" si="243"/>
        <v>36.212633631975514</v>
      </c>
      <c r="O1429" s="411">
        <v>30.237444452515287</v>
      </c>
      <c r="P1429" s="411">
        <v>30.237444452515287</v>
      </c>
      <c r="Q1429" s="411">
        <v>31.71723058268531</v>
      </c>
      <c r="R1429" s="411">
        <v>31.71723058268531</v>
      </c>
      <c r="S1429" s="411">
        <f t="shared" si="244"/>
        <v>37.984838722576946</v>
      </c>
      <c r="T1429" s="411">
        <v>33.019894829980778</v>
      </c>
      <c r="U1429" s="411">
        <v>33.140526120046509</v>
      </c>
      <c r="V1429" s="411">
        <f t="shared" si="245"/>
        <v>39.689390174516845</v>
      </c>
      <c r="W1429" s="411">
        <v>34.221908386720216</v>
      </c>
      <c r="X1429" s="411">
        <v>34.653613792559412</v>
      </c>
      <c r="Y1429" s="411">
        <f t="shared" si="246"/>
        <v>41.501477489759864</v>
      </c>
      <c r="Z1429" s="411">
        <v>35.210429059790435</v>
      </c>
      <c r="AA1429" s="411">
        <v>35.785079607192486</v>
      </c>
      <c r="AB1429" s="441">
        <f t="shared" si="247"/>
        <v>42.402339334024091</v>
      </c>
      <c r="AC1429" s="438">
        <f t="shared" si="248"/>
        <v>43.670129474976825</v>
      </c>
      <c r="AD1429" s="410"/>
      <c r="AE1429" s="411"/>
      <c r="AF1429" s="411"/>
      <c r="AG1429" s="411"/>
    </row>
    <row r="1430" spans="1:33" s="409" customFormat="1" x14ac:dyDescent="0.2">
      <c r="A1430" s="409" t="s">
        <v>714</v>
      </c>
      <c r="B1430" s="23" t="str">
        <f>VLOOKUP(LEFT(A1430,7),'[7]Tariff Schedule Lookup Table'!$A$8:$G$186,2,FALSE)</f>
        <v>Mercury Vapour 125</v>
      </c>
      <c r="C1430" s="375">
        <f t="shared" si="240"/>
        <v>810</v>
      </c>
      <c r="D1430" s="23">
        <f t="shared" si="241"/>
        <v>2</v>
      </c>
      <c r="E1430" s="23" t="str">
        <f>VLOOKUP(C1430,'[7]Tariff Schedule Lookup Table'!I$7:L$287,2,FALSE)</f>
        <v>MERCURY VAPOUR 80W</v>
      </c>
      <c r="F1430" s="23" t="str">
        <f>IF(E1430 = "BULKHEADS ETC", "SHARED OR NO POLE", VLOOKUP(C1430,'[7]Tariff Schedule Lookup Table'!I$7:L$287,3,FALSE))</f>
        <v>WOOD POLE</v>
      </c>
      <c r="G1430" s="23">
        <f>IF(E1430 = "NO CAPITAL", 1, VLOOKUP(C1430,'[7]Tariff Schedule Lookup Table'!I$7:L$287,4,FALSE))</f>
        <v>1</v>
      </c>
      <c r="H1430" s="23" t="str">
        <f t="shared" si="239"/>
        <v>2-Unmetered, Funded by Others, CE Maintained</v>
      </c>
      <c r="I1430" s="374">
        <f>VLOOKUP(F1430,'Maintenance Model'!$A$57:$B$61,2,FALSE)</f>
        <v>10.731618231111112</v>
      </c>
      <c r="J1430" s="374">
        <f>IF(D1430=1,VLOOKUP(C1430,'Capital Code Schedules'!A$15:F$300,2,FALSE),IF(D1430=2,VLOOKUP(C1430,'Capital Code Schedules'!A$15:F$300,3,FALSE),0))</f>
        <v>0</v>
      </c>
      <c r="K1430" s="374">
        <f>IF(D1430=1,VLOOKUP(C1430,'Capital Code Schedules'!E$15:G$300,2,FALSE),IF(D1430=2,VLOOKUP(C1430,'Capital Code Schedules'!E$15:G$300,3,FALSE),0))</f>
        <v>0</v>
      </c>
      <c r="L1430" s="374">
        <f>VLOOKUP(LEFT(A1430,10),'Streetlight Tariff Schedule'!B$11:H$260,7, FALSE)+I1430</f>
        <v>45.495681244802888</v>
      </c>
      <c r="M1430" s="410">
        <f t="shared" si="242"/>
        <v>45.495681244802888</v>
      </c>
      <c r="N1430" s="411">
        <f t="shared" si="243"/>
        <v>47.391423611972911</v>
      </c>
      <c r="O1430" s="411">
        <v>40.633644527939452</v>
      </c>
      <c r="P1430" s="411">
        <v>40.633644527939452</v>
      </c>
      <c r="Q1430" s="411">
        <v>42.622208861976681</v>
      </c>
      <c r="R1430" s="411">
        <v>42.622208861976681</v>
      </c>
      <c r="S1430" s="411">
        <f t="shared" si="244"/>
        <v>49.710705966013784</v>
      </c>
      <c r="T1430" s="411">
        <v>44.372753490408634</v>
      </c>
      <c r="U1430" s="411">
        <v>44.534860078720854</v>
      </c>
      <c r="V1430" s="411">
        <f t="shared" si="245"/>
        <v>51.941450096591396</v>
      </c>
      <c r="W1430" s="411">
        <v>45.988041834601077</v>
      </c>
      <c r="X1430" s="411">
        <v>46.568175649454616</v>
      </c>
      <c r="Y1430" s="411">
        <f t="shared" si="246"/>
        <v>54.312926262929537</v>
      </c>
      <c r="Z1430" s="411">
        <v>47.31643444070022</v>
      </c>
      <c r="AA1430" s="411">
        <v>48.088660615686322</v>
      </c>
      <c r="AB1430" s="441">
        <f t="shared" si="247"/>
        <v>55.491882914115791</v>
      </c>
      <c r="AC1430" s="438">
        <f t="shared" si="248"/>
        <v>57.151038120323221</v>
      </c>
      <c r="AD1430" s="410"/>
      <c r="AE1430" s="411"/>
      <c r="AF1430" s="411"/>
      <c r="AG1430" s="411"/>
    </row>
    <row r="1431" spans="1:33" s="409" customFormat="1" x14ac:dyDescent="0.2">
      <c r="A1431" s="409" t="s">
        <v>715</v>
      </c>
      <c r="B1431" s="23" t="str">
        <f>VLOOKUP(LEFT(A1431,7),'[7]Tariff Schedule Lookup Table'!$A$8:$G$186,2,FALSE)</f>
        <v>Mercury Vapour 125</v>
      </c>
      <c r="C1431" s="375">
        <f t="shared" si="240"/>
        <v>990</v>
      </c>
      <c r="D1431" s="23">
        <f t="shared" si="241"/>
        <v>1</v>
      </c>
      <c r="E1431" s="23" t="str">
        <f>VLOOKUP(C1431,'[7]Tariff Schedule Lookup Table'!I$7:L$287,2,FALSE)</f>
        <v>MERCURY VAPOUR 80W</v>
      </c>
      <c r="F1431" s="23" t="str">
        <f>IF(E1431 = "BULKHEADS ETC", "SHARED OR NO POLE", VLOOKUP(C1431,'[7]Tariff Schedule Lookup Table'!I$7:L$287,3,FALSE))</f>
        <v>STEEL POLE</v>
      </c>
      <c r="G1431" s="23">
        <f>IF(E1431 = "NO CAPITAL", 1, VLOOKUP(C1431,'[7]Tariff Schedule Lookup Table'!I$7:L$287,4,FALSE))</f>
        <v>1</v>
      </c>
      <c r="H1431" s="23" t="str">
        <f t="shared" si="239"/>
        <v>1-Unmetered, CE Funded, CE Maintained</v>
      </c>
      <c r="I1431" s="374">
        <f>VLOOKUP(F1431,'Maintenance Model'!$A$57:$B$61,2,FALSE)</f>
        <v>9.9616182311111103</v>
      </c>
      <c r="J1431" s="374">
        <f>IF(D1431=1,VLOOKUP(C1431,'Capital Code Schedules'!A$15:F$300,2,FALSE),IF(D1431=2,VLOOKUP(C1431,'Capital Code Schedules'!A$15:F$300,3,FALSE),0))</f>
        <v>86.253661186307269</v>
      </c>
      <c r="K1431" s="374">
        <f>IF(D1431=1,VLOOKUP(C1431,'Capital Code Schedules'!E$15:G$300,2,FALSE),IF(D1431=2,VLOOKUP(C1431,'Capital Code Schedules'!E$15:G$300,3,FALSE),0))</f>
        <v>109.41024862221688</v>
      </c>
      <c r="L1431" s="374">
        <f>VLOOKUP(LEFT(A1431,10),'Streetlight Tariff Schedule'!B$11:H$260,7, FALSE)+I1431</f>
        <v>44.725681244802885</v>
      </c>
      <c r="M1431" s="410">
        <f t="shared" si="242"/>
        <v>154.13592986701977</v>
      </c>
      <c r="N1431" s="411">
        <f t="shared" si="243"/>
        <v>134.97777807331627</v>
      </c>
      <c r="O1431" s="411">
        <v>156.91326032132568</v>
      </c>
      <c r="P1431" s="411">
        <v>151.94971196423123</v>
      </c>
      <c r="Q1431" s="411">
        <v>156.67394744759051</v>
      </c>
      <c r="R1431" s="411">
        <v>161.76034362652305</v>
      </c>
      <c r="S1431" s="411">
        <f t="shared" si="244"/>
        <v>139.44542118054926</v>
      </c>
      <c r="T1431" s="411">
        <v>161.23354097348067</v>
      </c>
      <c r="U1431" s="411">
        <v>167.05465517778251</v>
      </c>
      <c r="V1431" s="411">
        <f t="shared" si="245"/>
        <v>144.21982818846686</v>
      </c>
      <c r="W1431" s="411">
        <v>165.73092728681263</v>
      </c>
      <c r="X1431" s="411">
        <v>173.23105655816352</v>
      </c>
      <c r="Y1431" s="411">
        <f t="shared" si="246"/>
        <v>149.7092061279086</v>
      </c>
      <c r="Z1431" s="411">
        <v>170.01920209454286</v>
      </c>
      <c r="AA1431" s="411">
        <v>178.35761815785281</v>
      </c>
      <c r="AB1431" s="441">
        <f t="shared" si="247"/>
        <v>152.56336226849533</v>
      </c>
      <c r="AC1431" s="438">
        <f t="shared" si="248"/>
        <v>157.04654705953288</v>
      </c>
      <c r="AD1431" s="410"/>
      <c r="AE1431" s="411"/>
      <c r="AF1431" s="411"/>
      <c r="AG1431" s="411"/>
    </row>
    <row r="1432" spans="1:33" s="409" customFormat="1" x14ac:dyDescent="0.2">
      <c r="A1432" s="409" t="s">
        <v>716</v>
      </c>
      <c r="B1432" s="23" t="str">
        <f>VLOOKUP(LEFT(A1432,7),'[7]Tariff Schedule Lookup Table'!$A$8:$G$186,2,FALSE)</f>
        <v>Mercury Vapour 125</v>
      </c>
      <c r="C1432" s="375">
        <f t="shared" si="240"/>
        <v>990</v>
      </c>
      <c r="D1432" s="23">
        <f t="shared" si="241"/>
        <v>2</v>
      </c>
      <c r="E1432" s="23" t="str">
        <f>VLOOKUP(C1432,'[7]Tariff Schedule Lookup Table'!I$7:L$287,2,FALSE)</f>
        <v>MERCURY VAPOUR 80W</v>
      </c>
      <c r="F1432" s="23" t="str">
        <f>IF(E1432 = "BULKHEADS ETC", "SHARED OR NO POLE", VLOOKUP(C1432,'[7]Tariff Schedule Lookup Table'!I$7:L$287,3,FALSE))</f>
        <v>STEEL POLE</v>
      </c>
      <c r="G1432" s="23">
        <f>IF(E1432 = "NO CAPITAL", 1, VLOOKUP(C1432,'[7]Tariff Schedule Lookup Table'!I$7:L$287,4,FALSE))</f>
        <v>1</v>
      </c>
      <c r="H1432" s="23" t="str">
        <f t="shared" si="239"/>
        <v>2-Unmetered, Funded by Others, CE Maintained</v>
      </c>
      <c r="I1432" s="374">
        <f>VLOOKUP(F1432,'Maintenance Model'!$A$57:$B$61,2,FALSE)</f>
        <v>9.9616182311111103</v>
      </c>
      <c r="J1432" s="374">
        <f>IF(D1432=1,VLOOKUP(C1432,'Capital Code Schedules'!A$15:F$300,2,FALSE),IF(D1432=2,VLOOKUP(C1432,'Capital Code Schedules'!A$15:F$300,3,FALSE),0))</f>
        <v>0</v>
      </c>
      <c r="K1432" s="374">
        <f>IF(D1432=1,VLOOKUP(C1432,'Capital Code Schedules'!E$15:G$300,2,FALSE),IF(D1432=2,VLOOKUP(C1432,'Capital Code Schedules'!E$15:G$300,3,FALSE),0))</f>
        <v>0</v>
      </c>
      <c r="L1432" s="374">
        <f>VLOOKUP(LEFT(A1432,10),'Streetlight Tariff Schedule'!B$11:H$260,7, FALSE)+I1432</f>
        <v>44.725681244802885</v>
      </c>
      <c r="M1432" s="410">
        <f t="shared" si="242"/>
        <v>44.725681244802885</v>
      </c>
      <c r="N1432" s="411">
        <f t="shared" si="243"/>
        <v>46.589338772647906</v>
      </c>
      <c r="O1432" s="411">
        <v>39.831559688614448</v>
      </c>
      <c r="P1432" s="411">
        <v>39.831559688614448</v>
      </c>
      <c r="Q1432" s="411">
        <v>41.780870903152227</v>
      </c>
      <c r="R1432" s="411">
        <v>41.780870903152227</v>
      </c>
      <c r="S1432" s="411">
        <f t="shared" si="244"/>
        <v>48.869368007189323</v>
      </c>
      <c r="T1432" s="411">
        <v>43.496860784567531</v>
      </c>
      <c r="U1432" s="411">
        <v>43.655767481795635</v>
      </c>
      <c r="V1432" s="411">
        <f t="shared" si="245"/>
        <v>51.062357499666184</v>
      </c>
      <c r="W1432" s="411">
        <v>45.080264263223874</v>
      </c>
      <c r="X1432" s="411">
        <v>45.648946569282678</v>
      </c>
      <c r="Y1432" s="411">
        <f t="shared" si="246"/>
        <v>53.393697182757585</v>
      </c>
      <c r="Z1432" s="411">
        <v>46.382435161120327</v>
      </c>
      <c r="AA1432" s="411">
        <v>47.13941803428888</v>
      </c>
      <c r="AB1432" s="441">
        <f t="shared" si="247"/>
        <v>54.552700365909629</v>
      </c>
      <c r="AC1432" s="438">
        <f t="shared" si="248"/>
        <v>56.183774895581948</v>
      </c>
      <c r="AD1432" s="410"/>
      <c r="AE1432" s="411"/>
      <c r="AF1432" s="411"/>
      <c r="AG1432" s="411"/>
    </row>
    <row r="1433" spans="1:33" s="409" customFormat="1" x14ac:dyDescent="0.2">
      <c r="A1433" s="409" t="s">
        <v>717</v>
      </c>
      <c r="B1433" s="23" t="str">
        <f>VLOOKUP(LEFT(A1433,7),'[7]Tariff Schedule Lookup Table'!$A$8:$G$186,2,FALSE)</f>
        <v>Mercury Vapour 160</v>
      </c>
      <c r="C1433" s="375">
        <f t="shared" si="240"/>
        <v>10</v>
      </c>
      <c r="D1433" s="23">
        <f t="shared" si="241"/>
        <v>2</v>
      </c>
      <c r="E1433" s="23" t="str">
        <f>VLOOKUP(C1433,'[7]Tariff Schedule Lookup Table'!I$7:L$287,2,FALSE)</f>
        <v>MERCURY VAPOUR 80W</v>
      </c>
      <c r="F1433" s="23" t="str">
        <f>IF(E1433 = "BULKHEADS ETC", "SHARED OR NO POLE", VLOOKUP(C1433,'[7]Tariff Schedule Lookup Table'!I$7:L$287,3,FALSE))</f>
        <v>SHARED OR NO POLE</v>
      </c>
      <c r="G1433" s="23">
        <f>IF(E1433 = "NO CAPITAL", 1, VLOOKUP(C1433,'[7]Tariff Schedule Lookup Table'!I$7:L$287,4,FALSE))</f>
        <v>1</v>
      </c>
      <c r="H1433" s="23" t="str">
        <f t="shared" si="239"/>
        <v>2-Unmetered, Funded by Others, CE Maintained</v>
      </c>
      <c r="I1433" s="374">
        <f>VLOOKUP(F1433,'Maintenance Model'!$A$57:$B$61,2,FALSE)</f>
        <v>0</v>
      </c>
      <c r="J1433" s="374">
        <f>IF(D1433=1,VLOOKUP(C1433,'Capital Code Schedules'!A$15:F$300,2,FALSE),IF(D1433=2,VLOOKUP(C1433,'Capital Code Schedules'!A$15:F$300,3,FALSE),0))</f>
        <v>0</v>
      </c>
      <c r="K1433" s="374">
        <f>IF(D1433=1,VLOOKUP(C1433,'Capital Code Schedules'!E$15:G$300,2,FALSE),IF(D1433=2,VLOOKUP(C1433,'Capital Code Schedules'!E$15:G$300,3,FALSE),0))</f>
        <v>0</v>
      </c>
      <c r="L1433" s="374">
        <f>VLOOKUP(LEFT(A1433,10),'Streetlight Tariff Schedule'!B$11:H$260,7, FALSE)+I1433</f>
        <v>39.911516435913995</v>
      </c>
      <c r="M1433" s="410">
        <f t="shared" si="242"/>
        <v>39.911516435913995</v>
      </c>
      <c r="N1433" s="411">
        <f t="shared" si="243"/>
        <v>41.574574347684646</v>
      </c>
      <c r="O1433" s="411">
        <v>34.292266880650395</v>
      </c>
      <c r="P1433" s="411">
        <v>34.292266880650395</v>
      </c>
      <c r="Q1433" s="411">
        <v>35.970491407255658</v>
      </c>
      <c r="R1433" s="411">
        <v>35.970491407255658</v>
      </c>
      <c r="S1433" s="411">
        <f t="shared" si="244"/>
        <v>43.609186716598266</v>
      </c>
      <c r="T1433" s="411">
        <v>37.447842117044956</v>
      </c>
      <c r="U1433" s="411">
        <v>37.584649987815496</v>
      </c>
      <c r="V1433" s="411">
        <f t="shared" si="245"/>
        <v>45.566128092040081</v>
      </c>
      <c r="W1433" s="411">
        <v>38.811044941496597</v>
      </c>
      <c r="X1433" s="411">
        <v>39.300641772806387</v>
      </c>
      <c r="Y1433" s="411">
        <f t="shared" si="246"/>
        <v>47.646527976171832</v>
      </c>
      <c r="Z1433" s="411">
        <v>39.932125619832306</v>
      </c>
      <c r="AA1433" s="411">
        <v>40.583836446968149</v>
      </c>
      <c r="AB1433" s="441">
        <f t="shared" si="247"/>
        <v>48.680778842926927</v>
      </c>
      <c r="AC1433" s="438">
        <f t="shared" si="248"/>
        <v>50.136288431319876</v>
      </c>
      <c r="AD1433" s="410"/>
      <c r="AE1433" s="411"/>
      <c r="AF1433" s="411"/>
      <c r="AG1433" s="411"/>
    </row>
    <row r="1434" spans="1:33" s="409" customFormat="1" x14ac:dyDescent="0.2">
      <c r="A1434" s="409" t="s">
        <v>718</v>
      </c>
      <c r="B1434" s="23" t="str">
        <f>VLOOKUP(LEFT(A1434,7),'[7]Tariff Schedule Lookup Table'!$A$8:$G$186,2,FALSE)</f>
        <v>Mercury Vapour 160</v>
      </c>
      <c r="C1434" s="375">
        <f t="shared" si="240"/>
        <v>740</v>
      </c>
      <c r="D1434" s="23">
        <f t="shared" si="241"/>
        <v>2</v>
      </c>
      <c r="E1434" s="23" t="str">
        <f>VLOOKUP(C1434,'[7]Tariff Schedule Lookup Table'!I$7:L$287,2,FALSE)</f>
        <v>MERCURY VAPOUR 80W</v>
      </c>
      <c r="F1434" s="23" t="str">
        <f>IF(E1434 = "BULKHEADS ETC", "SHARED OR NO POLE", VLOOKUP(C1434,'[7]Tariff Schedule Lookup Table'!I$7:L$287,3,FALSE))</f>
        <v>SHARED OR NO POLE</v>
      </c>
      <c r="G1434" s="23">
        <f>IF(E1434 = "NO CAPITAL", 1, VLOOKUP(C1434,'[7]Tariff Schedule Lookup Table'!I$7:L$287,4,FALSE))</f>
        <v>2</v>
      </c>
      <c r="H1434" s="23" t="str">
        <f t="shared" si="239"/>
        <v>2-Unmetered, Funded by Others, CE Maintained</v>
      </c>
      <c r="I1434" s="374">
        <f>VLOOKUP(F1434,'Maintenance Model'!$A$57:$B$61,2,FALSE)</f>
        <v>0</v>
      </c>
      <c r="J1434" s="374">
        <f>IF(D1434=1,VLOOKUP(C1434,'Capital Code Schedules'!A$15:F$300,2,FALSE),IF(D1434=2,VLOOKUP(C1434,'Capital Code Schedules'!A$15:F$300,3,FALSE),0))</f>
        <v>0</v>
      </c>
      <c r="K1434" s="374">
        <f>IF(D1434=1,VLOOKUP(C1434,'Capital Code Schedules'!E$15:G$300,2,FALSE),IF(D1434=2,VLOOKUP(C1434,'Capital Code Schedules'!E$15:G$300,3,FALSE),0))</f>
        <v>0</v>
      </c>
      <c r="L1434" s="374">
        <f>VLOOKUP(LEFT(A1434,10),'Streetlight Tariff Schedule'!B$11:H$260,7, FALSE)+I1434</f>
        <v>39.911516435913995</v>
      </c>
      <c r="M1434" s="410">
        <f t="shared" si="242"/>
        <v>39.911516435913995</v>
      </c>
      <c r="N1434" s="411">
        <f t="shared" si="243"/>
        <v>41.574574347684646</v>
      </c>
      <c r="O1434" s="411">
        <v>34.292266880650395</v>
      </c>
      <c r="P1434" s="411">
        <v>34.292266880650395</v>
      </c>
      <c r="Q1434" s="411">
        <v>35.970491407255658</v>
      </c>
      <c r="R1434" s="411">
        <v>35.970491407255658</v>
      </c>
      <c r="S1434" s="411">
        <f t="shared" si="244"/>
        <v>43.609186716598266</v>
      </c>
      <c r="T1434" s="411">
        <v>37.447842117044956</v>
      </c>
      <c r="U1434" s="411">
        <v>37.584649987815496</v>
      </c>
      <c r="V1434" s="411">
        <f t="shared" si="245"/>
        <v>45.566128092040081</v>
      </c>
      <c r="W1434" s="411">
        <v>38.811044941496597</v>
      </c>
      <c r="X1434" s="411">
        <v>39.300641772806387</v>
      </c>
      <c r="Y1434" s="411">
        <f t="shared" si="246"/>
        <v>47.646527976171832</v>
      </c>
      <c r="Z1434" s="411">
        <v>39.932125619832306</v>
      </c>
      <c r="AA1434" s="411">
        <v>40.583836446968149</v>
      </c>
      <c r="AB1434" s="441">
        <f t="shared" si="247"/>
        <v>48.680778842926927</v>
      </c>
      <c r="AC1434" s="438">
        <f t="shared" si="248"/>
        <v>50.136288431319876</v>
      </c>
      <c r="AD1434" s="410"/>
      <c r="AE1434" s="411"/>
      <c r="AF1434" s="411"/>
      <c r="AG1434" s="411"/>
    </row>
    <row r="1435" spans="1:33" s="409" customFormat="1" x14ac:dyDescent="0.2">
      <c r="A1435" s="409" t="s">
        <v>719</v>
      </c>
      <c r="B1435" s="23" t="str">
        <f>VLOOKUP(LEFT(A1435,7),'[7]Tariff Schedule Lookup Table'!$A$8:$G$186,2,FALSE)</f>
        <v>Mercury Vapour 160</v>
      </c>
      <c r="C1435" s="375">
        <f t="shared" si="240"/>
        <v>1000</v>
      </c>
      <c r="D1435" s="23">
        <f t="shared" si="241"/>
        <v>2</v>
      </c>
      <c r="E1435" s="23" t="str">
        <f>VLOOKUP(C1435,'[7]Tariff Schedule Lookup Table'!I$7:L$287,2,FALSE)</f>
        <v>MERCURY VAPOUR 80W</v>
      </c>
      <c r="F1435" s="23" t="str">
        <f>IF(E1435 = "BULKHEADS ETC", "SHARED OR NO POLE", VLOOKUP(C1435,'[7]Tariff Schedule Lookup Table'!I$7:L$287,3,FALSE))</f>
        <v>STEEL POLE</v>
      </c>
      <c r="G1435" s="23">
        <f>IF(E1435 = "NO CAPITAL", 1, VLOOKUP(C1435,'[7]Tariff Schedule Lookup Table'!I$7:L$287,4,FALSE))</f>
        <v>2</v>
      </c>
      <c r="H1435" s="23" t="str">
        <f t="shared" ref="H1435:H1469" si="249">VLOOKUP(D1435,A$11:B$15, 2, FALSE)</f>
        <v>2-Unmetered, Funded by Others, CE Maintained</v>
      </c>
      <c r="I1435" s="374">
        <f>VLOOKUP(F1435,'Maintenance Model'!$A$57:$B$61,2,FALSE)</f>
        <v>9.9616182311111103</v>
      </c>
      <c r="J1435" s="374">
        <f>IF(D1435=1,VLOOKUP(C1435,'Capital Code Schedules'!A$15:F$300,2,FALSE),IF(D1435=2,VLOOKUP(C1435,'Capital Code Schedules'!A$15:F$300,3,FALSE),0))</f>
        <v>0</v>
      </c>
      <c r="K1435" s="374">
        <f>IF(D1435=1,VLOOKUP(C1435,'Capital Code Schedules'!E$15:G$300,2,FALSE),IF(D1435=2,VLOOKUP(C1435,'Capital Code Schedules'!E$15:G$300,3,FALSE),0))</f>
        <v>0</v>
      </c>
      <c r="L1435" s="374">
        <f>VLOOKUP(LEFT(A1435,10),'Streetlight Tariff Schedule'!B$11:H$260,7, FALSE)+I1435</f>
        <v>49.873134667025106</v>
      </c>
      <c r="M1435" s="410">
        <f t="shared" si="242"/>
        <v>49.873134667025106</v>
      </c>
      <c r="N1435" s="411">
        <f t="shared" si="243"/>
        <v>51.951279488357038</v>
      </c>
      <c r="O1435" s="411">
        <v>43.886382116749566</v>
      </c>
      <c r="P1435" s="411">
        <v>43.886382116749566</v>
      </c>
      <c r="Q1435" s="411">
        <v>46.034131727722574</v>
      </c>
      <c r="R1435" s="411">
        <v>46.034131727722574</v>
      </c>
      <c r="S1435" s="411">
        <f t="shared" si="244"/>
        <v>54.493716001210629</v>
      </c>
      <c r="T1435" s="411">
        <v>47.924808071631702</v>
      </c>
      <c r="U1435" s="411">
        <v>48.099891349564622</v>
      </c>
      <c r="V1435" s="411">
        <f t="shared" si="245"/>
        <v>56.939095417189421</v>
      </c>
      <c r="W1435" s="411">
        <v>49.669400818000248</v>
      </c>
      <c r="X1435" s="411">
        <v>50.295974549529646</v>
      </c>
      <c r="Y1435" s="411">
        <f t="shared" si="246"/>
        <v>59.538747669169553</v>
      </c>
      <c r="Z1435" s="411">
        <v>51.104131721162197</v>
      </c>
      <c r="AA1435" s="411">
        <v>51.938174874064536</v>
      </c>
      <c r="AB1435" s="441">
        <f t="shared" si="247"/>
        <v>60.831139874812465</v>
      </c>
      <c r="AC1435" s="438">
        <f t="shared" si="248"/>
        <v>62.649933851924992</v>
      </c>
      <c r="AD1435" s="410"/>
      <c r="AE1435" s="411"/>
      <c r="AF1435" s="411"/>
      <c r="AG1435" s="411"/>
    </row>
    <row r="1436" spans="1:33" s="409" customFormat="1" x14ac:dyDescent="0.2">
      <c r="A1436" s="409" t="s">
        <v>720</v>
      </c>
      <c r="B1436" s="23" t="str">
        <f>VLOOKUP(LEFT(A1436,7),'[7]Tariff Schedule Lookup Table'!$A$8:$G$186,2,FALSE)</f>
        <v>Mercury Vapour 175</v>
      </c>
      <c r="C1436" s="375">
        <f t="shared" si="240"/>
        <v>20</v>
      </c>
      <c r="D1436" s="23">
        <f t="shared" si="241"/>
        <v>1</v>
      </c>
      <c r="E1436" s="23" t="str">
        <f>VLOOKUP(C1436,'[7]Tariff Schedule Lookup Table'!I$7:L$287,2,FALSE)</f>
        <v xml:space="preserve">MERCURY VAPOUR 250W </v>
      </c>
      <c r="F1436" s="23" t="str">
        <f>IF(E1436 = "BULKHEADS ETC", "SHARED OR NO POLE", VLOOKUP(C1436,'[7]Tariff Schedule Lookup Table'!I$7:L$287,3,FALSE))</f>
        <v>SHARED OR NO POLE</v>
      </c>
      <c r="G1436" s="23">
        <f>IF(E1436 = "NO CAPITAL", 1, VLOOKUP(C1436,'[7]Tariff Schedule Lookup Table'!I$7:L$287,4,FALSE))</f>
        <v>1</v>
      </c>
      <c r="H1436" s="23" t="str">
        <f t="shared" si="249"/>
        <v>1-Unmetered, CE Funded, CE Maintained</v>
      </c>
      <c r="I1436" s="374">
        <f>VLOOKUP(F1436,'Maintenance Model'!$A$57:$B$61,2,FALSE)</f>
        <v>0</v>
      </c>
      <c r="J1436" s="374">
        <f>IF(D1436=1,VLOOKUP(C1436,'Capital Code Schedules'!A$15:F$300,2,FALSE),IF(D1436=2,VLOOKUP(C1436,'Capital Code Schedules'!A$15:F$300,3,FALSE),0))</f>
        <v>32.500655058222634</v>
      </c>
      <c r="K1436" s="374">
        <f>IF(D1436=1,VLOOKUP(C1436,'Capital Code Schedules'!E$15:G$300,2,FALSE),IF(D1436=2,VLOOKUP(C1436,'Capital Code Schedules'!E$15:G$300,3,FALSE),0))</f>
        <v>41.226131174006881</v>
      </c>
      <c r="L1436" s="374">
        <f>VLOOKUP(LEFT(A1436,10),'Streetlight Tariff Schedule'!B$11:H$260,7, FALSE)+I1436</f>
        <v>39.911516435913995</v>
      </c>
      <c r="M1436" s="410">
        <f t="shared" si="242"/>
        <v>81.137647609920876</v>
      </c>
      <c r="N1436" s="411">
        <f t="shared" si="243"/>
        <v>74.879620618598281</v>
      </c>
      <c r="O1436" s="411">
        <v>78.409025677411051</v>
      </c>
      <c r="P1436" s="411">
        <v>76.538744801213952</v>
      </c>
      <c r="Q1436" s="411">
        <v>79.262569656353165</v>
      </c>
      <c r="R1436" s="411">
        <v>81.179139984236144</v>
      </c>
      <c r="S1436" s="411">
        <f t="shared" si="244"/>
        <v>77.738532882717024</v>
      </c>
      <c r="T1436" s="411">
        <v>81.811399302807629</v>
      </c>
      <c r="U1436" s="411">
        <v>84.081745049239913</v>
      </c>
      <c r="V1436" s="411">
        <f t="shared" si="245"/>
        <v>80.668160623893229</v>
      </c>
      <c r="W1436" s="411">
        <v>84.272600167606896</v>
      </c>
      <c r="X1436" s="411">
        <v>87.373988356813101</v>
      </c>
      <c r="Y1436" s="411">
        <f t="shared" si="246"/>
        <v>83.938519410854795</v>
      </c>
      <c r="Z1436" s="411">
        <v>86.51885433778881</v>
      </c>
      <c r="AA1436" s="411">
        <v>90.027273408619052</v>
      </c>
      <c r="AB1436" s="441">
        <f t="shared" si="247"/>
        <v>85.611509326860315</v>
      </c>
      <c r="AC1436" s="438">
        <f t="shared" si="248"/>
        <v>88.141703172335724</v>
      </c>
      <c r="AD1436" s="410"/>
      <c r="AE1436" s="411"/>
      <c r="AF1436" s="411"/>
      <c r="AG1436" s="411"/>
    </row>
    <row r="1437" spans="1:33" s="409" customFormat="1" x14ac:dyDescent="0.2">
      <c r="A1437" s="409" t="s">
        <v>721</v>
      </c>
      <c r="B1437" s="23" t="str">
        <f>VLOOKUP(LEFT(A1437,7),'[7]Tariff Schedule Lookup Table'!$A$8:$G$186,2,FALSE)</f>
        <v>Mercury Vapour 250</v>
      </c>
      <c r="C1437" s="375">
        <f t="shared" si="240"/>
        <v>20</v>
      </c>
      <c r="D1437" s="23">
        <f t="shared" si="241"/>
        <v>1</v>
      </c>
      <c r="E1437" s="23" t="str">
        <f>VLOOKUP(C1437,'[7]Tariff Schedule Lookup Table'!I$7:L$287,2,FALSE)</f>
        <v xml:space="preserve">MERCURY VAPOUR 250W </v>
      </c>
      <c r="F1437" s="23" t="str">
        <f>IF(E1437 = "BULKHEADS ETC", "SHARED OR NO POLE", VLOOKUP(C1437,'[7]Tariff Schedule Lookup Table'!I$7:L$287,3,FALSE))</f>
        <v>SHARED OR NO POLE</v>
      </c>
      <c r="G1437" s="23">
        <f>IF(E1437 = "NO CAPITAL", 1, VLOOKUP(C1437,'[7]Tariff Schedule Lookup Table'!I$7:L$287,4,FALSE))</f>
        <v>1</v>
      </c>
      <c r="H1437" s="23" t="str">
        <f t="shared" si="249"/>
        <v>1-Unmetered, CE Funded, CE Maintained</v>
      </c>
      <c r="I1437" s="374">
        <f>VLOOKUP(F1437,'Maintenance Model'!$A$57:$B$61,2,FALSE)</f>
        <v>0</v>
      </c>
      <c r="J1437" s="374">
        <f>IF(D1437=1,VLOOKUP(C1437,'Capital Code Schedules'!A$15:F$300,2,FALSE),IF(D1437=2,VLOOKUP(C1437,'Capital Code Schedules'!A$15:F$300,3,FALSE),0))</f>
        <v>32.500655058222634</v>
      </c>
      <c r="K1437" s="374">
        <f>IF(D1437=1,VLOOKUP(C1437,'Capital Code Schedules'!E$15:G$300,2,FALSE),IF(D1437=2,VLOOKUP(C1437,'Capital Code Schedules'!E$15:G$300,3,FALSE),0))</f>
        <v>41.226131174006881</v>
      </c>
      <c r="L1437" s="374">
        <f>VLOOKUP(LEFT(A1437,10),'Streetlight Tariff Schedule'!B$11:H$260,7, FALSE)+I1437</f>
        <v>44.717787102123992</v>
      </c>
      <c r="M1437" s="410">
        <f t="shared" si="242"/>
        <v>85.943918276130873</v>
      </c>
      <c r="N1437" s="411">
        <f t="shared" si="243"/>
        <v>79.886161962831423</v>
      </c>
      <c r="O1437" s="411">
        <v>83.444379163023001</v>
      </c>
      <c r="P1437" s="411">
        <v>81.574098286825901</v>
      </c>
      <c r="Q1437" s="411">
        <v>84.544347612796741</v>
      </c>
      <c r="R1437" s="411">
        <v>86.460917940679721</v>
      </c>
      <c r="S1437" s="411">
        <f t="shared" si="244"/>
        <v>82.99008866436246</v>
      </c>
      <c r="T1437" s="411">
        <v>87.31010613921994</v>
      </c>
      <c r="U1437" s="411">
        <v>89.600540262758983</v>
      </c>
      <c r="V1437" s="411">
        <f t="shared" si="245"/>
        <v>86.155377456989342</v>
      </c>
      <c r="W1437" s="411">
        <v>89.971474817876157</v>
      </c>
      <c r="X1437" s="411">
        <v>93.144753649939545</v>
      </c>
      <c r="Y1437" s="411">
        <f t="shared" si="246"/>
        <v>89.67626455833215</v>
      </c>
      <c r="Z1437" s="411">
        <v>92.382344454307571</v>
      </c>
      <c r="AA1437" s="411">
        <v>95.986458405748948</v>
      </c>
      <c r="AB1437" s="441">
        <f t="shared" si="247"/>
        <v>91.473802225119556</v>
      </c>
      <c r="AC1437" s="438">
        <f t="shared" si="248"/>
        <v>94.179273125033959</v>
      </c>
      <c r="AD1437" s="410"/>
      <c r="AE1437" s="411"/>
      <c r="AF1437" s="411"/>
      <c r="AG1437" s="411"/>
    </row>
    <row r="1438" spans="1:33" s="409" customFormat="1" x14ac:dyDescent="0.2">
      <c r="A1438" s="409" t="s">
        <v>722</v>
      </c>
      <c r="B1438" s="23" t="str">
        <f>VLOOKUP(LEFT(A1438,7),'[7]Tariff Schedule Lookup Table'!$A$8:$G$186,2,FALSE)</f>
        <v>Mercury Vapour 250</v>
      </c>
      <c r="C1438" s="375">
        <f t="shared" si="240"/>
        <v>20</v>
      </c>
      <c r="D1438" s="23">
        <f t="shared" si="241"/>
        <v>2</v>
      </c>
      <c r="E1438" s="23" t="str">
        <f>VLOOKUP(C1438,'[7]Tariff Schedule Lookup Table'!I$7:L$287,2,FALSE)</f>
        <v xml:space="preserve">MERCURY VAPOUR 250W </v>
      </c>
      <c r="F1438" s="23" t="str">
        <f>IF(E1438 = "BULKHEADS ETC", "SHARED OR NO POLE", VLOOKUP(C1438,'[7]Tariff Schedule Lookup Table'!I$7:L$287,3,FALSE))</f>
        <v>SHARED OR NO POLE</v>
      </c>
      <c r="G1438" s="23">
        <f>IF(E1438 = "NO CAPITAL", 1, VLOOKUP(C1438,'[7]Tariff Schedule Lookup Table'!I$7:L$287,4,FALSE))</f>
        <v>1</v>
      </c>
      <c r="H1438" s="23" t="str">
        <f t="shared" si="249"/>
        <v>2-Unmetered, Funded by Others, CE Maintained</v>
      </c>
      <c r="I1438" s="374">
        <f>VLOOKUP(F1438,'Maintenance Model'!$A$57:$B$61,2,FALSE)</f>
        <v>0</v>
      </c>
      <c r="J1438" s="374">
        <f>IF(D1438=1,VLOOKUP(C1438,'Capital Code Schedules'!A$15:F$300,2,FALSE),IF(D1438=2,VLOOKUP(C1438,'Capital Code Schedules'!A$15:F$300,3,FALSE),0))</f>
        <v>0</v>
      </c>
      <c r="K1438" s="374">
        <f>IF(D1438=1,VLOOKUP(C1438,'Capital Code Schedules'!E$15:G$300,2,FALSE),IF(D1438=2,VLOOKUP(C1438,'Capital Code Schedules'!E$15:G$300,3,FALSE),0))</f>
        <v>0</v>
      </c>
      <c r="L1438" s="374">
        <f>VLOOKUP(LEFT(A1438,10),'Streetlight Tariff Schedule'!B$11:H$260,7, FALSE)+I1438</f>
        <v>44.717787102123992</v>
      </c>
      <c r="M1438" s="410">
        <f t="shared" si="242"/>
        <v>44.717787102123992</v>
      </c>
      <c r="N1438" s="411">
        <f t="shared" si="243"/>
        <v>46.581115691917773</v>
      </c>
      <c r="O1438" s="411">
        <v>39.327620366262359</v>
      </c>
      <c r="P1438" s="411">
        <v>39.327620366262359</v>
      </c>
      <c r="Q1438" s="411">
        <v>41.252269363699241</v>
      </c>
      <c r="R1438" s="411">
        <v>41.252269363699241</v>
      </c>
      <c r="S1438" s="411">
        <f t="shared" si="244"/>
        <v>48.860742498243695</v>
      </c>
      <c r="T1438" s="411">
        <v>42.946548953457288</v>
      </c>
      <c r="U1438" s="411">
        <v>43.103445201334566</v>
      </c>
      <c r="V1438" s="411">
        <f t="shared" si="245"/>
        <v>51.053344925136194</v>
      </c>
      <c r="W1438" s="411">
        <v>44.509919591765872</v>
      </c>
      <c r="X1438" s="411">
        <v>45.071407065932853</v>
      </c>
      <c r="Y1438" s="411">
        <f t="shared" si="246"/>
        <v>53.384273123649194</v>
      </c>
      <c r="Z1438" s="411">
        <v>45.795615736351067</v>
      </c>
      <c r="AA1438" s="411">
        <v>46.543021444098059</v>
      </c>
      <c r="AB1438" s="441">
        <f t="shared" si="247"/>
        <v>54.543071741186168</v>
      </c>
      <c r="AC1438" s="438">
        <f t="shared" si="248"/>
        <v>56.173858384018118</v>
      </c>
      <c r="AD1438" s="410"/>
      <c r="AE1438" s="411"/>
      <c r="AF1438" s="411"/>
      <c r="AG1438" s="411"/>
    </row>
    <row r="1439" spans="1:33" s="409" customFormat="1" x14ac:dyDescent="0.2">
      <c r="A1439" s="409" t="s">
        <v>723</v>
      </c>
      <c r="B1439" s="23" t="str">
        <f>VLOOKUP(LEFT(A1439,7),'[7]Tariff Schedule Lookup Table'!$A$8:$G$186,2,FALSE)</f>
        <v>Mercury Vapour 250</v>
      </c>
      <c r="C1439" s="375">
        <f t="shared" ref="C1439:C1469" si="250">1*MID(A1439,12,4)</f>
        <v>200</v>
      </c>
      <c r="D1439" s="23">
        <f t="shared" ref="D1439:D1469" si="251">1*(MID(A1439,17,3))</f>
        <v>1</v>
      </c>
      <c r="E1439" s="23" t="str">
        <f>VLOOKUP(C1439,'[7]Tariff Schedule Lookup Table'!I$7:L$287,2,FALSE)</f>
        <v xml:space="preserve">MERCURY VAPOUR 250W </v>
      </c>
      <c r="F1439" s="23" t="str">
        <f>IF(E1439 = "BULKHEADS ETC", "SHARED OR NO POLE", VLOOKUP(C1439,'[7]Tariff Schedule Lookup Table'!I$7:L$287,3,FALSE))</f>
        <v>WOOD POLE</v>
      </c>
      <c r="G1439" s="23">
        <f>IF(E1439 = "NO CAPITAL", 1, VLOOKUP(C1439,'[7]Tariff Schedule Lookup Table'!I$7:L$287,4,FALSE))</f>
        <v>1</v>
      </c>
      <c r="H1439" s="23" t="str">
        <f t="shared" si="249"/>
        <v>1-Unmetered, CE Funded, CE Maintained</v>
      </c>
      <c r="I1439" s="374">
        <f>VLOOKUP(F1439,'Maintenance Model'!$A$57:$B$61,2,FALSE)</f>
        <v>10.731618231111112</v>
      </c>
      <c r="J1439" s="374">
        <f>IF(D1439=1,VLOOKUP(C1439,'Capital Code Schedules'!A$15:F$300,2,FALSE),IF(D1439=2,VLOOKUP(C1439,'Capital Code Schedules'!A$15:F$300,3,FALSE),0))</f>
        <v>66.401773420098948</v>
      </c>
      <c r="K1439" s="374">
        <f>IF(D1439=1,VLOOKUP(C1439,'Capital Code Schedules'!E$15:G$300,2,FALSE),IF(D1439=2,VLOOKUP(C1439,'Capital Code Schedules'!E$15:G$300,3,FALSE),0))</f>
        <v>84.228709122928919</v>
      </c>
      <c r="L1439" s="374">
        <f>VLOOKUP(LEFT(A1439,10),'Streetlight Tariff Schedule'!B$11:H$260,7, FALSE)+I1439</f>
        <v>55.449405333235106</v>
      </c>
      <c r="M1439" s="410">
        <f t="shared" si="242"/>
        <v>139.67811445616402</v>
      </c>
      <c r="N1439" s="411">
        <f t="shared" si="243"/>
        <v>125.80512298416157</v>
      </c>
      <c r="O1439" s="411">
        <v>139.85834285065917</v>
      </c>
      <c r="P1439" s="411">
        <v>136.03719011540792</v>
      </c>
      <c r="Q1439" s="411">
        <v>140.60687321613665</v>
      </c>
      <c r="R1439" s="411">
        <v>144.52259948158536</v>
      </c>
      <c r="S1439" s="411">
        <f t="shared" si="244"/>
        <v>130.31594618240501</v>
      </c>
      <c r="T1439" s="411">
        <v>144.93816141996652</v>
      </c>
      <c r="U1439" s="411">
        <v>149.49554352600359</v>
      </c>
      <c r="V1439" s="411">
        <f t="shared" si="245"/>
        <v>135.02202737649588</v>
      </c>
      <c r="W1439" s="411">
        <v>149.15811600242864</v>
      </c>
      <c r="X1439" s="411">
        <v>155.20415750082995</v>
      </c>
      <c r="Y1439" s="411">
        <f t="shared" si="246"/>
        <v>140.34353792984678</v>
      </c>
      <c r="Z1439" s="411">
        <v>153.0825151383716</v>
      </c>
      <c r="AA1439" s="411">
        <v>159.86400940506684</v>
      </c>
      <c r="AB1439" s="441">
        <f t="shared" si="247"/>
        <v>143.08543291648709</v>
      </c>
      <c r="AC1439" s="438">
        <f t="shared" si="248"/>
        <v>147.30326161659428</v>
      </c>
      <c r="AD1439" s="410"/>
      <c r="AE1439" s="411"/>
      <c r="AF1439" s="411"/>
      <c r="AG1439" s="411"/>
    </row>
    <row r="1440" spans="1:33" s="409" customFormat="1" x14ac:dyDescent="0.2">
      <c r="A1440" s="409" t="s">
        <v>724</v>
      </c>
      <c r="B1440" s="23" t="str">
        <f>VLOOKUP(LEFT(A1440,7),'[7]Tariff Schedule Lookup Table'!$A$8:$G$186,2,FALSE)</f>
        <v>Mercury Vapour 250</v>
      </c>
      <c r="C1440" s="375">
        <f t="shared" si="250"/>
        <v>200</v>
      </c>
      <c r="D1440" s="23">
        <f t="shared" si="251"/>
        <v>2</v>
      </c>
      <c r="E1440" s="23" t="str">
        <f>VLOOKUP(C1440,'[7]Tariff Schedule Lookup Table'!I$7:L$287,2,FALSE)</f>
        <v xml:space="preserve">MERCURY VAPOUR 250W </v>
      </c>
      <c r="F1440" s="23" t="str">
        <f>IF(E1440 = "BULKHEADS ETC", "SHARED OR NO POLE", VLOOKUP(C1440,'[7]Tariff Schedule Lookup Table'!I$7:L$287,3,FALSE))</f>
        <v>WOOD POLE</v>
      </c>
      <c r="G1440" s="23">
        <f>IF(E1440 = "NO CAPITAL", 1, VLOOKUP(C1440,'[7]Tariff Schedule Lookup Table'!I$7:L$287,4,FALSE))</f>
        <v>1</v>
      </c>
      <c r="H1440" s="23" t="str">
        <f t="shared" si="249"/>
        <v>2-Unmetered, Funded by Others, CE Maintained</v>
      </c>
      <c r="I1440" s="374">
        <f>VLOOKUP(F1440,'Maintenance Model'!$A$57:$B$61,2,FALSE)</f>
        <v>10.731618231111112</v>
      </c>
      <c r="J1440" s="374">
        <f>IF(D1440=1,VLOOKUP(C1440,'Capital Code Schedules'!A$15:F$300,2,FALSE),IF(D1440=2,VLOOKUP(C1440,'Capital Code Schedules'!A$15:F$300,3,FALSE),0))</f>
        <v>0</v>
      </c>
      <c r="K1440" s="374">
        <f>IF(D1440=1,VLOOKUP(C1440,'Capital Code Schedules'!E$15:G$300,2,FALSE),IF(D1440=2,VLOOKUP(C1440,'Capital Code Schedules'!E$15:G$300,3,FALSE),0))</f>
        <v>0</v>
      </c>
      <c r="L1440" s="374">
        <f>VLOOKUP(LEFT(A1440,10),'Streetlight Tariff Schedule'!B$11:H$260,7, FALSE)+I1440</f>
        <v>55.449405333235106</v>
      </c>
      <c r="M1440" s="410">
        <f t="shared" si="242"/>
        <v>55.449405333235106</v>
      </c>
      <c r="N1440" s="411">
        <f t="shared" si="243"/>
        <v>57.75990567191517</v>
      </c>
      <c r="O1440" s="411">
        <v>49.72382044168652</v>
      </c>
      <c r="P1440" s="411">
        <v>49.72382044168652</v>
      </c>
      <c r="Q1440" s="411">
        <v>52.157247642990619</v>
      </c>
      <c r="R1440" s="411">
        <v>52.157247642990619</v>
      </c>
      <c r="S1440" s="411">
        <f t="shared" si="244"/>
        <v>60.586609741680526</v>
      </c>
      <c r="T1440" s="411">
        <v>54.299407613885137</v>
      </c>
      <c r="U1440" s="411">
        <v>54.497779160008911</v>
      </c>
      <c r="V1440" s="411">
        <f t="shared" si="245"/>
        <v>63.305404847210752</v>
      </c>
      <c r="W1440" s="411">
        <v>56.276053039646733</v>
      </c>
      <c r="X1440" s="411">
        <v>56.985968922828057</v>
      </c>
      <c r="Y1440" s="411">
        <f t="shared" si="246"/>
        <v>66.195721896818853</v>
      </c>
      <c r="Z1440" s="411">
        <v>57.901621117260845</v>
      </c>
      <c r="AA1440" s="411">
        <v>58.846602452591895</v>
      </c>
      <c r="AB1440" s="441">
        <f t="shared" si="247"/>
        <v>67.632615321277882</v>
      </c>
      <c r="AC1440" s="438">
        <f t="shared" si="248"/>
        <v>69.654767029364493</v>
      </c>
      <c r="AD1440" s="410"/>
      <c r="AE1440" s="411"/>
      <c r="AF1440" s="411"/>
      <c r="AG1440" s="411"/>
    </row>
    <row r="1441" spans="1:33" s="409" customFormat="1" x14ac:dyDescent="0.2">
      <c r="A1441" s="409" t="s">
        <v>725</v>
      </c>
      <c r="B1441" s="23" t="str">
        <f>VLOOKUP(LEFT(A1441,7),'[7]Tariff Schedule Lookup Table'!$A$8:$G$186,2,FALSE)</f>
        <v>Mercury Vapour 250</v>
      </c>
      <c r="C1441" s="375">
        <f t="shared" si="250"/>
        <v>290</v>
      </c>
      <c r="D1441" s="23">
        <f t="shared" si="251"/>
        <v>1</v>
      </c>
      <c r="E1441" s="23" t="str">
        <f>VLOOKUP(C1441,'[7]Tariff Schedule Lookup Table'!I$7:L$287,2,FALSE)</f>
        <v xml:space="preserve">MERCURY VAPOUR 250W </v>
      </c>
      <c r="F1441" s="23" t="str">
        <f>IF(E1441 = "BULKHEADS ETC", "SHARED OR NO POLE", VLOOKUP(C1441,'[7]Tariff Schedule Lookup Table'!I$7:L$287,3,FALSE))</f>
        <v>STEEL POLE</v>
      </c>
      <c r="G1441" s="23">
        <f>IF(E1441 = "NO CAPITAL", 1, VLOOKUP(C1441,'[7]Tariff Schedule Lookup Table'!I$7:L$287,4,FALSE))</f>
        <v>1</v>
      </c>
      <c r="H1441" s="23" t="str">
        <f t="shared" si="249"/>
        <v>1-Unmetered, CE Funded, CE Maintained</v>
      </c>
      <c r="I1441" s="374">
        <f>VLOOKUP(F1441,'Maintenance Model'!$A$57:$B$61,2,FALSE)</f>
        <v>9.9616182311111103</v>
      </c>
      <c r="J1441" s="374">
        <f>IF(D1441=1,VLOOKUP(C1441,'Capital Code Schedules'!A$15:F$300,2,FALSE),IF(D1441=2,VLOOKUP(C1441,'Capital Code Schedules'!A$15:F$300,3,FALSE),0))</f>
        <v>92.68503859372899</v>
      </c>
      <c r="K1441" s="374">
        <f>IF(D1441=1,VLOOKUP(C1441,'Capital Code Schedules'!E$15:G$300,2,FALSE),IF(D1441=2,VLOOKUP(C1441,'Capital Code Schedules'!E$15:G$300,3,FALSE),0))</f>
        <v>117.5682629192497</v>
      </c>
      <c r="L1441" s="374">
        <f>VLOOKUP(LEFT(A1441,10),'Streetlight Tariff Schedule'!B$11:H$260,7, FALSE)+I1441</f>
        <v>54.679405333235103</v>
      </c>
      <c r="M1441" s="410">
        <f t="shared" si="242"/>
        <v>172.2476682524848</v>
      </c>
      <c r="N1441" s="411">
        <f t="shared" si="243"/>
        <v>151.93681413151396</v>
      </c>
      <c r="O1441" s="411">
        <v>174.73346107013762</v>
      </c>
      <c r="P1441" s="411">
        <v>169.39981302886267</v>
      </c>
      <c r="Q1441" s="411">
        <v>174.77581952697318</v>
      </c>
      <c r="R1441" s="411">
        <v>180.24147535726971</v>
      </c>
      <c r="S1441" s="411">
        <f t="shared" si="244"/>
        <v>157.07499516592821</v>
      </c>
      <c r="T1441" s="411">
        <v>179.93905751946056</v>
      </c>
      <c r="U1441" s="411">
        <v>186.21863085787069</v>
      </c>
      <c r="V1441" s="411">
        <f t="shared" si="245"/>
        <v>162.52993274977527</v>
      </c>
      <c r="W1441" s="411">
        <v>185.01507775931861</v>
      </c>
      <c r="X1441" s="411">
        <v>193.16182224903639</v>
      </c>
      <c r="Y1441" s="411">
        <f t="shared" si="246"/>
        <v>168.77362605106933</v>
      </c>
      <c r="Z1441" s="411">
        <v>189.82318248543345</v>
      </c>
      <c r="AA1441" s="411">
        <v>198.89965212615658</v>
      </c>
      <c r="AB1441" s="441">
        <f t="shared" si="247"/>
        <v>172.01211555241997</v>
      </c>
      <c r="AC1441" s="438">
        <f t="shared" si="248"/>
        <v>177.07096025285054</v>
      </c>
      <c r="AD1441" s="410"/>
      <c r="AE1441" s="411"/>
      <c r="AF1441" s="411"/>
      <c r="AG1441" s="411"/>
    </row>
    <row r="1442" spans="1:33" s="409" customFormat="1" x14ac:dyDescent="0.2">
      <c r="A1442" s="409" t="s">
        <v>726</v>
      </c>
      <c r="B1442" s="23" t="str">
        <f>VLOOKUP(LEFT(A1442,7),'[7]Tariff Schedule Lookup Table'!$A$8:$G$186,2,FALSE)</f>
        <v>Mercury Vapour 250</v>
      </c>
      <c r="C1442" s="375">
        <f t="shared" si="250"/>
        <v>290</v>
      </c>
      <c r="D1442" s="23">
        <f t="shared" si="251"/>
        <v>2</v>
      </c>
      <c r="E1442" s="23" t="str">
        <f>VLOOKUP(C1442,'[7]Tariff Schedule Lookup Table'!I$7:L$287,2,FALSE)</f>
        <v xml:space="preserve">MERCURY VAPOUR 250W </v>
      </c>
      <c r="F1442" s="23" t="str">
        <f>IF(E1442 = "BULKHEADS ETC", "SHARED OR NO POLE", VLOOKUP(C1442,'[7]Tariff Schedule Lookup Table'!I$7:L$287,3,FALSE))</f>
        <v>STEEL POLE</v>
      </c>
      <c r="G1442" s="23">
        <f>IF(E1442 = "NO CAPITAL", 1, VLOOKUP(C1442,'[7]Tariff Schedule Lookup Table'!I$7:L$287,4,FALSE))</f>
        <v>1</v>
      </c>
      <c r="H1442" s="23" t="str">
        <f t="shared" si="249"/>
        <v>2-Unmetered, Funded by Others, CE Maintained</v>
      </c>
      <c r="I1442" s="374">
        <f>VLOOKUP(F1442,'Maintenance Model'!$A$57:$B$61,2,FALSE)</f>
        <v>9.9616182311111103</v>
      </c>
      <c r="J1442" s="374">
        <f>IF(D1442=1,VLOOKUP(C1442,'Capital Code Schedules'!A$15:F$300,2,FALSE),IF(D1442=2,VLOOKUP(C1442,'Capital Code Schedules'!A$15:F$300,3,FALSE),0))</f>
        <v>0</v>
      </c>
      <c r="K1442" s="374">
        <f>IF(D1442=1,VLOOKUP(C1442,'Capital Code Schedules'!E$15:G$300,2,FALSE),IF(D1442=2,VLOOKUP(C1442,'Capital Code Schedules'!E$15:G$300,3,FALSE),0))</f>
        <v>0</v>
      </c>
      <c r="L1442" s="374">
        <f>VLOOKUP(LEFT(A1442,10),'Streetlight Tariff Schedule'!B$11:H$260,7, FALSE)+I1442</f>
        <v>54.679405333235103</v>
      </c>
      <c r="M1442" s="410">
        <f t="shared" si="242"/>
        <v>54.679405333235103</v>
      </c>
      <c r="N1442" s="411">
        <f t="shared" si="243"/>
        <v>56.957820832590166</v>
      </c>
      <c r="O1442" s="411">
        <v>48.921735602361515</v>
      </c>
      <c r="P1442" s="411">
        <v>48.921735602361515</v>
      </c>
      <c r="Q1442" s="411">
        <v>51.315909684166158</v>
      </c>
      <c r="R1442" s="411">
        <v>51.315909684166158</v>
      </c>
      <c r="S1442" s="411">
        <f t="shared" si="244"/>
        <v>59.745271782856065</v>
      </c>
      <c r="T1442" s="411">
        <v>53.423514908044034</v>
      </c>
      <c r="U1442" s="411">
        <v>53.618686563083699</v>
      </c>
      <c r="V1442" s="411">
        <f t="shared" si="245"/>
        <v>62.426312250285534</v>
      </c>
      <c r="W1442" s="411">
        <v>55.368275468269523</v>
      </c>
      <c r="X1442" s="411">
        <v>56.066739842656119</v>
      </c>
      <c r="Y1442" s="411">
        <f t="shared" si="246"/>
        <v>65.276492816646922</v>
      </c>
      <c r="Z1442" s="411">
        <v>56.967621837680944</v>
      </c>
      <c r="AA1442" s="411">
        <v>57.897359871194453</v>
      </c>
      <c r="AB1442" s="441">
        <f t="shared" si="247"/>
        <v>66.693432773071706</v>
      </c>
      <c r="AC1442" s="438">
        <f t="shared" si="248"/>
        <v>68.687503804623233</v>
      </c>
      <c r="AD1442" s="410"/>
      <c r="AE1442" s="411"/>
      <c r="AF1442" s="411"/>
      <c r="AG1442" s="411"/>
    </row>
    <row r="1443" spans="1:33" s="409" customFormat="1" x14ac:dyDescent="0.2">
      <c r="A1443" s="409" t="s">
        <v>727</v>
      </c>
      <c r="B1443" s="23" t="str">
        <f>VLOOKUP(LEFT(A1443,7),'[7]Tariff Schedule Lookup Table'!$A$8:$G$186,2,FALSE)</f>
        <v>Mercury Vapour 250</v>
      </c>
      <c r="C1443" s="375">
        <f t="shared" si="250"/>
        <v>370</v>
      </c>
      <c r="D1443" s="23">
        <f t="shared" si="251"/>
        <v>1</v>
      </c>
      <c r="E1443" s="23" t="str">
        <f>VLOOKUP(C1443,'[7]Tariff Schedule Lookup Table'!I$7:L$287,2,FALSE)</f>
        <v xml:space="preserve">MERCURY VAPOUR 250W </v>
      </c>
      <c r="F1443" s="23" t="str">
        <f>IF(E1443 = "BULKHEADS ETC", "SHARED OR NO POLE", VLOOKUP(C1443,'[7]Tariff Schedule Lookup Table'!I$7:L$287,3,FALSE))</f>
        <v>STEEL POLE</v>
      </c>
      <c r="G1443" s="23">
        <f>IF(E1443 = "NO CAPITAL", 1, VLOOKUP(C1443,'[7]Tariff Schedule Lookup Table'!I$7:L$287,4,FALSE))</f>
        <v>2</v>
      </c>
      <c r="H1443" s="23" t="str">
        <f t="shared" si="249"/>
        <v>1-Unmetered, CE Funded, CE Maintained</v>
      </c>
      <c r="I1443" s="374">
        <f>VLOOKUP(F1443,'Maintenance Model'!$A$57:$B$61,2,FALSE)</f>
        <v>9.9616182311111103</v>
      </c>
      <c r="J1443" s="374">
        <f>IF(D1443=1,VLOOKUP(C1443,'Capital Code Schedules'!A$15:F$300,2,FALSE),IF(D1443=2,VLOOKUP(C1443,'Capital Code Schedules'!A$15:F$300,3,FALSE),0))</f>
        <v>105.78116986969529</v>
      </c>
      <c r="K1443" s="374">
        <f>IF(D1443=1,VLOOKUP(C1443,'Capital Code Schedules'!E$15:G$300,2,FALSE),IF(D1443=2,VLOOKUP(C1443,'Capital Code Schedules'!E$15:G$300,3,FALSE),0))</f>
        <v>134.18032273428432</v>
      </c>
      <c r="L1443" s="374">
        <f>VLOOKUP(LEFT(A1443,10),'Streetlight Tariff Schedule'!B$11:H$260,7, FALSE)+I1443</f>
        <v>54.679405333235103</v>
      </c>
      <c r="M1443" s="410">
        <f t="shared" si="242"/>
        <v>188.85972806751943</v>
      </c>
      <c r="N1443" s="411">
        <f t="shared" si="243"/>
        <v>165.3570746565604</v>
      </c>
      <c r="O1443" s="411">
        <v>192.51029860271979</v>
      </c>
      <c r="P1443" s="411">
        <v>186.42302132431939</v>
      </c>
      <c r="Q1443" s="411">
        <v>192.22035222774247</v>
      </c>
      <c r="R1443" s="411">
        <v>198.45828961878328</v>
      </c>
      <c r="S1443" s="411">
        <f t="shared" si="244"/>
        <v>170.82740713896956</v>
      </c>
      <c r="T1443" s="411">
        <v>197.81534240457387</v>
      </c>
      <c r="U1443" s="411">
        <v>204.95462432583739</v>
      </c>
      <c r="V1443" s="411">
        <f t="shared" si="245"/>
        <v>176.67428846404829</v>
      </c>
      <c r="W1443" s="411">
        <v>203.33380069533848</v>
      </c>
      <c r="X1443" s="411">
        <v>212.53296589556717</v>
      </c>
      <c r="Y1443" s="411">
        <f t="shared" si="246"/>
        <v>183.39747542405621</v>
      </c>
      <c r="Z1443" s="411">
        <v>208.59529381411983</v>
      </c>
      <c r="AA1443" s="411">
        <v>218.82287336661349</v>
      </c>
      <c r="AB1443" s="441">
        <f t="shared" si="247"/>
        <v>186.89334467437141</v>
      </c>
      <c r="AC1443" s="438">
        <f t="shared" si="248"/>
        <v>192.38523314225077</v>
      </c>
      <c r="AD1443" s="410"/>
      <c r="AE1443" s="411"/>
      <c r="AF1443" s="411"/>
      <c r="AG1443" s="411"/>
    </row>
    <row r="1444" spans="1:33" s="409" customFormat="1" x14ac:dyDescent="0.2">
      <c r="A1444" s="409" t="s">
        <v>728</v>
      </c>
      <c r="B1444" s="23" t="str">
        <f>VLOOKUP(LEFT(A1444,7),'[7]Tariff Schedule Lookup Table'!$A$8:$G$186,2,FALSE)</f>
        <v>Mercury Vapour 250</v>
      </c>
      <c r="C1444" s="375">
        <f t="shared" si="250"/>
        <v>370</v>
      </c>
      <c r="D1444" s="23">
        <f t="shared" si="251"/>
        <v>2</v>
      </c>
      <c r="E1444" s="23" t="str">
        <f>VLOOKUP(C1444,'[7]Tariff Schedule Lookup Table'!I$7:L$287,2,FALSE)</f>
        <v xml:space="preserve">MERCURY VAPOUR 250W </v>
      </c>
      <c r="F1444" s="23" t="str">
        <f>IF(E1444 = "BULKHEADS ETC", "SHARED OR NO POLE", VLOOKUP(C1444,'[7]Tariff Schedule Lookup Table'!I$7:L$287,3,FALSE))</f>
        <v>STEEL POLE</v>
      </c>
      <c r="G1444" s="23">
        <f>IF(E1444 = "NO CAPITAL", 1, VLOOKUP(C1444,'[7]Tariff Schedule Lookup Table'!I$7:L$287,4,FALSE))</f>
        <v>2</v>
      </c>
      <c r="H1444" s="23" t="str">
        <f t="shared" si="249"/>
        <v>2-Unmetered, Funded by Others, CE Maintained</v>
      </c>
      <c r="I1444" s="374">
        <f>VLOOKUP(F1444,'Maintenance Model'!$A$57:$B$61,2,FALSE)</f>
        <v>9.9616182311111103</v>
      </c>
      <c r="J1444" s="374">
        <f>IF(D1444=1,VLOOKUP(C1444,'Capital Code Schedules'!A$15:F$300,2,FALSE),IF(D1444=2,VLOOKUP(C1444,'Capital Code Schedules'!A$15:F$300,3,FALSE),0))</f>
        <v>0</v>
      </c>
      <c r="K1444" s="374">
        <f>IF(D1444=1,VLOOKUP(C1444,'Capital Code Schedules'!E$15:G$300,2,FALSE),IF(D1444=2,VLOOKUP(C1444,'Capital Code Schedules'!E$15:G$300,3,FALSE),0))</f>
        <v>0</v>
      </c>
      <c r="L1444" s="374">
        <f>VLOOKUP(LEFT(A1444,10),'Streetlight Tariff Schedule'!B$11:H$260,7, FALSE)+I1444</f>
        <v>54.679405333235103</v>
      </c>
      <c r="M1444" s="410">
        <f t="shared" si="242"/>
        <v>54.679405333235103</v>
      </c>
      <c r="N1444" s="411">
        <f t="shared" si="243"/>
        <v>56.957820832590166</v>
      </c>
      <c r="O1444" s="411">
        <v>48.921735602361515</v>
      </c>
      <c r="P1444" s="411">
        <v>48.921735602361515</v>
      </c>
      <c r="Q1444" s="411">
        <v>51.315909684166158</v>
      </c>
      <c r="R1444" s="411">
        <v>51.315909684166158</v>
      </c>
      <c r="S1444" s="411">
        <f t="shared" si="244"/>
        <v>59.745271782856065</v>
      </c>
      <c r="T1444" s="411">
        <v>53.423514908044034</v>
      </c>
      <c r="U1444" s="411">
        <v>53.618686563083699</v>
      </c>
      <c r="V1444" s="411">
        <f t="shared" si="245"/>
        <v>62.426312250285534</v>
      </c>
      <c r="W1444" s="411">
        <v>55.368275468269523</v>
      </c>
      <c r="X1444" s="411">
        <v>56.066739842656119</v>
      </c>
      <c r="Y1444" s="411">
        <f t="shared" si="246"/>
        <v>65.276492816646922</v>
      </c>
      <c r="Z1444" s="411">
        <v>56.967621837680944</v>
      </c>
      <c r="AA1444" s="411">
        <v>57.897359871194453</v>
      </c>
      <c r="AB1444" s="441">
        <f t="shared" si="247"/>
        <v>66.693432773071706</v>
      </c>
      <c r="AC1444" s="438">
        <f t="shared" si="248"/>
        <v>68.687503804623233</v>
      </c>
      <c r="AD1444" s="410"/>
      <c r="AE1444" s="411"/>
      <c r="AF1444" s="411"/>
      <c r="AG1444" s="411"/>
    </row>
    <row r="1445" spans="1:33" s="409" customFormat="1" x14ac:dyDescent="0.2">
      <c r="A1445" s="409" t="s">
        <v>752</v>
      </c>
      <c r="B1445" s="23" t="str">
        <f>VLOOKUP(LEFT(A1445,7),'[7]Tariff Schedule Lookup Table'!$A$8:$G$186,2,FALSE)</f>
        <v>Mercury Vapour 250</v>
      </c>
      <c r="C1445" s="375">
        <f t="shared" si="250"/>
        <v>450</v>
      </c>
      <c r="D1445" s="23">
        <f t="shared" si="251"/>
        <v>1</v>
      </c>
      <c r="E1445" s="23" t="str">
        <f>VLOOKUP(C1445,'[7]Tariff Schedule Lookup Table'!I$7:L$287,2,FALSE)</f>
        <v xml:space="preserve">MERCURY VAPOUR 250W </v>
      </c>
      <c r="F1445" s="23" t="str">
        <f>IF(E1445 = "BULKHEADS ETC", "SHARED OR NO POLE", VLOOKUP(C1445,'[7]Tariff Schedule Lookup Table'!I$7:L$287,3,FALSE))</f>
        <v>STEEL POLE</v>
      </c>
      <c r="G1445" s="23">
        <f>IF(E1445 = "NO CAPITAL", 1, VLOOKUP(C1445,'[7]Tariff Schedule Lookup Table'!I$7:L$287,4,FALSE))</f>
        <v>4</v>
      </c>
      <c r="H1445" s="23" t="str">
        <f t="shared" si="249"/>
        <v>1-Unmetered, CE Funded, CE Maintained</v>
      </c>
      <c r="I1445" s="374">
        <f>VLOOKUP(F1445,'Maintenance Model'!$A$57:$B$61,2,FALSE)</f>
        <v>9.9616182311111103</v>
      </c>
      <c r="J1445" s="374">
        <f>IF(D1445=1,VLOOKUP(C1445,'Capital Code Schedules'!A$15:F$300,2,FALSE),IF(D1445=2,VLOOKUP(C1445,'Capital Code Schedules'!A$15:F$300,3,FALSE),0))</f>
        <v>131.9734324216279</v>
      </c>
      <c r="K1445" s="374">
        <f>IF(D1445=1,VLOOKUP(C1445,'Capital Code Schedules'!E$15:G$300,2,FALSE),IF(D1445=2,VLOOKUP(C1445,'Capital Code Schedules'!E$15:G$300,3,FALSE),0))</f>
        <v>167.40444236435346</v>
      </c>
      <c r="L1445" s="374">
        <f>VLOOKUP(LEFT(A1445,10),'Streetlight Tariff Schedule'!B$11:H$260,7, FALSE)+I1445</f>
        <v>54.679405333235103</v>
      </c>
      <c r="M1445" s="410">
        <f t="shared" si="242"/>
        <v>222.08384769758857</v>
      </c>
      <c r="N1445" s="411">
        <f t="shared" si="243"/>
        <v>192.19759570665337</v>
      </c>
      <c r="O1445" s="411">
        <v>228.06397366788411</v>
      </c>
      <c r="P1445" s="411">
        <v>220.46943791523273</v>
      </c>
      <c r="Q1445" s="411">
        <v>227.10941762928093</v>
      </c>
      <c r="R1445" s="411">
        <v>234.89191814181041</v>
      </c>
      <c r="S1445" s="411">
        <f t="shared" si="244"/>
        <v>198.33223108505234</v>
      </c>
      <c r="T1445" s="411">
        <v>233.56791217480043</v>
      </c>
      <c r="U1445" s="411">
        <v>242.42661126177083</v>
      </c>
      <c r="V1445" s="411">
        <f t="shared" si="245"/>
        <v>204.96299989259441</v>
      </c>
      <c r="W1445" s="411">
        <v>239.97124656737813</v>
      </c>
      <c r="X1445" s="411">
        <v>251.27525318862874</v>
      </c>
      <c r="Y1445" s="411">
        <f t="shared" si="246"/>
        <v>212.64517417003006</v>
      </c>
      <c r="Z1445" s="411">
        <v>246.13951647149244</v>
      </c>
      <c r="AA1445" s="411">
        <v>258.66931584752729</v>
      </c>
      <c r="AB1445" s="441">
        <f t="shared" si="247"/>
        <v>216.65580291827439</v>
      </c>
      <c r="AC1445" s="438">
        <f t="shared" si="248"/>
        <v>223.01377892105134</v>
      </c>
      <c r="AD1445" s="410"/>
      <c r="AE1445" s="411"/>
      <c r="AF1445" s="411"/>
      <c r="AG1445" s="411"/>
    </row>
    <row r="1446" spans="1:33" s="409" customFormat="1" x14ac:dyDescent="0.2">
      <c r="A1446" s="409" t="s">
        <v>729</v>
      </c>
      <c r="B1446" s="23" t="str">
        <f>VLOOKUP(LEFT(A1446,7),'[7]Tariff Schedule Lookup Table'!$A$8:$G$186,2,FALSE)</f>
        <v>Mercury Vapour 250</v>
      </c>
      <c r="C1446" s="375">
        <f t="shared" si="250"/>
        <v>940</v>
      </c>
      <c r="D1446" s="23">
        <f t="shared" si="251"/>
        <v>1</v>
      </c>
      <c r="E1446" s="23" t="str">
        <f>VLOOKUP(C1446,'[7]Tariff Schedule Lookup Table'!I$7:L$287,2,FALSE)</f>
        <v xml:space="preserve">MERCURY VAPOUR 250W </v>
      </c>
      <c r="F1446" s="23" t="str">
        <f>IF(E1446 = "BULKHEADS ETC", "SHARED OR NO POLE", VLOOKUP(C1446,'[7]Tariff Schedule Lookup Table'!I$7:L$287,3,FALSE))</f>
        <v>SHARED OR NO POLE</v>
      </c>
      <c r="G1446" s="23">
        <f>IF(E1446 = "NO CAPITAL", 1, VLOOKUP(C1446,'[7]Tariff Schedule Lookup Table'!I$7:L$287,4,FALSE))</f>
        <v>2</v>
      </c>
      <c r="H1446" s="23" t="str">
        <f t="shared" si="249"/>
        <v>1-Unmetered, CE Funded, CE Maintained</v>
      </c>
      <c r="I1446" s="374">
        <f>VLOOKUP(F1446,'Maintenance Model'!$A$57:$B$61,2,FALSE)</f>
        <v>0</v>
      </c>
      <c r="J1446" s="374">
        <f>IF(D1446=1,VLOOKUP(C1446,'Capital Code Schedules'!A$15:F$300,2,FALSE),IF(D1446=2,VLOOKUP(C1446,'Capital Code Schedules'!A$15:F$300,3,FALSE),0))</f>
        <v>45.596786334188934</v>
      </c>
      <c r="K1446" s="374">
        <f>IF(D1446=1,VLOOKUP(C1446,'Capital Code Schedules'!E$15:G$300,2,FALSE),IF(D1446=2,VLOOKUP(C1446,'Capital Code Schedules'!E$15:G$300,3,FALSE),0))</f>
        <v>57.838190989041465</v>
      </c>
      <c r="L1446" s="374">
        <f>VLOOKUP(LEFT(A1446,10),'Streetlight Tariff Schedule'!B$11:H$260,7, FALSE)+I1446</f>
        <v>44.717787102123992</v>
      </c>
      <c r="M1446" s="410">
        <f t="shared" si="242"/>
        <v>102.55597809116546</v>
      </c>
      <c r="N1446" s="411">
        <f t="shared" si="243"/>
        <v>93.306422487877882</v>
      </c>
      <c r="O1446" s="411">
        <v>101.22121669560518</v>
      </c>
      <c r="P1446" s="411">
        <v>98.597306582282599</v>
      </c>
      <c r="Q1446" s="411">
        <v>101.988880313566</v>
      </c>
      <c r="R1446" s="411">
        <v>104.6777322021933</v>
      </c>
      <c r="S1446" s="411">
        <f t="shared" si="244"/>
        <v>96.742500637403822</v>
      </c>
      <c r="T1446" s="411">
        <v>105.18639102433325</v>
      </c>
      <c r="U1446" s="411">
        <v>108.33653373072571</v>
      </c>
      <c r="V1446" s="411">
        <f t="shared" si="245"/>
        <v>100.29973317126239</v>
      </c>
      <c r="W1446" s="411">
        <v>108.29019775389601</v>
      </c>
      <c r="X1446" s="411">
        <v>112.51589729647034</v>
      </c>
      <c r="Y1446" s="411">
        <f t="shared" si="246"/>
        <v>104.30011393131906</v>
      </c>
      <c r="Z1446" s="411">
        <v>111.15445578299391</v>
      </c>
      <c r="AA1446" s="411">
        <v>115.90967964620587</v>
      </c>
      <c r="AB1446" s="441">
        <f t="shared" si="247"/>
        <v>106.35503134707103</v>
      </c>
      <c r="AC1446" s="438">
        <f t="shared" si="248"/>
        <v>109.49354601443422</v>
      </c>
      <c r="AD1446" s="410"/>
      <c r="AE1446" s="411"/>
      <c r="AF1446" s="411"/>
      <c r="AG1446" s="411"/>
    </row>
    <row r="1447" spans="1:33" s="409" customFormat="1" x14ac:dyDescent="0.2">
      <c r="A1447" s="409" t="s">
        <v>730</v>
      </c>
      <c r="B1447" s="23" t="str">
        <f>VLOOKUP(LEFT(A1447,7),'[7]Tariff Schedule Lookup Table'!$A$8:$G$186,2,FALSE)</f>
        <v>Mercury Vapour 400</v>
      </c>
      <c r="C1447" s="375">
        <f t="shared" si="250"/>
        <v>30</v>
      </c>
      <c r="D1447" s="23">
        <f t="shared" si="251"/>
        <v>1</v>
      </c>
      <c r="E1447" s="23" t="str">
        <f>VLOOKUP(C1447,'[7]Tariff Schedule Lookup Table'!I$7:L$287,2,FALSE)</f>
        <v>MERCURY VAPOUR 400W</v>
      </c>
      <c r="F1447" s="23" t="str">
        <f>IF(E1447 = "BULKHEADS ETC", "SHARED OR NO POLE", VLOOKUP(C1447,'[7]Tariff Schedule Lookup Table'!I$7:L$287,3,FALSE))</f>
        <v>SHARED OR NO POLE</v>
      </c>
      <c r="G1447" s="23">
        <f>IF(E1447 = "NO CAPITAL", 1, VLOOKUP(C1447,'[7]Tariff Schedule Lookup Table'!I$7:L$287,4,FALSE))</f>
        <v>1</v>
      </c>
      <c r="H1447" s="23" t="str">
        <f t="shared" si="249"/>
        <v>1-Unmetered, CE Funded, CE Maintained</v>
      </c>
      <c r="I1447" s="374">
        <f>VLOOKUP(F1447,'Maintenance Model'!$A$57:$B$61,2,FALSE)</f>
        <v>0</v>
      </c>
      <c r="J1447" s="374">
        <f>IF(D1447=1,VLOOKUP(C1447,'Capital Code Schedules'!A$15:F$300,2,FALSE),IF(D1447=2,VLOOKUP(C1447,'Capital Code Schedules'!A$15:F$300,3,FALSE),0))</f>
        <v>32.642120539558654</v>
      </c>
      <c r="K1447" s="374">
        <f>IF(D1447=1,VLOOKUP(C1447,'Capital Code Schedules'!E$15:G$300,2,FALSE),IF(D1447=2,VLOOKUP(C1447,'Capital Code Schedules'!E$15:G$300,3,FALSE),0))</f>
        <v>41.405576003032792</v>
      </c>
      <c r="L1447" s="374">
        <f>VLOOKUP(LEFT(A1447,10),'Streetlight Tariff Schedule'!B$11:H$260,7, FALSE)+I1447</f>
        <v>58.973327651893996</v>
      </c>
      <c r="M1447" s="410">
        <f t="shared" si="242"/>
        <v>100.37890365492679</v>
      </c>
      <c r="N1447" s="411">
        <f t="shared" si="243"/>
        <v>94.880678002302318</v>
      </c>
      <c r="O1447" s="411">
        <v>98.628855197255049</v>
      </c>
      <c r="P1447" s="411">
        <v>96.750433556389936</v>
      </c>
      <c r="Q1447" s="411">
        <v>100.45894746896498</v>
      </c>
      <c r="R1447" s="411">
        <v>102.38386004544149</v>
      </c>
      <c r="S1447" s="411">
        <f t="shared" si="244"/>
        <v>98.714912678645959</v>
      </c>
      <c r="T1447" s="411">
        <v>103.87526195191313</v>
      </c>
      <c r="U1447" s="411">
        <v>106.23479460076254</v>
      </c>
      <c r="V1447" s="411">
        <f t="shared" si="245"/>
        <v>102.58341290870177</v>
      </c>
      <c r="W1447" s="411">
        <v>107.13739699362191</v>
      </c>
      <c r="X1447" s="411">
        <v>110.53609404034513</v>
      </c>
      <c r="Y1447" s="411">
        <f t="shared" si="246"/>
        <v>106.85255390918377</v>
      </c>
      <c r="Z1447" s="411">
        <v>110.04329639447079</v>
      </c>
      <c r="AA1447" s="411">
        <v>113.94477023428391</v>
      </c>
      <c r="AB1447" s="441">
        <f t="shared" si="247"/>
        <v>109.02228411524311</v>
      </c>
      <c r="AC1447" s="438">
        <f t="shared" si="248"/>
        <v>112.25230970235903</v>
      </c>
      <c r="AD1447" s="410"/>
      <c r="AE1447" s="411"/>
      <c r="AF1447" s="411"/>
      <c r="AG1447" s="411"/>
    </row>
    <row r="1448" spans="1:33" s="409" customFormat="1" x14ac:dyDescent="0.2">
      <c r="A1448" s="409" t="s">
        <v>731</v>
      </c>
      <c r="B1448" s="23" t="str">
        <f>VLOOKUP(LEFT(A1448,7),'[7]Tariff Schedule Lookup Table'!$A$8:$G$186,2,FALSE)</f>
        <v>Mercury Vapour 400</v>
      </c>
      <c r="C1448" s="375">
        <f t="shared" si="250"/>
        <v>30</v>
      </c>
      <c r="D1448" s="23">
        <f t="shared" si="251"/>
        <v>2</v>
      </c>
      <c r="E1448" s="23" t="str">
        <f>VLOOKUP(C1448,'[7]Tariff Schedule Lookup Table'!I$7:L$287,2,FALSE)</f>
        <v>MERCURY VAPOUR 400W</v>
      </c>
      <c r="F1448" s="23" t="str">
        <f>IF(E1448 = "BULKHEADS ETC", "SHARED OR NO POLE", VLOOKUP(C1448,'[7]Tariff Schedule Lookup Table'!I$7:L$287,3,FALSE))</f>
        <v>SHARED OR NO POLE</v>
      </c>
      <c r="G1448" s="23">
        <f>IF(E1448 = "NO CAPITAL", 1, VLOOKUP(C1448,'[7]Tariff Schedule Lookup Table'!I$7:L$287,4,FALSE))</f>
        <v>1</v>
      </c>
      <c r="H1448" s="23" t="str">
        <f t="shared" si="249"/>
        <v>2-Unmetered, Funded by Others, CE Maintained</v>
      </c>
      <c r="I1448" s="374">
        <f>VLOOKUP(F1448,'Maintenance Model'!$A$57:$B$61,2,FALSE)</f>
        <v>0</v>
      </c>
      <c r="J1448" s="374">
        <f>IF(D1448=1,VLOOKUP(C1448,'Capital Code Schedules'!A$15:F$300,2,FALSE),IF(D1448=2,VLOOKUP(C1448,'Capital Code Schedules'!A$15:F$300,3,FALSE),0))</f>
        <v>0</v>
      </c>
      <c r="K1448" s="374">
        <f>IF(D1448=1,VLOOKUP(C1448,'Capital Code Schedules'!E$15:G$300,2,FALSE),IF(D1448=2,VLOOKUP(C1448,'Capital Code Schedules'!E$15:G$300,3,FALSE),0))</f>
        <v>0</v>
      </c>
      <c r="L1448" s="374">
        <f>VLOOKUP(LEFT(A1448,10),'Streetlight Tariff Schedule'!B$11:H$260,7, FALSE)+I1448</f>
        <v>58.973327651893996</v>
      </c>
      <c r="M1448" s="410">
        <f t="shared" si="242"/>
        <v>58.973327651893996</v>
      </c>
      <c r="N1448" s="411">
        <f t="shared" si="243"/>
        <v>61.430664979389576</v>
      </c>
      <c r="O1448" s="411">
        <v>54.320069547282081</v>
      </c>
      <c r="P1448" s="411">
        <v>54.320069547282081</v>
      </c>
      <c r="Q1448" s="411">
        <v>56.978431950631702</v>
      </c>
      <c r="R1448" s="411">
        <v>56.978431950631702</v>
      </c>
      <c r="S1448" s="411">
        <f t="shared" si="244"/>
        <v>64.437011833416136</v>
      </c>
      <c r="T1448" s="411">
        <v>59.318603674501105</v>
      </c>
      <c r="U1448" s="411">
        <v>59.535311805250672</v>
      </c>
      <c r="V1448" s="411">
        <f t="shared" si="245"/>
        <v>67.328591889382892</v>
      </c>
      <c r="W1448" s="411">
        <v>61.477961423843922</v>
      </c>
      <c r="X1448" s="411">
        <v>62.253498778065413</v>
      </c>
      <c r="Y1448" s="411">
        <f t="shared" si="246"/>
        <v>70.402594457309988</v>
      </c>
      <c r="Z1448" s="411">
        <v>63.253789794340818</v>
      </c>
      <c r="AA1448" s="411">
        <v>64.286121007029209</v>
      </c>
      <c r="AB1448" s="441">
        <f t="shared" si="247"/>
        <v>71.930805377016341</v>
      </c>
      <c r="AC1448" s="438">
        <f t="shared" si="248"/>
        <v>74.081468932849859</v>
      </c>
      <c r="AD1448" s="410"/>
      <c r="AE1448" s="411"/>
      <c r="AF1448" s="411"/>
      <c r="AG1448" s="411"/>
    </row>
    <row r="1449" spans="1:33" s="409" customFormat="1" x14ac:dyDescent="0.2">
      <c r="A1449" s="409" t="s">
        <v>732</v>
      </c>
      <c r="B1449" s="23" t="str">
        <f>VLOOKUP(LEFT(A1449,7),'[7]Tariff Schedule Lookup Table'!$A$8:$G$186,2,FALSE)</f>
        <v>Mercury Vapour 400</v>
      </c>
      <c r="C1449" s="375">
        <f t="shared" si="250"/>
        <v>210</v>
      </c>
      <c r="D1449" s="23">
        <f t="shared" si="251"/>
        <v>1</v>
      </c>
      <c r="E1449" s="23" t="str">
        <f>VLOOKUP(C1449,'[7]Tariff Schedule Lookup Table'!I$7:L$287,2,FALSE)</f>
        <v>MERCURY VAPOUR 400W</v>
      </c>
      <c r="F1449" s="23" t="str">
        <f>IF(E1449 = "BULKHEADS ETC", "SHARED OR NO POLE", VLOOKUP(C1449,'[7]Tariff Schedule Lookup Table'!I$7:L$287,3,FALSE))</f>
        <v>WOOD POLE</v>
      </c>
      <c r="G1449" s="23">
        <f>IF(E1449 = "NO CAPITAL", 1, VLOOKUP(C1449,'[7]Tariff Schedule Lookup Table'!I$7:L$287,4,FALSE))</f>
        <v>1</v>
      </c>
      <c r="H1449" s="23" t="str">
        <f t="shared" si="249"/>
        <v>1-Unmetered, CE Funded, CE Maintained</v>
      </c>
      <c r="I1449" s="374">
        <f>VLOOKUP(F1449,'Maintenance Model'!$A$57:$B$61,2,FALSE)</f>
        <v>10.731618231111112</v>
      </c>
      <c r="J1449" s="374">
        <f>IF(D1449=1,VLOOKUP(C1449,'Capital Code Schedules'!A$15:F$300,2,FALSE),IF(D1449=2,VLOOKUP(C1449,'Capital Code Schedules'!A$15:F$300,3,FALSE),0))</f>
        <v>66.543238901434947</v>
      </c>
      <c r="K1449" s="374">
        <f>IF(D1449=1,VLOOKUP(C1449,'Capital Code Schedules'!E$15:G$300,2,FALSE),IF(D1449=2,VLOOKUP(C1449,'Capital Code Schedules'!E$15:G$300,3,FALSE),0))</f>
        <v>84.40815395195483</v>
      </c>
      <c r="L1449" s="374">
        <f>VLOOKUP(LEFT(A1449,10),'Streetlight Tariff Schedule'!B$11:H$260,7, FALSE)+I1449</f>
        <v>69.704945883005109</v>
      </c>
      <c r="M1449" s="410">
        <f t="shared" si="242"/>
        <v>154.11309983495994</v>
      </c>
      <c r="N1449" s="411">
        <f t="shared" si="243"/>
        <v>140.79963902363244</v>
      </c>
      <c r="O1449" s="411">
        <v>155.04281888489118</v>
      </c>
      <c r="P1449" s="411">
        <v>151.21352538497197</v>
      </c>
      <c r="Q1449" s="411">
        <v>156.52147307230487</v>
      </c>
      <c r="R1449" s="411">
        <v>160.4455415863471</v>
      </c>
      <c r="S1449" s="411">
        <f t="shared" si="244"/>
        <v>146.04077019668853</v>
      </c>
      <c r="T1449" s="411">
        <v>161.50331723265973</v>
      </c>
      <c r="U1449" s="411">
        <v>166.12979786400712</v>
      </c>
      <c r="V1449" s="411">
        <f t="shared" si="245"/>
        <v>151.45006282820833</v>
      </c>
      <c r="W1449" s="411">
        <v>166.32403817817436</v>
      </c>
      <c r="X1449" s="411">
        <v>172.59549789123548</v>
      </c>
      <c r="Y1449" s="411">
        <f t="shared" si="246"/>
        <v>157.51982728069837</v>
      </c>
      <c r="Z1449" s="411">
        <v>170.74346707853479</v>
      </c>
      <c r="AA1449" s="411">
        <v>177.82232123360174</v>
      </c>
      <c r="AB1449" s="441">
        <f t="shared" si="247"/>
        <v>160.63391480661062</v>
      </c>
      <c r="AC1449" s="438">
        <f t="shared" si="248"/>
        <v>165.37629819391935</v>
      </c>
      <c r="AD1449" s="410"/>
      <c r="AE1449" s="411"/>
      <c r="AF1449" s="411"/>
      <c r="AG1449" s="411"/>
    </row>
    <row r="1450" spans="1:33" s="409" customFormat="1" x14ac:dyDescent="0.2">
      <c r="A1450" s="409" t="s">
        <v>733</v>
      </c>
      <c r="B1450" s="23" t="str">
        <f>VLOOKUP(LEFT(A1450,7),'[7]Tariff Schedule Lookup Table'!$A$8:$G$186,2,FALSE)</f>
        <v>Mercury Vapour 400</v>
      </c>
      <c r="C1450" s="375">
        <f t="shared" si="250"/>
        <v>210</v>
      </c>
      <c r="D1450" s="23">
        <f t="shared" si="251"/>
        <v>2</v>
      </c>
      <c r="E1450" s="23" t="str">
        <f>VLOOKUP(C1450,'[7]Tariff Schedule Lookup Table'!I$7:L$287,2,FALSE)</f>
        <v>MERCURY VAPOUR 400W</v>
      </c>
      <c r="F1450" s="23" t="str">
        <f>IF(E1450 = "BULKHEADS ETC", "SHARED OR NO POLE", VLOOKUP(C1450,'[7]Tariff Schedule Lookup Table'!I$7:L$287,3,FALSE))</f>
        <v>WOOD POLE</v>
      </c>
      <c r="G1450" s="23">
        <f>IF(E1450 = "NO CAPITAL", 1, VLOOKUP(C1450,'[7]Tariff Schedule Lookup Table'!I$7:L$287,4,FALSE))</f>
        <v>1</v>
      </c>
      <c r="H1450" s="23" t="str">
        <f t="shared" si="249"/>
        <v>2-Unmetered, Funded by Others, CE Maintained</v>
      </c>
      <c r="I1450" s="374">
        <f>VLOOKUP(F1450,'Maintenance Model'!$A$57:$B$61,2,FALSE)</f>
        <v>10.731618231111112</v>
      </c>
      <c r="J1450" s="374">
        <f>IF(D1450=1,VLOOKUP(C1450,'Capital Code Schedules'!A$15:F$300,2,FALSE),IF(D1450=2,VLOOKUP(C1450,'Capital Code Schedules'!A$15:F$300,3,FALSE),0))</f>
        <v>0</v>
      </c>
      <c r="K1450" s="374">
        <f>IF(D1450=1,VLOOKUP(C1450,'Capital Code Schedules'!E$15:G$300,2,FALSE),IF(D1450=2,VLOOKUP(C1450,'Capital Code Schedules'!E$15:G$300,3,FALSE),0))</f>
        <v>0</v>
      </c>
      <c r="L1450" s="374">
        <f>VLOOKUP(LEFT(A1450,10),'Streetlight Tariff Schedule'!B$11:H$260,7, FALSE)+I1450</f>
        <v>69.704945883005109</v>
      </c>
      <c r="M1450" s="410">
        <f t="shared" si="242"/>
        <v>69.704945883005109</v>
      </c>
      <c r="N1450" s="411">
        <f t="shared" si="243"/>
        <v>72.60945495938698</v>
      </c>
      <c r="O1450" s="411">
        <v>64.71626962270625</v>
      </c>
      <c r="P1450" s="411">
        <v>64.71626962270625</v>
      </c>
      <c r="Q1450" s="411">
        <v>67.883410229923072</v>
      </c>
      <c r="R1450" s="411">
        <v>67.883410229923072</v>
      </c>
      <c r="S1450" s="411">
        <f t="shared" si="244"/>
        <v>76.16287907685296</v>
      </c>
      <c r="T1450" s="411">
        <v>70.671462334928961</v>
      </c>
      <c r="U1450" s="411">
        <v>70.929645763925009</v>
      </c>
      <c r="V1450" s="411">
        <f t="shared" si="245"/>
        <v>79.580651811457457</v>
      </c>
      <c r="W1450" s="411">
        <v>73.244094871724798</v>
      </c>
      <c r="X1450" s="411">
        <v>74.168060634960611</v>
      </c>
      <c r="Y1450" s="411">
        <f t="shared" si="246"/>
        <v>83.214043230479646</v>
      </c>
      <c r="Z1450" s="411">
        <v>75.359795175250596</v>
      </c>
      <c r="AA1450" s="411">
        <v>76.589702015523031</v>
      </c>
      <c r="AB1450" s="441">
        <f t="shared" si="247"/>
        <v>85.020348957108055</v>
      </c>
      <c r="AC1450" s="438">
        <f t="shared" si="248"/>
        <v>87.562377578196248</v>
      </c>
      <c r="AD1450" s="410"/>
      <c r="AE1450" s="411"/>
      <c r="AF1450" s="411"/>
      <c r="AG1450" s="411"/>
    </row>
    <row r="1451" spans="1:33" s="409" customFormat="1" x14ac:dyDescent="0.2">
      <c r="A1451" s="409" t="s">
        <v>734</v>
      </c>
      <c r="B1451" s="23" t="str">
        <f>VLOOKUP(LEFT(A1451,7),'[7]Tariff Schedule Lookup Table'!$A$8:$G$186,2,FALSE)</f>
        <v>Mercury Vapour 400</v>
      </c>
      <c r="C1451" s="375">
        <f t="shared" si="250"/>
        <v>300</v>
      </c>
      <c r="D1451" s="23">
        <f t="shared" si="251"/>
        <v>1</v>
      </c>
      <c r="E1451" s="23" t="str">
        <f>VLOOKUP(C1451,'[7]Tariff Schedule Lookup Table'!I$7:L$287,2,FALSE)</f>
        <v>MERCURY VAPOUR 400W</v>
      </c>
      <c r="F1451" s="23" t="str">
        <f>IF(E1451 = "BULKHEADS ETC", "SHARED OR NO POLE", VLOOKUP(C1451,'[7]Tariff Schedule Lookup Table'!I$7:L$287,3,FALSE))</f>
        <v>STEEL POLE</v>
      </c>
      <c r="G1451" s="23">
        <f>IF(E1451 = "NO CAPITAL", 1, VLOOKUP(C1451,'[7]Tariff Schedule Lookup Table'!I$7:L$287,4,FALSE))</f>
        <v>1</v>
      </c>
      <c r="H1451" s="23" t="str">
        <f t="shared" si="249"/>
        <v>1-Unmetered, CE Funded, CE Maintained</v>
      </c>
      <c r="I1451" s="374">
        <f>VLOOKUP(F1451,'Maintenance Model'!$A$57:$B$61,2,FALSE)</f>
        <v>9.9616182311111103</v>
      </c>
      <c r="J1451" s="374">
        <f>IF(D1451=1,VLOOKUP(C1451,'Capital Code Schedules'!A$15:F$300,2,FALSE),IF(D1451=2,VLOOKUP(C1451,'Capital Code Schedules'!A$15:F$300,3,FALSE),0))</f>
        <v>92.826504075065003</v>
      </c>
      <c r="K1451" s="374">
        <f>IF(D1451=1,VLOOKUP(C1451,'Capital Code Schedules'!E$15:G$300,2,FALSE),IF(D1451=2,VLOOKUP(C1451,'Capital Code Schedules'!E$15:G$300,3,FALSE),0))</f>
        <v>117.74770774827562</v>
      </c>
      <c r="L1451" s="374">
        <f>VLOOKUP(LEFT(A1451,10),'Streetlight Tariff Schedule'!B$11:H$260,7, FALSE)+I1451</f>
        <v>68.934945883005099</v>
      </c>
      <c r="M1451" s="410">
        <f t="shared" si="242"/>
        <v>186.68265363128071</v>
      </c>
      <c r="N1451" s="411">
        <f t="shared" si="243"/>
        <v>166.93133017098484</v>
      </c>
      <c r="O1451" s="411">
        <v>189.91793710436963</v>
      </c>
      <c r="P1451" s="411">
        <v>184.57614829842669</v>
      </c>
      <c r="Q1451" s="411">
        <v>190.69041938314143</v>
      </c>
      <c r="R1451" s="411">
        <v>196.16441746203145</v>
      </c>
      <c r="S1451" s="411">
        <f t="shared" si="244"/>
        <v>172.7998191802117</v>
      </c>
      <c r="T1451" s="411">
        <v>196.50421333215374</v>
      </c>
      <c r="U1451" s="411">
        <v>202.85288519587422</v>
      </c>
      <c r="V1451" s="411">
        <f t="shared" si="245"/>
        <v>178.95796820148763</v>
      </c>
      <c r="W1451" s="411">
        <v>202.18099993506436</v>
      </c>
      <c r="X1451" s="411">
        <v>210.55316263944192</v>
      </c>
      <c r="Y1451" s="411">
        <f t="shared" si="246"/>
        <v>185.94991540192092</v>
      </c>
      <c r="Z1451" s="411">
        <v>207.48413442559669</v>
      </c>
      <c r="AA1451" s="411">
        <v>216.85796395469148</v>
      </c>
      <c r="AB1451" s="441">
        <f t="shared" si="247"/>
        <v>189.5605974425435</v>
      </c>
      <c r="AC1451" s="438">
        <f t="shared" si="248"/>
        <v>195.14399683017555</v>
      </c>
      <c r="AD1451" s="410"/>
      <c r="AE1451" s="411"/>
      <c r="AF1451" s="411"/>
      <c r="AG1451" s="411"/>
    </row>
    <row r="1452" spans="1:33" s="409" customFormat="1" x14ac:dyDescent="0.2">
      <c r="A1452" s="409" t="s">
        <v>735</v>
      </c>
      <c r="B1452" s="23" t="str">
        <f>VLOOKUP(LEFT(A1452,7),'[7]Tariff Schedule Lookup Table'!$A$8:$G$186,2,FALSE)</f>
        <v>Mercury Vapour 400</v>
      </c>
      <c r="C1452" s="375">
        <f t="shared" si="250"/>
        <v>300</v>
      </c>
      <c r="D1452" s="23">
        <f t="shared" si="251"/>
        <v>2</v>
      </c>
      <c r="E1452" s="23" t="str">
        <f>VLOOKUP(C1452,'[7]Tariff Schedule Lookup Table'!I$7:L$287,2,FALSE)</f>
        <v>MERCURY VAPOUR 400W</v>
      </c>
      <c r="F1452" s="23" t="str">
        <f>IF(E1452 = "BULKHEADS ETC", "SHARED OR NO POLE", VLOOKUP(C1452,'[7]Tariff Schedule Lookup Table'!I$7:L$287,3,FALSE))</f>
        <v>STEEL POLE</v>
      </c>
      <c r="G1452" s="23">
        <f>IF(E1452 = "NO CAPITAL", 1, VLOOKUP(C1452,'[7]Tariff Schedule Lookup Table'!I$7:L$287,4,FALSE))</f>
        <v>1</v>
      </c>
      <c r="H1452" s="23" t="str">
        <f t="shared" si="249"/>
        <v>2-Unmetered, Funded by Others, CE Maintained</v>
      </c>
      <c r="I1452" s="374">
        <f>VLOOKUP(F1452,'Maintenance Model'!$A$57:$B$61,2,FALSE)</f>
        <v>9.9616182311111103</v>
      </c>
      <c r="J1452" s="374">
        <f>IF(D1452=1,VLOOKUP(C1452,'Capital Code Schedules'!A$15:F$300,2,FALSE),IF(D1452=2,VLOOKUP(C1452,'Capital Code Schedules'!A$15:F$300,3,FALSE),0))</f>
        <v>0</v>
      </c>
      <c r="K1452" s="374">
        <f>IF(D1452=1,VLOOKUP(C1452,'Capital Code Schedules'!E$15:G$300,2,FALSE),IF(D1452=2,VLOOKUP(C1452,'Capital Code Schedules'!E$15:G$300,3,FALSE),0))</f>
        <v>0</v>
      </c>
      <c r="L1452" s="374">
        <f>VLOOKUP(LEFT(A1452,10),'Streetlight Tariff Schedule'!B$11:H$260,7, FALSE)+I1452</f>
        <v>68.934945883005099</v>
      </c>
      <c r="M1452" s="410">
        <f t="shared" si="242"/>
        <v>68.934945883005099</v>
      </c>
      <c r="N1452" s="411">
        <f t="shared" si="243"/>
        <v>71.807370120061961</v>
      </c>
      <c r="O1452" s="411">
        <v>63.914184783381252</v>
      </c>
      <c r="P1452" s="411">
        <v>63.914184783381252</v>
      </c>
      <c r="Q1452" s="411">
        <v>67.042072271098618</v>
      </c>
      <c r="R1452" s="411">
        <v>67.042072271098618</v>
      </c>
      <c r="S1452" s="411">
        <f t="shared" si="244"/>
        <v>75.321541118028492</v>
      </c>
      <c r="T1452" s="411">
        <v>69.795569629087851</v>
      </c>
      <c r="U1452" s="411">
        <v>70.050553166999805</v>
      </c>
      <c r="V1452" s="411">
        <f t="shared" si="245"/>
        <v>78.701559214532224</v>
      </c>
      <c r="W1452" s="411">
        <v>72.336317300347588</v>
      </c>
      <c r="X1452" s="411">
        <v>73.248831554788666</v>
      </c>
      <c r="Y1452" s="411">
        <f t="shared" si="246"/>
        <v>82.294814150307701</v>
      </c>
      <c r="Z1452" s="411">
        <v>74.425795895670703</v>
      </c>
      <c r="AA1452" s="411">
        <v>75.640459434125603</v>
      </c>
      <c r="AB1452" s="441">
        <f t="shared" si="247"/>
        <v>84.081166408901879</v>
      </c>
      <c r="AC1452" s="438">
        <f t="shared" si="248"/>
        <v>86.595114353454974</v>
      </c>
      <c r="AD1452" s="410"/>
      <c r="AE1452" s="411"/>
      <c r="AF1452" s="411"/>
      <c r="AG1452" s="411"/>
    </row>
    <row r="1453" spans="1:33" s="409" customFormat="1" x14ac:dyDescent="0.2">
      <c r="A1453" s="409" t="s">
        <v>756</v>
      </c>
      <c r="B1453" s="23" t="str">
        <f>VLOOKUP(LEFT(A1453,7),'[7]Tariff Schedule Lookup Table'!$A$8:$G$186,2,FALSE)</f>
        <v>Mercury Vapour 400</v>
      </c>
      <c r="C1453" s="375">
        <f t="shared" si="250"/>
        <v>380</v>
      </c>
      <c r="D1453" s="23">
        <f t="shared" si="251"/>
        <v>1</v>
      </c>
      <c r="E1453" s="23" t="str">
        <f>VLOOKUP(C1453,'[7]Tariff Schedule Lookup Table'!I$7:L$287,2,FALSE)</f>
        <v>MERCURY VAPOUR 400W</v>
      </c>
      <c r="F1453" s="23" t="str">
        <f>IF(E1453 = "BULKHEADS ETC", "SHARED OR NO POLE", VLOOKUP(C1453,'[7]Tariff Schedule Lookup Table'!I$7:L$287,3,FALSE))</f>
        <v>STEEL POLE</v>
      </c>
      <c r="G1453" s="23">
        <f>IF(E1453 = "NO CAPITAL", 1, VLOOKUP(C1453,'[7]Tariff Schedule Lookup Table'!I$7:L$287,4,FALSE))</f>
        <v>2</v>
      </c>
      <c r="H1453" s="23" t="str">
        <f t="shared" si="249"/>
        <v>1-Unmetered, CE Funded, CE Maintained</v>
      </c>
      <c r="I1453" s="374">
        <f>VLOOKUP(F1453,'Maintenance Model'!$A$57:$B$61,2,FALSE)</f>
        <v>9.9616182311111103</v>
      </c>
      <c r="J1453" s="374">
        <f>IF(D1453=1,VLOOKUP(C1453,'Capital Code Schedules'!A$15:F$300,2,FALSE),IF(D1453=2,VLOOKUP(C1453,'Capital Code Schedules'!A$15:F$300,3,FALSE),0))</f>
        <v>106.06410083236733</v>
      </c>
      <c r="K1453" s="374">
        <f>IF(D1453=1,VLOOKUP(C1453,'Capital Code Schedules'!E$15:G$300,2,FALSE),IF(D1453=2,VLOOKUP(C1453,'Capital Code Schedules'!E$15:G$300,3,FALSE),0))</f>
        <v>134.53921239233614</v>
      </c>
      <c r="L1453" s="374">
        <f>VLOOKUP(LEFT(A1453,10),'Streetlight Tariff Schedule'!B$11:H$260,7, FALSE)+I1453</f>
        <v>68.934945883005099</v>
      </c>
      <c r="M1453" s="410">
        <f t="shared" si="242"/>
        <v>203.47415827534124</v>
      </c>
      <c r="N1453" s="411">
        <f t="shared" si="243"/>
        <v>180.49655744803042</v>
      </c>
      <c r="O1453" s="411">
        <v>207.88680149016412</v>
      </c>
      <c r="P1453" s="411">
        <v>201.7832426824277</v>
      </c>
      <c r="Q1453" s="411">
        <v>208.3233893531465</v>
      </c>
      <c r="R1453" s="411">
        <v>214.57801124137438</v>
      </c>
      <c r="S1453" s="411">
        <f t="shared" si="244"/>
        <v>186.70078583236415</v>
      </c>
      <c r="T1453" s="411">
        <v>214.57359930891641</v>
      </c>
      <c r="U1453" s="411">
        <v>221.79126639792838</v>
      </c>
      <c r="V1453" s="411">
        <f t="shared" si="245"/>
        <v>193.25511240322643</v>
      </c>
      <c r="W1453" s="411">
        <v>220.69760321475189</v>
      </c>
      <c r="X1453" s="411">
        <v>230.13355496424575</v>
      </c>
      <c r="Y1453" s="411">
        <f t="shared" si="246"/>
        <v>200.73173279209863</v>
      </c>
      <c r="Z1453" s="411">
        <v>226.45902363645652</v>
      </c>
      <c r="AA1453" s="411">
        <v>236.99639746075221</v>
      </c>
      <c r="AB1453" s="441">
        <f t="shared" si="247"/>
        <v>204.60257481878836</v>
      </c>
      <c r="AC1453" s="438">
        <f t="shared" si="248"/>
        <v>210.62369574806914</v>
      </c>
      <c r="AD1453" s="410"/>
      <c r="AE1453" s="411"/>
      <c r="AF1453" s="411"/>
      <c r="AG1453" s="411"/>
    </row>
    <row r="1454" spans="1:33" s="409" customFormat="1" x14ac:dyDescent="0.2">
      <c r="A1454" s="409" t="s">
        <v>736</v>
      </c>
      <c r="B1454" s="23" t="str">
        <f>VLOOKUP(LEFT(A1454,7),'[7]Tariff Schedule Lookup Table'!$A$8:$G$186,2,FALSE)</f>
        <v>Mercury Vapour 400</v>
      </c>
      <c r="C1454" s="375">
        <f t="shared" si="250"/>
        <v>380</v>
      </c>
      <c r="D1454" s="23">
        <f t="shared" si="251"/>
        <v>2</v>
      </c>
      <c r="E1454" s="23" t="str">
        <f>VLOOKUP(C1454,'[7]Tariff Schedule Lookup Table'!I$7:L$287,2,FALSE)</f>
        <v>MERCURY VAPOUR 400W</v>
      </c>
      <c r="F1454" s="23" t="str">
        <f>IF(E1454 = "BULKHEADS ETC", "SHARED OR NO POLE", VLOOKUP(C1454,'[7]Tariff Schedule Lookup Table'!I$7:L$287,3,FALSE))</f>
        <v>STEEL POLE</v>
      </c>
      <c r="G1454" s="23">
        <f>IF(E1454 = "NO CAPITAL", 1, VLOOKUP(C1454,'[7]Tariff Schedule Lookup Table'!I$7:L$287,4,FALSE))</f>
        <v>2</v>
      </c>
      <c r="H1454" s="23" t="str">
        <f t="shared" si="249"/>
        <v>2-Unmetered, Funded by Others, CE Maintained</v>
      </c>
      <c r="I1454" s="374">
        <f>VLOOKUP(F1454,'Maintenance Model'!$A$57:$B$61,2,FALSE)</f>
        <v>9.9616182311111103</v>
      </c>
      <c r="J1454" s="374">
        <f>IF(D1454=1,VLOOKUP(C1454,'Capital Code Schedules'!A$15:F$300,2,FALSE),IF(D1454=2,VLOOKUP(C1454,'Capital Code Schedules'!A$15:F$300,3,FALSE),0))</f>
        <v>0</v>
      </c>
      <c r="K1454" s="374">
        <f>IF(D1454=1,VLOOKUP(C1454,'Capital Code Schedules'!E$15:G$300,2,FALSE),IF(D1454=2,VLOOKUP(C1454,'Capital Code Schedules'!E$15:G$300,3,FALSE),0))</f>
        <v>0</v>
      </c>
      <c r="L1454" s="374">
        <f>VLOOKUP(LEFT(A1454,10),'Streetlight Tariff Schedule'!B$11:H$260,7, FALSE)+I1454</f>
        <v>68.934945883005099</v>
      </c>
      <c r="M1454" s="410">
        <f t="shared" si="242"/>
        <v>68.934945883005099</v>
      </c>
      <c r="N1454" s="411">
        <f t="shared" si="243"/>
        <v>71.807370120061961</v>
      </c>
      <c r="O1454" s="411">
        <v>63.914184783381252</v>
      </c>
      <c r="P1454" s="411">
        <v>63.914184783381252</v>
      </c>
      <c r="Q1454" s="411">
        <v>67.042072271098618</v>
      </c>
      <c r="R1454" s="411">
        <v>67.042072271098618</v>
      </c>
      <c r="S1454" s="411">
        <f t="shared" si="244"/>
        <v>75.321541118028492</v>
      </c>
      <c r="T1454" s="411">
        <v>69.795569629087851</v>
      </c>
      <c r="U1454" s="411">
        <v>70.050553166999805</v>
      </c>
      <c r="V1454" s="411">
        <f t="shared" si="245"/>
        <v>78.701559214532224</v>
      </c>
      <c r="W1454" s="411">
        <v>72.336317300347588</v>
      </c>
      <c r="X1454" s="411">
        <v>73.248831554788666</v>
      </c>
      <c r="Y1454" s="411">
        <f t="shared" si="246"/>
        <v>82.294814150307701</v>
      </c>
      <c r="Z1454" s="411">
        <v>74.425795895670703</v>
      </c>
      <c r="AA1454" s="411">
        <v>75.640459434125603</v>
      </c>
      <c r="AB1454" s="441">
        <f t="shared" si="247"/>
        <v>84.081166408901879</v>
      </c>
      <c r="AC1454" s="438">
        <f t="shared" si="248"/>
        <v>86.595114353454974</v>
      </c>
      <c r="AD1454" s="410"/>
      <c r="AE1454" s="411"/>
      <c r="AF1454" s="411"/>
      <c r="AG1454" s="411"/>
    </row>
    <row r="1455" spans="1:33" s="409" customFormat="1" x14ac:dyDescent="0.2">
      <c r="A1455" s="409" t="s">
        <v>759</v>
      </c>
      <c r="B1455" s="23" t="str">
        <f>VLOOKUP(LEFT(A1455,7),'[7]Tariff Schedule Lookup Table'!$A$8:$G$186,2,FALSE)</f>
        <v>Mercury Vapour 400</v>
      </c>
      <c r="C1455" s="375">
        <f t="shared" si="250"/>
        <v>420</v>
      </c>
      <c r="D1455" s="23">
        <f t="shared" si="251"/>
        <v>2</v>
      </c>
      <c r="E1455" s="23" t="str">
        <f>VLOOKUP(C1455,'[7]Tariff Schedule Lookup Table'!I$7:L$287,2,FALSE)</f>
        <v>MERCURY VAPOUR 400W</v>
      </c>
      <c r="F1455" s="23" t="str">
        <f>IF(E1455 = "BULKHEADS ETC", "SHARED OR NO POLE", VLOOKUP(C1455,'[7]Tariff Schedule Lookup Table'!I$7:L$287,3,FALSE))</f>
        <v>STEEL POLE</v>
      </c>
      <c r="G1455" s="23">
        <f>IF(E1455 = "NO CAPITAL", 1, VLOOKUP(C1455,'[7]Tariff Schedule Lookup Table'!I$7:L$287,4,FALSE))</f>
        <v>3</v>
      </c>
      <c r="H1455" s="23" t="str">
        <f t="shared" si="249"/>
        <v>2-Unmetered, Funded by Others, CE Maintained</v>
      </c>
      <c r="I1455" s="374">
        <f>VLOOKUP(F1455,'Maintenance Model'!$A$57:$B$61,2,FALSE)</f>
        <v>9.9616182311111103</v>
      </c>
      <c r="J1455" s="374">
        <f>IF(D1455=1,VLOOKUP(C1455,'Capital Code Schedules'!A$15:F$300,2,FALSE),IF(D1455=2,VLOOKUP(C1455,'Capital Code Schedules'!A$15:F$300,3,FALSE),0))</f>
        <v>0</v>
      </c>
      <c r="K1455" s="374">
        <f>IF(D1455=1,VLOOKUP(C1455,'Capital Code Schedules'!E$15:G$300,2,FALSE),IF(D1455=2,VLOOKUP(C1455,'Capital Code Schedules'!E$15:G$300,3,FALSE),0))</f>
        <v>0</v>
      </c>
      <c r="L1455" s="374">
        <f>VLOOKUP(LEFT(A1455,10),'Streetlight Tariff Schedule'!B$11:H$260,7, FALSE)+I1455</f>
        <v>68.934945883005099</v>
      </c>
      <c r="M1455" s="410">
        <f t="shared" si="242"/>
        <v>68.934945883005099</v>
      </c>
      <c r="N1455" s="411">
        <f t="shared" si="243"/>
        <v>71.807370120061961</v>
      </c>
      <c r="O1455" s="411">
        <v>63.914184783381252</v>
      </c>
      <c r="P1455" s="411">
        <v>63.914184783381252</v>
      </c>
      <c r="Q1455" s="411">
        <v>67.042072271098618</v>
      </c>
      <c r="R1455" s="411">
        <v>67.042072271098618</v>
      </c>
      <c r="S1455" s="411">
        <f t="shared" si="244"/>
        <v>75.321541118028492</v>
      </c>
      <c r="T1455" s="411">
        <v>69.795569629087851</v>
      </c>
      <c r="U1455" s="411">
        <v>70.050553166999805</v>
      </c>
      <c r="V1455" s="411">
        <f t="shared" si="245"/>
        <v>78.701559214532224</v>
      </c>
      <c r="W1455" s="411">
        <v>72.336317300347588</v>
      </c>
      <c r="X1455" s="411">
        <v>73.248831554788666</v>
      </c>
      <c r="Y1455" s="411">
        <f t="shared" si="246"/>
        <v>82.294814150307701</v>
      </c>
      <c r="Z1455" s="411">
        <v>74.425795895670703</v>
      </c>
      <c r="AA1455" s="411">
        <v>75.640459434125603</v>
      </c>
      <c r="AB1455" s="441">
        <f t="shared" si="247"/>
        <v>84.081166408901879</v>
      </c>
      <c r="AC1455" s="438">
        <f t="shared" si="248"/>
        <v>86.595114353454974</v>
      </c>
      <c r="AD1455" s="410"/>
      <c r="AE1455" s="411"/>
      <c r="AF1455" s="411"/>
      <c r="AG1455" s="411"/>
    </row>
    <row r="1456" spans="1:33" s="409" customFormat="1" x14ac:dyDescent="0.2">
      <c r="A1456" s="409" t="s">
        <v>743</v>
      </c>
      <c r="B1456" s="23" t="str">
        <f>VLOOKUP(LEFT(A1456,7),'[7]Tariff Schedule Lookup Table'!$A$8:$G$186,2,FALSE)</f>
        <v>Mercury Vapour 400</v>
      </c>
      <c r="C1456" s="375">
        <f t="shared" si="250"/>
        <v>460</v>
      </c>
      <c r="D1456" s="23">
        <f t="shared" si="251"/>
        <v>1</v>
      </c>
      <c r="E1456" s="23" t="str">
        <f>VLOOKUP(C1456,'[7]Tariff Schedule Lookup Table'!I$7:L$287,2,FALSE)</f>
        <v xml:space="preserve">MERCURY VAPOUR 400W </v>
      </c>
      <c r="F1456" s="23" t="str">
        <f>IF(E1456 = "BULKHEADS ETC", "SHARED OR NO POLE", VLOOKUP(C1456,'[7]Tariff Schedule Lookup Table'!I$7:L$287,3,FALSE))</f>
        <v>STEEL POLE</v>
      </c>
      <c r="G1456" s="23">
        <f>IF(E1456 = "NO CAPITAL", 1, VLOOKUP(C1456,'[7]Tariff Schedule Lookup Table'!I$7:L$287,4,FALSE))</f>
        <v>4</v>
      </c>
      <c r="H1456" s="23" t="str">
        <f t="shared" si="249"/>
        <v>1-Unmetered, CE Funded, CE Maintained</v>
      </c>
      <c r="I1456" s="374">
        <f>VLOOKUP(F1456,'Maintenance Model'!$A$57:$B$61,2,FALSE)</f>
        <v>9.9616182311111103</v>
      </c>
      <c r="J1456" s="374">
        <f>IF(D1456=1,VLOOKUP(C1456,'Capital Code Schedules'!A$15:F$300,2,FALSE),IF(D1456=2,VLOOKUP(C1456,'Capital Code Schedules'!A$15:F$300,3,FALSE),0))</f>
        <v>132.53929434697199</v>
      </c>
      <c r="K1456" s="374">
        <f>IF(D1456=1,VLOOKUP(C1456,'Capital Code Schedules'!E$15:G$300,2,FALSE),IF(D1456=2,VLOOKUP(C1456,'Capital Code Schedules'!E$15:G$300,3,FALSE),0))</f>
        <v>168.12222168045713</v>
      </c>
      <c r="L1456" s="374">
        <f>VLOOKUP(LEFT(A1456,10),'Streetlight Tariff Schedule'!B$11:H$260,7, FALSE)+I1456</f>
        <v>68.934945883005099</v>
      </c>
      <c r="M1456" s="410">
        <f t="shared" si="242"/>
        <v>237.05716756346223</v>
      </c>
      <c r="N1456" s="411">
        <f t="shared" si="243"/>
        <v>207.62701200212152</v>
      </c>
      <c r="O1456" s="411">
        <v>243.82453026175307</v>
      </c>
      <c r="P1456" s="411">
        <v>236.19743145042969</v>
      </c>
      <c r="Q1456" s="411">
        <v>243.58932929315654</v>
      </c>
      <c r="R1456" s="411">
        <v>251.40519880006011</v>
      </c>
      <c r="S1456" s="411">
        <f t="shared" si="244"/>
        <v>214.50271913666901</v>
      </c>
      <c r="T1456" s="411">
        <v>250.71237126244171</v>
      </c>
      <c r="U1456" s="411">
        <v>259.6680288020367</v>
      </c>
      <c r="V1456" s="411">
        <f t="shared" si="245"/>
        <v>221.84940080670398</v>
      </c>
      <c r="W1456" s="411">
        <v>257.73080977412695</v>
      </c>
      <c r="X1456" s="411">
        <v>269.29433961385331</v>
      </c>
      <c r="Y1456" s="411">
        <f t="shared" si="246"/>
        <v>230.2953675724541</v>
      </c>
      <c r="Z1456" s="411">
        <v>264.40880205817609</v>
      </c>
      <c r="AA1456" s="411">
        <v>277.27326447287362</v>
      </c>
      <c r="AB1456" s="441">
        <f t="shared" si="247"/>
        <v>234.68652957127807</v>
      </c>
      <c r="AC1456" s="438">
        <f t="shared" si="248"/>
        <v>241.58309358385631</v>
      </c>
      <c r="AD1456" s="410"/>
      <c r="AE1456" s="411"/>
      <c r="AF1456" s="411"/>
      <c r="AG1456" s="411"/>
    </row>
    <row r="1457" spans="1:33" s="409" customFormat="1" x14ac:dyDescent="0.2">
      <c r="A1457" s="409" t="s">
        <v>760</v>
      </c>
      <c r="B1457" s="23" t="str">
        <f>VLOOKUP(LEFT(A1457,7),'[7]Tariff Schedule Lookup Table'!$A$8:$G$186,2,FALSE)</f>
        <v>Mercury Vapour 400</v>
      </c>
      <c r="C1457" s="375">
        <f t="shared" si="250"/>
        <v>460</v>
      </c>
      <c r="D1457" s="23">
        <f t="shared" si="251"/>
        <v>2</v>
      </c>
      <c r="E1457" s="23" t="str">
        <f>VLOOKUP(C1457,'[7]Tariff Schedule Lookup Table'!I$7:L$287,2,FALSE)</f>
        <v xml:space="preserve">MERCURY VAPOUR 400W </v>
      </c>
      <c r="F1457" s="23" t="str">
        <f>IF(E1457 = "BULKHEADS ETC", "SHARED OR NO POLE", VLOOKUP(C1457,'[7]Tariff Schedule Lookup Table'!I$7:L$287,3,FALSE))</f>
        <v>STEEL POLE</v>
      </c>
      <c r="G1457" s="23">
        <f>IF(E1457 = "NO CAPITAL", 1, VLOOKUP(C1457,'[7]Tariff Schedule Lookup Table'!I$7:L$287,4,FALSE))</f>
        <v>4</v>
      </c>
      <c r="H1457" s="23" t="str">
        <f t="shared" si="249"/>
        <v>2-Unmetered, Funded by Others, CE Maintained</v>
      </c>
      <c r="I1457" s="374">
        <f>VLOOKUP(F1457,'Maintenance Model'!$A$57:$B$61,2,FALSE)</f>
        <v>9.9616182311111103</v>
      </c>
      <c r="J1457" s="374">
        <f>IF(D1457=1,VLOOKUP(C1457,'Capital Code Schedules'!A$15:F$300,2,FALSE),IF(D1457=2,VLOOKUP(C1457,'Capital Code Schedules'!A$15:F$300,3,FALSE),0))</f>
        <v>0</v>
      </c>
      <c r="K1457" s="374">
        <f>IF(D1457=1,VLOOKUP(C1457,'Capital Code Schedules'!E$15:G$300,2,FALSE),IF(D1457=2,VLOOKUP(C1457,'Capital Code Schedules'!E$15:G$300,3,FALSE),0))</f>
        <v>0</v>
      </c>
      <c r="L1457" s="374">
        <f>VLOOKUP(LEFT(A1457,10),'Streetlight Tariff Schedule'!B$11:H$260,7, FALSE)+I1457</f>
        <v>68.934945883005099</v>
      </c>
      <c r="M1457" s="410">
        <f t="shared" si="242"/>
        <v>68.934945883005099</v>
      </c>
      <c r="N1457" s="411">
        <f t="shared" si="243"/>
        <v>71.807370120061961</v>
      </c>
      <c r="O1457" s="411">
        <v>63.914184783381252</v>
      </c>
      <c r="P1457" s="411">
        <v>63.914184783381252</v>
      </c>
      <c r="Q1457" s="411">
        <v>67.042072271098618</v>
      </c>
      <c r="R1457" s="411">
        <v>67.042072271098618</v>
      </c>
      <c r="S1457" s="411">
        <f t="shared" si="244"/>
        <v>75.321541118028492</v>
      </c>
      <c r="T1457" s="411">
        <v>69.795569629087851</v>
      </c>
      <c r="U1457" s="411">
        <v>70.050553166999805</v>
      </c>
      <c r="V1457" s="411">
        <f t="shared" si="245"/>
        <v>78.701559214532224</v>
      </c>
      <c r="W1457" s="411">
        <v>72.336317300347588</v>
      </c>
      <c r="X1457" s="411">
        <v>73.248831554788666</v>
      </c>
      <c r="Y1457" s="411">
        <f t="shared" si="246"/>
        <v>82.294814150307701</v>
      </c>
      <c r="Z1457" s="411">
        <v>74.425795895670703</v>
      </c>
      <c r="AA1457" s="411">
        <v>75.640459434125603</v>
      </c>
      <c r="AB1457" s="441">
        <f t="shared" si="247"/>
        <v>84.081166408901879</v>
      </c>
      <c r="AC1457" s="438">
        <f t="shared" si="248"/>
        <v>86.595114353454974</v>
      </c>
      <c r="AD1457" s="410"/>
      <c r="AE1457" s="411"/>
      <c r="AF1457" s="411"/>
      <c r="AG1457" s="411"/>
    </row>
    <row r="1458" spans="1:33" s="409" customFormat="1" x14ac:dyDescent="0.2">
      <c r="A1458" s="409" t="s">
        <v>761</v>
      </c>
      <c r="B1458" s="23" t="str">
        <f>VLOOKUP(LEFT(A1458,7),'[7]Tariff Schedule Lookup Table'!$A$8:$G$186,2,FALSE)</f>
        <v>Mercury Vapour 400</v>
      </c>
      <c r="C1458" s="375">
        <f t="shared" si="250"/>
        <v>540</v>
      </c>
      <c r="D1458" s="23">
        <f t="shared" si="251"/>
        <v>2</v>
      </c>
      <c r="E1458" s="23" t="str">
        <f>VLOOKUP(C1458,'[7]Tariff Schedule Lookup Table'!I$7:L$287,2,FALSE)</f>
        <v>MERCURY VAPOUR 400W</v>
      </c>
      <c r="F1458" s="23" t="str">
        <f>IF(E1458 = "BULKHEADS ETC", "SHARED OR NO POLE", VLOOKUP(C1458,'[7]Tariff Schedule Lookup Table'!I$7:L$287,3,FALSE))</f>
        <v>R/BOUT COLUMN</v>
      </c>
      <c r="G1458" s="23">
        <f>IF(E1458 = "NO CAPITAL", 1, VLOOKUP(C1458,'[7]Tariff Schedule Lookup Table'!I$7:L$287,4,FALSE))</f>
        <v>3</v>
      </c>
      <c r="H1458" s="23" t="str">
        <f t="shared" si="249"/>
        <v>2-Unmetered, Funded by Others, CE Maintained</v>
      </c>
      <c r="I1458" s="374">
        <f>VLOOKUP(F1458,'Maintenance Model'!$A$57:$B$61,2,FALSE)</f>
        <v>9.9616182311111103</v>
      </c>
      <c r="J1458" s="374">
        <f>IF(D1458=1,VLOOKUP(C1458,'Capital Code Schedules'!A$15:F$300,2,FALSE),IF(D1458=2,VLOOKUP(C1458,'Capital Code Schedules'!A$15:F$300,3,FALSE),0))</f>
        <v>0</v>
      </c>
      <c r="K1458" s="374">
        <f>IF(D1458=1,VLOOKUP(C1458,'Capital Code Schedules'!E$15:G$300,2,FALSE),IF(D1458=2,VLOOKUP(C1458,'Capital Code Schedules'!E$15:G$300,3,FALSE),0))</f>
        <v>0</v>
      </c>
      <c r="L1458" s="374">
        <f>VLOOKUP(LEFT(A1458,10),'Streetlight Tariff Schedule'!B$11:H$260,7, FALSE)+I1458</f>
        <v>68.934945883005099</v>
      </c>
      <c r="M1458" s="410">
        <f t="shared" si="242"/>
        <v>68.934945883005099</v>
      </c>
      <c r="N1458" s="411">
        <f t="shared" si="243"/>
        <v>71.807370120061961</v>
      </c>
      <c r="O1458" s="411">
        <v>63.914184783381252</v>
      </c>
      <c r="P1458" s="411">
        <v>63.914184783381252</v>
      </c>
      <c r="Q1458" s="411">
        <v>67.042072271098618</v>
      </c>
      <c r="R1458" s="411">
        <v>67.042072271098618</v>
      </c>
      <c r="S1458" s="411">
        <f t="shared" si="244"/>
        <v>75.321541118028492</v>
      </c>
      <c r="T1458" s="411">
        <v>69.795569629087851</v>
      </c>
      <c r="U1458" s="411">
        <v>70.050553166999805</v>
      </c>
      <c r="V1458" s="411">
        <f t="shared" si="245"/>
        <v>78.701559214532224</v>
      </c>
      <c r="W1458" s="411">
        <v>72.336317300347588</v>
      </c>
      <c r="X1458" s="411">
        <v>73.248831554788666</v>
      </c>
      <c r="Y1458" s="411">
        <f t="shared" si="246"/>
        <v>82.294814150307701</v>
      </c>
      <c r="Z1458" s="411">
        <v>74.425795895670703</v>
      </c>
      <c r="AA1458" s="411">
        <v>75.640459434125603</v>
      </c>
      <c r="AB1458" s="441">
        <f t="shared" si="247"/>
        <v>84.081166408901879</v>
      </c>
      <c r="AC1458" s="438">
        <f t="shared" si="248"/>
        <v>86.595114353454974</v>
      </c>
      <c r="AD1458" s="410"/>
      <c r="AE1458" s="411"/>
      <c r="AF1458" s="411"/>
      <c r="AG1458" s="411"/>
    </row>
    <row r="1459" spans="1:33" s="409" customFormat="1" x14ac:dyDescent="0.2">
      <c r="A1459" s="409" t="s">
        <v>742</v>
      </c>
      <c r="B1459" s="23" t="str">
        <f>VLOOKUP(LEFT(A1459,7),'[7]Tariff Schedule Lookup Table'!$A$8:$G$186,2,FALSE)</f>
        <v>Mercury Vapour 400</v>
      </c>
      <c r="C1459" s="375">
        <f t="shared" si="250"/>
        <v>580</v>
      </c>
      <c r="D1459" s="23">
        <f t="shared" si="251"/>
        <v>1</v>
      </c>
      <c r="E1459" s="23" t="str">
        <f>VLOOKUP(C1459,'[7]Tariff Schedule Lookup Table'!I$7:L$287,2,FALSE)</f>
        <v>MERCURY VAPOUR 400W</v>
      </c>
      <c r="F1459" s="23" t="str">
        <f>IF(E1459 = "BULKHEADS ETC", "SHARED OR NO POLE", VLOOKUP(C1459,'[7]Tariff Schedule Lookup Table'!I$7:L$287,3,FALSE))</f>
        <v>R/BOUT COLUMN</v>
      </c>
      <c r="G1459" s="23">
        <f>IF(E1459 = "NO CAPITAL", 1, VLOOKUP(C1459,'[7]Tariff Schedule Lookup Table'!I$7:L$287,4,FALSE))</f>
        <v>4</v>
      </c>
      <c r="H1459" s="23" t="str">
        <f t="shared" si="249"/>
        <v>1-Unmetered, CE Funded, CE Maintained</v>
      </c>
      <c r="I1459" s="374">
        <f>VLOOKUP(F1459,'Maintenance Model'!$A$57:$B$61,2,FALSE)</f>
        <v>9.9616182311111103</v>
      </c>
      <c r="J1459" s="374">
        <f>IF(D1459=1,VLOOKUP(C1459,'Capital Code Schedules'!A$15:F$300,2,FALSE),IF(D1459=2,VLOOKUP(C1459,'Capital Code Schedules'!A$15:F$300,3,FALSE),0))</f>
        <v>192.53948994210435</v>
      </c>
      <c r="K1459" s="374">
        <f>IF(D1459=1,VLOOKUP(C1459,'Capital Code Schedules'!E$15:G$300,2,FALSE),IF(D1459=2,VLOOKUP(C1459,'Capital Code Schedules'!E$15:G$300,3,FALSE),0))</f>
        <v>244.23071640586372</v>
      </c>
      <c r="L1459" s="374">
        <f>VLOOKUP(LEFT(A1459,10),'Streetlight Tariff Schedule'!B$11:H$260,7, FALSE)+I1459</f>
        <v>68.934945883005099</v>
      </c>
      <c r="M1459" s="410">
        <f t="shared" si="242"/>
        <v>313.16566228886882</v>
      </c>
      <c r="N1459" s="411">
        <f t="shared" si="243"/>
        <v>269.11221243823343</v>
      </c>
      <c r="O1459" s="411">
        <v>325.26947812778764</v>
      </c>
      <c r="P1459" s="411">
        <v>314.18961142029013</v>
      </c>
      <c r="Q1459" s="411">
        <v>323.51181571727102</v>
      </c>
      <c r="R1459" s="411">
        <v>334.86590912577907</v>
      </c>
      <c r="S1459" s="411">
        <f t="shared" si="244"/>
        <v>277.50967828357471</v>
      </c>
      <c r="T1459" s="411">
        <v>332.61293922555302</v>
      </c>
      <c r="U1459" s="411">
        <v>345.50736937203862</v>
      </c>
      <c r="V1459" s="411">
        <f t="shared" si="245"/>
        <v>286.65205828929652</v>
      </c>
      <c r="W1459" s="411">
        <v>341.65841679432521</v>
      </c>
      <c r="X1459" s="411">
        <v>358.04363382917825</v>
      </c>
      <c r="Y1459" s="411">
        <f t="shared" si="246"/>
        <v>297.29483514370651</v>
      </c>
      <c r="Z1459" s="411">
        <v>350.41361735212428</v>
      </c>
      <c r="AA1459" s="411">
        <v>368.55191357333536</v>
      </c>
      <c r="AB1459" s="441">
        <f t="shared" si="247"/>
        <v>302.86518777178446</v>
      </c>
      <c r="AC1459" s="438">
        <f t="shared" si="248"/>
        <v>311.74575073799747</v>
      </c>
      <c r="AD1459" s="410"/>
      <c r="AE1459" s="411"/>
      <c r="AF1459" s="411"/>
      <c r="AG1459" s="411"/>
    </row>
    <row r="1460" spans="1:33" s="409" customFormat="1" x14ac:dyDescent="0.2">
      <c r="A1460" s="409" t="s">
        <v>762</v>
      </c>
      <c r="B1460" s="23" t="str">
        <f>VLOOKUP(LEFT(A1460,7),'[7]Tariff Schedule Lookup Table'!$A$8:$G$186,2,FALSE)</f>
        <v>Mercury Vapour 400</v>
      </c>
      <c r="C1460" s="375">
        <f t="shared" si="250"/>
        <v>580</v>
      </c>
      <c r="D1460" s="23">
        <f t="shared" si="251"/>
        <v>2</v>
      </c>
      <c r="E1460" s="23" t="str">
        <f>VLOOKUP(C1460,'[7]Tariff Schedule Lookup Table'!I$7:L$287,2,FALSE)</f>
        <v>MERCURY VAPOUR 400W</v>
      </c>
      <c r="F1460" s="23" t="str">
        <f>IF(E1460 = "BULKHEADS ETC", "SHARED OR NO POLE", VLOOKUP(C1460,'[7]Tariff Schedule Lookup Table'!I$7:L$287,3,FALSE))</f>
        <v>R/BOUT COLUMN</v>
      </c>
      <c r="G1460" s="23">
        <f>IF(E1460 = "NO CAPITAL", 1, VLOOKUP(C1460,'[7]Tariff Schedule Lookup Table'!I$7:L$287,4,FALSE))</f>
        <v>4</v>
      </c>
      <c r="H1460" s="23" t="str">
        <f t="shared" si="249"/>
        <v>2-Unmetered, Funded by Others, CE Maintained</v>
      </c>
      <c r="I1460" s="374">
        <f>VLOOKUP(F1460,'Maintenance Model'!$A$57:$B$61,2,FALSE)</f>
        <v>9.9616182311111103</v>
      </c>
      <c r="J1460" s="374">
        <f>IF(D1460=1,VLOOKUP(C1460,'Capital Code Schedules'!A$15:F$300,2,FALSE),IF(D1460=2,VLOOKUP(C1460,'Capital Code Schedules'!A$15:F$300,3,FALSE),0))</f>
        <v>0</v>
      </c>
      <c r="K1460" s="374">
        <f>IF(D1460=1,VLOOKUP(C1460,'Capital Code Schedules'!E$15:G$300,2,FALSE),IF(D1460=2,VLOOKUP(C1460,'Capital Code Schedules'!E$15:G$300,3,FALSE),0))</f>
        <v>0</v>
      </c>
      <c r="L1460" s="374">
        <f>VLOOKUP(LEFT(A1460,10),'Streetlight Tariff Schedule'!B$11:H$260,7, FALSE)+I1460</f>
        <v>68.934945883005099</v>
      </c>
      <c r="M1460" s="410">
        <f t="shared" si="242"/>
        <v>68.934945883005099</v>
      </c>
      <c r="N1460" s="411">
        <f t="shared" si="243"/>
        <v>71.807370120061961</v>
      </c>
      <c r="O1460" s="411">
        <v>63.914184783381252</v>
      </c>
      <c r="P1460" s="411">
        <v>63.914184783381252</v>
      </c>
      <c r="Q1460" s="411">
        <v>67.042072271098618</v>
      </c>
      <c r="R1460" s="411">
        <v>67.042072271098618</v>
      </c>
      <c r="S1460" s="411">
        <f t="shared" si="244"/>
        <v>75.321541118028492</v>
      </c>
      <c r="T1460" s="411">
        <v>69.795569629087851</v>
      </c>
      <c r="U1460" s="411">
        <v>70.050553166999805</v>
      </c>
      <c r="V1460" s="411">
        <f t="shared" si="245"/>
        <v>78.701559214532224</v>
      </c>
      <c r="W1460" s="411">
        <v>72.336317300347588</v>
      </c>
      <c r="X1460" s="411">
        <v>73.248831554788666</v>
      </c>
      <c r="Y1460" s="411">
        <f t="shared" si="246"/>
        <v>82.294814150307701</v>
      </c>
      <c r="Z1460" s="411">
        <v>74.425795895670703</v>
      </c>
      <c r="AA1460" s="411">
        <v>75.640459434125603</v>
      </c>
      <c r="AB1460" s="441">
        <f t="shared" si="247"/>
        <v>84.081166408901879</v>
      </c>
      <c r="AC1460" s="438">
        <f t="shared" si="248"/>
        <v>86.595114353454974</v>
      </c>
      <c r="AD1460" s="410"/>
      <c r="AE1460" s="411"/>
      <c r="AF1460" s="411"/>
      <c r="AG1460" s="411"/>
    </row>
    <row r="1461" spans="1:33" s="409" customFormat="1" x14ac:dyDescent="0.2">
      <c r="A1461" s="409" t="s">
        <v>763</v>
      </c>
      <c r="B1461" s="23" t="str">
        <f>VLOOKUP(LEFT(A1461,7),'[7]Tariff Schedule Lookup Table'!$A$8:$G$186,2,FALSE)</f>
        <v>Mercury Vapour 400</v>
      </c>
      <c r="C1461" s="375">
        <f t="shared" si="250"/>
        <v>790</v>
      </c>
      <c r="D1461" s="23">
        <f t="shared" si="251"/>
        <v>1</v>
      </c>
      <c r="E1461" s="23" t="str">
        <f>VLOOKUP(C1461,'[7]Tariff Schedule Lookup Table'!I$7:L$287,2,FALSE)</f>
        <v>MERCURY VAPOUR 400W</v>
      </c>
      <c r="F1461" s="23" t="str">
        <f>IF(E1461 = "BULKHEADS ETC", "SHARED OR NO POLE", VLOOKUP(C1461,'[7]Tariff Schedule Lookup Table'!I$7:L$287,3,FALSE))</f>
        <v>WOOD POLE</v>
      </c>
      <c r="G1461" s="23">
        <f>IF(E1461 = "NO CAPITAL", 1, VLOOKUP(C1461,'[7]Tariff Schedule Lookup Table'!I$7:L$287,4,FALSE))</f>
        <v>2</v>
      </c>
      <c r="H1461" s="23" t="str">
        <f t="shared" si="249"/>
        <v>1-Unmetered, CE Funded, CE Maintained</v>
      </c>
      <c r="I1461" s="374">
        <f>VLOOKUP(F1461,'Maintenance Model'!$A$57:$B$61,2,FALSE)</f>
        <v>10.731618231111112</v>
      </c>
      <c r="J1461" s="374">
        <f>IF(D1461=1,VLOOKUP(C1461,'Capital Code Schedules'!A$15:F$300,2,FALSE),IF(D1461=2,VLOOKUP(C1461,'Capital Code Schedules'!A$15:F$300,3,FALSE),0))</f>
        <v>79.780835658737288</v>
      </c>
      <c r="K1461" s="374">
        <f>IF(D1461=1,VLOOKUP(C1461,'Capital Code Schedules'!E$15:G$300,2,FALSE),IF(D1461=2,VLOOKUP(C1461,'Capital Code Schedules'!E$15:G$300,3,FALSE),0))</f>
        <v>101.19965859601533</v>
      </c>
      <c r="L1461" s="374">
        <f>VLOOKUP(LEFT(A1461,10),'Streetlight Tariff Schedule'!B$11:H$260,7, FALSE)+I1461</f>
        <v>69.704945883005109</v>
      </c>
      <c r="M1461" s="410">
        <f t="shared" si="242"/>
        <v>170.90460447902043</v>
      </c>
      <c r="N1461" s="411">
        <f t="shared" si="243"/>
        <v>154.36486630067802</v>
      </c>
      <c r="O1461" s="411">
        <v>173.01168327068567</v>
      </c>
      <c r="P1461" s="411">
        <v>168.42061976897298</v>
      </c>
      <c r="Q1461" s="411">
        <v>174.15444304230991</v>
      </c>
      <c r="R1461" s="411">
        <v>178.85913536569001</v>
      </c>
      <c r="S1461" s="411">
        <f t="shared" si="244"/>
        <v>159.94173684884095</v>
      </c>
      <c r="T1461" s="411">
        <v>179.57270320942231</v>
      </c>
      <c r="U1461" s="411">
        <v>185.06817906606128</v>
      </c>
      <c r="V1461" s="411">
        <f t="shared" si="245"/>
        <v>165.74720702994711</v>
      </c>
      <c r="W1461" s="411">
        <v>184.84064145786189</v>
      </c>
      <c r="X1461" s="411">
        <v>192.17589021603928</v>
      </c>
      <c r="Y1461" s="411">
        <f t="shared" si="246"/>
        <v>172.3016446708761</v>
      </c>
      <c r="Z1461" s="411">
        <v>189.71835628939459</v>
      </c>
      <c r="AA1461" s="411">
        <v>197.96075473966246</v>
      </c>
      <c r="AB1461" s="441">
        <f t="shared" si="247"/>
        <v>175.67589218285548</v>
      </c>
      <c r="AC1461" s="438">
        <f t="shared" si="248"/>
        <v>180.85599711181294</v>
      </c>
      <c r="AD1461" s="410"/>
      <c r="AE1461" s="411"/>
      <c r="AF1461" s="411"/>
      <c r="AG1461" s="411"/>
    </row>
    <row r="1462" spans="1:33" s="409" customFormat="1" x14ac:dyDescent="0.2">
      <c r="A1462" s="409" t="s">
        <v>764</v>
      </c>
      <c r="B1462" s="23" t="str">
        <f>VLOOKUP(LEFT(A1462,7),'[7]Tariff Schedule Lookup Table'!$A$8:$G$186,2,FALSE)</f>
        <v>Mercury Vapour 400</v>
      </c>
      <c r="C1462" s="375">
        <f t="shared" si="250"/>
        <v>950</v>
      </c>
      <c r="D1462" s="23">
        <f t="shared" si="251"/>
        <v>1</v>
      </c>
      <c r="E1462" s="23" t="str">
        <f>VLOOKUP(C1462,'[7]Tariff Schedule Lookup Table'!I$7:L$287,2,FALSE)</f>
        <v>MERCURY VAPOUR 400W</v>
      </c>
      <c r="F1462" s="23" t="str">
        <f>IF(E1462 = "BULKHEADS ETC", "SHARED OR NO POLE", VLOOKUP(C1462,'[7]Tariff Schedule Lookup Table'!I$7:L$287,3,FALSE))</f>
        <v>SHARED OR NO POLE</v>
      </c>
      <c r="G1462" s="23">
        <f>IF(E1462 = "NO CAPITAL", 1, VLOOKUP(C1462,'[7]Tariff Schedule Lookup Table'!I$7:L$287,4,FALSE))</f>
        <v>2</v>
      </c>
      <c r="H1462" s="23" t="str">
        <f t="shared" si="249"/>
        <v>1-Unmetered, CE Funded, CE Maintained</v>
      </c>
      <c r="I1462" s="374">
        <f>VLOOKUP(F1462,'Maintenance Model'!$A$57:$B$61,2,FALSE)</f>
        <v>0</v>
      </c>
      <c r="J1462" s="374">
        <f>IF(D1462=1,VLOOKUP(C1462,'Capital Code Schedules'!A$15:F$300,2,FALSE),IF(D1462=2,VLOOKUP(C1462,'Capital Code Schedules'!A$15:F$300,3,FALSE),0))</f>
        <v>45.879717296860981</v>
      </c>
      <c r="K1462" s="374">
        <f>IF(D1462=1,VLOOKUP(C1462,'Capital Code Schedules'!E$15:G$300,2,FALSE),IF(D1462=2,VLOOKUP(C1462,'Capital Code Schedules'!E$15:G$300,3,FALSE),0))</f>
        <v>58.197080647093287</v>
      </c>
      <c r="L1462" s="374">
        <f>VLOOKUP(LEFT(A1462,10),'Streetlight Tariff Schedule'!B$11:H$260,7, FALSE)+I1462</f>
        <v>58.973327651893996</v>
      </c>
      <c r="M1462" s="410">
        <f t="shared" si="242"/>
        <v>117.17040829898728</v>
      </c>
      <c r="N1462" s="411">
        <f t="shared" si="243"/>
        <v>108.44590527934788</v>
      </c>
      <c r="O1462" s="411">
        <v>116.5977195830495</v>
      </c>
      <c r="P1462" s="411">
        <v>113.95752794039093</v>
      </c>
      <c r="Q1462" s="411">
        <v>118.09191743897</v>
      </c>
      <c r="R1462" s="411">
        <v>120.79745382478436</v>
      </c>
      <c r="S1462" s="411">
        <f t="shared" si="244"/>
        <v>112.61587933079841</v>
      </c>
      <c r="T1462" s="411">
        <v>121.94464792867576</v>
      </c>
      <c r="U1462" s="411">
        <v>125.17317580281669</v>
      </c>
      <c r="V1462" s="411">
        <f t="shared" si="245"/>
        <v>116.88055711044056</v>
      </c>
      <c r="W1462" s="411">
        <v>125.65400027330942</v>
      </c>
      <c r="X1462" s="411">
        <v>130.11648636514892</v>
      </c>
      <c r="Y1462" s="411">
        <f t="shared" si="246"/>
        <v>121.63437129936149</v>
      </c>
      <c r="Z1462" s="411">
        <v>129.01818560533059</v>
      </c>
      <c r="AA1462" s="411">
        <v>134.0832037403446</v>
      </c>
      <c r="AB1462" s="441">
        <f t="shared" si="247"/>
        <v>124.06426149148797</v>
      </c>
      <c r="AC1462" s="438">
        <f t="shared" si="248"/>
        <v>127.7320086202526</v>
      </c>
      <c r="AD1462" s="410"/>
      <c r="AE1462" s="411"/>
      <c r="AF1462" s="411"/>
      <c r="AG1462" s="411"/>
    </row>
    <row r="1463" spans="1:33" s="409" customFormat="1" x14ac:dyDescent="0.2">
      <c r="A1463" s="409" t="s">
        <v>765</v>
      </c>
      <c r="B1463" s="23" t="str">
        <f>VLOOKUP(LEFT(A1463,7),'[7]Tariff Schedule Lookup Table'!$A$8:$G$186,2,FALSE)</f>
        <v>Mercury Vapour 400</v>
      </c>
      <c r="C1463" s="375">
        <f t="shared" si="250"/>
        <v>950</v>
      </c>
      <c r="D1463" s="23">
        <f t="shared" si="251"/>
        <v>2</v>
      </c>
      <c r="E1463" s="23" t="str">
        <f>VLOOKUP(C1463,'[7]Tariff Schedule Lookup Table'!I$7:L$287,2,FALSE)</f>
        <v>MERCURY VAPOUR 400W</v>
      </c>
      <c r="F1463" s="23" t="str">
        <f>IF(E1463 = "BULKHEADS ETC", "SHARED OR NO POLE", VLOOKUP(C1463,'[7]Tariff Schedule Lookup Table'!I$7:L$287,3,FALSE))</f>
        <v>SHARED OR NO POLE</v>
      </c>
      <c r="G1463" s="23">
        <f>IF(E1463 = "NO CAPITAL", 1, VLOOKUP(C1463,'[7]Tariff Schedule Lookup Table'!I$7:L$287,4,FALSE))</f>
        <v>2</v>
      </c>
      <c r="H1463" s="23" t="str">
        <f t="shared" si="249"/>
        <v>2-Unmetered, Funded by Others, CE Maintained</v>
      </c>
      <c r="I1463" s="374">
        <f>VLOOKUP(F1463,'Maintenance Model'!$A$57:$B$61,2,FALSE)</f>
        <v>0</v>
      </c>
      <c r="J1463" s="374">
        <f>IF(D1463=1,VLOOKUP(C1463,'Capital Code Schedules'!A$15:F$300,2,FALSE),IF(D1463=2,VLOOKUP(C1463,'Capital Code Schedules'!A$15:F$300,3,FALSE),0))</f>
        <v>0</v>
      </c>
      <c r="K1463" s="374">
        <f>IF(D1463=1,VLOOKUP(C1463,'Capital Code Schedules'!E$15:G$300,2,FALSE),IF(D1463=2,VLOOKUP(C1463,'Capital Code Schedules'!E$15:G$300,3,FALSE),0))</f>
        <v>0</v>
      </c>
      <c r="L1463" s="374">
        <f>VLOOKUP(LEFT(A1463,10),'Streetlight Tariff Schedule'!B$11:H$260,7, FALSE)+I1463</f>
        <v>58.973327651893996</v>
      </c>
      <c r="M1463" s="410">
        <f t="shared" si="242"/>
        <v>58.973327651893996</v>
      </c>
      <c r="N1463" s="411">
        <f t="shared" si="243"/>
        <v>61.430664979389576</v>
      </c>
      <c r="O1463" s="411">
        <v>54.320069547282081</v>
      </c>
      <c r="P1463" s="411">
        <v>54.320069547282081</v>
      </c>
      <c r="Q1463" s="411">
        <v>56.978431950631702</v>
      </c>
      <c r="R1463" s="411">
        <v>56.978431950631702</v>
      </c>
      <c r="S1463" s="411">
        <f t="shared" si="244"/>
        <v>64.437011833416136</v>
      </c>
      <c r="T1463" s="411">
        <v>59.318603674501105</v>
      </c>
      <c r="U1463" s="411">
        <v>59.535311805250672</v>
      </c>
      <c r="V1463" s="411">
        <f t="shared" si="245"/>
        <v>67.328591889382892</v>
      </c>
      <c r="W1463" s="411">
        <v>61.477961423843922</v>
      </c>
      <c r="X1463" s="411">
        <v>62.253498778065413</v>
      </c>
      <c r="Y1463" s="411">
        <f t="shared" si="246"/>
        <v>70.402594457309988</v>
      </c>
      <c r="Z1463" s="411">
        <v>63.253789794340818</v>
      </c>
      <c r="AA1463" s="411">
        <v>64.286121007029209</v>
      </c>
      <c r="AB1463" s="441">
        <f t="shared" si="247"/>
        <v>71.930805377016341</v>
      </c>
      <c r="AC1463" s="438">
        <f t="shared" si="248"/>
        <v>74.081468932849859</v>
      </c>
      <c r="AD1463" s="410"/>
      <c r="AE1463" s="411"/>
      <c r="AF1463" s="411"/>
      <c r="AG1463" s="411"/>
    </row>
    <row r="1464" spans="1:33" s="409" customFormat="1" x14ac:dyDescent="0.2">
      <c r="A1464" s="409" t="s">
        <v>766</v>
      </c>
      <c r="B1464" s="23" t="str">
        <f>VLOOKUP(LEFT(A1464,7),'[7]Tariff Schedule Lookup Table'!$A$8:$G$186,2,FALSE)</f>
        <v>Mercury Vapour 500</v>
      </c>
      <c r="C1464" s="375">
        <f t="shared" si="250"/>
        <v>300</v>
      </c>
      <c r="D1464" s="23">
        <f t="shared" si="251"/>
        <v>1</v>
      </c>
      <c r="E1464" s="23" t="str">
        <f>VLOOKUP(C1464,'[7]Tariff Schedule Lookup Table'!I$7:L$287,2,FALSE)</f>
        <v>MERCURY VAPOUR 400W</v>
      </c>
      <c r="F1464" s="23" t="str">
        <f>IF(E1464 = "BULKHEADS ETC", "SHARED OR NO POLE", VLOOKUP(C1464,'[7]Tariff Schedule Lookup Table'!I$7:L$287,3,FALSE))</f>
        <v>STEEL POLE</v>
      </c>
      <c r="G1464" s="23">
        <f>IF(E1464 = "NO CAPITAL", 1, VLOOKUP(C1464,'[7]Tariff Schedule Lookup Table'!I$7:L$287,4,FALSE))</f>
        <v>1</v>
      </c>
      <c r="H1464" s="23" t="str">
        <f t="shared" si="249"/>
        <v>1-Unmetered, CE Funded, CE Maintained</v>
      </c>
      <c r="I1464" s="374">
        <f>VLOOKUP(F1464,'Maintenance Model'!$A$57:$B$61,2,FALSE)</f>
        <v>9.9616182311111103</v>
      </c>
      <c r="J1464" s="374">
        <f>IF(D1464=1,VLOOKUP(C1464,'Capital Code Schedules'!A$15:F$300,2,FALSE),IF(D1464=2,VLOOKUP(C1464,'Capital Code Schedules'!A$15:F$300,3,FALSE),0))</f>
        <v>92.826504075065003</v>
      </c>
      <c r="K1464" s="374">
        <f>IF(D1464=1,VLOOKUP(C1464,'Capital Code Schedules'!E$15:G$300,2,FALSE),IF(D1464=2,VLOOKUP(C1464,'Capital Code Schedules'!E$15:G$300,3,FALSE),0))</f>
        <v>117.74770774827562</v>
      </c>
      <c r="L1464" s="374">
        <f>VLOOKUP(LEFT(A1464,10),'Streetlight Tariff Schedule'!B$11:H$260,7, FALSE)+I1464</f>
        <v>55.804489593145099</v>
      </c>
      <c r="M1464" s="410">
        <f t="shared" si="242"/>
        <v>173.55219734142071</v>
      </c>
      <c r="N1464" s="411">
        <f t="shared" si="243"/>
        <v>153.25374585472989</v>
      </c>
      <c r="O1464" s="411">
        <v>176.1144497078237</v>
      </c>
      <c r="P1464" s="411">
        <v>170.77266090188076</v>
      </c>
      <c r="Q1464" s="411">
        <v>176.21140501772541</v>
      </c>
      <c r="R1464" s="411">
        <v>181.68540309661543</v>
      </c>
      <c r="S1464" s="411">
        <f t="shared" si="244"/>
        <v>158.45286944859538</v>
      </c>
      <c r="T1464" s="411">
        <v>181.43052868804691</v>
      </c>
      <c r="U1464" s="411">
        <v>187.72413199282667</v>
      </c>
      <c r="V1464" s="411">
        <f t="shared" si="245"/>
        <v>163.96720596945391</v>
      </c>
      <c r="W1464" s="411">
        <v>186.55859236541448</v>
      </c>
      <c r="X1464" s="411">
        <v>194.73368020991492</v>
      </c>
      <c r="Y1464" s="411">
        <f t="shared" si="246"/>
        <v>170.27472415832895</v>
      </c>
      <c r="Z1464" s="411">
        <v>191.41046409551814</v>
      </c>
      <c r="AA1464" s="411">
        <v>200.521963863216</v>
      </c>
      <c r="AB1464" s="441">
        <f t="shared" si="247"/>
        <v>173.54514887446516</v>
      </c>
      <c r="AC1464" s="438">
        <f t="shared" si="248"/>
        <v>178.6497013843908</v>
      </c>
      <c r="AD1464" s="410"/>
      <c r="AE1464" s="411"/>
      <c r="AF1464" s="411"/>
      <c r="AG1464" s="411"/>
    </row>
    <row r="1465" spans="1:33" s="409" customFormat="1" x14ac:dyDescent="0.2">
      <c r="A1465" s="409" t="s">
        <v>767</v>
      </c>
      <c r="B1465" s="23" t="str">
        <f>VLOOKUP(LEFT(A1465,7),'[7]Tariff Schedule Lookup Table'!$A$8:$G$186,2,FALSE)</f>
        <v>Mercury Vapour 700</v>
      </c>
      <c r="C1465" s="375">
        <f t="shared" si="250"/>
        <v>190</v>
      </c>
      <c r="D1465" s="23">
        <f t="shared" si="251"/>
        <v>1</v>
      </c>
      <c r="E1465" s="23" t="str">
        <f>VLOOKUP(C1465,'[7]Tariff Schedule Lookup Table'!I$7:L$287,2,FALSE)</f>
        <v>HIGH PRESSURE SODIUM 600W HIGH MAST</v>
      </c>
      <c r="F1465" s="23" t="str">
        <f>IF(E1465 = "BULKHEADS ETC", "SHARED OR NO POLE", VLOOKUP(C1465,'[7]Tariff Schedule Lookup Table'!I$7:L$287,3,FALSE))</f>
        <v>SHARED OR NO POLE</v>
      </c>
      <c r="G1465" s="23">
        <f>IF(E1465 = "NO CAPITAL", 1, VLOOKUP(C1465,'[7]Tariff Schedule Lookup Table'!I$7:L$287,4,FALSE))</f>
        <v>1</v>
      </c>
      <c r="H1465" s="23" t="str">
        <f t="shared" si="249"/>
        <v>1-Unmetered, CE Funded, CE Maintained</v>
      </c>
      <c r="I1465" s="374">
        <f>VLOOKUP(F1465,'Maintenance Model'!$A$57:$B$61,2,FALSE)</f>
        <v>0</v>
      </c>
      <c r="J1465" s="374">
        <f>IF(D1465=1,VLOOKUP(C1465,'Capital Code Schedules'!A$15:F$300,2,FALSE),IF(D1465=2,VLOOKUP(C1465,'Capital Code Schedules'!A$15:F$300,3,FALSE),0))</f>
        <v>137.96112170810926</v>
      </c>
      <c r="K1465" s="374">
        <f>IF(D1465=1,VLOOKUP(C1465,'Capital Code Schedules'!E$15:G$300,2,FALSE),IF(D1465=2,VLOOKUP(C1465,'Capital Code Schedules'!E$15:G$300,3,FALSE),0))</f>
        <v>174.99965124588107</v>
      </c>
      <c r="L1465" s="374">
        <f>VLOOKUP(LEFT(A1465,10),'Streetlight Tariff Schedule'!B$11:H$260,7, FALSE)+I1465</f>
        <v>53.399316483583995</v>
      </c>
      <c r="M1465" s="410">
        <f t="shared" si="242"/>
        <v>228.39896772946506</v>
      </c>
      <c r="N1465" s="411">
        <f t="shared" si="243"/>
        <v>197.00005191428144</v>
      </c>
      <c r="O1465" s="411">
        <v>235.69132248777427</v>
      </c>
      <c r="P1465" s="411">
        <v>227.75221950270694</v>
      </c>
      <c r="Q1465" s="411">
        <v>234.56034374357483</v>
      </c>
      <c r="R1465" s="411">
        <v>242.69593952752257</v>
      </c>
      <c r="S1465" s="411">
        <f t="shared" si="244"/>
        <v>203.22129396814682</v>
      </c>
      <c r="T1465" s="411">
        <v>241.19468175062073</v>
      </c>
      <c r="U1465" s="411">
        <v>250.44445230112029</v>
      </c>
      <c r="V1465" s="411">
        <f t="shared" si="245"/>
        <v>209.96849827296248</v>
      </c>
      <c r="W1465" s="411">
        <v>247.78041099462769</v>
      </c>
      <c r="X1465" s="411">
        <v>259.55845103519863</v>
      </c>
      <c r="Y1465" s="411">
        <f t="shared" si="246"/>
        <v>217.80317708721617</v>
      </c>
      <c r="Z1465" s="411">
        <v>254.1396155208798</v>
      </c>
      <c r="AA1465" s="411">
        <v>267.18620441663478</v>
      </c>
      <c r="AB1465" s="441">
        <f t="shared" si="247"/>
        <v>221.89831086631423</v>
      </c>
      <c r="AC1465" s="438">
        <f t="shared" si="248"/>
        <v>228.4075962385767</v>
      </c>
      <c r="AD1465" s="410"/>
      <c r="AE1465" s="411"/>
      <c r="AF1465" s="411"/>
      <c r="AG1465" s="411"/>
    </row>
    <row r="1466" spans="1:33" s="409" customFormat="1" x14ac:dyDescent="0.2">
      <c r="A1466" s="409" t="s">
        <v>768</v>
      </c>
      <c r="B1466" s="23" t="str">
        <f>VLOOKUP(LEFT(A1466,7),'[7]Tariff Schedule Lookup Table'!$A$8:$G$186,2,FALSE)</f>
        <v>Mercury Vapour 700</v>
      </c>
      <c r="C1466" s="375">
        <f t="shared" si="250"/>
        <v>190</v>
      </c>
      <c r="D1466" s="23">
        <f t="shared" si="251"/>
        <v>2</v>
      </c>
      <c r="E1466" s="23" t="str">
        <f>VLOOKUP(C1466,'[7]Tariff Schedule Lookup Table'!I$7:L$287,2,FALSE)</f>
        <v>HIGH PRESSURE SODIUM 600W HIGH MAST</v>
      </c>
      <c r="F1466" s="23" t="str">
        <f>IF(E1466 = "BULKHEADS ETC", "SHARED OR NO POLE", VLOOKUP(C1466,'[7]Tariff Schedule Lookup Table'!I$7:L$287,3,FALSE))</f>
        <v>SHARED OR NO POLE</v>
      </c>
      <c r="G1466" s="23">
        <f>IF(E1466 = "NO CAPITAL", 1, VLOOKUP(C1466,'[7]Tariff Schedule Lookup Table'!I$7:L$287,4,FALSE))</f>
        <v>1</v>
      </c>
      <c r="H1466" s="23" t="str">
        <f t="shared" si="249"/>
        <v>2-Unmetered, Funded by Others, CE Maintained</v>
      </c>
      <c r="I1466" s="374">
        <f>VLOOKUP(F1466,'Maintenance Model'!$A$57:$B$61,2,FALSE)</f>
        <v>0</v>
      </c>
      <c r="J1466" s="374">
        <f>IF(D1466=1,VLOOKUP(C1466,'Capital Code Schedules'!A$15:F$300,2,FALSE),IF(D1466=2,VLOOKUP(C1466,'Capital Code Schedules'!A$15:F$300,3,FALSE),0))</f>
        <v>0</v>
      </c>
      <c r="K1466" s="374">
        <f>IF(D1466=1,VLOOKUP(C1466,'Capital Code Schedules'!E$15:G$300,2,FALSE),IF(D1466=2,VLOOKUP(C1466,'Capital Code Schedules'!E$15:G$300,3,FALSE),0))</f>
        <v>0</v>
      </c>
      <c r="L1466" s="374">
        <f>VLOOKUP(LEFT(A1466,10),'Streetlight Tariff Schedule'!B$11:H$260,7, FALSE)+I1466</f>
        <v>53.399316483583995</v>
      </c>
      <c r="M1466" s="410">
        <f t="shared" si="242"/>
        <v>53.399316483583995</v>
      </c>
      <c r="N1466" s="411">
        <f t="shared" si="243"/>
        <v>55.624392443896483</v>
      </c>
      <c r="O1466" s="411">
        <v>48.421326888490327</v>
      </c>
      <c r="P1466" s="411">
        <v>48.421326888490327</v>
      </c>
      <c r="Q1466" s="411">
        <v>50.791011537156344</v>
      </c>
      <c r="R1466" s="411">
        <v>50.791011537156344</v>
      </c>
      <c r="S1466" s="411">
        <f t="shared" si="244"/>
        <v>58.346586925869815</v>
      </c>
      <c r="T1466" s="411">
        <v>52.877058572093389</v>
      </c>
      <c r="U1466" s="411">
        <v>53.070233863028633</v>
      </c>
      <c r="V1466" s="411">
        <f t="shared" si="245"/>
        <v>60.964862079980598</v>
      </c>
      <c r="W1466" s="411">
        <v>54.801926642431773</v>
      </c>
      <c r="X1466" s="411">
        <v>55.493246592055662</v>
      </c>
      <c r="Y1466" s="411">
        <f t="shared" si="246"/>
        <v>63.748317627292195</v>
      </c>
      <c r="Z1466" s="411">
        <v>56.384913680967095</v>
      </c>
      <c r="AA1466" s="411">
        <v>57.305141646862204</v>
      </c>
      <c r="AB1466" s="441">
        <f t="shared" si="247"/>
        <v>65.132085879895584</v>
      </c>
      <c r="AC1466" s="438">
        <f t="shared" si="248"/>
        <v>67.079474105053265</v>
      </c>
      <c r="AD1466" s="410"/>
      <c r="AE1466" s="411"/>
      <c r="AF1466" s="411"/>
      <c r="AG1466" s="411"/>
    </row>
    <row r="1467" spans="1:33" s="409" customFormat="1" x14ac:dyDescent="0.2">
      <c r="A1467" s="409" t="s">
        <v>769</v>
      </c>
      <c r="B1467" s="23" t="str">
        <f>VLOOKUP(LEFT(A1467,7),'[7]Tariff Schedule Lookup Table'!$A$8:$G$186,2,FALSE)</f>
        <v>Mercury Vapour 700</v>
      </c>
      <c r="C1467" s="375">
        <f t="shared" si="250"/>
        <v>250</v>
      </c>
      <c r="D1467" s="23">
        <f t="shared" si="251"/>
        <v>2</v>
      </c>
      <c r="E1467" s="23" t="str">
        <f>VLOOKUP(C1467,'[7]Tariff Schedule Lookup Table'!I$7:L$287,2,FALSE)</f>
        <v>HIGH PRESSURE SODIUM 600W HIGH MAST</v>
      </c>
      <c r="F1467" s="23" t="str">
        <f>IF(E1467 = "BULKHEADS ETC", "SHARED OR NO POLE", VLOOKUP(C1467,'[7]Tariff Schedule Lookup Table'!I$7:L$287,3,FALSE))</f>
        <v>WOOD POLE</v>
      </c>
      <c r="G1467" s="23">
        <f>IF(E1467 = "NO CAPITAL", 1, VLOOKUP(C1467,'[7]Tariff Schedule Lookup Table'!I$7:L$287,4,FALSE))</f>
        <v>1</v>
      </c>
      <c r="H1467" s="23" t="str">
        <f t="shared" si="249"/>
        <v>2-Unmetered, Funded by Others, CE Maintained</v>
      </c>
      <c r="I1467" s="374">
        <f>VLOOKUP(F1467,'Maintenance Model'!$A$57:$B$61,2,FALSE)</f>
        <v>10.731618231111112</v>
      </c>
      <c r="J1467" s="374">
        <f>IF(D1467=1,VLOOKUP(C1467,'Capital Code Schedules'!A$15:F$300,2,FALSE),IF(D1467=2,VLOOKUP(C1467,'Capital Code Schedules'!A$15:F$300,3,FALSE),0))</f>
        <v>0</v>
      </c>
      <c r="K1467" s="374">
        <f>IF(D1467=1,VLOOKUP(C1467,'Capital Code Schedules'!E$15:G$300,2,FALSE),IF(D1467=2,VLOOKUP(C1467,'Capital Code Schedules'!E$15:G$300,3,FALSE),0))</f>
        <v>0</v>
      </c>
      <c r="L1467" s="374">
        <f>VLOOKUP(LEFT(A1467,10),'Streetlight Tariff Schedule'!B$11:H$260,7, FALSE)+I1467</f>
        <v>64.130934714695101</v>
      </c>
      <c r="M1467" s="410">
        <f t="shared" si="242"/>
        <v>64.130934714695101</v>
      </c>
      <c r="N1467" s="411">
        <f t="shared" si="243"/>
        <v>66.803182423893873</v>
      </c>
      <c r="O1467" s="411">
        <v>58.817526963914496</v>
      </c>
      <c r="P1467" s="411">
        <v>58.817526963914496</v>
      </c>
      <c r="Q1467" s="411">
        <v>61.695989816447714</v>
      </c>
      <c r="R1467" s="411">
        <v>61.695989816447714</v>
      </c>
      <c r="S1467" s="411">
        <f t="shared" si="244"/>
        <v>70.072454169306639</v>
      </c>
      <c r="T1467" s="411">
        <v>64.229917232521245</v>
      </c>
      <c r="U1467" s="411">
        <v>64.464567821702971</v>
      </c>
      <c r="V1467" s="411">
        <f t="shared" si="245"/>
        <v>73.216922002055142</v>
      </c>
      <c r="W1467" s="411">
        <v>66.568060090312628</v>
      </c>
      <c r="X1467" s="411">
        <v>67.40780844895086</v>
      </c>
      <c r="Y1467" s="411">
        <f t="shared" si="246"/>
        <v>76.559766400461854</v>
      </c>
      <c r="Z1467" s="411">
        <v>68.49091906187688</v>
      </c>
      <c r="AA1467" s="411">
        <v>69.608722655356047</v>
      </c>
      <c r="AB1467" s="441">
        <f t="shared" si="247"/>
        <v>78.221629459987284</v>
      </c>
      <c r="AC1467" s="438">
        <f t="shared" si="248"/>
        <v>80.560382750399654</v>
      </c>
      <c r="AD1467" s="410"/>
      <c r="AE1467" s="411"/>
      <c r="AF1467" s="411"/>
      <c r="AG1467" s="411"/>
    </row>
    <row r="1468" spans="1:33" s="409" customFormat="1" x14ac:dyDescent="0.2">
      <c r="A1468" s="409" t="s">
        <v>770</v>
      </c>
      <c r="B1468" s="23" t="str">
        <f>VLOOKUP(LEFT(A1468,7),'[7]Tariff Schedule Lookup Table'!$A$8:$G$186,2,FALSE)</f>
        <v>Mercury Vapour 700</v>
      </c>
      <c r="C1468" s="375">
        <f t="shared" si="250"/>
        <v>340</v>
      </c>
      <c r="D1468" s="23">
        <f t="shared" si="251"/>
        <v>2</v>
      </c>
      <c r="E1468" s="23" t="str">
        <f>VLOOKUP(C1468,'[7]Tariff Schedule Lookup Table'!I$7:L$287,2,FALSE)</f>
        <v>HIGH PRESSURE SODIUM 600W HIGH MAST</v>
      </c>
      <c r="F1468" s="23" t="str">
        <f>IF(E1468 = "BULKHEADS ETC", "SHARED OR NO POLE", VLOOKUP(C1468,'[7]Tariff Schedule Lookup Table'!I$7:L$287,3,FALSE))</f>
        <v>STEEL POLE</v>
      </c>
      <c r="G1468" s="23">
        <f>IF(E1468 = "NO CAPITAL", 1, VLOOKUP(C1468,'[7]Tariff Schedule Lookup Table'!I$7:L$287,4,FALSE))</f>
        <v>1</v>
      </c>
      <c r="H1468" s="23" t="str">
        <f t="shared" si="249"/>
        <v>2-Unmetered, Funded by Others, CE Maintained</v>
      </c>
      <c r="I1468" s="374">
        <f>VLOOKUP(F1468,'Maintenance Model'!$A$57:$B$61,2,FALSE)</f>
        <v>9.9616182311111103</v>
      </c>
      <c r="J1468" s="374">
        <f>IF(D1468=1,VLOOKUP(C1468,'Capital Code Schedules'!A$15:F$300,2,FALSE),IF(D1468=2,VLOOKUP(C1468,'Capital Code Schedules'!A$15:F$300,3,FALSE),0))</f>
        <v>0</v>
      </c>
      <c r="K1468" s="374">
        <f>IF(D1468=1,VLOOKUP(C1468,'Capital Code Schedules'!E$15:G$300,2,FALSE),IF(D1468=2,VLOOKUP(C1468,'Capital Code Schedules'!E$15:G$300,3,FALSE),0))</f>
        <v>0</v>
      </c>
      <c r="L1468" s="374">
        <f>VLOOKUP(LEFT(A1468,10),'Streetlight Tariff Schedule'!B$11:H$260,7, FALSE)+I1468</f>
        <v>63.360934714695105</v>
      </c>
      <c r="M1468" s="410">
        <f t="shared" si="242"/>
        <v>63.360934714695105</v>
      </c>
      <c r="N1468" s="411">
        <f t="shared" si="243"/>
        <v>66.001097584568882</v>
      </c>
      <c r="O1468" s="411">
        <v>58.015442124589491</v>
      </c>
      <c r="P1468" s="411">
        <v>58.015442124589491</v>
      </c>
      <c r="Q1468" s="411">
        <v>60.85465185762326</v>
      </c>
      <c r="R1468" s="411">
        <v>60.85465185762326</v>
      </c>
      <c r="S1468" s="411">
        <f t="shared" si="244"/>
        <v>69.231116210482185</v>
      </c>
      <c r="T1468" s="411">
        <v>63.354024526680135</v>
      </c>
      <c r="U1468" s="411">
        <v>63.585475224777767</v>
      </c>
      <c r="V1468" s="411">
        <f t="shared" si="245"/>
        <v>72.337829405129952</v>
      </c>
      <c r="W1468" s="411">
        <v>65.660282518935418</v>
      </c>
      <c r="X1468" s="411">
        <v>66.488579368778929</v>
      </c>
      <c r="Y1468" s="411">
        <f t="shared" si="246"/>
        <v>75.640537320289923</v>
      </c>
      <c r="Z1468" s="411">
        <v>67.556919782296987</v>
      </c>
      <c r="AA1468" s="411">
        <v>68.659480073958605</v>
      </c>
      <c r="AB1468" s="441">
        <f t="shared" si="247"/>
        <v>77.282446911781136</v>
      </c>
      <c r="AC1468" s="438">
        <f t="shared" si="248"/>
        <v>79.593119525658381</v>
      </c>
      <c r="AD1468" s="410"/>
      <c r="AE1468" s="411"/>
      <c r="AF1468" s="411"/>
      <c r="AG1468" s="411"/>
    </row>
    <row r="1469" spans="1:33" s="409" customFormat="1" x14ac:dyDescent="0.2">
      <c r="A1469" s="409" t="s">
        <v>772</v>
      </c>
      <c r="B1469" s="23" t="str">
        <f>VLOOKUP(LEFT(A1469,7),'[7]Tariff Schedule Lookup Table'!$A$8:$G$186,2,FALSE)</f>
        <v>Mercury Vapour 1000</v>
      </c>
      <c r="C1469" s="375">
        <f t="shared" si="250"/>
        <v>120</v>
      </c>
      <c r="D1469" s="23">
        <f t="shared" si="251"/>
        <v>2</v>
      </c>
      <c r="E1469" s="23" t="str">
        <f>VLOOKUP(C1469,'[7]Tariff Schedule Lookup Table'!I$7:L$287,2,FALSE)</f>
        <v xml:space="preserve">METAL HALIDE 1000W FLOODLIGHT </v>
      </c>
      <c r="F1469" s="23" t="str">
        <f>IF(E1469 = "BULKHEADS ETC", "SHARED OR NO POLE", VLOOKUP(C1469,'[7]Tariff Schedule Lookup Table'!I$7:L$287,3,FALSE))</f>
        <v>SHARED OR NO POLE</v>
      </c>
      <c r="G1469" s="23">
        <f>IF(E1469 = "NO CAPITAL", 1, VLOOKUP(C1469,'[7]Tariff Schedule Lookup Table'!I$7:L$287,4,FALSE))</f>
        <v>1</v>
      </c>
      <c r="H1469" s="23" t="str">
        <f t="shared" si="249"/>
        <v>2-Unmetered, Funded by Others, CE Maintained</v>
      </c>
      <c r="I1469" s="374">
        <f>VLOOKUP(F1469,'Maintenance Model'!$A$57:$B$61,2,FALSE)</f>
        <v>0</v>
      </c>
      <c r="J1469" s="374">
        <f>IF(D1469=1,VLOOKUP(C1469,'Capital Code Schedules'!A$15:F$300,2,FALSE),IF(D1469=2,VLOOKUP(C1469,'Capital Code Schedules'!A$15:F$300,3,FALSE),0))</f>
        <v>0</v>
      </c>
      <c r="K1469" s="374">
        <f>IF(D1469=1,VLOOKUP(C1469,'Capital Code Schedules'!E$15:G$300,2,FALSE),IF(D1469=2,VLOOKUP(C1469,'Capital Code Schedules'!E$15:G$300,3,FALSE),0))</f>
        <v>0</v>
      </c>
      <c r="L1469" s="374">
        <f>VLOOKUP(LEFT(A1469,10),'Streetlight Tariff Schedule'!B$11:H$260,7, FALSE)+I1469</f>
        <v>91.751446522750641</v>
      </c>
      <c r="M1469" s="410">
        <f t="shared" si="242"/>
        <v>91.751446522750641</v>
      </c>
      <c r="N1469" s="411">
        <f t="shared" si="243"/>
        <v>95.574602911736079</v>
      </c>
      <c r="O1469" s="411">
        <v>88.449047530508594</v>
      </c>
      <c r="P1469" s="411">
        <v>88.449047530508594</v>
      </c>
      <c r="Q1469" s="411">
        <v>92.77764328759838</v>
      </c>
      <c r="R1469" s="411">
        <v>92.77764328759838</v>
      </c>
      <c r="S1469" s="411">
        <f t="shared" si="244"/>
        <v>100.2519152423927</v>
      </c>
      <c r="T1469" s="411">
        <v>96.588131045790746</v>
      </c>
      <c r="U1469" s="411">
        <v>96.940995611625524</v>
      </c>
      <c r="V1469" s="411">
        <f t="shared" si="245"/>
        <v>104.75067194198631</v>
      </c>
      <c r="W1469" s="411">
        <v>100.10420048014132</v>
      </c>
      <c r="X1469" s="411">
        <v>101.36700336086136</v>
      </c>
      <c r="Y1469" s="411">
        <f t="shared" si="246"/>
        <v>109.53324388513325</v>
      </c>
      <c r="Z1469" s="411">
        <v>102.99577129838899</v>
      </c>
      <c r="AA1469" s="411">
        <v>104.67671009797623</v>
      </c>
      <c r="AB1469" s="441">
        <f t="shared" si="247"/>
        <v>111.91085369719238</v>
      </c>
      <c r="AC1469" s="438">
        <f t="shared" si="248"/>
        <v>115.25688316658676</v>
      </c>
      <c r="AD1469" s="410"/>
      <c r="AE1469" s="411"/>
      <c r="AF1469" s="411"/>
      <c r="AG1469" s="411"/>
    </row>
    <row r="1470" spans="1:33" x14ac:dyDescent="0.2">
      <c r="A1470" s="412" t="s">
        <v>362</v>
      </c>
      <c r="B1470" s="413" t="str">
        <f>VLOOKUP(LEFT(A1470,7),'[7]Tariff Schedule Lookup Table'!$A$8:$G$186,2,FALSE)</f>
        <v>Fluorescent 9</v>
      </c>
      <c r="C1470" s="414">
        <f>1*MID(A1470,12,4)</f>
        <v>10</v>
      </c>
      <c r="D1470" s="413">
        <f>1*(MID(A1470,17,3))</f>
        <v>2</v>
      </c>
      <c r="E1470" s="413" t="str">
        <f>VLOOKUP(C1470,'[7]Tariff Schedule Lookup Table'!I$7:L$287,2,FALSE)</f>
        <v>MERCURY VAPOUR 80W</v>
      </c>
      <c r="F1470" s="413" t="str">
        <f>IF(E1470 = "BULKHEADS ETC", "SHARED OR NO POLE", VLOOKUP(C1470,'[7]Tariff Schedule Lookup Table'!I$7:L$287,3,FALSE))</f>
        <v>SHARED OR NO POLE</v>
      </c>
      <c r="G1470" s="413">
        <f>IF(E1470 = "NO CAPITAL", 1, VLOOKUP(C1470,'[7]Tariff Schedule Lookup Table'!I$7:L$287,4,FALSE))</f>
        <v>1</v>
      </c>
      <c r="H1470" s="413" t="str">
        <f>VLOOKUP(D1470,A$11:B$15, 2, FALSE)</f>
        <v>2-Unmetered, Funded by Others, CE Maintained</v>
      </c>
      <c r="I1470" s="415">
        <f>VLOOKUP(F1470,'Maintenance Model'!$A$57:$B$61,2,FALSE)</f>
        <v>0</v>
      </c>
      <c r="J1470" s="415">
        <f>IF(D1470=1,VLOOKUP(C1470,'Capital Code Schedules'!A$15:F$300,2,FALSE),IF(D1470=2,VLOOKUP(C1470,'Capital Code Schedules'!A$15:F$300,3,FALSE),0))</f>
        <v>0</v>
      </c>
      <c r="K1470" s="415">
        <f>IF(D1470=1,VLOOKUP(C1470,'Capital Code Schedules'!E$15:G$300,2,FALSE),IF(D1470=2,VLOOKUP(C1470,'Capital Code Schedules'!E$15:G$300,3,FALSE),0))</f>
        <v>0</v>
      </c>
      <c r="L1470" s="415">
        <f>VLOOKUP(LEFT(A1470,10),'Streetlight Tariff Schedule'!B$11:H$260,7, FALSE)+I1470</f>
        <v>26.876862542540042</v>
      </c>
      <c r="M1470" s="416">
        <f>IF(VLOOKUP(D1470,A$11:D$15,3,FALSE)="Y",IF(VLOOKUP(D1470,A$11:D$15,4,FALSE)="Y",K1470+L1470,K1470),IF(VLOOKUP(D1470,A$11:D$15,4,FALSE)="Y",L1470,0))</f>
        <v>26.876862542540042</v>
      </c>
      <c r="N1470" s="406">
        <f t="shared" si="243"/>
        <v>27.996784381809533</v>
      </c>
      <c r="O1470" s="406">
        <v>36.372140884353854</v>
      </c>
      <c r="P1470" s="406">
        <v>88.449047530508594</v>
      </c>
      <c r="Q1470" s="406">
        <v>92.77764328759838</v>
      </c>
      <c r="R1470" s="406">
        <v>38.152152078414254</v>
      </c>
      <c r="S1470" s="406">
        <f t="shared" si="244"/>
        <v>29.36691515733267</v>
      </c>
      <c r="T1470" s="406">
        <v>96.588131045790746</v>
      </c>
      <c r="U1470" s="406">
        <v>39.864211637093902</v>
      </c>
      <c r="V1470" s="406">
        <f t="shared" si="245"/>
        <v>30.684741415225258</v>
      </c>
      <c r="W1470" s="406">
        <v>100.10420048014132</v>
      </c>
      <c r="X1470" s="406">
        <v>41.684280726644246</v>
      </c>
      <c r="Y1470" s="406">
        <f t="shared" si="246"/>
        <v>32.085706016735884</v>
      </c>
      <c r="Z1470" s="406">
        <v>102.99577129838899</v>
      </c>
      <c r="AA1470" s="406">
        <v>43.045302954573991</v>
      </c>
      <c r="AB1470" s="440">
        <f t="shared" si="247"/>
        <v>32.782182143492783</v>
      </c>
      <c r="AC1470" s="438">
        <f t="shared" si="248"/>
        <v>33.762338615357251</v>
      </c>
      <c r="AD1470" s="410"/>
      <c r="AE1470" s="411"/>
      <c r="AF1470" s="411"/>
      <c r="AG1470" s="411"/>
    </row>
    <row r="1471" spans="1:33" x14ac:dyDescent="0.2">
      <c r="A1471" s="412" t="s">
        <v>1203</v>
      </c>
      <c r="B1471" s="413" t="str">
        <f>VLOOKUP(LEFT(A1471,7),'[7]Tariff Schedule Lookup Table'!$A$8:$G$186,2,FALSE)</f>
        <v>High Pressure Sodium 400</v>
      </c>
      <c r="C1471" s="414">
        <f>1*MID(A1471,12,4)</f>
        <v>600</v>
      </c>
      <c r="D1471" s="413">
        <f>1*(MID(A1471,17,3))</f>
        <v>1</v>
      </c>
      <c r="E1471" s="413" t="str">
        <f>VLOOKUP(C1471,'[7]Tariff Schedule Lookup Table'!I$7:L$287,2,FALSE)</f>
        <v>HIGH PRESSURE SODIUM 400W (310/360)</v>
      </c>
      <c r="F1471" s="413" t="str">
        <f>IF(E1471 = "BULKHEADS ETC", "SHARED OR NO POLE", VLOOKUP(C1471,'[7]Tariff Schedule Lookup Table'!I$7:L$287,3,FALSE))</f>
        <v>R/BOUT COLUMN</v>
      </c>
      <c r="G1471" s="413">
        <f>IF(E1471 = "NO CAPITAL", 1, VLOOKUP(C1471,'[7]Tariff Schedule Lookup Table'!I$7:L$287,4,FALSE))</f>
        <v>4</v>
      </c>
      <c r="H1471" s="413" t="str">
        <f>VLOOKUP(D1471,A$11:B$15, 2, FALSE)</f>
        <v>1-Unmetered, CE Funded, CE Maintained</v>
      </c>
      <c r="I1471" s="415">
        <f>VLOOKUP(F1471,'Maintenance Model'!$A$57:$B$61,2,FALSE)</f>
        <v>9.9616182311111103</v>
      </c>
      <c r="J1471" s="415">
        <f>IF(D1471=1,VLOOKUP(C1471,'Capital Code Schedules'!A$15:F$300,2,FALSE),IF(D1471=2,VLOOKUP(C1471,'Capital Code Schedules'!A$15:F$300,3,FALSE),0))</f>
        <v>205.10719752420403</v>
      </c>
      <c r="K1471" s="415" t="e">
        <f>IF(D1471=1,VLOOKUP(C1471,'Capital Code Schedules'!E$15:G$300,2,FALSE),IF(D1471=2,VLOOKUP(C1471,'Capital Code Schedules'!E$15:G$300,3,FALSE),0))</f>
        <v>#N/A</v>
      </c>
      <c r="L1471" s="415">
        <f>VLOOKUP(LEFT(A1471,10),'Streetlight Tariff Schedule'!B$11:H$260,7, FALSE)+I1471</f>
        <v>89.44517309659966</v>
      </c>
      <c r="M1471" s="416" t="e">
        <f>IF(VLOOKUP(D1471,A$11:D$15,3,FALSE)="Y",IF(VLOOKUP(D1471,A$11:D$15,4,FALSE)="Y",K1471+L1471,K1471),IF(VLOOKUP(D1471,A$11:D$15,4,FALSE)="Y",L1471,0))</f>
        <v>#N/A</v>
      </c>
      <c r="N1471" s="406">
        <f t="shared" si="243"/>
        <v>303.35583091173709</v>
      </c>
      <c r="O1471" s="406">
        <v>329.54278253898417</v>
      </c>
      <c r="P1471" s="406"/>
      <c r="Q1471" s="406"/>
      <c r="R1471" s="406">
        <v>338.93569310668283</v>
      </c>
      <c r="S1471" s="406">
        <f t="shared" si="244"/>
        <v>313.11761797387248</v>
      </c>
      <c r="T1471" s="406">
        <v>96.588131045790746</v>
      </c>
      <c r="U1471" s="406">
        <v>349.47352729666011</v>
      </c>
      <c r="V1471" s="406">
        <f t="shared" si="245"/>
        <v>323.64178435673466</v>
      </c>
      <c r="W1471" s="406">
        <v>100.10420048014132</v>
      </c>
      <c r="X1471" s="406">
        <v>361.9794876688112</v>
      </c>
      <c r="Y1471" s="406">
        <f t="shared" si="246"/>
        <v>335.81380929765515</v>
      </c>
      <c r="Z1471" s="406">
        <v>102.99577129838899</v>
      </c>
      <c r="AA1471" s="406">
        <v>372.53911580052272</v>
      </c>
      <c r="AB1471" s="440">
        <f t="shared" si="247"/>
        <v>342.16265022237167</v>
      </c>
      <c r="AC1471" s="438">
        <f t="shared" si="248"/>
        <v>352.20675920952908</v>
      </c>
      <c r="AD1471" s="410"/>
      <c r="AE1471" s="411"/>
      <c r="AF1471" s="411"/>
      <c r="AG1471" s="411"/>
    </row>
    <row r="1472" spans="1:33" ht="13.5" thickBot="1" x14ac:dyDescent="0.25">
      <c r="A1472" s="412" t="s">
        <v>362</v>
      </c>
      <c r="B1472" s="413" t="str">
        <f>VLOOKUP(LEFT(A1472,7),'[7]Tariff Schedule Lookup Table'!$A$8:$G$186,2,FALSE)</f>
        <v>Fluorescent 9</v>
      </c>
      <c r="C1472" s="414">
        <f>1*MID(A1472,12,4)</f>
        <v>10</v>
      </c>
      <c r="D1472" s="413">
        <f>1*(MID(A1472,17,3))</f>
        <v>2</v>
      </c>
      <c r="E1472" s="413" t="str">
        <f>VLOOKUP(C1472,'[7]Tariff Schedule Lookup Table'!I$7:L$287,2,FALSE)</f>
        <v>MERCURY VAPOUR 80W</v>
      </c>
      <c r="F1472" s="413" t="str">
        <f>IF(E1472 = "BULKHEADS ETC", "SHARED OR NO POLE", VLOOKUP(C1472,'[7]Tariff Schedule Lookup Table'!I$7:L$287,3,FALSE))</f>
        <v>SHARED OR NO POLE</v>
      </c>
      <c r="G1472" s="413">
        <f>IF(E1472 = "NO CAPITAL", 1, VLOOKUP(C1472,'[7]Tariff Schedule Lookup Table'!I$7:L$287,4,FALSE))</f>
        <v>1</v>
      </c>
      <c r="H1472" s="413" t="str">
        <f>VLOOKUP(D1472,A$11:B$15, 2, FALSE)</f>
        <v>2-Unmetered, Funded by Others, CE Maintained</v>
      </c>
      <c r="I1472" s="415">
        <f>VLOOKUP(F1472,'Maintenance Model'!$A$57:$B$61,2,FALSE)</f>
        <v>0</v>
      </c>
      <c r="J1472" s="415">
        <f>IF(D1472=1,VLOOKUP(C1472,'Capital Code Schedules'!A$15:F$300,2,FALSE),IF(D1472=2,VLOOKUP(C1472,'Capital Code Schedules'!A$15:F$300,3,FALSE),0))</f>
        <v>0</v>
      </c>
      <c r="K1472" s="415">
        <f>IF(D1472=1,VLOOKUP(C1472,'Capital Code Schedules'!E$15:G$300,2,FALSE),IF(D1472=2,VLOOKUP(C1472,'Capital Code Schedules'!E$15:G$300,3,FALSE),0))</f>
        <v>0</v>
      </c>
      <c r="L1472" s="415">
        <f>VLOOKUP(LEFT(A1472,10),'Streetlight Tariff Schedule'!B$11:H$260,7, FALSE)+I1472</f>
        <v>26.876862542540042</v>
      </c>
      <c r="M1472" s="416">
        <f>IF(VLOOKUP(D1472,A$11:D$15,3,FALSE)="Y",IF(VLOOKUP(D1472,A$11:D$15,4,FALSE)="Y",K1472+L1472,K1472),IF(VLOOKUP(D1472,A$11:D$15,4,FALSE)="Y",L1472,0))</f>
        <v>26.876862542540042</v>
      </c>
      <c r="N1472" s="406">
        <f t="shared" si="243"/>
        <v>27.996784381809533</v>
      </c>
      <c r="O1472" s="406">
        <v>36.372140884353854</v>
      </c>
      <c r="P1472" s="406">
        <v>88.449047530508594</v>
      </c>
      <c r="Q1472" s="406">
        <v>92.77764328759838</v>
      </c>
      <c r="R1472" s="406">
        <v>38.152152078414254</v>
      </c>
      <c r="S1472" s="406">
        <f t="shared" si="244"/>
        <v>29.36691515733267</v>
      </c>
      <c r="T1472" s="406">
        <v>96.588131045790746</v>
      </c>
      <c r="U1472" s="406">
        <v>39.864211637093902</v>
      </c>
      <c r="V1472" s="406">
        <f t="shared" si="245"/>
        <v>30.684741415225258</v>
      </c>
      <c r="W1472" s="406">
        <v>100.10420048014132</v>
      </c>
      <c r="X1472" s="406">
        <v>41.684280726644246</v>
      </c>
      <c r="Y1472" s="406">
        <f t="shared" si="246"/>
        <v>32.085706016735884</v>
      </c>
      <c r="Z1472" s="406">
        <v>102.99577129838899</v>
      </c>
      <c r="AA1472" s="406">
        <v>43.045302954573991</v>
      </c>
      <c r="AB1472" s="440">
        <f t="shared" si="247"/>
        <v>32.782182143492783</v>
      </c>
      <c r="AC1472" s="437">
        <f t="shared" si="248"/>
        <v>33.762338615357251</v>
      </c>
      <c r="AD1472" s="410"/>
      <c r="AE1472" s="411"/>
      <c r="AF1472" s="411"/>
      <c r="AG1472" s="411"/>
    </row>
  </sheetData>
  <autoFilter ref="A18:BM1472"/>
  <mergeCells count="2">
    <mergeCell ref="A5:L5"/>
    <mergeCell ref="F1:G1"/>
  </mergeCells>
  <phoneticPr fontId="2" type="noConversion"/>
  <pageMargins left="0.75" right="0.75" top="1" bottom="1" header="0.5" footer="0.5"/>
  <pageSetup paperSize="9" scale="10" orientation="landscape" r:id="rId1"/>
  <headerFooter alignWithMargins="0"/>
  <cellWatches>
    <cellWatch r="M140"/>
  </cellWatch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I471"/>
  <sheetViews>
    <sheetView workbookViewId="0">
      <selection activeCell="B17" sqref="B17"/>
    </sheetView>
  </sheetViews>
  <sheetFormatPr defaultRowHeight="12.75" x14ac:dyDescent="0.2"/>
  <cols>
    <col min="1" max="1" width="29" customWidth="1"/>
    <col min="2" max="2" width="9" style="365" bestFit="1" customWidth="1"/>
    <col min="3" max="3" width="15.7109375" style="365" bestFit="1" customWidth="1"/>
    <col min="4" max="4" width="10.85546875" style="365" customWidth="1"/>
    <col min="5" max="5" width="12.42578125" style="365" customWidth="1"/>
    <col min="6" max="6" width="9.7109375" customWidth="1"/>
    <col min="8" max="8" width="9.7109375" customWidth="1"/>
  </cols>
  <sheetData>
    <row r="2" spans="1:9" s="366" customFormat="1" x14ac:dyDescent="0.2">
      <c r="A2" s="366" t="s">
        <v>438</v>
      </c>
      <c r="B2" s="367" t="s">
        <v>440</v>
      </c>
      <c r="C2" s="367" t="s">
        <v>1676</v>
      </c>
      <c r="D2" s="367" t="s">
        <v>441</v>
      </c>
      <c r="E2" s="367" t="s">
        <v>439</v>
      </c>
      <c r="F2" s="366" t="s">
        <v>442</v>
      </c>
      <c r="G2" s="366" t="s">
        <v>443</v>
      </c>
      <c r="H2" s="366" t="s">
        <v>444</v>
      </c>
      <c r="I2" s="366" t="s">
        <v>445</v>
      </c>
    </row>
    <row r="3" spans="1:9" x14ac:dyDescent="0.2">
      <c r="A3" t="str">
        <f>'Public Lighting Charges'!A457</f>
        <v>FLU0010-ST-0010-002-B</v>
      </c>
      <c r="B3" s="365">
        <f>'Public Lighting Charges'!J457</f>
        <v>0</v>
      </c>
      <c r="C3" s="365">
        <f>'Public Lighting Charges'!L457*(1+'Public Lighting Charges'!$M$12)+(('Public Lighting Charges'!L457*'Public Lighting Charges'!$M$10)*'Public Lighting Charges'!$M$14)</f>
        <v>27.985801891045245</v>
      </c>
      <c r="D3" s="365">
        <f>B3+C3</f>
        <v>27.985801891045245</v>
      </c>
      <c r="E3" s="365">
        <f>'Public Lighting Charges'!O457</f>
        <v>36.372140884353854</v>
      </c>
      <c r="F3" s="365">
        <f>'Public Lighting Charges'!Q457</f>
        <v>38.152152078414254</v>
      </c>
      <c r="G3" s="365">
        <f>'Public Lighting Charges'!T457</f>
        <v>39.719106177397329</v>
      </c>
      <c r="H3" s="365">
        <f>'Public Lighting Charges'!W457</f>
        <v>41.164989161962623</v>
      </c>
      <c r="I3" s="365">
        <f>'Public Lighting Charges'!Z457</f>
        <v>42.354064953221013</v>
      </c>
    </row>
    <row r="4" spans="1:9" x14ac:dyDescent="0.2">
      <c r="A4" t="str">
        <f>'Public Lighting Charges'!A458</f>
        <v>FLU0010-ST-0110-001-B</v>
      </c>
      <c r="B4" s="365">
        <f>'Public Lighting Charges'!J458</f>
        <v>8.1913367400317085</v>
      </c>
      <c r="C4" s="365">
        <f>'Public Lighting Charges'!L458*(1+'Public Lighting Charges'!$M$12)+(('Public Lighting Charges'!L458*'Public Lighting Charges'!$M$10)*'Public Lighting Charges'!$M$14)</f>
        <v>27.985801891045245</v>
      </c>
      <c r="D4" s="365">
        <f t="shared" ref="D4:D67" si="0">B4+C4</f>
        <v>36.177138631076957</v>
      </c>
      <c r="E4" s="365">
        <f>'Public Lighting Charges'!O458</f>
        <v>47.491154533021685</v>
      </c>
      <c r="F4" s="365">
        <f>'Public Lighting Charges'!Q458</f>
        <v>49.063316498912343</v>
      </c>
      <c r="G4" s="365">
        <f>'Public Lighting Charges'!T458</f>
        <v>50.90032191730274</v>
      </c>
      <c r="H4" s="365">
        <f>'Public Lighting Charges'!W458</f>
        <v>52.622939991430698</v>
      </c>
      <c r="I4" s="365">
        <f>'Public Lighting Charges'!Z458</f>
        <v>54.095600065718422</v>
      </c>
    </row>
    <row r="5" spans="1:9" x14ac:dyDescent="0.2">
      <c r="A5" t="str">
        <f>'Public Lighting Charges'!A459</f>
        <v>FLU0020-ST-0010-001-B</v>
      </c>
      <c r="B5" s="365">
        <f>'Public Lighting Charges'!J459</f>
        <v>17.255027166785979</v>
      </c>
      <c r="C5" s="365">
        <f>'Public Lighting Charges'!L459*(1+'Public Lighting Charges'!$M$12)+(('Public Lighting Charges'!L459*'Public Lighting Charges'!$M$10)*'Public Lighting Charges'!$M$14)</f>
        <v>27.985801891045245</v>
      </c>
      <c r="D5" s="365">
        <f t="shared" si="0"/>
        <v>45.24082905783122</v>
      </c>
      <c r="E5" s="365">
        <f>'Public Lighting Charges'!O459</f>
        <v>59.794310997077709</v>
      </c>
      <c r="F5" s="365">
        <f>'Public Lighting Charges'!Q459</f>
        <v>61.136488392762168</v>
      </c>
      <c r="G5" s="365">
        <f>'Public Lighting Charges'!T459</f>
        <v>63.272304815525345</v>
      </c>
      <c r="H5" s="365">
        <f>'Public Lighting Charges'!W459</f>
        <v>65.30112946638431</v>
      </c>
      <c r="I5" s="365">
        <f>'Public Lighting Charges'!Z459</f>
        <v>67.087574730177138</v>
      </c>
    </row>
    <row r="6" spans="1:9" x14ac:dyDescent="0.2">
      <c r="A6" t="str">
        <f>'Public Lighting Charges'!A460</f>
        <v>FLU0030-ST-0110-002-B</v>
      </c>
      <c r="B6" s="365">
        <f>'Public Lighting Charges'!J460</f>
        <v>0</v>
      </c>
      <c r="C6" s="365">
        <f>'Public Lighting Charges'!L460*(1+'Public Lighting Charges'!$M$12)+(('Public Lighting Charges'!L460*'Public Lighting Charges'!$M$10)*'Public Lighting Charges'!$M$14)</f>
        <v>27.985801891045245</v>
      </c>
      <c r="D6" s="365">
        <f t="shared" si="0"/>
        <v>27.985801891045245</v>
      </c>
      <c r="E6" s="365">
        <f>'Public Lighting Charges'!O460</f>
        <v>36.372140884353854</v>
      </c>
      <c r="F6" s="365">
        <f>'Public Lighting Charges'!Q460</f>
        <v>38.152152078414254</v>
      </c>
      <c r="G6" s="365">
        <f>'Public Lighting Charges'!T460</f>
        <v>39.719106177397329</v>
      </c>
      <c r="H6" s="365">
        <f>'Public Lighting Charges'!W460</f>
        <v>41.164989161962623</v>
      </c>
      <c r="I6" s="365">
        <f>'Public Lighting Charges'!Z460</f>
        <v>42.354064953221013</v>
      </c>
    </row>
    <row r="7" spans="1:9" x14ac:dyDescent="0.2">
      <c r="A7" t="str">
        <f>'Public Lighting Charges'!A461</f>
        <v>FLU0040-ST-0010-002-B</v>
      </c>
      <c r="B7" s="365">
        <f>'Public Lighting Charges'!J461</f>
        <v>0</v>
      </c>
      <c r="C7" s="365">
        <f>'Public Lighting Charges'!L461*(1+'Public Lighting Charges'!$M$12)+(('Public Lighting Charges'!L461*'Public Lighting Charges'!$M$10)*'Public Lighting Charges'!$M$14)</f>
        <v>27.985801891045245</v>
      </c>
      <c r="D7" s="365">
        <f t="shared" si="0"/>
        <v>27.985801891045245</v>
      </c>
      <c r="E7" s="365">
        <f>'Public Lighting Charges'!O461</f>
        <v>36.372140884353854</v>
      </c>
      <c r="F7" s="365">
        <f>'Public Lighting Charges'!Q461</f>
        <v>38.152152078414254</v>
      </c>
      <c r="G7" s="365">
        <f>'Public Lighting Charges'!T461</f>
        <v>39.719106177397329</v>
      </c>
      <c r="H7" s="365">
        <f>'Public Lighting Charges'!W461</f>
        <v>41.164989161962623</v>
      </c>
      <c r="I7" s="365">
        <f>'Public Lighting Charges'!Z461</f>
        <v>42.354064953221013</v>
      </c>
    </row>
    <row r="8" spans="1:9" x14ac:dyDescent="0.2">
      <c r="A8" t="str">
        <f>'Public Lighting Charges'!A462</f>
        <v>FLU0050-ST-0010-001-B</v>
      </c>
      <c r="B8" s="365">
        <f>'Public Lighting Charges'!J462</f>
        <v>17.255027166785979</v>
      </c>
      <c r="C8" s="365">
        <f>'Public Lighting Charges'!L462*(1+'Public Lighting Charges'!$M$12)+(('Public Lighting Charges'!L462*'Public Lighting Charges'!$M$10)*'Public Lighting Charges'!$M$14)</f>
        <v>27.985801891045245</v>
      </c>
      <c r="D8" s="365">
        <f t="shared" si="0"/>
        <v>45.24082905783122</v>
      </c>
      <c r="E8" s="365">
        <f>'Public Lighting Charges'!O462</f>
        <v>59.794310997077709</v>
      </c>
      <c r="F8" s="365">
        <f>'Public Lighting Charges'!Q462</f>
        <v>61.136488392762168</v>
      </c>
      <c r="G8" s="365">
        <f>'Public Lighting Charges'!T462</f>
        <v>63.272304815525345</v>
      </c>
      <c r="H8" s="365">
        <f>'Public Lighting Charges'!W462</f>
        <v>65.30112946638431</v>
      </c>
      <c r="I8" s="365">
        <f>'Public Lighting Charges'!Z462</f>
        <v>67.087574730177138</v>
      </c>
    </row>
    <row r="9" spans="1:9" x14ac:dyDescent="0.2">
      <c r="A9" t="str">
        <f>'Public Lighting Charges'!A463</f>
        <v>FLU0050-ST-0010-002-B</v>
      </c>
      <c r="B9" s="365">
        <f>'Public Lighting Charges'!J463</f>
        <v>0</v>
      </c>
      <c r="C9" s="365">
        <f>'Public Lighting Charges'!L463*(1+'Public Lighting Charges'!$M$12)+(('Public Lighting Charges'!L463*'Public Lighting Charges'!$M$10)*'Public Lighting Charges'!$M$14)</f>
        <v>27.985801891045245</v>
      </c>
      <c r="D9" s="365">
        <f t="shared" si="0"/>
        <v>27.985801891045245</v>
      </c>
      <c r="E9" s="365">
        <f>'Public Lighting Charges'!O463</f>
        <v>36.372140884353854</v>
      </c>
      <c r="F9" s="365">
        <f>'Public Lighting Charges'!Q463</f>
        <v>38.152152078414254</v>
      </c>
      <c r="G9" s="365">
        <f>'Public Lighting Charges'!T463</f>
        <v>39.719106177397329</v>
      </c>
      <c r="H9" s="365">
        <f>'Public Lighting Charges'!W463</f>
        <v>41.164989161962623</v>
      </c>
      <c r="I9" s="365">
        <f>'Public Lighting Charges'!Z463</f>
        <v>42.354064953221013</v>
      </c>
    </row>
    <row r="10" spans="1:9" x14ac:dyDescent="0.2">
      <c r="A10" t="str">
        <f>'Public Lighting Charges'!A464</f>
        <v>FLU0050-ST-0110-002-B</v>
      </c>
      <c r="B10" s="365">
        <f>'Public Lighting Charges'!J464</f>
        <v>0</v>
      </c>
      <c r="C10" s="365">
        <f>'Public Lighting Charges'!L464*(1+'Public Lighting Charges'!$M$12)+(('Public Lighting Charges'!L464*'Public Lighting Charges'!$M$10)*'Public Lighting Charges'!$M$14)</f>
        <v>27.985801891045245</v>
      </c>
      <c r="D10" s="365">
        <f t="shared" si="0"/>
        <v>27.985801891045245</v>
      </c>
      <c r="E10" s="365">
        <f>'Public Lighting Charges'!O464</f>
        <v>36.372140884353854</v>
      </c>
      <c r="F10" s="365">
        <f>'Public Lighting Charges'!Q464</f>
        <v>38.152152078414254</v>
      </c>
      <c r="G10" s="365">
        <f>'Public Lighting Charges'!T464</f>
        <v>39.719106177397329</v>
      </c>
      <c r="H10" s="365">
        <f>'Public Lighting Charges'!W464</f>
        <v>41.164989161962623</v>
      </c>
      <c r="I10" s="365">
        <f>'Public Lighting Charges'!Z464</f>
        <v>42.354064953221013</v>
      </c>
    </row>
    <row r="11" spans="1:9" x14ac:dyDescent="0.2">
      <c r="A11" t="str">
        <f>'Public Lighting Charges'!A465</f>
        <v>FLU0060-ST-0010-001-B</v>
      </c>
      <c r="B11" s="365">
        <f>'Public Lighting Charges'!J465</f>
        <v>17.255027166785979</v>
      </c>
      <c r="C11" s="365">
        <f>'Public Lighting Charges'!L465*(1+'Public Lighting Charges'!$M$12)+(('Public Lighting Charges'!L465*'Public Lighting Charges'!$M$10)*'Public Lighting Charges'!$M$14)</f>
        <v>33.178971711881665</v>
      </c>
      <c r="D11" s="365">
        <f t="shared" si="0"/>
        <v>50.433998878667644</v>
      </c>
      <c r="E11" s="365">
        <f>'Public Lighting Charges'!O465</f>
        <v>65.477291147108687</v>
      </c>
      <c r="F11" s="365">
        <f>'Public Lighting Charges'!Q465</f>
        <v>67.097587125772407</v>
      </c>
      <c r="G11" s="365">
        <f>'Public Lighting Charges'!T465</f>
        <v>69.478232937843302</v>
      </c>
      <c r="H11" s="365">
        <f>'Public Lighting Charges'!W465</f>
        <v>71.732970171815751</v>
      </c>
      <c r="I11" s="365">
        <f>'Public Lighting Charges'!Z465</f>
        <v>73.705203072912894</v>
      </c>
    </row>
    <row r="12" spans="1:9" x14ac:dyDescent="0.2">
      <c r="A12" t="str">
        <f>'Public Lighting Charges'!A466</f>
        <v>FLU0060-ST-0010-002-B</v>
      </c>
      <c r="B12" s="365">
        <f>'Public Lighting Charges'!J466</f>
        <v>0</v>
      </c>
      <c r="C12" s="365">
        <f>'Public Lighting Charges'!L466*(1+'Public Lighting Charges'!$M$12)+(('Public Lighting Charges'!L466*'Public Lighting Charges'!$M$10)*'Public Lighting Charges'!$M$14)</f>
        <v>33.178971711881665</v>
      </c>
      <c r="D12" s="365">
        <f t="shared" si="0"/>
        <v>33.178971711881665</v>
      </c>
      <c r="E12" s="365">
        <f>'Public Lighting Charges'!O466</f>
        <v>42.055121034384847</v>
      </c>
      <c r="F12" s="365">
        <f>'Public Lighting Charges'!Q466</f>
        <v>44.1132508114245</v>
      </c>
      <c r="G12" s="365">
        <f>'Public Lighting Charges'!T466</f>
        <v>45.925034299715279</v>
      </c>
      <c r="H12" s="365">
        <f>'Public Lighting Charges'!W466</f>
        <v>47.596829867394064</v>
      </c>
      <c r="I12" s="365">
        <f>'Public Lighting Charges'!Z466</f>
        <v>48.971693295956776</v>
      </c>
    </row>
    <row r="13" spans="1:9" x14ac:dyDescent="0.2">
      <c r="A13" t="str">
        <f>'Public Lighting Charges'!A467</f>
        <v>FLU0060-ST-0740-002-B</v>
      </c>
      <c r="B13" s="365">
        <f>'Public Lighting Charges'!J467</f>
        <v>0</v>
      </c>
      <c r="C13" s="365">
        <f>'Public Lighting Charges'!L467*(1+'Public Lighting Charges'!$M$12)+(('Public Lighting Charges'!L467*'Public Lighting Charges'!$M$10)*'Public Lighting Charges'!$M$14)</f>
        <v>33.178971711881665</v>
      </c>
      <c r="D13" s="365">
        <f t="shared" si="0"/>
        <v>33.178971711881665</v>
      </c>
      <c r="E13" s="365">
        <f>'Public Lighting Charges'!O467</f>
        <v>42.055121034384847</v>
      </c>
      <c r="F13" s="365">
        <f>'Public Lighting Charges'!Q467</f>
        <v>44.1132508114245</v>
      </c>
      <c r="G13" s="365">
        <f>'Public Lighting Charges'!T467</f>
        <v>45.925034299715279</v>
      </c>
      <c r="H13" s="365">
        <f>'Public Lighting Charges'!W467</f>
        <v>47.596829867394064</v>
      </c>
      <c r="I13" s="365">
        <f>'Public Lighting Charges'!Z467</f>
        <v>48.971693295956776</v>
      </c>
    </row>
    <row r="14" spans="1:9" x14ac:dyDescent="0.2">
      <c r="A14" t="str">
        <f>'Public Lighting Charges'!A468</f>
        <v>FLU0060-ST-0990-001-B</v>
      </c>
      <c r="B14" s="365">
        <f>'Public Lighting Charges'!J468</f>
        <v>86.253661186307269</v>
      </c>
      <c r="C14" s="365">
        <f>'Public Lighting Charges'!L468*(1+'Public Lighting Charges'!$M$12)+(('Public Lighting Charges'!L468*'Public Lighting Charges'!$M$10)*'Public Lighting Charges'!$M$14)</f>
        <v>43.551606311208417</v>
      </c>
      <c r="D14" s="365">
        <f t="shared" si="0"/>
        <v>129.80526749751567</v>
      </c>
      <c r="E14" s="365">
        <f>'Public Lighting Charges'!O468</f>
        <v>168.73093690319521</v>
      </c>
      <c r="F14" s="365">
        <f>'Public Lighting Charges'!Q468</f>
        <v>169.0699676763297</v>
      </c>
      <c r="G14" s="365">
        <f>'Public Lighting Charges'!T468</f>
        <v>174.13868044321515</v>
      </c>
      <c r="H14" s="365">
        <f>'Public Lighting Charges'!W468</f>
        <v>179.10584876748646</v>
      </c>
      <c r="I14" s="365">
        <f>'Public Lighting Charges'!Z468</f>
        <v>183.78046633070917</v>
      </c>
    </row>
    <row r="15" spans="1:9" x14ac:dyDescent="0.2">
      <c r="A15" t="str">
        <f>'Public Lighting Charges'!A469</f>
        <v>FLU0070-ST-0010-001-B</v>
      </c>
      <c r="B15" s="365">
        <f>'Public Lighting Charges'!J469</f>
        <v>17.255027166785979</v>
      </c>
      <c r="C15" s="365">
        <f>'Public Lighting Charges'!L469*(1+'Public Lighting Charges'!$M$12)+(('Public Lighting Charges'!L469*'Public Lighting Charges'!$M$10)*'Public Lighting Charges'!$M$14)</f>
        <v>38.372141532718096</v>
      </c>
      <c r="D15" s="365">
        <f t="shared" si="0"/>
        <v>55.627168699504075</v>
      </c>
      <c r="E15" s="365">
        <f>'Public Lighting Charges'!O469</f>
        <v>71.160271297139687</v>
      </c>
      <c r="F15" s="365">
        <f>'Public Lighting Charges'!Q469</f>
        <v>73.058685858782667</v>
      </c>
      <c r="G15" s="365">
        <f>'Public Lighting Charges'!T469</f>
        <v>75.684161060161287</v>
      </c>
      <c r="H15" s="365">
        <f>'Public Lighting Charges'!W469</f>
        <v>78.16481087724722</v>
      </c>
      <c r="I15" s="365">
        <f>'Public Lighting Charges'!Z469</f>
        <v>80.322831415648665</v>
      </c>
    </row>
    <row r="16" spans="1:9" x14ac:dyDescent="0.2">
      <c r="A16" t="str">
        <f>'Public Lighting Charges'!A470</f>
        <v>FLU0070-ST-0010-002-B</v>
      </c>
      <c r="B16" s="365">
        <f>'Public Lighting Charges'!J470</f>
        <v>0</v>
      </c>
      <c r="C16" s="365">
        <f>'Public Lighting Charges'!L470*(1+'Public Lighting Charges'!$M$12)+(('Public Lighting Charges'!L470*'Public Lighting Charges'!$M$10)*'Public Lighting Charges'!$M$14)</f>
        <v>38.372141532718096</v>
      </c>
      <c r="D16" s="365">
        <f t="shared" si="0"/>
        <v>38.372141532718096</v>
      </c>
      <c r="E16" s="365">
        <f>'Public Lighting Charges'!O470</f>
        <v>47.738101184415839</v>
      </c>
      <c r="F16" s="365">
        <f>'Public Lighting Charges'!Q470</f>
        <v>50.074349544434753</v>
      </c>
      <c r="G16" s="365">
        <f>'Public Lighting Charges'!T470</f>
        <v>52.130962422033242</v>
      </c>
      <c r="H16" s="365">
        <f>'Public Lighting Charges'!W470</f>
        <v>54.028670572825519</v>
      </c>
      <c r="I16" s="365">
        <f>'Public Lighting Charges'!Z470</f>
        <v>55.589321638692546</v>
      </c>
    </row>
    <row r="17" spans="1:9" x14ac:dyDescent="0.2">
      <c r="A17" t="str">
        <f>'Public Lighting Charges'!A471</f>
        <v>FLU0080-ST-0010-001-B</v>
      </c>
      <c r="B17" s="365">
        <f>'Public Lighting Charges'!J471</f>
        <v>17.255027166785979</v>
      </c>
      <c r="C17" s="365">
        <f>'Public Lighting Charges'!L471*(1+'Public Lighting Charges'!$M$12)+(('Public Lighting Charges'!L471*'Public Lighting Charges'!$M$10)*'Public Lighting Charges'!$M$14)</f>
        <v>43.56531135355452</v>
      </c>
      <c r="D17" s="365">
        <f t="shared" si="0"/>
        <v>60.820338520340499</v>
      </c>
      <c r="E17" s="365">
        <f>'Public Lighting Charges'!O471</f>
        <v>76.843251447170672</v>
      </c>
      <c r="F17" s="365">
        <f>'Public Lighting Charges'!Q471</f>
        <v>79.019784591792913</v>
      </c>
      <c r="G17" s="365">
        <f>'Public Lighting Charges'!T471</f>
        <v>81.890089182479244</v>
      </c>
      <c r="H17" s="365">
        <f>'Public Lighting Charges'!W471</f>
        <v>84.59665158267866</v>
      </c>
      <c r="I17" s="365">
        <f>'Public Lighting Charges'!Z471</f>
        <v>86.940459758384435</v>
      </c>
    </row>
    <row r="18" spans="1:9" x14ac:dyDescent="0.2">
      <c r="A18" t="str">
        <f>'Public Lighting Charges'!A472</f>
        <v>FLU0080-ST-0010-002-B</v>
      </c>
      <c r="B18" s="365">
        <f>'Public Lighting Charges'!J472</f>
        <v>0</v>
      </c>
      <c r="C18" s="365">
        <f>'Public Lighting Charges'!L472*(1+'Public Lighting Charges'!$M$12)+(('Public Lighting Charges'!L472*'Public Lighting Charges'!$M$10)*'Public Lighting Charges'!$M$14)</f>
        <v>43.56531135355452</v>
      </c>
      <c r="D18" s="365">
        <f t="shared" si="0"/>
        <v>43.56531135355452</v>
      </c>
      <c r="E18" s="365">
        <f>'Public Lighting Charges'!O472</f>
        <v>53.421081334446839</v>
      </c>
      <c r="F18" s="365">
        <f>'Public Lighting Charges'!Q472</f>
        <v>56.035448277444999</v>
      </c>
      <c r="G18" s="365">
        <f>'Public Lighting Charges'!T472</f>
        <v>58.336890544351213</v>
      </c>
      <c r="H18" s="365">
        <f>'Public Lighting Charges'!W472</f>
        <v>60.460511278256966</v>
      </c>
      <c r="I18" s="365">
        <f>'Public Lighting Charges'!Z472</f>
        <v>62.206949981428316</v>
      </c>
    </row>
    <row r="19" spans="1:9" x14ac:dyDescent="0.2">
      <c r="A19" t="str">
        <f>'Public Lighting Charges'!A473</f>
        <v>FLU0080-ST-0990-001-B</v>
      </c>
      <c r="B19" s="365">
        <f>'Public Lighting Charges'!J473</f>
        <v>86.253661186307269</v>
      </c>
      <c r="C19" s="365">
        <f>'Public Lighting Charges'!L473*(1+'Public Lighting Charges'!$M$12)+(('Public Lighting Charges'!L473*'Public Lighting Charges'!$M$10)*'Public Lighting Charges'!$M$14)</f>
        <v>53.937945952881279</v>
      </c>
      <c r="D19" s="365">
        <f t="shared" si="0"/>
        <v>140.19160713918853</v>
      </c>
      <c r="E19" s="365">
        <f>'Public Lighting Charges'!O473</f>
        <v>180.09689720325721</v>
      </c>
      <c r="F19" s="365">
        <f>'Public Lighting Charges'!Q473</f>
        <v>180.99216514235019</v>
      </c>
      <c r="G19" s="365">
        <f>'Public Lighting Charges'!T473</f>
        <v>186.55053668785109</v>
      </c>
      <c r="H19" s="365">
        <f>'Public Lighting Charges'!W473</f>
        <v>191.96953017834934</v>
      </c>
      <c r="I19" s="365">
        <f>'Public Lighting Charges'!Z473</f>
        <v>197.01572301618071</v>
      </c>
    </row>
    <row r="20" spans="1:9" x14ac:dyDescent="0.2">
      <c r="A20" t="str">
        <f>'Public Lighting Charges'!A474</f>
        <v>FLU0100-ST-0010-001-B</v>
      </c>
      <c r="B20" s="365">
        <f>'Public Lighting Charges'!J474</f>
        <v>17.255027166785979</v>
      </c>
      <c r="C20" s="365">
        <f>'Public Lighting Charges'!L474*(1+'Public Lighting Charges'!$M$12)+(('Public Lighting Charges'!L474*'Public Lighting Charges'!$M$10)*'Public Lighting Charges'!$M$14)</f>
        <v>27.985801891045245</v>
      </c>
      <c r="D20" s="365">
        <f t="shared" si="0"/>
        <v>45.24082905783122</v>
      </c>
      <c r="E20" s="365">
        <f>'Public Lighting Charges'!O474</f>
        <v>59.794310997077709</v>
      </c>
      <c r="F20" s="365">
        <f>'Public Lighting Charges'!Q474</f>
        <v>61.136488392762168</v>
      </c>
      <c r="G20" s="365">
        <f>'Public Lighting Charges'!T474</f>
        <v>63.272304815525345</v>
      </c>
      <c r="H20" s="365">
        <f>'Public Lighting Charges'!W474</f>
        <v>65.30112946638431</v>
      </c>
      <c r="I20" s="365">
        <f>'Public Lighting Charges'!Z474</f>
        <v>67.087574730177138</v>
      </c>
    </row>
    <row r="21" spans="1:9" x14ac:dyDescent="0.2">
      <c r="A21" t="str">
        <f>'Public Lighting Charges'!A475</f>
        <v>FLU0100-ST-0010-002-B</v>
      </c>
      <c r="B21" s="365">
        <f>'Public Lighting Charges'!J475</f>
        <v>0</v>
      </c>
      <c r="C21" s="365">
        <f>'Public Lighting Charges'!L475*(1+'Public Lighting Charges'!$M$12)+(('Public Lighting Charges'!L475*'Public Lighting Charges'!$M$10)*'Public Lighting Charges'!$M$14)</f>
        <v>27.985801891045245</v>
      </c>
      <c r="D21" s="365">
        <f t="shared" si="0"/>
        <v>27.985801891045245</v>
      </c>
      <c r="E21" s="365">
        <f>'Public Lighting Charges'!O475</f>
        <v>36.372140884353854</v>
      </c>
      <c r="F21" s="365">
        <f>'Public Lighting Charges'!Q475</f>
        <v>38.152152078414254</v>
      </c>
      <c r="G21" s="365">
        <f>'Public Lighting Charges'!T475</f>
        <v>39.719106177397329</v>
      </c>
      <c r="H21" s="365">
        <f>'Public Lighting Charges'!W475</f>
        <v>41.164989161962623</v>
      </c>
      <c r="I21" s="365">
        <f>'Public Lighting Charges'!Z475</f>
        <v>42.354064953221013</v>
      </c>
    </row>
    <row r="22" spans="1:9" x14ac:dyDescent="0.2">
      <c r="A22" t="str">
        <f>'Public Lighting Charges'!A476</f>
        <v>FLU0110-ST-0010-002-B</v>
      </c>
      <c r="B22" s="365">
        <f>'Public Lighting Charges'!J476</f>
        <v>0</v>
      </c>
      <c r="C22" s="365">
        <f>'Public Lighting Charges'!L476*(1+'Public Lighting Charges'!$M$12)+(('Public Lighting Charges'!L476*'Public Lighting Charges'!$M$10)*'Public Lighting Charges'!$M$14)</f>
        <v>33.178971711881665</v>
      </c>
      <c r="D22" s="365">
        <f t="shared" si="0"/>
        <v>33.178971711881665</v>
      </c>
      <c r="E22" s="365">
        <f>'Public Lighting Charges'!O476</f>
        <v>42.055121034384847</v>
      </c>
      <c r="F22" s="365">
        <f>'Public Lighting Charges'!Q476</f>
        <v>44.1132508114245</v>
      </c>
      <c r="G22" s="365">
        <f>'Public Lighting Charges'!T476</f>
        <v>45.925034299715279</v>
      </c>
      <c r="H22" s="365">
        <f>'Public Lighting Charges'!W476</f>
        <v>47.596829867394064</v>
      </c>
      <c r="I22" s="365">
        <f>'Public Lighting Charges'!Z476</f>
        <v>48.971693295956776</v>
      </c>
    </row>
    <row r="23" spans="1:9" x14ac:dyDescent="0.2">
      <c r="A23" t="str">
        <f>'Public Lighting Charges'!A477</f>
        <v>FLU0130-ST-0010-001-B</v>
      </c>
      <c r="B23" s="365">
        <f>'Public Lighting Charges'!J477</f>
        <v>17.255027166785979</v>
      </c>
      <c r="C23" s="365">
        <f>'Public Lighting Charges'!L477*(1+'Public Lighting Charges'!$M$12)+(('Public Lighting Charges'!L477*'Public Lighting Charges'!$M$10)*'Public Lighting Charges'!$M$14)</f>
        <v>27.010735270162279</v>
      </c>
      <c r="D23" s="365">
        <f t="shared" si="0"/>
        <v>44.265762436948258</v>
      </c>
      <c r="E23" s="365">
        <f>'Public Lighting Charges'!O477</f>
        <v>58.590464816601475</v>
      </c>
      <c r="F23" s="365">
        <f>'Public Lighting Charges'!Q477</f>
        <v>59.873727349837019</v>
      </c>
      <c r="G23" s="365">
        <f>'Public Lighting Charges'!T477</f>
        <v>61.957680680102008</v>
      </c>
      <c r="H23" s="365">
        <f>'Public Lighting Charges'!W477</f>
        <v>63.938649453741121</v>
      </c>
      <c r="I23" s="365">
        <f>'Public Lighting Charges'!Z477</f>
        <v>65.685738652292841</v>
      </c>
    </row>
    <row r="24" spans="1:9" x14ac:dyDescent="0.2">
      <c r="A24" t="str">
        <f>'Public Lighting Charges'!A478</f>
        <v>FLU0130-ST-0010-002-B</v>
      </c>
      <c r="B24" s="365">
        <f>'Public Lighting Charges'!J478</f>
        <v>0</v>
      </c>
      <c r="C24" s="365">
        <f>'Public Lighting Charges'!L478*(1+'Public Lighting Charges'!$M$12)+(('Public Lighting Charges'!L478*'Public Lighting Charges'!$M$10)*'Public Lighting Charges'!$M$14)</f>
        <v>27.010735270162279</v>
      </c>
      <c r="D24" s="365">
        <f t="shared" si="0"/>
        <v>27.010735270162279</v>
      </c>
      <c r="E24" s="365">
        <f>'Public Lighting Charges'!O478</f>
        <v>35.168294703877628</v>
      </c>
      <c r="F24" s="365">
        <f>'Public Lighting Charges'!Q478</f>
        <v>36.889391035489098</v>
      </c>
      <c r="G24" s="365">
        <f>'Public Lighting Charges'!T478</f>
        <v>38.404482041973985</v>
      </c>
      <c r="H24" s="365">
        <f>'Public Lighting Charges'!W478</f>
        <v>39.802509149319427</v>
      </c>
      <c r="I24" s="365">
        <f>'Public Lighting Charges'!Z478</f>
        <v>40.952228875336722</v>
      </c>
    </row>
    <row r="25" spans="1:9" x14ac:dyDescent="0.2">
      <c r="A25" t="str">
        <f>'Public Lighting Charges'!A479</f>
        <v>FLU0130-ST-0110-001-B</v>
      </c>
      <c r="B25" s="365">
        <f>'Public Lighting Charges'!J479</f>
        <v>8.1913367400317085</v>
      </c>
      <c r="C25" s="365">
        <f>'Public Lighting Charges'!L479*(1+'Public Lighting Charges'!$M$12)+(('Public Lighting Charges'!L479*'Public Lighting Charges'!$M$10)*'Public Lighting Charges'!$M$14)</f>
        <v>27.010735270162279</v>
      </c>
      <c r="D25" s="365">
        <f t="shared" si="0"/>
        <v>35.202072010193987</v>
      </c>
      <c r="E25" s="365">
        <f>'Public Lighting Charges'!O479</f>
        <v>46.287308352545459</v>
      </c>
      <c r="F25" s="365">
        <f>'Public Lighting Charges'!Q479</f>
        <v>47.800555455987194</v>
      </c>
      <c r="G25" s="365">
        <f>'Public Lighting Charges'!T479</f>
        <v>49.585697781879404</v>
      </c>
      <c r="H25" s="365">
        <f>'Public Lighting Charges'!W479</f>
        <v>51.260459978787502</v>
      </c>
      <c r="I25" s="365">
        <f>'Public Lighting Charges'!Z479</f>
        <v>52.693763987834132</v>
      </c>
    </row>
    <row r="26" spans="1:9" x14ac:dyDescent="0.2">
      <c r="A26" t="str">
        <f>'Public Lighting Charges'!A480</f>
        <v>FLU0130-ST-0110-002-B</v>
      </c>
      <c r="B26" s="365">
        <f>'Public Lighting Charges'!J480</f>
        <v>0</v>
      </c>
      <c r="C26" s="365">
        <f>'Public Lighting Charges'!L480*(1+'Public Lighting Charges'!$M$12)+(('Public Lighting Charges'!L480*'Public Lighting Charges'!$M$10)*'Public Lighting Charges'!$M$14)</f>
        <v>27.010735270162279</v>
      </c>
      <c r="D26" s="365">
        <f t="shared" si="0"/>
        <v>27.010735270162279</v>
      </c>
      <c r="E26" s="365">
        <f>'Public Lighting Charges'!O480</f>
        <v>35.168294703877628</v>
      </c>
      <c r="F26" s="365">
        <f>'Public Lighting Charges'!Q480</f>
        <v>36.889391035489098</v>
      </c>
      <c r="G26" s="365">
        <f>'Public Lighting Charges'!T480</f>
        <v>38.404482041973985</v>
      </c>
      <c r="H26" s="365">
        <f>'Public Lighting Charges'!W480</f>
        <v>39.802509149319427</v>
      </c>
      <c r="I26" s="365">
        <f>'Public Lighting Charges'!Z480</f>
        <v>40.952228875336722</v>
      </c>
    </row>
    <row r="27" spans="1:9" x14ac:dyDescent="0.2">
      <c r="A27" t="str">
        <f>'Public Lighting Charges'!A481</f>
        <v>FLU0130-ST-0740-001-B</v>
      </c>
      <c r="B27" s="365">
        <f>'Public Lighting Charges'!J481</f>
        <v>23.919781035330548</v>
      </c>
      <c r="C27" s="365">
        <f>'Public Lighting Charges'!L481*(1+'Public Lighting Charges'!$M$12)+(('Public Lighting Charges'!L481*'Public Lighting Charges'!$M$10)*'Public Lighting Charges'!$M$14)</f>
        <v>27.010735270162279</v>
      </c>
      <c r="D27" s="365">
        <f t="shared" si="0"/>
        <v>50.93051630549283</v>
      </c>
      <c r="E27" s="365">
        <f>'Public Lighting Charges'!O481</f>
        <v>67.637277514118765</v>
      </c>
      <c r="F27" s="365">
        <f>'Public Lighting Charges'!Q481</f>
        <v>68.751426752237492</v>
      </c>
      <c r="G27" s="365">
        <f>'Public Lighting Charges'!T481</f>
        <v>71.0551031427119</v>
      </c>
      <c r="H27" s="365">
        <f>'Public Lighting Charges'!W481</f>
        <v>73.261233122300595</v>
      </c>
      <c r="I27" s="365">
        <f>'Public Lighting Charges'!Z481</f>
        <v>75.239056266649172</v>
      </c>
    </row>
    <row r="28" spans="1:9" x14ac:dyDescent="0.2">
      <c r="A28" t="str">
        <f>'Public Lighting Charges'!A482</f>
        <v>FLU0130-ST-0740-002-B</v>
      </c>
      <c r="B28" s="365">
        <f>'Public Lighting Charges'!J482</f>
        <v>0</v>
      </c>
      <c r="C28" s="365">
        <f>'Public Lighting Charges'!L482*(1+'Public Lighting Charges'!$M$12)+(('Public Lighting Charges'!L482*'Public Lighting Charges'!$M$10)*'Public Lighting Charges'!$M$14)</f>
        <v>27.010735270162279</v>
      </c>
      <c r="D28" s="365">
        <f t="shared" si="0"/>
        <v>27.010735270162279</v>
      </c>
      <c r="E28" s="365">
        <f>'Public Lighting Charges'!O482</f>
        <v>35.168294703877628</v>
      </c>
      <c r="F28" s="365">
        <f>'Public Lighting Charges'!Q482</f>
        <v>36.889391035489098</v>
      </c>
      <c r="G28" s="365">
        <f>'Public Lighting Charges'!T482</f>
        <v>38.404482041973985</v>
      </c>
      <c r="H28" s="365">
        <f>'Public Lighting Charges'!W482</f>
        <v>39.802509149319427</v>
      </c>
      <c r="I28" s="365">
        <f>'Public Lighting Charges'!Z482</f>
        <v>40.952228875336722</v>
      </c>
    </row>
    <row r="29" spans="1:9" x14ac:dyDescent="0.2">
      <c r="A29" t="str">
        <f>'Public Lighting Charges'!A483</f>
        <v>FLU0130-ST-0810-001-B</v>
      </c>
      <c r="B29" s="365">
        <f>'Public Lighting Charges'!J483</f>
        <v>51.156145528662286</v>
      </c>
      <c r="C29" s="365">
        <f>'Public Lighting Charges'!L483*(1+'Public Lighting Charges'!$M$12)+(('Public Lighting Charges'!L483*'Public Lighting Charges'!$M$10)*'Public Lighting Charges'!$M$14)</f>
        <v>38.185140069489037</v>
      </c>
      <c r="D29" s="365">
        <f t="shared" si="0"/>
        <v>89.34128559815133</v>
      </c>
      <c r="E29" s="365">
        <f>'Public Lighting Charges'!O483</f>
        <v>115.00442850423762</v>
      </c>
      <c r="F29" s="365">
        <f>'Public Lighting Charges'!Q483</f>
        <v>115.9362529531769</v>
      </c>
      <c r="G29" s="365">
        <f>'Public Lighting Charges'!T483</f>
        <v>119.58573596084858</v>
      </c>
      <c r="H29" s="365">
        <f>'Public Lighting Charges'!W483</f>
        <v>123.12529063829359</v>
      </c>
      <c r="I29" s="365">
        <f>'Public Lighting Charges'!Z483</f>
        <v>126.38590933635686</v>
      </c>
    </row>
    <row r="30" spans="1:9" x14ac:dyDescent="0.2">
      <c r="A30" t="str">
        <f>'Public Lighting Charges'!A484</f>
        <v>FLU0130-ST-0810-002-B</v>
      </c>
      <c r="B30" s="365">
        <f>'Public Lighting Charges'!J484</f>
        <v>0</v>
      </c>
      <c r="C30" s="365">
        <f>'Public Lighting Charges'!L484*(1+'Public Lighting Charges'!$M$12)+(('Public Lighting Charges'!L484*'Public Lighting Charges'!$M$10)*'Public Lighting Charges'!$M$14)</f>
        <v>38.185140069489037</v>
      </c>
      <c r="D30" s="365">
        <f t="shared" si="0"/>
        <v>38.185140069489037</v>
      </c>
      <c r="E30" s="365">
        <f>'Public Lighting Charges'!O484</f>
        <v>45.564494779301789</v>
      </c>
      <c r="F30" s="365">
        <f>'Public Lighting Charges'!Q484</f>
        <v>47.794369314780475</v>
      </c>
      <c r="G30" s="365">
        <f>'Public Lighting Charges'!T484</f>
        <v>49.757340702401834</v>
      </c>
      <c r="H30" s="365">
        <f>'Public Lighting Charges'!W484</f>
        <v>51.568642597200295</v>
      </c>
      <c r="I30" s="365">
        <f>'Public Lighting Charges'!Z484</f>
        <v>53.058234256246507</v>
      </c>
    </row>
    <row r="31" spans="1:9" x14ac:dyDescent="0.2">
      <c r="A31" t="str">
        <f>'Public Lighting Charges'!A485</f>
        <v>FLU0130-ST-0820-002-B</v>
      </c>
      <c r="B31" s="365">
        <f>'Public Lighting Charges'!J485</f>
        <v>0</v>
      </c>
      <c r="C31" s="365">
        <f>'Public Lighting Charges'!L485*(1+'Public Lighting Charges'!$M$12)+(('Public Lighting Charges'!L485*'Public Lighting Charges'!$M$10)*'Public Lighting Charges'!$M$14)</f>
        <v>27.010735270162279</v>
      </c>
      <c r="D31" s="365">
        <f t="shared" si="0"/>
        <v>27.010735270162279</v>
      </c>
      <c r="E31" s="365">
        <f>'Public Lighting Charges'!O485</f>
        <v>35.168294703877628</v>
      </c>
      <c r="F31" s="365">
        <f>'Public Lighting Charges'!Q485</f>
        <v>36.889391035489098</v>
      </c>
      <c r="G31" s="365">
        <f>'Public Lighting Charges'!T485</f>
        <v>38.404482041973985</v>
      </c>
      <c r="H31" s="365">
        <f>'Public Lighting Charges'!W485</f>
        <v>39.802509149319427</v>
      </c>
      <c r="I31" s="365">
        <f>'Public Lighting Charges'!Z485</f>
        <v>40.952228875336722</v>
      </c>
    </row>
    <row r="32" spans="1:9" x14ac:dyDescent="0.2">
      <c r="A32" t="str">
        <f>'Public Lighting Charges'!A486</f>
        <v>FLU0130-ST-0990-001-B</v>
      </c>
      <c r="B32" s="365">
        <f>'Public Lighting Charges'!J486</f>
        <v>86.253661186307269</v>
      </c>
      <c r="C32" s="365">
        <f>'Public Lighting Charges'!L486*(1+'Public Lighting Charges'!$M$12)+(('Public Lighting Charges'!L486*'Public Lighting Charges'!$M$10)*'Public Lighting Charges'!$M$14)</f>
        <v>37.383369869489044</v>
      </c>
      <c r="D32" s="365">
        <f t="shared" si="0"/>
        <v>123.63703105579631</v>
      </c>
      <c r="E32" s="365">
        <f>'Public Lighting Charges'!O486</f>
        <v>161.84411057268801</v>
      </c>
      <c r="F32" s="365">
        <f>'Public Lighting Charges'!Q486</f>
        <v>161.84610790039429</v>
      </c>
      <c r="G32" s="365">
        <f>'Public Lighting Charges'!T486</f>
        <v>166.61812818547386</v>
      </c>
      <c r="H32" s="365">
        <f>'Public Lighting Charges'!W486</f>
        <v>171.31152804941181</v>
      </c>
      <c r="I32" s="365">
        <f>'Public Lighting Charges'!Z486</f>
        <v>175.76100191008913</v>
      </c>
    </row>
    <row r="33" spans="1:9" x14ac:dyDescent="0.2">
      <c r="A33" t="str">
        <f>'Public Lighting Charges'!A487</f>
        <v>FLU0130-ST-0990-002-B</v>
      </c>
      <c r="B33" s="365">
        <f>'Public Lighting Charges'!J487</f>
        <v>0</v>
      </c>
      <c r="C33" s="365">
        <f>'Public Lighting Charges'!L487*(1+'Public Lighting Charges'!$M$12)+(('Public Lighting Charges'!L487*'Public Lighting Charges'!$M$10)*'Public Lighting Charges'!$M$14)</f>
        <v>37.383369869489044</v>
      </c>
      <c r="D33" s="365">
        <f t="shared" si="0"/>
        <v>37.383369869489044</v>
      </c>
      <c r="E33" s="365">
        <f>'Public Lighting Charges'!O487</f>
        <v>44.762409939976784</v>
      </c>
      <c r="F33" s="365">
        <f>'Public Lighting Charges'!Q487</f>
        <v>46.953031355956014</v>
      </c>
      <c r="G33" s="365">
        <f>'Public Lighting Charges'!T487</f>
        <v>48.881447996560738</v>
      </c>
      <c r="H33" s="365">
        <f>'Public Lighting Charges'!W487</f>
        <v>50.660865025823085</v>
      </c>
      <c r="I33" s="365">
        <f>'Public Lighting Charges'!Z487</f>
        <v>52.124234976666614</v>
      </c>
    </row>
    <row r="34" spans="1:9" x14ac:dyDescent="0.2">
      <c r="A34" t="str">
        <f>'Public Lighting Charges'!A488</f>
        <v>FLU0140-ST-0010-001-B</v>
      </c>
      <c r="B34" s="365">
        <f>'Public Lighting Charges'!J488</f>
        <v>17.255027166785979</v>
      </c>
      <c r="C34" s="365">
        <f>'Public Lighting Charges'!L488*(1+'Public Lighting Charges'!$M$12)+(('Public Lighting Charges'!L488*'Public Lighting Charges'!$M$10)*'Public Lighting Charges'!$M$14)</f>
        <v>31.229344418199805</v>
      </c>
      <c r="D34" s="365">
        <f t="shared" si="0"/>
        <v>48.48437158498578</v>
      </c>
      <c r="E34" s="365">
        <f>'Public Lighting Charges'!O488</f>
        <v>63.071859707067993</v>
      </c>
      <c r="F34" s="365">
        <f>'Public Lighting Charges'!Q488</f>
        <v>64.57443660773103</v>
      </c>
      <c r="G34" s="365">
        <f>'Public Lighting Charges'!T488</f>
        <v>66.851453637905948</v>
      </c>
      <c r="H34" s="365">
        <f>'Public Lighting Charges'!W488</f>
        <v>69.010568994663316</v>
      </c>
      <c r="I34" s="365">
        <f>'Public Lighting Charges'!Z488</f>
        <v>70.904163679165549</v>
      </c>
    </row>
    <row r="35" spans="1:9" x14ac:dyDescent="0.2">
      <c r="A35" t="str">
        <f>'Public Lighting Charges'!A489</f>
        <v>FLU0140-ST-0010-002-B</v>
      </c>
      <c r="B35" s="365">
        <f>'Public Lighting Charges'!J489</f>
        <v>0</v>
      </c>
      <c r="C35" s="365">
        <f>'Public Lighting Charges'!L489*(1+'Public Lighting Charges'!$M$12)+(('Public Lighting Charges'!L489*'Public Lighting Charges'!$M$10)*'Public Lighting Charges'!$M$14)</f>
        <v>31.229344418199805</v>
      </c>
      <c r="D35" s="365">
        <f t="shared" si="0"/>
        <v>31.229344418199805</v>
      </c>
      <c r="E35" s="365">
        <f>'Public Lighting Charges'!O489</f>
        <v>39.649689594344146</v>
      </c>
      <c r="F35" s="365">
        <f>'Public Lighting Charges'!Q489</f>
        <v>41.590100293383117</v>
      </c>
      <c r="G35" s="365">
        <f>'Public Lighting Charges'!T489</f>
        <v>43.298254999777917</v>
      </c>
      <c r="H35" s="365">
        <f>'Public Lighting Charges'!W489</f>
        <v>44.874428690241622</v>
      </c>
      <c r="I35" s="365">
        <f>'Public Lighting Charges'!Z489</f>
        <v>46.170653902209423</v>
      </c>
    </row>
    <row r="36" spans="1:9" x14ac:dyDescent="0.2">
      <c r="A36" t="str">
        <f>'Public Lighting Charges'!A490</f>
        <v>FLU0140-ST-0990-001-B</v>
      </c>
      <c r="B36" s="365">
        <f>'Public Lighting Charges'!J490</f>
        <v>86.253661186307269</v>
      </c>
      <c r="C36" s="365">
        <f>'Public Lighting Charges'!L490*(1+'Public Lighting Charges'!$M$12)+(('Public Lighting Charges'!L490*'Public Lighting Charges'!$M$10)*'Public Lighting Charges'!$M$14)</f>
        <v>41.60197901752656</v>
      </c>
      <c r="D36" s="365">
        <f t="shared" si="0"/>
        <v>127.85564020383383</v>
      </c>
      <c r="E36" s="365">
        <f>'Public Lighting Charges'!O490</f>
        <v>166.32550546315457</v>
      </c>
      <c r="F36" s="365">
        <f>'Public Lighting Charges'!Q490</f>
        <v>166.54681715828829</v>
      </c>
      <c r="G36" s="365">
        <f>'Public Lighting Charges'!T490</f>
        <v>171.51190114327778</v>
      </c>
      <c r="H36" s="365">
        <f>'Public Lighting Charges'!W490</f>
        <v>176.38344759033399</v>
      </c>
      <c r="I36" s="365">
        <f>'Public Lighting Charges'!Z490</f>
        <v>180.97942693696183</v>
      </c>
    </row>
    <row r="37" spans="1:9" x14ac:dyDescent="0.2">
      <c r="A37" t="str">
        <f>'Public Lighting Charges'!A491</f>
        <v>FLU0150-ST-0010-001-B</v>
      </c>
      <c r="B37" s="365">
        <f>'Public Lighting Charges'!J491</f>
        <v>17.255027166785979</v>
      </c>
      <c r="C37" s="365">
        <f>'Public Lighting Charges'!L491*(1+'Public Lighting Charges'!$M$12)+(('Public Lighting Charges'!L491*'Public Lighting Charges'!$M$10)*'Public Lighting Charges'!$M$14)</f>
        <v>35.447953566237324</v>
      </c>
      <c r="D37" s="365">
        <f t="shared" si="0"/>
        <v>52.702980733023303</v>
      </c>
      <c r="E37" s="365">
        <f>'Public Lighting Charges'!O491</f>
        <v>67.553254597534519</v>
      </c>
      <c r="F37" s="365">
        <f>'Public Lighting Charges'!Q491</f>
        <v>69.275145865625035</v>
      </c>
      <c r="G37" s="365">
        <f>'Public Lighting Charges'!T491</f>
        <v>71.745226595709866</v>
      </c>
      <c r="H37" s="365">
        <f>'Public Lighting Charges'!W491</f>
        <v>74.082488535585497</v>
      </c>
      <c r="I37" s="365">
        <f>'Public Lighting Charges'!Z491</f>
        <v>76.122588706038243</v>
      </c>
    </row>
    <row r="38" spans="1:9" x14ac:dyDescent="0.2">
      <c r="A38" t="str">
        <f>'Public Lighting Charges'!A492</f>
        <v>FLU0150-ST-0010-002-B</v>
      </c>
      <c r="B38" s="365">
        <f>'Public Lighting Charges'!J492</f>
        <v>0</v>
      </c>
      <c r="C38" s="365">
        <f>'Public Lighting Charges'!L492*(1+'Public Lighting Charges'!$M$12)+(('Public Lighting Charges'!L492*'Public Lighting Charges'!$M$10)*'Public Lighting Charges'!$M$14)</f>
        <v>35.447953566237324</v>
      </c>
      <c r="D38" s="365">
        <f t="shared" si="0"/>
        <v>35.447953566237324</v>
      </c>
      <c r="E38" s="365">
        <f>'Public Lighting Charges'!O492</f>
        <v>44.131084484810671</v>
      </c>
      <c r="F38" s="365">
        <f>'Public Lighting Charges'!Q492</f>
        <v>46.290809551277128</v>
      </c>
      <c r="G38" s="365">
        <f>'Public Lighting Charges'!T492</f>
        <v>48.192027957581857</v>
      </c>
      <c r="H38" s="365">
        <f>'Public Lighting Charges'!W492</f>
        <v>49.946348231163803</v>
      </c>
      <c r="I38" s="365">
        <f>'Public Lighting Charges'!Z492</f>
        <v>51.389078929082125</v>
      </c>
    </row>
    <row r="39" spans="1:9" x14ac:dyDescent="0.2">
      <c r="A39" t="str">
        <f>'Public Lighting Charges'!A493</f>
        <v>FLU0150-ST-0810-002-B</v>
      </c>
      <c r="B39" s="365">
        <f>'Public Lighting Charges'!J493</f>
        <v>0</v>
      </c>
      <c r="C39" s="365">
        <f>'Public Lighting Charges'!L493*(1+'Public Lighting Charges'!$M$12)+(('Public Lighting Charges'!L493*'Public Lighting Charges'!$M$10)*'Public Lighting Charges'!$M$14)</f>
        <v>46.622358365564082</v>
      </c>
      <c r="D39" s="365">
        <f t="shared" si="0"/>
        <v>46.622358365564082</v>
      </c>
      <c r="E39" s="365">
        <f>'Public Lighting Charges'!O493</f>
        <v>54.52728456023484</v>
      </c>
      <c r="F39" s="365">
        <f>'Public Lighting Charges'!Q493</f>
        <v>57.195787830568499</v>
      </c>
      <c r="G39" s="365">
        <f>'Public Lighting Charges'!T493</f>
        <v>59.544886618009706</v>
      </c>
      <c r="H39" s="365">
        <f>'Public Lighting Charges'!W493</f>
        <v>61.712481679044664</v>
      </c>
      <c r="I39" s="365">
        <f>'Public Lighting Charges'!Z493</f>
        <v>63.49508430999191</v>
      </c>
    </row>
    <row r="40" spans="1:9" x14ac:dyDescent="0.2">
      <c r="A40" t="str">
        <f>'Public Lighting Charges'!A494</f>
        <v>FLU0160-ST-0010-001-B</v>
      </c>
      <c r="B40" s="365">
        <f>'Public Lighting Charges'!J494</f>
        <v>17.255027166785979</v>
      </c>
      <c r="C40" s="365">
        <f>'Public Lighting Charges'!L494*(1+'Public Lighting Charges'!$M$12)+(('Public Lighting Charges'!L494*'Public Lighting Charges'!$M$10)*'Public Lighting Charges'!$M$14)</f>
        <v>39.666562714274839</v>
      </c>
      <c r="D40" s="365">
        <f t="shared" si="0"/>
        <v>56.921589881060818</v>
      </c>
      <c r="E40" s="365">
        <f>'Public Lighting Charges'!O494</f>
        <v>72.034649488001037</v>
      </c>
      <c r="F40" s="365">
        <f>'Public Lighting Charges'!Q494</f>
        <v>73.975855123519054</v>
      </c>
      <c r="G40" s="365">
        <f>'Public Lighting Charges'!T494</f>
        <v>76.638999553513813</v>
      </c>
      <c r="H40" s="365">
        <f>'Public Lighting Charges'!W494</f>
        <v>79.154408076507693</v>
      </c>
      <c r="I40" s="365">
        <f>'Public Lighting Charges'!Z494</f>
        <v>81.341013732910952</v>
      </c>
    </row>
    <row r="41" spans="1:9" x14ac:dyDescent="0.2">
      <c r="A41" t="str">
        <f>'Public Lighting Charges'!A495</f>
        <v>FLU0160-ST-0010-002-B</v>
      </c>
      <c r="B41" s="365">
        <f>'Public Lighting Charges'!J495</f>
        <v>0</v>
      </c>
      <c r="C41" s="365">
        <f>'Public Lighting Charges'!L495*(1+'Public Lighting Charges'!$M$12)+(('Public Lighting Charges'!L495*'Public Lighting Charges'!$M$10)*'Public Lighting Charges'!$M$14)</f>
        <v>39.666562714274839</v>
      </c>
      <c r="D41" s="365">
        <f t="shared" si="0"/>
        <v>39.666562714274839</v>
      </c>
      <c r="E41" s="365">
        <f>'Public Lighting Charges'!O495</f>
        <v>48.612479375277196</v>
      </c>
      <c r="F41" s="365">
        <f>'Public Lighting Charges'!Q495</f>
        <v>50.99151880917114</v>
      </c>
      <c r="G41" s="365">
        <f>'Public Lighting Charges'!T495</f>
        <v>53.085800915385782</v>
      </c>
      <c r="H41" s="365">
        <f>'Public Lighting Charges'!W495</f>
        <v>55.018267772085999</v>
      </c>
      <c r="I41" s="365">
        <f>'Public Lighting Charges'!Z495</f>
        <v>56.607503955954833</v>
      </c>
    </row>
    <row r="42" spans="1:9" x14ac:dyDescent="0.2">
      <c r="A42" t="str">
        <f>'Public Lighting Charges'!A496</f>
        <v>FLU0160-ST-0810-002-B</v>
      </c>
      <c r="B42" s="365">
        <f>'Public Lighting Charges'!J496</f>
        <v>0</v>
      </c>
      <c r="C42" s="365">
        <f>'Public Lighting Charges'!L496*(1+'Public Lighting Charges'!$M$12)+(('Public Lighting Charges'!L496*'Public Lighting Charges'!$M$10)*'Public Lighting Charges'!$M$14)</f>
        <v>50.840967513601598</v>
      </c>
      <c r="D42" s="365">
        <f t="shared" si="0"/>
        <v>50.840967513601598</v>
      </c>
      <c r="E42" s="365">
        <f>'Public Lighting Charges'!O496</f>
        <v>59.008679450701365</v>
      </c>
      <c r="F42" s="365">
        <f>'Public Lighting Charges'!Q496</f>
        <v>61.89649708846251</v>
      </c>
      <c r="G42" s="365">
        <f>'Public Lighting Charges'!T496</f>
        <v>64.438659575813631</v>
      </c>
      <c r="H42" s="365">
        <f>'Public Lighting Charges'!W496</f>
        <v>66.784401219966853</v>
      </c>
      <c r="I42" s="365">
        <f>'Public Lighting Charges'!Z496</f>
        <v>68.713509336864604</v>
      </c>
    </row>
    <row r="43" spans="1:9" x14ac:dyDescent="0.2">
      <c r="A43" t="str">
        <f>'Public Lighting Charges'!A497</f>
        <v>FLU0160-ST-0990-001-B</v>
      </c>
      <c r="B43" s="365">
        <f>'Public Lighting Charges'!J497</f>
        <v>86.253661186307269</v>
      </c>
      <c r="C43" s="365">
        <f>'Public Lighting Charges'!L497*(1+'Public Lighting Charges'!$M$12)+(('Public Lighting Charges'!L497*'Public Lighting Charges'!$M$10)*'Public Lighting Charges'!$M$14)</f>
        <v>50.039197313601598</v>
      </c>
      <c r="D43" s="365">
        <f t="shared" si="0"/>
        <v>136.29285849990887</v>
      </c>
      <c r="E43" s="365">
        <f>'Public Lighting Charges'!O497</f>
        <v>175.28829524408758</v>
      </c>
      <c r="F43" s="365">
        <f>'Public Lighting Charges'!Q497</f>
        <v>175.94823567407633</v>
      </c>
      <c r="G43" s="365">
        <f>'Public Lighting Charges'!T497</f>
        <v>181.29944705888565</v>
      </c>
      <c r="H43" s="365">
        <f>'Public Lighting Charges'!W497</f>
        <v>186.52728667217841</v>
      </c>
      <c r="I43" s="365">
        <f>'Public Lighting Charges'!Z497</f>
        <v>191.41627699070725</v>
      </c>
    </row>
    <row r="44" spans="1:9" x14ac:dyDescent="0.2">
      <c r="A44" t="str">
        <f>'Public Lighting Charges'!A498</f>
        <v>FLU0160-ST-0990-002-B</v>
      </c>
      <c r="B44" s="365">
        <f>'Public Lighting Charges'!J498</f>
        <v>0</v>
      </c>
      <c r="C44" s="365">
        <f>'Public Lighting Charges'!L498*(1+'Public Lighting Charges'!$M$12)+(('Public Lighting Charges'!L498*'Public Lighting Charges'!$M$10)*'Public Lighting Charges'!$M$14)</f>
        <v>50.039197313601598</v>
      </c>
      <c r="D44" s="365">
        <f t="shared" si="0"/>
        <v>50.039197313601598</v>
      </c>
      <c r="E44" s="365">
        <f>'Public Lighting Charges'!O498</f>
        <v>58.20659461137636</v>
      </c>
      <c r="F44" s="365">
        <f>'Public Lighting Charges'!Q498</f>
        <v>61.055159129638056</v>
      </c>
      <c r="G44" s="365">
        <f>'Public Lighting Charges'!T498</f>
        <v>63.562766869972535</v>
      </c>
      <c r="H44" s="365">
        <f>'Public Lighting Charges'!W498</f>
        <v>65.876623648589657</v>
      </c>
      <c r="I44" s="365">
        <f>'Public Lighting Charges'!Z498</f>
        <v>67.77951005728471</v>
      </c>
    </row>
    <row r="45" spans="1:9" x14ac:dyDescent="0.2">
      <c r="A45" t="str">
        <f>'Public Lighting Charges'!A499</f>
        <v>FLU0170-ST-0010-002-B</v>
      </c>
      <c r="B45" s="365">
        <f>'Public Lighting Charges'!J499</f>
        <v>0</v>
      </c>
      <c r="C45" s="365">
        <f>'Public Lighting Charges'!L499*(1+'Public Lighting Charges'!$M$12)+(('Public Lighting Charges'!L499*'Public Lighting Charges'!$M$10)*'Public Lighting Charges'!$M$14)</f>
        <v>48.103781010349891</v>
      </c>
      <c r="D45" s="365">
        <f t="shared" si="0"/>
        <v>48.103781010349891</v>
      </c>
      <c r="E45" s="365">
        <f>'Public Lighting Charges'!O499</f>
        <v>57.575269156210247</v>
      </c>
      <c r="F45" s="365">
        <f>'Public Lighting Charges'!Q499</f>
        <v>60.392937324959163</v>
      </c>
      <c r="G45" s="365">
        <f>'Public Lighting Charges'!T499</f>
        <v>62.873346830993654</v>
      </c>
      <c r="H45" s="365">
        <f>'Public Lighting Charges'!W499</f>
        <v>65.162106853930368</v>
      </c>
      <c r="I45" s="365">
        <f>'Public Lighting Charges'!Z499</f>
        <v>67.044354009700228</v>
      </c>
    </row>
    <row r="46" spans="1:9" x14ac:dyDescent="0.2">
      <c r="A46" t="str">
        <f>'Public Lighting Charges'!A500</f>
        <v>FLU0180-ST-0010-001-B</v>
      </c>
      <c r="B46" s="365">
        <f>'Public Lighting Charges'!J500</f>
        <v>17.255027166785979</v>
      </c>
      <c r="C46" s="365">
        <f>'Public Lighting Charges'!L500*(1+'Public Lighting Charges'!$M$12)+(('Public Lighting Charges'!L500*'Public Lighting Charges'!$M$10)*'Public Lighting Charges'!$M$14)</f>
        <v>27.010735270162279</v>
      </c>
      <c r="D46" s="365">
        <f t="shared" si="0"/>
        <v>44.265762436948258</v>
      </c>
      <c r="E46" s="365">
        <f>'Public Lighting Charges'!O500</f>
        <v>58.590464816601475</v>
      </c>
      <c r="F46" s="365">
        <f>'Public Lighting Charges'!Q500</f>
        <v>59.873727349837019</v>
      </c>
      <c r="G46" s="365">
        <f>'Public Lighting Charges'!T500</f>
        <v>61.957680680102008</v>
      </c>
      <c r="H46" s="365">
        <f>'Public Lighting Charges'!W500</f>
        <v>63.938649453741121</v>
      </c>
      <c r="I46" s="365">
        <f>'Public Lighting Charges'!Z500</f>
        <v>65.685738652292841</v>
      </c>
    </row>
    <row r="47" spans="1:9" x14ac:dyDescent="0.2">
      <c r="A47" t="str">
        <f>'Public Lighting Charges'!A501</f>
        <v>FLU0190-ST-0010-001-B</v>
      </c>
      <c r="B47" s="365">
        <f>'Public Lighting Charges'!J501</f>
        <v>17.255027166785979</v>
      </c>
      <c r="C47" s="365">
        <f>'Public Lighting Charges'!L501*(1+'Public Lighting Charges'!$M$12)+(('Public Lighting Charges'!L501*'Public Lighting Charges'!$M$10)*'Public Lighting Charges'!$M$14)</f>
        <v>31.229344418199805</v>
      </c>
      <c r="D47" s="365">
        <f t="shared" si="0"/>
        <v>48.48437158498578</v>
      </c>
      <c r="E47" s="365">
        <f>'Public Lighting Charges'!O501</f>
        <v>63.071859707067993</v>
      </c>
      <c r="F47" s="365">
        <f>'Public Lighting Charges'!Q501</f>
        <v>64.57443660773103</v>
      </c>
      <c r="G47" s="365">
        <f>'Public Lighting Charges'!T501</f>
        <v>66.851453637905948</v>
      </c>
      <c r="H47" s="365">
        <f>'Public Lighting Charges'!W501</f>
        <v>69.010568994663316</v>
      </c>
      <c r="I47" s="365">
        <f>'Public Lighting Charges'!Z501</f>
        <v>70.904163679165549</v>
      </c>
    </row>
    <row r="48" spans="1:9" x14ac:dyDescent="0.2">
      <c r="A48" t="str">
        <f>'Public Lighting Charges'!A502</f>
        <v>FLU0190-ST-0010-002-B</v>
      </c>
      <c r="B48" s="365">
        <f>'Public Lighting Charges'!J502</f>
        <v>0</v>
      </c>
      <c r="C48" s="365">
        <f>'Public Lighting Charges'!L502*(1+'Public Lighting Charges'!$M$12)+(('Public Lighting Charges'!L502*'Public Lighting Charges'!$M$10)*'Public Lighting Charges'!$M$14)</f>
        <v>31.229344418199805</v>
      </c>
      <c r="D48" s="365">
        <f t="shared" si="0"/>
        <v>31.229344418199805</v>
      </c>
      <c r="E48" s="365">
        <f>'Public Lighting Charges'!O502</f>
        <v>39.649689594344146</v>
      </c>
      <c r="F48" s="365">
        <f>'Public Lighting Charges'!Q502</f>
        <v>41.590100293383117</v>
      </c>
      <c r="G48" s="365">
        <f>'Public Lighting Charges'!T502</f>
        <v>43.298254999777917</v>
      </c>
      <c r="H48" s="365">
        <f>'Public Lighting Charges'!W502</f>
        <v>44.874428690241622</v>
      </c>
      <c r="I48" s="365">
        <f>'Public Lighting Charges'!Z502</f>
        <v>46.170653902209423</v>
      </c>
    </row>
    <row r="49" spans="1:9" x14ac:dyDescent="0.2">
      <c r="A49" t="str">
        <f>'Public Lighting Charges'!A503</f>
        <v>FLU0200-ST-0010-002-B</v>
      </c>
      <c r="B49" s="365">
        <f>'Public Lighting Charges'!J503</f>
        <v>0</v>
      </c>
      <c r="C49" s="365">
        <f>'Public Lighting Charges'!L503*(1+'Public Lighting Charges'!$M$12)+(('Public Lighting Charges'!L503*'Public Lighting Charges'!$M$10)*'Public Lighting Charges'!$M$14)</f>
        <v>39.666562714274839</v>
      </c>
      <c r="D49" s="365">
        <f t="shared" si="0"/>
        <v>39.666562714274839</v>
      </c>
      <c r="E49" s="365">
        <f>'Public Lighting Charges'!O503</f>
        <v>48.612479375277196</v>
      </c>
      <c r="F49" s="365">
        <f>'Public Lighting Charges'!Q503</f>
        <v>50.99151880917114</v>
      </c>
      <c r="G49" s="365">
        <f>'Public Lighting Charges'!T503</f>
        <v>53.085800915385782</v>
      </c>
      <c r="H49" s="365">
        <f>'Public Lighting Charges'!W503</f>
        <v>55.018267772085999</v>
      </c>
      <c r="I49" s="365">
        <f>'Public Lighting Charges'!Z503</f>
        <v>56.607503955954833</v>
      </c>
    </row>
    <row r="50" spans="1:9" x14ac:dyDescent="0.2">
      <c r="A50" t="str">
        <f>'Public Lighting Charges'!A504</f>
        <v>FLU0240-ST-0010-001-B</v>
      </c>
      <c r="B50" s="365">
        <f>'Public Lighting Charges'!J504</f>
        <v>17.255027166785979</v>
      </c>
      <c r="C50" s="365">
        <f>'Public Lighting Charges'!L504*(1+'Public Lighting Charges'!$M$12)+(('Public Lighting Charges'!L504*'Public Lighting Charges'!$M$10)*'Public Lighting Charges'!$M$14)</f>
        <v>27.010735270162279</v>
      </c>
      <c r="D50" s="365">
        <f t="shared" si="0"/>
        <v>44.265762436948258</v>
      </c>
      <c r="E50" s="365">
        <f>'Public Lighting Charges'!O504</f>
        <v>58.590464816601475</v>
      </c>
      <c r="F50" s="365">
        <f>'Public Lighting Charges'!Q504</f>
        <v>59.873727349837019</v>
      </c>
      <c r="G50" s="365">
        <f>'Public Lighting Charges'!T504</f>
        <v>61.957680680102008</v>
      </c>
      <c r="H50" s="365">
        <f>'Public Lighting Charges'!W504</f>
        <v>63.938649453741121</v>
      </c>
      <c r="I50" s="365">
        <f>'Public Lighting Charges'!Z504</f>
        <v>65.685738652292841</v>
      </c>
    </row>
    <row r="51" spans="1:9" x14ac:dyDescent="0.2">
      <c r="A51" t="str">
        <f>'Public Lighting Charges'!A505</f>
        <v>FLU0240-ST-0010-002-B</v>
      </c>
      <c r="B51" s="365">
        <f>'Public Lighting Charges'!J505</f>
        <v>0</v>
      </c>
      <c r="C51" s="365">
        <f>'Public Lighting Charges'!L505*(1+'Public Lighting Charges'!$M$12)+(('Public Lighting Charges'!L505*'Public Lighting Charges'!$M$10)*'Public Lighting Charges'!$M$14)</f>
        <v>27.010735270162279</v>
      </c>
      <c r="D51" s="365">
        <f t="shared" si="0"/>
        <v>27.010735270162279</v>
      </c>
      <c r="E51" s="365">
        <f>'Public Lighting Charges'!O505</f>
        <v>35.168294703877628</v>
      </c>
      <c r="F51" s="365">
        <f>'Public Lighting Charges'!Q505</f>
        <v>36.889391035489098</v>
      </c>
      <c r="G51" s="365">
        <f>'Public Lighting Charges'!T505</f>
        <v>38.404482041973985</v>
      </c>
      <c r="H51" s="365">
        <f>'Public Lighting Charges'!W505</f>
        <v>39.802509149319427</v>
      </c>
      <c r="I51" s="365">
        <f>'Public Lighting Charges'!Z505</f>
        <v>40.952228875336722</v>
      </c>
    </row>
    <row r="52" spans="1:9" x14ac:dyDescent="0.2">
      <c r="A52" t="str">
        <f>'Public Lighting Charges'!A506</f>
        <v>FLU0240-ST-0990-001-B</v>
      </c>
      <c r="B52" s="365">
        <f>'Public Lighting Charges'!J506</f>
        <v>86.253661186307269</v>
      </c>
      <c r="C52" s="365">
        <f>'Public Lighting Charges'!L506*(1+'Public Lighting Charges'!$M$12)+(('Public Lighting Charges'!L506*'Public Lighting Charges'!$M$10)*'Public Lighting Charges'!$M$14)</f>
        <v>37.383369869489044</v>
      </c>
      <c r="D52" s="365">
        <f t="shared" si="0"/>
        <v>123.63703105579631</v>
      </c>
      <c r="E52" s="365">
        <f>'Public Lighting Charges'!O506</f>
        <v>161.84411057268801</v>
      </c>
      <c r="F52" s="365">
        <f>'Public Lighting Charges'!Q506</f>
        <v>161.84610790039429</v>
      </c>
      <c r="G52" s="365">
        <f>'Public Lighting Charges'!T506</f>
        <v>166.61812818547386</v>
      </c>
      <c r="H52" s="365">
        <f>'Public Lighting Charges'!W506</f>
        <v>171.31152804941181</v>
      </c>
      <c r="I52" s="365">
        <f>'Public Lighting Charges'!Z506</f>
        <v>175.76100191008913</v>
      </c>
    </row>
    <row r="53" spans="1:9" x14ac:dyDescent="0.2">
      <c r="A53" t="str">
        <f>'Public Lighting Charges'!A507</f>
        <v>FLU0240-ST-0990-002-B</v>
      </c>
      <c r="B53" s="365">
        <f>'Public Lighting Charges'!J507</f>
        <v>0</v>
      </c>
      <c r="C53" s="365">
        <f>'Public Lighting Charges'!L507*(1+'Public Lighting Charges'!$M$12)+(('Public Lighting Charges'!L507*'Public Lighting Charges'!$M$10)*'Public Lighting Charges'!$M$14)</f>
        <v>37.383369869489044</v>
      </c>
      <c r="D53" s="365">
        <f t="shared" si="0"/>
        <v>37.383369869489044</v>
      </c>
      <c r="E53" s="365">
        <f>'Public Lighting Charges'!O507</f>
        <v>44.762409939976784</v>
      </c>
      <c r="F53" s="365">
        <f>'Public Lighting Charges'!Q507</f>
        <v>46.953031355956014</v>
      </c>
      <c r="G53" s="365">
        <f>'Public Lighting Charges'!T507</f>
        <v>48.881447996560738</v>
      </c>
      <c r="H53" s="365">
        <f>'Public Lighting Charges'!W507</f>
        <v>50.660865025823085</v>
      </c>
      <c r="I53" s="365">
        <f>'Public Lighting Charges'!Z507</f>
        <v>52.124234976666614</v>
      </c>
    </row>
    <row r="54" spans="1:9" x14ac:dyDescent="0.2">
      <c r="A54" t="str">
        <f>'Public Lighting Charges'!A508</f>
        <v>FLU0240-ST-1000-002-B</v>
      </c>
      <c r="B54" s="365">
        <f>'Public Lighting Charges'!J508</f>
        <v>0</v>
      </c>
      <c r="C54" s="365">
        <f>'Public Lighting Charges'!L508*(1+'Public Lighting Charges'!$M$12)+(('Public Lighting Charges'!L508*'Public Lighting Charges'!$M$10)*'Public Lighting Charges'!$M$14)</f>
        <v>37.383369869489044</v>
      </c>
      <c r="D54" s="365">
        <f t="shared" si="0"/>
        <v>37.383369869489044</v>
      </c>
      <c r="E54" s="365">
        <f>'Public Lighting Charges'!O508</f>
        <v>44.762409939976784</v>
      </c>
      <c r="F54" s="365">
        <f>'Public Lighting Charges'!Q508</f>
        <v>46.953031355956014</v>
      </c>
      <c r="G54" s="365">
        <f>'Public Lighting Charges'!T508</f>
        <v>48.881447996560738</v>
      </c>
      <c r="H54" s="365">
        <f>'Public Lighting Charges'!W508</f>
        <v>50.660865025823085</v>
      </c>
      <c r="I54" s="365">
        <f>'Public Lighting Charges'!Z508</f>
        <v>52.124234976666614</v>
      </c>
    </row>
    <row r="55" spans="1:9" x14ac:dyDescent="0.2">
      <c r="A55" t="str">
        <f>'Public Lighting Charges'!A509</f>
        <v>FLU0240-ST-1260-002-B</v>
      </c>
      <c r="B55" s="365">
        <f>'Public Lighting Charges'!J509</f>
        <v>0</v>
      </c>
      <c r="C55" s="365">
        <f>'Public Lighting Charges'!L509*(1+'Public Lighting Charges'!$M$12)+(('Public Lighting Charges'!L509*'Public Lighting Charges'!$M$10)*'Public Lighting Charges'!$M$14)</f>
        <v>38.185140069489037</v>
      </c>
      <c r="D55" s="365">
        <f t="shared" si="0"/>
        <v>38.185140069489037</v>
      </c>
      <c r="E55" s="365">
        <f>'Public Lighting Charges'!O509</f>
        <v>45.564494779301789</v>
      </c>
      <c r="F55" s="365">
        <f>'Public Lighting Charges'!Q509</f>
        <v>47.794369314780475</v>
      </c>
      <c r="G55" s="365">
        <f>'Public Lighting Charges'!T509</f>
        <v>49.757340702401834</v>
      </c>
      <c r="H55" s="365">
        <f>'Public Lighting Charges'!W509</f>
        <v>51.568642597200295</v>
      </c>
      <c r="I55" s="365">
        <f>'Public Lighting Charges'!Z509</f>
        <v>53.058234256246507</v>
      </c>
    </row>
    <row r="56" spans="1:9" x14ac:dyDescent="0.2">
      <c r="A56" t="str">
        <f>'Public Lighting Charges'!A510</f>
        <v>FLU0250-ST-0010-001-B</v>
      </c>
      <c r="B56" s="365">
        <f>'Public Lighting Charges'!J510</f>
        <v>17.255027166785979</v>
      </c>
      <c r="C56" s="365">
        <f>'Public Lighting Charges'!L510*(1+'Public Lighting Charges'!$M$12)+(('Public Lighting Charges'!L510*'Public Lighting Charges'!$M$10)*'Public Lighting Charges'!$M$14)</f>
        <v>31.229344418199805</v>
      </c>
      <c r="D56" s="365">
        <f t="shared" si="0"/>
        <v>48.48437158498578</v>
      </c>
      <c r="E56" s="365">
        <f>'Public Lighting Charges'!O510</f>
        <v>63.071859707067993</v>
      </c>
      <c r="F56" s="365">
        <f>'Public Lighting Charges'!Q510</f>
        <v>64.57443660773103</v>
      </c>
      <c r="G56" s="365">
        <f>'Public Lighting Charges'!T510</f>
        <v>66.851453637905948</v>
      </c>
      <c r="H56" s="365">
        <f>'Public Lighting Charges'!W510</f>
        <v>69.010568994663316</v>
      </c>
      <c r="I56" s="365">
        <f>'Public Lighting Charges'!Z510</f>
        <v>70.904163679165549</v>
      </c>
    </row>
    <row r="57" spans="1:9" x14ac:dyDescent="0.2">
      <c r="A57" t="str">
        <f>'Public Lighting Charges'!A511</f>
        <v>FLU0250-ST-0010-002-B</v>
      </c>
      <c r="B57" s="365">
        <f>'Public Lighting Charges'!J511</f>
        <v>0</v>
      </c>
      <c r="C57" s="365">
        <f>'Public Lighting Charges'!L511*(1+'Public Lighting Charges'!$M$12)+(('Public Lighting Charges'!L511*'Public Lighting Charges'!$M$10)*'Public Lighting Charges'!$M$14)</f>
        <v>31.229344418199805</v>
      </c>
      <c r="D57" s="365">
        <f t="shared" si="0"/>
        <v>31.229344418199805</v>
      </c>
      <c r="E57" s="365">
        <f>'Public Lighting Charges'!O511</f>
        <v>39.649689594344146</v>
      </c>
      <c r="F57" s="365">
        <f>'Public Lighting Charges'!Q511</f>
        <v>41.590100293383117</v>
      </c>
      <c r="G57" s="365">
        <f>'Public Lighting Charges'!T511</f>
        <v>43.298254999777917</v>
      </c>
      <c r="H57" s="365">
        <f>'Public Lighting Charges'!W511</f>
        <v>44.874428690241622</v>
      </c>
      <c r="I57" s="365">
        <f>'Public Lighting Charges'!Z511</f>
        <v>46.170653902209423</v>
      </c>
    </row>
    <row r="58" spans="1:9" x14ac:dyDescent="0.2">
      <c r="A58" t="str">
        <f>'Public Lighting Charges'!A512</f>
        <v>FLU0260-ST-0010-002-B</v>
      </c>
      <c r="B58" s="365">
        <f>'Public Lighting Charges'!J512</f>
        <v>0</v>
      </c>
      <c r="C58" s="365">
        <f>'Public Lighting Charges'!L512*(1+'Public Lighting Charges'!$M$12)+(('Public Lighting Charges'!L512*'Public Lighting Charges'!$M$10)*'Public Lighting Charges'!$M$14)</f>
        <v>35.447953566237324</v>
      </c>
      <c r="D58" s="365">
        <f t="shared" si="0"/>
        <v>35.447953566237324</v>
      </c>
      <c r="E58" s="365">
        <f>'Public Lighting Charges'!O512</f>
        <v>44.131084484810671</v>
      </c>
      <c r="F58" s="365">
        <f>'Public Lighting Charges'!Q512</f>
        <v>46.290809551277128</v>
      </c>
      <c r="G58" s="365">
        <f>'Public Lighting Charges'!T512</f>
        <v>48.192027957581857</v>
      </c>
      <c r="H58" s="365">
        <f>'Public Lighting Charges'!W512</f>
        <v>49.946348231163803</v>
      </c>
      <c r="I58" s="365">
        <f>'Public Lighting Charges'!Z512</f>
        <v>51.389078929082125</v>
      </c>
    </row>
    <row r="59" spans="1:9" x14ac:dyDescent="0.2">
      <c r="A59" t="str">
        <f>'Public Lighting Charges'!A513</f>
        <v>FLU0270-ST-0010-002-B</v>
      </c>
      <c r="B59" s="365">
        <f>'Public Lighting Charges'!J513</f>
        <v>0</v>
      </c>
      <c r="C59" s="365">
        <f>'Public Lighting Charges'!L513*(1+'Public Lighting Charges'!$M$12)+(('Public Lighting Charges'!L513*'Public Lighting Charges'!$M$10)*'Public Lighting Charges'!$M$14)</f>
        <v>39.666562714274839</v>
      </c>
      <c r="D59" s="365">
        <f t="shared" si="0"/>
        <v>39.666562714274839</v>
      </c>
      <c r="E59" s="365">
        <f>'Public Lighting Charges'!O513</f>
        <v>48.612479375277196</v>
      </c>
      <c r="F59" s="365">
        <f>'Public Lighting Charges'!Q513</f>
        <v>50.99151880917114</v>
      </c>
      <c r="G59" s="365">
        <f>'Public Lighting Charges'!T513</f>
        <v>53.085800915385782</v>
      </c>
      <c r="H59" s="365">
        <f>'Public Lighting Charges'!W513</f>
        <v>55.018267772085999</v>
      </c>
      <c r="I59" s="365">
        <f>'Public Lighting Charges'!Z513</f>
        <v>56.607503955954833</v>
      </c>
    </row>
    <row r="60" spans="1:9" x14ac:dyDescent="0.2">
      <c r="A60" t="str">
        <f>'Public Lighting Charges'!A514</f>
        <v>FLU0300-ST-0010-002-B</v>
      </c>
      <c r="B60" s="365">
        <f>'Public Lighting Charges'!J514</f>
        <v>0</v>
      </c>
      <c r="C60" s="365">
        <f>'Public Lighting Charges'!L514*(1+'Public Lighting Charges'!$M$12)+(('Public Lighting Charges'!L514*'Public Lighting Charges'!$M$10)*'Public Lighting Charges'!$M$14)</f>
        <v>31.229344418199805</v>
      </c>
      <c r="D60" s="365">
        <f t="shared" si="0"/>
        <v>31.229344418199805</v>
      </c>
      <c r="E60" s="365">
        <f>'Public Lighting Charges'!O514</f>
        <v>39.649689594344146</v>
      </c>
      <c r="F60" s="365">
        <f>'Public Lighting Charges'!Q514</f>
        <v>41.590100293383117</v>
      </c>
      <c r="G60" s="365">
        <f>'Public Lighting Charges'!T514</f>
        <v>43.298254999777917</v>
      </c>
      <c r="H60" s="365">
        <f>'Public Lighting Charges'!W514</f>
        <v>44.874428690241622</v>
      </c>
      <c r="I60" s="365">
        <f>'Public Lighting Charges'!Z514</f>
        <v>46.170653902209423</v>
      </c>
    </row>
    <row r="61" spans="1:9" x14ac:dyDescent="0.2">
      <c r="A61" t="str">
        <f>'Public Lighting Charges'!A515</f>
        <v>HPS0010-ST-0040-001-B</v>
      </c>
      <c r="B61" s="365">
        <f>'Public Lighting Charges'!J515</f>
        <v>18.483521869130684</v>
      </c>
      <c r="C61" s="365">
        <f>'Public Lighting Charges'!L515*(1+'Public Lighting Charges'!$M$12)+(('Public Lighting Charges'!L515*'Public Lighting Charges'!$M$10)*'Public Lighting Charges'!$M$14)</f>
        <v>54.59631087619583</v>
      </c>
      <c r="D61" s="365">
        <f t="shared" si="0"/>
        <v>73.079832745326513</v>
      </c>
      <c r="E61" s="365">
        <f>'Public Lighting Charges'!O515</f>
        <v>58.07534624569054</v>
      </c>
      <c r="F61" s="365">
        <f>'Public Lighting Charges'!Q515</f>
        <v>59.220618190374537</v>
      </c>
      <c r="G61" s="365">
        <f>'Public Lighting Charges'!T515</f>
        <v>61.251039557763349</v>
      </c>
      <c r="H61" s="365">
        <f>'Public Lighting Charges'!W515</f>
        <v>63.186744240621685</v>
      </c>
      <c r="I61" s="365">
        <f>'Public Lighting Charges'!Z515</f>
        <v>64.905007548477073</v>
      </c>
    </row>
    <row r="62" spans="1:9" x14ac:dyDescent="0.2">
      <c r="A62" t="str">
        <f>'Public Lighting Charges'!A516</f>
        <v>HPS0010-ST-0040-002-B</v>
      </c>
      <c r="B62" s="365">
        <f>'Public Lighting Charges'!J516</f>
        <v>0</v>
      </c>
      <c r="C62" s="365">
        <f>'Public Lighting Charges'!L516*(1+'Public Lighting Charges'!$M$12)+(('Public Lighting Charges'!L516*'Public Lighting Charges'!$M$10)*'Public Lighting Charges'!$M$14)</f>
        <v>54.59631087619583</v>
      </c>
      <c r="D62" s="365">
        <f t="shared" si="0"/>
        <v>54.59631087619583</v>
      </c>
      <c r="E62" s="365">
        <f>'Public Lighting Charges'!O516</f>
        <v>32.985603452682277</v>
      </c>
      <c r="F62" s="365">
        <f>'Public Lighting Charges'!Q516</f>
        <v>34.599881357722204</v>
      </c>
      <c r="G62" s="365">
        <f>'Public Lighting Charges'!T516</f>
        <v>36.020939488502862</v>
      </c>
      <c r="H62" s="365">
        <f>'Public Lighting Charges'!W516</f>
        <v>37.332199194647011</v>
      </c>
      <c r="I62" s="365">
        <f>'Public Lighting Charges'!Z516</f>
        <v>38.410562512614526</v>
      </c>
    </row>
    <row r="63" spans="1:9" x14ac:dyDescent="0.2">
      <c r="A63" t="str">
        <f>'Public Lighting Charges'!A517</f>
        <v>HPS0010-ST-0090-002-B</v>
      </c>
      <c r="B63" s="365">
        <f>'Public Lighting Charges'!J517</f>
        <v>0</v>
      </c>
      <c r="C63" s="365">
        <f>'Public Lighting Charges'!L517*(1+'Public Lighting Charges'!$M$12)+(('Public Lighting Charges'!L517*'Public Lighting Charges'!$M$10)*'Public Lighting Charges'!$M$14)</f>
        <v>54.59631087619583</v>
      </c>
      <c r="D63" s="365">
        <f t="shared" si="0"/>
        <v>54.59631087619583</v>
      </c>
      <c r="E63" s="365">
        <f>'Public Lighting Charges'!O517</f>
        <v>32.985603452682277</v>
      </c>
      <c r="F63" s="365">
        <f>'Public Lighting Charges'!Q517</f>
        <v>34.599881357722204</v>
      </c>
      <c r="G63" s="365">
        <f>'Public Lighting Charges'!T517</f>
        <v>36.020939488502862</v>
      </c>
      <c r="H63" s="365">
        <f>'Public Lighting Charges'!W517</f>
        <v>37.332199194647011</v>
      </c>
      <c r="I63" s="365">
        <f>'Public Lighting Charges'!Z517</f>
        <v>38.410562512614526</v>
      </c>
    </row>
    <row r="64" spans="1:9" x14ac:dyDescent="0.2">
      <c r="A64" t="str">
        <f>'Public Lighting Charges'!A518</f>
        <v>HPS0010-ST-0350-001-B</v>
      </c>
      <c r="B64" s="365">
        <f>'Public Lighting Charges'!J518</f>
        <v>52.384640231006998</v>
      </c>
      <c r="C64" s="365">
        <f>'Public Lighting Charges'!L518*(1+'Public Lighting Charges'!$M$12)+(('Public Lighting Charges'!L518*'Public Lighting Charges'!$M$10)*'Public Lighting Charges'!$M$14)</f>
        <v>65.770715675522581</v>
      </c>
      <c r="D64" s="365">
        <f t="shared" si="0"/>
        <v>118.15535590652958</v>
      </c>
      <c r="E64" s="365">
        <f>'Public Lighting Charges'!O518</f>
        <v>114.48930993332668</v>
      </c>
      <c r="F64" s="365">
        <f>'Public Lighting Charges'!Q518</f>
        <v>115.2831437937144</v>
      </c>
      <c r="G64" s="365">
        <f>'Public Lighting Charges'!T518</f>
        <v>118.87909483850989</v>
      </c>
      <c r="H64" s="365">
        <f>'Public Lighting Charges'!W518</f>
        <v>122.37338542517413</v>
      </c>
      <c r="I64" s="365">
        <f>'Public Lighting Charges'!Z518</f>
        <v>125.60517823254106</v>
      </c>
    </row>
    <row r="65" spans="1:9" x14ac:dyDescent="0.2">
      <c r="A65" t="str">
        <f>'Public Lighting Charges'!A519</f>
        <v>HPS0010-ST-0350-002-B</v>
      </c>
      <c r="B65" s="365">
        <f>'Public Lighting Charges'!J519</f>
        <v>0</v>
      </c>
      <c r="C65" s="365">
        <f>'Public Lighting Charges'!L519*(1+'Public Lighting Charges'!$M$12)+(('Public Lighting Charges'!L519*'Public Lighting Charges'!$M$10)*'Public Lighting Charges'!$M$14)</f>
        <v>65.770715675522581</v>
      </c>
      <c r="D65" s="365">
        <f t="shared" si="0"/>
        <v>65.770715675522581</v>
      </c>
      <c r="E65" s="365">
        <f>'Public Lighting Charges'!O519</f>
        <v>43.381803528106438</v>
      </c>
      <c r="F65" s="365">
        <f>'Public Lighting Charges'!Q519</f>
        <v>45.504859637013574</v>
      </c>
      <c r="G65" s="365">
        <f>'Public Lighting Charges'!T519</f>
        <v>47.37379814893071</v>
      </c>
      <c r="H65" s="365">
        <f>'Public Lighting Charges'!W519</f>
        <v>49.098332642527865</v>
      </c>
      <c r="I65" s="365">
        <f>'Public Lighting Charges'!Z519</f>
        <v>50.516567893524304</v>
      </c>
    </row>
    <row r="66" spans="1:9" x14ac:dyDescent="0.2">
      <c r="A66" t="str">
        <f>'Public Lighting Charges'!A520</f>
        <v>HPS0010-ST-0360-001-B</v>
      </c>
      <c r="B66" s="365">
        <f>'Public Lighting Charges'!J520</f>
        <v>87.482155888651974</v>
      </c>
      <c r="C66" s="365">
        <f>'Public Lighting Charges'!L520*(1+'Public Lighting Charges'!$M$12)+(('Public Lighting Charges'!L520*'Public Lighting Charges'!$M$10)*'Public Lighting Charges'!$M$14)</f>
        <v>64.968945475522588</v>
      </c>
      <c r="D66" s="365">
        <f t="shared" si="0"/>
        <v>152.45110136417458</v>
      </c>
      <c r="E66" s="365">
        <f>'Public Lighting Charges'!O520</f>
        <v>161.32899200177712</v>
      </c>
      <c r="F66" s="365">
        <f>'Public Lighting Charges'!Q520</f>
        <v>161.19299874093181</v>
      </c>
      <c r="G66" s="365">
        <f>'Public Lighting Charges'!T520</f>
        <v>165.91148706313518</v>
      </c>
      <c r="H66" s="365">
        <f>'Public Lighting Charges'!W520</f>
        <v>170.55962283629239</v>
      </c>
      <c r="I66" s="365">
        <f>'Public Lighting Charges'!Z520</f>
        <v>174.98027080627338</v>
      </c>
    </row>
    <row r="67" spans="1:9" x14ac:dyDescent="0.2">
      <c r="A67" t="str">
        <f>'Public Lighting Charges'!A521</f>
        <v>HPS0010-ST-0360-002-B</v>
      </c>
      <c r="B67" s="365">
        <f>'Public Lighting Charges'!J521</f>
        <v>0</v>
      </c>
      <c r="C67" s="365">
        <f>'Public Lighting Charges'!L521*(1+'Public Lighting Charges'!$M$12)+(('Public Lighting Charges'!L521*'Public Lighting Charges'!$M$10)*'Public Lighting Charges'!$M$14)</f>
        <v>64.968945475522588</v>
      </c>
      <c r="D67" s="365">
        <f t="shared" si="0"/>
        <v>64.968945475522588</v>
      </c>
      <c r="E67" s="365">
        <f>'Public Lighting Charges'!O521</f>
        <v>42.579718688781441</v>
      </c>
      <c r="F67" s="365">
        <f>'Public Lighting Charges'!Q521</f>
        <v>44.66352167818912</v>
      </c>
      <c r="G67" s="365">
        <f>'Public Lighting Charges'!T521</f>
        <v>46.497905443089607</v>
      </c>
      <c r="H67" s="365">
        <f>'Public Lighting Charges'!W521</f>
        <v>48.190555071150669</v>
      </c>
      <c r="I67" s="365">
        <f>'Public Lighting Charges'!Z521</f>
        <v>49.582568613944417</v>
      </c>
    </row>
    <row r="68" spans="1:9" x14ac:dyDescent="0.2">
      <c r="A68" t="str">
        <f>'Public Lighting Charges'!A522</f>
        <v>HPS0010-ST-0750-001-B</v>
      </c>
      <c r="B68" s="365">
        <f>'Public Lighting Charges'!J522</f>
        <v>34.270019010909252</v>
      </c>
      <c r="C68" s="365">
        <f>'Public Lighting Charges'!L522*(1+'Public Lighting Charges'!$M$12)+(('Public Lighting Charges'!L522*'Public Lighting Charges'!$M$10)*'Public Lighting Charges'!$M$14)</f>
        <v>54.59631087619583</v>
      </c>
      <c r="D68" s="365">
        <f t="shared" ref="D68:D131" si="1">B68+C68</f>
        <v>88.866329887105081</v>
      </c>
      <c r="E68" s="365">
        <f>'Public Lighting Charges'!O522</f>
        <v>79.504117001294006</v>
      </c>
      <c r="F68" s="365">
        <f>'Public Lighting Charges'!Q522</f>
        <v>80.248818031784339</v>
      </c>
      <c r="G68" s="365">
        <f>'Public Lighting Charges'!T522</f>
        <v>82.799687345248032</v>
      </c>
      <c r="H68" s="365">
        <f>'Public Lighting Charges'!W522</f>
        <v>85.26872106084663</v>
      </c>
      <c r="I68" s="365">
        <f>'Public Lighting Charges'!Z522</f>
        <v>87.533513295002578</v>
      </c>
    </row>
    <row r="69" spans="1:9" x14ac:dyDescent="0.2">
      <c r="A69" t="str">
        <f>'Public Lighting Charges'!A523</f>
        <v>HPS0010-TA-0090-001-B</v>
      </c>
      <c r="B69" s="365">
        <f>'Public Lighting Charges'!J523</f>
        <v>19.562845754409921</v>
      </c>
      <c r="C69" s="365">
        <f>'Public Lighting Charges'!L523*(1+'Public Lighting Charges'!$M$12)+(('Public Lighting Charges'!L523*'Public Lighting Charges'!$M$10)*'Public Lighting Charges'!$M$14)</f>
        <v>54.552845853991705</v>
      </c>
      <c r="D69" s="365">
        <f t="shared" si="1"/>
        <v>74.115691608401619</v>
      </c>
      <c r="E69" s="365">
        <f>'Public Lighting Charges'!O523</f>
        <v>52.522136611558871</v>
      </c>
      <c r="F69" s="365">
        <f>'Public Lighting Charges'!Q523</f>
        <v>53.296554066682567</v>
      </c>
      <c r="G69" s="365">
        <f>'Public Lighting Charges'!T523</f>
        <v>55.060202141154591</v>
      </c>
      <c r="H69" s="365">
        <f>'Public Lighting Charges'!W523</f>
        <v>56.753375853929228</v>
      </c>
      <c r="I69" s="365">
        <f>'Public Lighting Charges'!Z523</f>
        <v>58.279563675895545</v>
      </c>
    </row>
    <row r="70" spans="1:9" x14ac:dyDescent="0.2">
      <c r="A70" t="str">
        <f>'Public Lighting Charges'!A524</f>
        <v>HPS0010-TA-0090-002-B</v>
      </c>
      <c r="B70" s="365">
        <f>'Public Lighting Charges'!J524</f>
        <v>0</v>
      </c>
      <c r="C70" s="365">
        <f>'Public Lighting Charges'!L524*(1+'Public Lighting Charges'!$M$12)+(('Public Lighting Charges'!L524*'Public Lighting Charges'!$M$10)*'Public Lighting Charges'!$M$14)</f>
        <v>54.552845853991705</v>
      </c>
      <c r="D70" s="365">
        <f t="shared" si="1"/>
        <v>54.552845853991705</v>
      </c>
      <c r="E70" s="365">
        <f>'Public Lighting Charges'!O524</f>
        <v>25.967307301828239</v>
      </c>
      <c r="F70" s="365">
        <f>'Public Lighting Charges'!Q524</f>
        <v>27.238117778006284</v>
      </c>
      <c r="G70" s="365">
        <f>'Public Lighting Charges'!T524</f>
        <v>28.356819554333562</v>
      </c>
      <c r="H70" s="365">
        <f>'Public Lighting Charges'!W524</f>
        <v>29.389084548084384</v>
      </c>
      <c r="I70" s="365">
        <f>'Public Lighting Charges'!Z524</f>
        <v>30.238006160231052</v>
      </c>
    </row>
    <row r="71" spans="1:9" x14ac:dyDescent="0.2">
      <c r="A71" t="str">
        <f>'Public Lighting Charges'!A525</f>
        <v>HPS0010-TA-0140-001-B</v>
      </c>
      <c r="B71" s="365">
        <f>'Public Lighting Charges'!J525</f>
        <v>53.463964116286228</v>
      </c>
      <c r="C71" s="365">
        <f>'Public Lighting Charges'!L525*(1+'Public Lighting Charges'!$M$12)+(('Public Lighting Charges'!L525*'Public Lighting Charges'!$M$10)*'Public Lighting Charges'!$M$14)</f>
        <v>65.72725065331845</v>
      </c>
      <c r="D71" s="365">
        <f t="shared" si="1"/>
        <v>119.19121476960467</v>
      </c>
      <c r="E71" s="365">
        <f>'Public Lighting Charges'!O525</f>
        <v>108.93610029919502</v>
      </c>
      <c r="F71" s="365">
        <f>'Public Lighting Charges'!Q525</f>
        <v>109.35907967002245</v>
      </c>
      <c r="G71" s="365">
        <f>'Public Lighting Charges'!T525</f>
        <v>112.68825742190116</v>
      </c>
      <c r="H71" s="365">
        <f>'Public Lighting Charges'!W525</f>
        <v>115.9400170384817</v>
      </c>
      <c r="I71" s="365">
        <f>'Public Lighting Charges'!Z525</f>
        <v>118.97973435995955</v>
      </c>
    </row>
    <row r="72" spans="1:9" x14ac:dyDescent="0.2">
      <c r="A72" t="str">
        <f>'Public Lighting Charges'!A526</f>
        <v>HPS0010-TA-0170-001-B</v>
      </c>
      <c r="B72" s="365">
        <f>'Public Lighting Charges'!J526</f>
        <v>88.561479773931197</v>
      </c>
      <c r="C72" s="365">
        <f>'Public Lighting Charges'!L526*(1+'Public Lighting Charges'!$M$12)+(('Public Lighting Charges'!L526*'Public Lighting Charges'!$M$10)*'Public Lighting Charges'!$M$14)</f>
        <v>64.925480453318457</v>
      </c>
      <c r="D72" s="365">
        <f t="shared" si="1"/>
        <v>153.48696022724965</v>
      </c>
      <c r="E72" s="365">
        <f>'Public Lighting Charges'!O526</f>
        <v>155.77578236764541</v>
      </c>
      <c r="F72" s="365">
        <f>'Public Lighting Charges'!Q526</f>
        <v>155.26893461723984</v>
      </c>
      <c r="G72" s="365">
        <f>'Public Lighting Charges'!T526</f>
        <v>159.72064964652645</v>
      </c>
      <c r="H72" s="365">
        <f>'Public Lighting Charges'!W526</f>
        <v>164.12625444959991</v>
      </c>
      <c r="I72" s="365">
        <f>'Public Lighting Charges'!Z526</f>
        <v>168.35482693369184</v>
      </c>
    </row>
    <row r="73" spans="1:9" x14ac:dyDescent="0.2">
      <c r="A73" t="str">
        <f>'Public Lighting Charges'!A527</f>
        <v>HPS0010-TA-0170-002-B</v>
      </c>
      <c r="B73" s="365">
        <f>'Public Lighting Charges'!J527</f>
        <v>0</v>
      </c>
      <c r="C73" s="365">
        <f>'Public Lighting Charges'!L527*(1+'Public Lighting Charges'!$M$12)+(('Public Lighting Charges'!L527*'Public Lighting Charges'!$M$10)*'Public Lighting Charges'!$M$14)</f>
        <v>64.925480453318457</v>
      </c>
      <c r="D73" s="365">
        <f t="shared" si="1"/>
        <v>64.925480453318457</v>
      </c>
      <c r="E73" s="365">
        <f>'Public Lighting Charges'!O527</f>
        <v>35.561422537927406</v>
      </c>
      <c r="F73" s="365">
        <f>'Public Lighting Charges'!Q527</f>
        <v>37.301758098473208</v>
      </c>
      <c r="G73" s="365">
        <f>'Public Lighting Charges'!T527</f>
        <v>38.833785508920315</v>
      </c>
      <c r="H73" s="365">
        <f>'Public Lighting Charges'!W527</f>
        <v>40.247440424588042</v>
      </c>
      <c r="I73" s="365">
        <f>'Public Lighting Charges'!Z527</f>
        <v>41.410012261560937</v>
      </c>
    </row>
    <row r="74" spans="1:9" x14ac:dyDescent="0.2">
      <c r="A74" t="str">
        <f>'Public Lighting Charges'!A528</f>
        <v>HPS0010-TA-1180-001-B</v>
      </c>
      <c r="B74" s="365">
        <f>'Public Lighting Charges'!J528</f>
        <v>28.535418210578442</v>
      </c>
      <c r="C74" s="365">
        <f>'Public Lighting Charges'!L528*(1+'Public Lighting Charges'!$M$12)+(('Public Lighting Charges'!L528*'Public Lighting Charges'!$M$10)*'Public Lighting Charges'!$M$14)</f>
        <v>54.552845853991705</v>
      </c>
      <c r="D74" s="365">
        <f t="shared" si="1"/>
        <v>83.088264064570154</v>
      </c>
      <c r="E74" s="365">
        <f>'Public Lighting Charges'!O528</f>
        <v>64.701608506082977</v>
      </c>
      <c r="F74" s="365">
        <f>'Public Lighting Charges'!Q528</f>
        <v>65.248353443411418</v>
      </c>
      <c r="G74" s="365">
        <f>'Public Lighting Charges'!T528</f>
        <v>67.307808552457487</v>
      </c>
      <c r="H74" s="365">
        <f>'Public Lighting Charges'!W528</f>
        <v>69.304110523911874</v>
      </c>
      <c r="I74" s="365">
        <f>'Public Lighting Charges'!Z528</f>
        <v>71.140929028960258</v>
      </c>
    </row>
    <row r="75" spans="1:9" x14ac:dyDescent="0.2">
      <c r="A75" t="str">
        <f>'Public Lighting Charges'!A529</f>
        <v>HPS0010-TA-1200-001-B</v>
      </c>
      <c r="B75" s="365">
        <f>'Public Lighting Charges'!J529</f>
        <v>46.480563122915477</v>
      </c>
      <c r="C75" s="365">
        <f>'Public Lighting Charges'!L529*(1+'Public Lighting Charges'!$M$12)+(('Public Lighting Charges'!L529*'Public Lighting Charges'!$M$10)*'Public Lighting Charges'!$M$14)</f>
        <v>54.552845853991705</v>
      </c>
      <c r="D75" s="365">
        <f t="shared" si="1"/>
        <v>101.03340897690718</v>
      </c>
      <c r="E75" s="365">
        <f>'Public Lighting Charges'!O529</f>
        <v>89.060552295131146</v>
      </c>
      <c r="F75" s="365">
        <f>'Public Lighting Charges'!Q529</f>
        <v>89.151952196869104</v>
      </c>
      <c r="G75" s="365">
        <f>'Public Lighting Charges'!T529</f>
        <v>91.803021375063238</v>
      </c>
      <c r="H75" s="365">
        <f>'Public Lighting Charges'!W529</f>
        <v>94.405579863877136</v>
      </c>
      <c r="I75" s="365">
        <f>'Public Lighting Charges'!Z529</f>
        <v>96.863659735089655</v>
      </c>
    </row>
    <row r="76" spans="1:9" x14ac:dyDescent="0.2">
      <c r="A76" t="str">
        <f>'Public Lighting Charges'!A530</f>
        <v>HPS0020-ST-0040-001-B</v>
      </c>
      <c r="B76" s="365">
        <f>'Public Lighting Charges'!J530</f>
        <v>18.483521869130684</v>
      </c>
      <c r="C76" s="365">
        <f>'Public Lighting Charges'!L530*(1+'Public Lighting Charges'!$M$12)+(('Public Lighting Charges'!L530*'Public Lighting Charges'!$M$10)*'Public Lighting Charges'!$M$14)</f>
        <v>54.286642881043264</v>
      </c>
      <c r="D76" s="365">
        <f t="shared" si="1"/>
        <v>72.770164750173947</v>
      </c>
      <c r="E76" s="365">
        <f>'Public Lighting Charges'!O530</f>
        <v>57.96132046770726</v>
      </c>
      <c r="F76" s="365">
        <f>'Public Lighting Charges'!Q530</f>
        <v>59.101012120544617</v>
      </c>
      <c r="G76" s="365">
        <f>'Public Lighting Charges'!T530</f>
        <v>61.126521124903462</v>
      </c>
      <c r="H76" s="365">
        <f>'Public Lighting Charges'!W530</f>
        <v>63.057692999734037</v>
      </c>
      <c r="I76" s="365">
        <f>'Public Lighting Charges'!Z530</f>
        <v>64.772228583873343</v>
      </c>
    </row>
    <row r="77" spans="1:9" x14ac:dyDescent="0.2">
      <c r="A77" t="str">
        <f>'Public Lighting Charges'!A531</f>
        <v>HPS0020-ST-0040-002-B</v>
      </c>
      <c r="B77" s="365">
        <f>'Public Lighting Charges'!J531</f>
        <v>0</v>
      </c>
      <c r="C77" s="365">
        <f>'Public Lighting Charges'!L531*(1+'Public Lighting Charges'!$M$12)+(('Public Lighting Charges'!L531*'Public Lighting Charges'!$M$10)*'Public Lighting Charges'!$M$14)</f>
        <v>54.286642881043264</v>
      </c>
      <c r="D77" s="365">
        <f t="shared" si="1"/>
        <v>54.286642881043264</v>
      </c>
      <c r="E77" s="365">
        <f>'Public Lighting Charges'!O531</f>
        <v>32.871577674698983</v>
      </c>
      <c r="F77" s="365">
        <f>'Public Lighting Charges'!Q531</f>
        <v>34.480275287892276</v>
      </c>
      <c r="G77" s="365">
        <f>'Public Lighting Charges'!T531</f>
        <v>35.896421055642975</v>
      </c>
      <c r="H77" s="365">
        <f>'Public Lighting Charges'!W531</f>
        <v>37.203147953759348</v>
      </c>
      <c r="I77" s="365">
        <f>'Public Lighting Charges'!Z531</f>
        <v>38.277783548010788</v>
      </c>
    </row>
    <row r="78" spans="1:9" x14ac:dyDescent="0.2">
      <c r="A78" t="str">
        <f>'Public Lighting Charges'!A532</f>
        <v>HPS0020-ST-0170-002-B</v>
      </c>
      <c r="B78" s="365">
        <f>'Public Lighting Charges'!J532</f>
        <v>0</v>
      </c>
      <c r="C78" s="365">
        <f>'Public Lighting Charges'!L532*(1+'Public Lighting Charges'!$M$12)+(('Public Lighting Charges'!L532*'Public Lighting Charges'!$M$10)*'Public Lighting Charges'!$M$14)</f>
        <v>64.659277480370022</v>
      </c>
      <c r="D78" s="365">
        <f t="shared" si="1"/>
        <v>64.659277480370022</v>
      </c>
      <c r="E78" s="365">
        <f>'Public Lighting Charges'!O532</f>
        <v>42.465692910798147</v>
      </c>
      <c r="F78" s="365">
        <f>'Public Lighting Charges'!Q532</f>
        <v>44.543915608359193</v>
      </c>
      <c r="G78" s="365">
        <f>'Public Lighting Charges'!T532</f>
        <v>46.373387010229727</v>
      </c>
      <c r="H78" s="365">
        <f>'Public Lighting Charges'!W532</f>
        <v>48.061503830263007</v>
      </c>
      <c r="I78" s="365">
        <f>'Public Lighting Charges'!Z532</f>
        <v>49.449789649340673</v>
      </c>
    </row>
    <row r="79" spans="1:9" x14ac:dyDescent="0.2">
      <c r="A79" t="str">
        <f>'Public Lighting Charges'!A533</f>
        <v>HPS0020-ST-0350-001-B</v>
      </c>
      <c r="B79" s="365">
        <f>'Public Lighting Charges'!J533</f>
        <v>52.384640231006998</v>
      </c>
      <c r="C79" s="365">
        <f>'Public Lighting Charges'!L533*(1+'Public Lighting Charges'!$M$12)+(('Public Lighting Charges'!L533*'Public Lighting Charges'!$M$10)*'Public Lighting Charges'!$M$14)</f>
        <v>65.461047680370015</v>
      </c>
      <c r="D79" s="365">
        <f t="shared" si="1"/>
        <v>117.84568791137701</v>
      </c>
      <c r="E79" s="365">
        <f>'Public Lighting Charges'!O533</f>
        <v>114.37528415534339</v>
      </c>
      <c r="F79" s="365">
        <f>'Public Lighting Charges'!Q533</f>
        <v>115.16353772388447</v>
      </c>
      <c r="G79" s="365">
        <f>'Public Lighting Charges'!T533</f>
        <v>118.75457640565001</v>
      </c>
      <c r="H79" s="365">
        <f>'Public Lighting Charges'!W533</f>
        <v>122.24433418428647</v>
      </c>
      <c r="I79" s="365">
        <f>'Public Lighting Charges'!Z533</f>
        <v>125.47239926793732</v>
      </c>
    </row>
    <row r="80" spans="1:9" x14ac:dyDescent="0.2">
      <c r="A80" t="str">
        <f>'Public Lighting Charges'!A534</f>
        <v>HPS0020-ST-0350-002-B</v>
      </c>
      <c r="B80" s="365">
        <f>'Public Lighting Charges'!J534</f>
        <v>0</v>
      </c>
      <c r="C80" s="365">
        <f>'Public Lighting Charges'!L534*(1+'Public Lighting Charges'!$M$12)+(('Public Lighting Charges'!L534*'Public Lighting Charges'!$M$10)*'Public Lighting Charges'!$M$14)</f>
        <v>65.461047680370015</v>
      </c>
      <c r="D80" s="365">
        <f t="shared" si="1"/>
        <v>65.461047680370015</v>
      </c>
      <c r="E80" s="365">
        <f>'Public Lighting Charges'!O534</f>
        <v>43.267777750123152</v>
      </c>
      <c r="F80" s="365">
        <f>'Public Lighting Charges'!Q534</f>
        <v>45.385253567183653</v>
      </c>
      <c r="G80" s="365">
        <f>'Public Lighting Charges'!T534</f>
        <v>47.249279716070831</v>
      </c>
      <c r="H80" s="365">
        <f>'Public Lighting Charges'!W534</f>
        <v>48.969281401640217</v>
      </c>
      <c r="I80" s="365">
        <f>'Public Lighting Charges'!Z534</f>
        <v>50.383788928920566</v>
      </c>
    </row>
    <row r="81" spans="1:9" x14ac:dyDescent="0.2">
      <c r="A81" t="str">
        <f>'Public Lighting Charges'!A535</f>
        <v>HPS0020-ST-0360-001-B</v>
      </c>
      <c r="B81" s="365">
        <f>'Public Lighting Charges'!J535</f>
        <v>87.482155888651974</v>
      </c>
      <c r="C81" s="365">
        <f>'Public Lighting Charges'!L535*(1+'Public Lighting Charges'!$M$12)+(('Public Lighting Charges'!L535*'Public Lighting Charges'!$M$10)*'Public Lighting Charges'!$M$14)</f>
        <v>64.659277480370022</v>
      </c>
      <c r="D81" s="365">
        <f t="shared" si="1"/>
        <v>152.141433369022</v>
      </c>
      <c r="E81" s="365">
        <f>'Public Lighting Charges'!O535</f>
        <v>161.21496622379379</v>
      </c>
      <c r="F81" s="365">
        <f>'Public Lighting Charges'!Q535</f>
        <v>161.07339267110189</v>
      </c>
      <c r="G81" s="365">
        <f>'Public Lighting Charges'!T535</f>
        <v>165.78696863027531</v>
      </c>
      <c r="H81" s="365">
        <f>'Public Lighting Charges'!W535</f>
        <v>170.43057159540473</v>
      </c>
      <c r="I81" s="365">
        <f>'Public Lighting Charges'!Z535</f>
        <v>174.84749184166964</v>
      </c>
    </row>
    <row r="82" spans="1:9" x14ac:dyDescent="0.2">
      <c r="A82" t="str">
        <f>'Public Lighting Charges'!A536</f>
        <v>HPS0020-ST-0360-002-B</v>
      </c>
      <c r="B82" s="365">
        <f>'Public Lighting Charges'!J536</f>
        <v>0</v>
      </c>
      <c r="C82" s="365">
        <f>'Public Lighting Charges'!L536*(1+'Public Lighting Charges'!$M$12)+(('Public Lighting Charges'!L536*'Public Lighting Charges'!$M$10)*'Public Lighting Charges'!$M$14)</f>
        <v>64.659277480370022</v>
      </c>
      <c r="D82" s="365">
        <f t="shared" si="1"/>
        <v>64.659277480370022</v>
      </c>
      <c r="E82" s="365">
        <f>'Public Lighting Charges'!O536</f>
        <v>42.465692910798147</v>
      </c>
      <c r="F82" s="365">
        <f>'Public Lighting Charges'!Q536</f>
        <v>44.543915608359193</v>
      </c>
      <c r="G82" s="365">
        <f>'Public Lighting Charges'!T536</f>
        <v>46.373387010229727</v>
      </c>
      <c r="H82" s="365">
        <f>'Public Lighting Charges'!W536</f>
        <v>48.061503830263007</v>
      </c>
      <c r="I82" s="365">
        <f>'Public Lighting Charges'!Z536</f>
        <v>49.449789649340673</v>
      </c>
    </row>
    <row r="83" spans="1:9" x14ac:dyDescent="0.2">
      <c r="A83" t="str">
        <f>'Public Lighting Charges'!A537</f>
        <v>HPS0020-ST-0730-001-B</v>
      </c>
      <c r="B83" s="365">
        <f>'Public Lighting Charges'!J537</f>
        <v>95.375404459541258</v>
      </c>
      <c r="C83" s="365">
        <f>'Public Lighting Charges'!L537*(1+'Public Lighting Charges'!$M$12)+(('Public Lighting Charges'!L537*'Public Lighting Charges'!$M$10)*'Public Lighting Charges'!$M$14)</f>
        <v>64.659277480370022</v>
      </c>
      <c r="D83" s="365">
        <f t="shared" si="1"/>
        <v>160.03468193991128</v>
      </c>
      <c r="E83" s="365">
        <f>'Public Lighting Charges'!O537</f>
        <v>171.92935160159553</v>
      </c>
      <c r="F83" s="365">
        <f>'Public Lighting Charges'!Q537</f>
        <v>171.58749259180681</v>
      </c>
      <c r="G83" s="365">
        <f>'Public Lighting Charges'!T537</f>
        <v>176.56129252401766</v>
      </c>
      <c r="H83" s="365">
        <f>'Public Lighting Charges'!W537</f>
        <v>181.4715600055172</v>
      </c>
      <c r="I83" s="365">
        <f>'Public Lighting Charges'!Z537</f>
        <v>186.16174471493238</v>
      </c>
    </row>
    <row r="84" spans="1:9" x14ac:dyDescent="0.2">
      <c r="A84" t="str">
        <f>'Public Lighting Charges'!A538</f>
        <v>HPS0020-ST-0730-002-B</v>
      </c>
      <c r="B84" s="365">
        <f>'Public Lighting Charges'!J538</f>
        <v>0</v>
      </c>
      <c r="C84" s="365">
        <f>'Public Lighting Charges'!L538*(1+'Public Lighting Charges'!$M$12)+(('Public Lighting Charges'!L538*'Public Lighting Charges'!$M$10)*'Public Lighting Charges'!$M$14)</f>
        <v>64.659277480370022</v>
      </c>
      <c r="D84" s="365">
        <f t="shared" si="1"/>
        <v>64.659277480370022</v>
      </c>
      <c r="E84" s="365">
        <f>'Public Lighting Charges'!O538</f>
        <v>42.465692910798147</v>
      </c>
      <c r="F84" s="365">
        <f>'Public Lighting Charges'!Q538</f>
        <v>44.543915608359193</v>
      </c>
      <c r="G84" s="365">
        <f>'Public Lighting Charges'!T538</f>
        <v>46.373387010229727</v>
      </c>
      <c r="H84" s="365">
        <f>'Public Lighting Charges'!W538</f>
        <v>48.061503830263007</v>
      </c>
      <c r="I84" s="365">
        <f>'Public Lighting Charges'!Z538</f>
        <v>49.449789649340673</v>
      </c>
    </row>
    <row r="85" spans="1:9" x14ac:dyDescent="0.2">
      <c r="A85" t="str">
        <f>'Public Lighting Charges'!A539</f>
        <v>HPS0020-ST-0750-002-B</v>
      </c>
      <c r="B85" s="365">
        <f>'Public Lighting Charges'!J539</f>
        <v>0</v>
      </c>
      <c r="C85" s="365">
        <f>'Public Lighting Charges'!L539*(1+'Public Lighting Charges'!$M$12)+(('Public Lighting Charges'!L539*'Public Lighting Charges'!$M$10)*'Public Lighting Charges'!$M$14)</f>
        <v>54.286642881043264</v>
      </c>
      <c r="D85" s="365">
        <f t="shared" si="1"/>
        <v>54.286642881043264</v>
      </c>
      <c r="E85" s="365">
        <f>'Public Lighting Charges'!O539</f>
        <v>32.871577674698983</v>
      </c>
      <c r="F85" s="365">
        <f>'Public Lighting Charges'!Q539</f>
        <v>34.480275287892276</v>
      </c>
      <c r="G85" s="365">
        <f>'Public Lighting Charges'!T539</f>
        <v>35.896421055642975</v>
      </c>
      <c r="H85" s="365">
        <f>'Public Lighting Charges'!W539</f>
        <v>37.203147953759348</v>
      </c>
      <c r="I85" s="365">
        <f>'Public Lighting Charges'!Z539</f>
        <v>38.277783548010788</v>
      </c>
    </row>
    <row r="86" spans="1:9" x14ac:dyDescent="0.2">
      <c r="A86" t="str">
        <f>'Public Lighting Charges'!A540</f>
        <v>HPS0020-ST-0880-002-B</v>
      </c>
      <c r="B86" s="365">
        <f>'Public Lighting Charges'!J540</f>
        <v>0</v>
      </c>
      <c r="C86" s="365">
        <f>'Public Lighting Charges'!L540*(1+'Public Lighting Charges'!$M$12)+(('Public Lighting Charges'!L540*'Public Lighting Charges'!$M$10)*'Public Lighting Charges'!$M$14)</f>
        <v>64.659277480370022</v>
      </c>
      <c r="D86" s="365">
        <f t="shared" si="1"/>
        <v>64.659277480370022</v>
      </c>
      <c r="E86" s="365">
        <f>'Public Lighting Charges'!O540</f>
        <v>42.465692910798147</v>
      </c>
      <c r="F86" s="365">
        <f>'Public Lighting Charges'!Q540</f>
        <v>44.543915608359193</v>
      </c>
      <c r="G86" s="365">
        <f>'Public Lighting Charges'!T540</f>
        <v>46.373387010229727</v>
      </c>
      <c r="H86" s="365">
        <f>'Public Lighting Charges'!W540</f>
        <v>48.061503830263007</v>
      </c>
      <c r="I86" s="365">
        <f>'Public Lighting Charges'!Z540</f>
        <v>49.449789649340673</v>
      </c>
    </row>
    <row r="87" spans="1:9" x14ac:dyDescent="0.2">
      <c r="A87" t="str">
        <f>'Public Lighting Charges'!A541</f>
        <v>HPS0020-ST-0890-001-B</v>
      </c>
      <c r="B87" s="365">
        <f>'Public Lighting Charges'!J541</f>
        <v>26.376770440019968</v>
      </c>
      <c r="C87" s="365">
        <f>'Public Lighting Charges'!L541*(1+'Public Lighting Charges'!$M$12)+(('Public Lighting Charges'!L541*'Public Lighting Charges'!$M$10)*'Public Lighting Charges'!$M$14)</f>
        <v>54.286642881043264</v>
      </c>
      <c r="D87" s="365">
        <f t="shared" si="1"/>
        <v>80.663413321063231</v>
      </c>
      <c r="E87" s="365">
        <f>'Public Lighting Charges'!O541</f>
        <v>68.675705845508986</v>
      </c>
      <c r="F87" s="365">
        <f>'Public Lighting Charges'!Q541</f>
        <v>69.615112041249517</v>
      </c>
      <c r="G87" s="365">
        <f>'Public Lighting Charges'!T541</f>
        <v>71.900845018645811</v>
      </c>
      <c r="H87" s="365">
        <f>'Public Lighting Charges'!W541</f>
        <v>74.09868140984652</v>
      </c>
      <c r="I87" s="365">
        <f>'Public Lighting Charges'!Z541</f>
        <v>76.086481457136102</v>
      </c>
    </row>
    <row r="88" spans="1:9" x14ac:dyDescent="0.2">
      <c r="A88" t="str">
        <f>'Public Lighting Charges'!A542</f>
        <v>HPS0020-ST-0890-002-B</v>
      </c>
      <c r="B88" s="365">
        <f>'Public Lighting Charges'!J542</f>
        <v>0</v>
      </c>
      <c r="C88" s="365">
        <f>'Public Lighting Charges'!L542*(1+'Public Lighting Charges'!$M$12)+(('Public Lighting Charges'!L542*'Public Lighting Charges'!$M$10)*'Public Lighting Charges'!$M$14)</f>
        <v>54.286642881043264</v>
      </c>
      <c r="D88" s="365">
        <f t="shared" si="1"/>
        <v>54.286642881043264</v>
      </c>
      <c r="E88" s="365">
        <f>'Public Lighting Charges'!O542</f>
        <v>32.871577674698983</v>
      </c>
      <c r="F88" s="365">
        <f>'Public Lighting Charges'!Q542</f>
        <v>34.480275287892276</v>
      </c>
      <c r="G88" s="365">
        <f>'Public Lighting Charges'!T542</f>
        <v>35.896421055642975</v>
      </c>
      <c r="H88" s="365">
        <f>'Public Lighting Charges'!W542</f>
        <v>37.203147953759348</v>
      </c>
      <c r="I88" s="365">
        <f>'Public Lighting Charges'!Z542</f>
        <v>38.277783548010788</v>
      </c>
    </row>
    <row r="89" spans="1:9" x14ac:dyDescent="0.2">
      <c r="A89" t="str">
        <f>'Public Lighting Charges'!A543</f>
        <v>HPS0020-ST-0910-001-B</v>
      </c>
      <c r="B89" s="365">
        <f>'Public Lighting Charges'!J543</f>
        <v>60.277888801896275</v>
      </c>
      <c r="C89" s="365">
        <f>'Public Lighting Charges'!L543*(1+'Public Lighting Charges'!$M$12)+(('Public Lighting Charges'!L543*'Public Lighting Charges'!$M$10)*'Public Lighting Charges'!$M$14)</f>
        <v>65.461047680370015</v>
      </c>
      <c r="D89" s="365">
        <f t="shared" si="1"/>
        <v>125.7389364822663</v>
      </c>
      <c r="E89" s="365">
        <f>'Public Lighting Charges'!O543</f>
        <v>125.08966953314511</v>
      </c>
      <c r="F89" s="365">
        <f>'Public Lighting Charges'!Q543</f>
        <v>125.67763764458938</v>
      </c>
      <c r="G89" s="365">
        <f>'Public Lighting Charges'!T543</f>
        <v>129.52890029939235</v>
      </c>
      <c r="H89" s="365">
        <f>'Public Lighting Charges'!W543</f>
        <v>133.28532259439893</v>
      </c>
      <c r="I89" s="365">
        <f>'Public Lighting Charges'!Z543</f>
        <v>136.78665214120008</v>
      </c>
    </row>
    <row r="90" spans="1:9" x14ac:dyDescent="0.2">
      <c r="A90" t="str">
        <f>'Public Lighting Charges'!A544</f>
        <v>HPS0020-ST-0910-002-B</v>
      </c>
      <c r="B90" s="365">
        <f>'Public Lighting Charges'!J544</f>
        <v>0</v>
      </c>
      <c r="C90" s="365">
        <f>'Public Lighting Charges'!L544*(1+'Public Lighting Charges'!$M$12)+(('Public Lighting Charges'!L544*'Public Lighting Charges'!$M$10)*'Public Lighting Charges'!$M$14)</f>
        <v>65.461047680370015</v>
      </c>
      <c r="D90" s="365">
        <f t="shared" si="1"/>
        <v>65.461047680370015</v>
      </c>
      <c r="E90" s="365">
        <f>'Public Lighting Charges'!O544</f>
        <v>43.267777750123152</v>
      </c>
      <c r="F90" s="365">
        <f>'Public Lighting Charges'!Q544</f>
        <v>45.385253567183653</v>
      </c>
      <c r="G90" s="365">
        <f>'Public Lighting Charges'!T544</f>
        <v>47.249279716070831</v>
      </c>
      <c r="H90" s="365">
        <f>'Public Lighting Charges'!W544</f>
        <v>48.969281401640217</v>
      </c>
      <c r="I90" s="365">
        <f>'Public Lighting Charges'!Z544</f>
        <v>50.383788928920566</v>
      </c>
    </row>
    <row r="91" spans="1:9" x14ac:dyDescent="0.2">
      <c r="A91" t="str">
        <f>'Public Lighting Charges'!A545</f>
        <v>HPS0020-TA-0090-001-B</v>
      </c>
      <c r="B91" s="365">
        <f>'Public Lighting Charges'!J545</f>
        <v>19.562845754409921</v>
      </c>
      <c r="C91" s="365">
        <f>'Public Lighting Charges'!L545*(1+'Public Lighting Charges'!$M$12)+(('Public Lighting Charges'!L545*'Public Lighting Charges'!$M$10)*'Public Lighting Charges'!$M$14)</f>
        <v>59.557650311594657</v>
      </c>
      <c r="D91" s="365">
        <f t="shared" si="1"/>
        <v>79.120496066004577</v>
      </c>
      <c r="E91" s="365">
        <f>'Public Lighting Charges'!O545</f>
        <v>57.205069050049644</v>
      </c>
      <c r="F91" s="365">
        <f>'Public Lighting Charges'!Q545</f>
        <v>58.208663890910557</v>
      </c>
      <c r="G91" s="365">
        <f>'Public Lighting Charges'!T545</f>
        <v>60.174058137077139</v>
      </c>
      <c r="H91" s="365">
        <f>'Public Lighting Charges'!W545</f>
        <v>62.053390051322822</v>
      </c>
      <c r="I91" s="365">
        <f>'Public Lighting Charges'!Z545</f>
        <v>63.732672012355991</v>
      </c>
    </row>
    <row r="92" spans="1:9" x14ac:dyDescent="0.2">
      <c r="A92" t="str">
        <f>'Public Lighting Charges'!A546</f>
        <v>HPS0020-TA-0090-002-B</v>
      </c>
      <c r="B92" s="365">
        <f>'Public Lighting Charges'!J546</f>
        <v>0</v>
      </c>
      <c r="C92" s="365">
        <f>'Public Lighting Charges'!L546*(1+'Public Lighting Charges'!$M$12)+(('Public Lighting Charges'!L546*'Public Lighting Charges'!$M$10)*'Public Lighting Charges'!$M$14)</f>
        <v>59.557650311594657</v>
      </c>
      <c r="D92" s="365">
        <f t="shared" si="1"/>
        <v>59.557650311594657</v>
      </c>
      <c r="E92" s="365">
        <f>'Public Lighting Charges'!O546</f>
        <v>30.650239740319005</v>
      </c>
      <c r="F92" s="365">
        <f>'Public Lighting Charges'!Q546</f>
        <v>32.150227602234274</v>
      </c>
      <c r="G92" s="365">
        <f>'Public Lighting Charges'!T546</f>
        <v>33.470675550256118</v>
      </c>
      <c r="H92" s="365">
        <f>'Public Lighting Charges'!W546</f>
        <v>34.689098745477985</v>
      </c>
      <c r="I92" s="365">
        <f>'Public Lighting Charges'!Z546</f>
        <v>35.69111449669149</v>
      </c>
    </row>
    <row r="93" spans="1:9" x14ac:dyDescent="0.2">
      <c r="A93" t="str">
        <f>'Public Lighting Charges'!A547</f>
        <v>HPS0020-TA-0140-001-B</v>
      </c>
      <c r="B93" s="365">
        <f>'Public Lighting Charges'!J547</f>
        <v>53.463964116286228</v>
      </c>
      <c r="C93" s="365">
        <f>'Public Lighting Charges'!L547*(1+'Public Lighting Charges'!$M$12)+(('Public Lighting Charges'!L547*'Public Lighting Charges'!$M$10)*'Public Lighting Charges'!$M$14)</f>
        <v>70.732055110921394</v>
      </c>
      <c r="D93" s="365">
        <f t="shared" si="1"/>
        <v>124.19601922720761</v>
      </c>
      <c r="E93" s="365">
        <f>'Public Lighting Charges'!O547</f>
        <v>113.61903273768579</v>
      </c>
      <c r="F93" s="365">
        <f>'Public Lighting Charges'!Q547</f>
        <v>114.27118949425045</v>
      </c>
      <c r="G93" s="365">
        <f>'Public Lighting Charges'!T547</f>
        <v>117.80211341782372</v>
      </c>
      <c r="H93" s="365">
        <f>'Public Lighting Charges'!W547</f>
        <v>121.24003123587529</v>
      </c>
      <c r="I93" s="365">
        <f>'Public Lighting Charges'!Z547</f>
        <v>124.43284269642</v>
      </c>
    </row>
    <row r="94" spans="1:9" x14ac:dyDescent="0.2">
      <c r="A94" t="str">
        <f>'Public Lighting Charges'!A548</f>
        <v>HPS0020-TA-0140-002-B</v>
      </c>
      <c r="B94" s="365">
        <f>'Public Lighting Charges'!J548</f>
        <v>0</v>
      </c>
      <c r="C94" s="365">
        <f>'Public Lighting Charges'!L548*(1+'Public Lighting Charges'!$M$12)+(('Public Lighting Charges'!L548*'Public Lighting Charges'!$M$10)*'Public Lighting Charges'!$M$14)</f>
        <v>70.732055110921394</v>
      </c>
      <c r="D94" s="365">
        <f t="shared" si="1"/>
        <v>70.732055110921394</v>
      </c>
      <c r="E94" s="365">
        <f>'Public Lighting Charges'!O548</f>
        <v>41.04643981574317</v>
      </c>
      <c r="F94" s="365">
        <f>'Public Lighting Charges'!Q548</f>
        <v>43.055205881525644</v>
      </c>
      <c r="G94" s="365">
        <f>'Public Lighting Charges'!T548</f>
        <v>44.823534210683967</v>
      </c>
      <c r="H94" s="365">
        <f>'Public Lighting Charges'!W548</f>
        <v>46.455232193358832</v>
      </c>
      <c r="I94" s="365">
        <f>'Public Lighting Charges'!Z548</f>
        <v>47.797119877601268</v>
      </c>
    </row>
    <row r="95" spans="1:9" x14ac:dyDescent="0.2">
      <c r="A95" t="str">
        <f>'Public Lighting Charges'!A549</f>
        <v>HPS0020-TA-0170-001-B</v>
      </c>
      <c r="B95" s="365">
        <f>'Public Lighting Charges'!J549</f>
        <v>88.561479773931197</v>
      </c>
      <c r="C95" s="365">
        <f>'Public Lighting Charges'!L549*(1+'Public Lighting Charges'!$M$12)+(('Public Lighting Charges'!L549*'Public Lighting Charges'!$M$10)*'Public Lighting Charges'!$M$14)</f>
        <v>69.930284910921415</v>
      </c>
      <c r="D95" s="365">
        <f t="shared" si="1"/>
        <v>158.49176468485263</v>
      </c>
      <c r="E95" s="365">
        <f>'Public Lighting Charges'!O549</f>
        <v>160.45871480613616</v>
      </c>
      <c r="F95" s="365">
        <f>'Public Lighting Charges'!Q549</f>
        <v>160.18104444146783</v>
      </c>
      <c r="G95" s="365">
        <f>'Public Lighting Charges'!T549</f>
        <v>164.83450564244899</v>
      </c>
      <c r="H95" s="365">
        <f>'Public Lighting Charges'!W549</f>
        <v>169.42626864699349</v>
      </c>
      <c r="I95" s="365">
        <f>'Public Lighting Charges'!Z549</f>
        <v>173.80793527015229</v>
      </c>
    </row>
    <row r="96" spans="1:9" x14ac:dyDescent="0.2">
      <c r="A96" t="str">
        <f>'Public Lighting Charges'!A550</f>
        <v>HPS0020-TA-0170-002-B</v>
      </c>
      <c r="B96" s="365">
        <f>'Public Lighting Charges'!J550</f>
        <v>0</v>
      </c>
      <c r="C96" s="365">
        <f>'Public Lighting Charges'!L550*(1+'Public Lighting Charges'!$M$12)+(('Public Lighting Charges'!L550*'Public Lighting Charges'!$M$10)*'Public Lighting Charges'!$M$14)</f>
        <v>69.930284910921415</v>
      </c>
      <c r="D96" s="365">
        <f t="shared" si="1"/>
        <v>69.930284910921415</v>
      </c>
      <c r="E96" s="365">
        <f>'Public Lighting Charges'!O550</f>
        <v>40.244354976418172</v>
      </c>
      <c r="F96" s="365">
        <f>'Public Lighting Charges'!Q550</f>
        <v>42.213867922701191</v>
      </c>
      <c r="G96" s="365">
        <f>'Public Lighting Charges'!T550</f>
        <v>43.947641504842871</v>
      </c>
      <c r="H96" s="365">
        <f>'Public Lighting Charges'!W550</f>
        <v>45.547454621981643</v>
      </c>
      <c r="I96" s="365">
        <f>'Public Lighting Charges'!Z550</f>
        <v>46.863120598021375</v>
      </c>
    </row>
    <row r="97" spans="1:9" x14ac:dyDescent="0.2">
      <c r="A97" t="str">
        <f>'Public Lighting Charges'!A551</f>
        <v>HPS0070-ST-0040-001-B</v>
      </c>
      <c r="B97" s="365">
        <f>'Public Lighting Charges'!J551</f>
        <v>18.483521869130684</v>
      </c>
      <c r="C97" s="365">
        <f>'Public Lighting Charges'!L551*(1+'Public Lighting Charges'!$M$12)+(('Public Lighting Charges'!L551*'Public Lighting Charges'!$M$10)*'Public Lighting Charges'!$M$14)</f>
        <v>54.286642881043264</v>
      </c>
      <c r="D97" s="365">
        <f t="shared" si="1"/>
        <v>72.770164750173947</v>
      </c>
      <c r="E97" s="365">
        <f>'Public Lighting Charges'!O551</f>
        <v>57.96132046770726</v>
      </c>
      <c r="F97" s="365">
        <f>'Public Lighting Charges'!Q551</f>
        <v>59.101012120544617</v>
      </c>
      <c r="G97" s="365">
        <f>'Public Lighting Charges'!T551</f>
        <v>61.126521124903462</v>
      </c>
      <c r="H97" s="365">
        <f>'Public Lighting Charges'!W551</f>
        <v>63.057692999734037</v>
      </c>
      <c r="I97" s="365">
        <f>'Public Lighting Charges'!Z551</f>
        <v>64.772228583873343</v>
      </c>
    </row>
    <row r="98" spans="1:9" x14ac:dyDescent="0.2">
      <c r="A98" t="str">
        <f>'Public Lighting Charges'!A552</f>
        <v>HPS0070-ST-0040-002-B</v>
      </c>
      <c r="B98" s="365">
        <f>'Public Lighting Charges'!J552</f>
        <v>0</v>
      </c>
      <c r="C98" s="365">
        <f>'Public Lighting Charges'!L552*(1+'Public Lighting Charges'!$M$12)+(('Public Lighting Charges'!L552*'Public Lighting Charges'!$M$10)*'Public Lighting Charges'!$M$14)</f>
        <v>54.286642881043264</v>
      </c>
      <c r="D98" s="365">
        <f t="shared" si="1"/>
        <v>54.286642881043264</v>
      </c>
      <c r="E98" s="365">
        <f>'Public Lighting Charges'!O552</f>
        <v>32.871577674698983</v>
      </c>
      <c r="F98" s="365">
        <f>'Public Lighting Charges'!Q552</f>
        <v>34.480275287892276</v>
      </c>
      <c r="G98" s="365">
        <f>'Public Lighting Charges'!T552</f>
        <v>35.896421055642975</v>
      </c>
      <c r="H98" s="365">
        <f>'Public Lighting Charges'!W552</f>
        <v>37.203147953759348</v>
      </c>
      <c r="I98" s="365">
        <f>'Public Lighting Charges'!Z552</f>
        <v>38.277783548010788</v>
      </c>
    </row>
    <row r="99" spans="1:9" x14ac:dyDescent="0.2">
      <c r="A99" t="str">
        <f>'Public Lighting Charges'!A553</f>
        <v>HPS0070-ST-0350-001-B</v>
      </c>
      <c r="B99" s="365">
        <f>'Public Lighting Charges'!J553</f>
        <v>52.384640231006998</v>
      </c>
      <c r="C99" s="365">
        <f>'Public Lighting Charges'!L553*(1+'Public Lighting Charges'!$M$12)+(('Public Lighting Charges'!L553*'Public Lighting Charges'!$M$10)*'Public Lighting Charges'!$M$14)</f>
        <v>65.461047680370015</v>
      </c>
      <c r="D99" s="365">
        <f t="shared" si="1"/>
        <v>117.84568791137701</v>
      </c>
      <c r="E99" s="365">
        <f>'Public Lighting Charges'!O553</f>
        <v>114.37528415534339</v>
      </c>
      <c r="F99" s="365">
        <f>'Public Lighting Charges'!Q553</f>
        <v>115.16353772388447</v>
      </c>
      <c r="G99" s="365">
        <f>'Public Lighting Charges'!T553</f>
        <v>118.75457640565001</v>
      </c>
      <c r="H99" s="365">
        <f>'Public Lighting Charges'!W553</f>
        <v>122.24433418428647</v>
      </c>
      <c r="I99" s="365">
        <f>'Public Lighting Charges'!Z553</f>
        <v>125.47239926793732</v>
      </c>
    </row>
    <row r="100" spans="1:9" x14ac:dyDescent="0.2">
      <c r="A100" t="str">
        <f>'Public Lighting Charges'!A554</f>
        <v>HPS0070-ST-0360-001-B</v>
      </c>
      <c r="B100" s="365">
        <f>'Public Lighting Charges'!J554</f>
        <v>87.482155888651974</v>
      </c>
      <c r="C100" s="365">
        <f>'Public Lighting Charges'!L554*(1+'Public Lighting Charges'!$M$12)+(('Public Lighting Charges'!L554*'Public Lighting Charges'!$M$10)*'Public Lighting Charges'!$M$14)</f>
        <v>64.659277480370022</v>
      </c>
      <c r="D100" s="365">
        <f t="shared" si="1"/>
        <v>152.141433369022</v>
      </c>
      <c r="E100" s="365">
        <f>'Public Lighting Charges'!O554</f>
        <v>161.21496622379379</v>
      </c>
      <c r="F100" s="365">
        <f>'Public Lighting Charges'!Q554</f>
        <v>161.07339267110189</v>
      </c>
      <c r="G100" s="365">
        <f>'Public Lighting Charges'!T554</f>
        <v>165.78696863027531</v>
      </c>
      <c r="H100" s="365">
        <f>'Public Lighting Charges'!W554</f>
        <v>170.43057159540473</v>
      </c>
      <c r="I100" s="365">
        <f>'Public Lighting Charges'!Z554</f>
        <v>174.84749184166964</v>
      </c>
    </row>
    <row r="101" spans="1:9" x14ac:dyDescent="0.2">
      <c r="A101" t="str">
        <f>'Public Lighting Charges'!A555</f>
        <v>HPS0070-ST-0360-002-B</v>
      </c>
      <c r="B101" s="365">
        <f>'Public Lighting Charges'!J555</f>
        <v>0</v>
      </c>
      <c r="C101" s="365">
        <f>'Public Lighting Charges'!L555*(1+'Public Lighting Charges'!$M$12)+(('Public Lighting Charges'!L555*'Public Lighting Charges'!$M$10)*'Public Lighting Charges'!$M$14)</f>
        <v>64.659277480370022</v>
      </c>
      <c r="D101" s="365">
        <f t="shared" si="1"/>
        <v>64.659277480370022</v>
      </c>
      <c r="E101" s="365">
        <f>'Public Lighting Charges'!O555</f>
        <v>42.465692910798147</v>
      </c>
      <c r="F101" s="365">
        <f>'Public Lighting Charges'!Q555</f>
        <v>44.543915608359193</v>
      </c>
      <c r="G101" s="365">
        <f>'Public Lighting Charges'!T555</f>
        <v>46.373387010229727</v>
      </c>
      <c r="H101" s="365">
        <f>'Public Lighting Charges'!W555</f>
        <v>48.061503830263007</v>
      </c>
      <c r="I101" s="365">
        <f>'Public Lighting Charges'!Z555</f>
        <v>49.449789649340673</v>
      </c>
    </row>
    <row r="102" spans="1:9" x14ac:dyDescent="0.2">
      <c r="A102" t="str">
        <f>'Public Lighting Charges'!A556</f>
        <v>HPS0080-ST-0050-001-B</v>
      </c>
      <c r="B102" s="365">
        <f>'Public Lighting Charges'!J556</f>
        <v>32.009790998230237</v>
      </c>
      <c r="C102" s="365">
        <f>'Public Lighting Charges'!L556*(1+'Public Lighting Charges'!$M$12)+(('Public Lighting Charges'!L556*'Public Lighting Charges'!$M$10)*'Public Lighting Charges'!$M$14)</f>
        <v>59.167791880972793</v>
      </c>
      <c r="D102" s="365">
        <f t="shared" si="1"/>
        <v>91.17758287920303</v>
      </c>
      <c r="E102" s="365">
        <f>'Public Lighting Charges'!O556</f>
        <v>80.936756236752643</v>
      </c>
      <c r="F102" s="365">
        <f>'Public Lighting Charges'!Q556</f>
        <v>81.959067975016993</v>
      </c>
      <c r="G102" s="365">
        <f>'Public Lighting Charges'!T556</f>
        <v>84.629317595761023</v>
      </c>
      <c r="H102" s="365">
        <f>'Public Lighting Charges'!W556</f>
        <v>87.200905999996422</v>
      </c>
      <c r="I102" s="365">
        <f>'Public Lighting Charges'!Z556</f>
        <v>89.534585640324053</v>
      </c>
    </row>
    <row r="103" spans="1:9" x14ac:dyDescent="0.2">
      <c r="A103" t="str">
        <f>'Public Lighting Charges'!A557</f>
        <v>HPS0080-ST-0360-002-B</v>
      </c>
      <c r="B103" s="365">
        <f>'Public Lighting Charges'!J557</f>
        <v>0</v>
      </c>
      <c r="C103" s="365">
        <f>'Public Lighting Charges'!L557*(1+'Public Lighting Charges'!$M$12)+(('Public Lighting Charges'!L557*'Public Lighting Charges'!$M$10)*'Public Lighting Charges'!$M$14)</f>
        <v>69.540426480299558</v>
      </c>
      <c r="D103" s="365">
        <f t="shared" si="1"/>
        <v>69.540426480299558</v>
      </c>
      <c r="E103" s="365">
        <f>'Public Lighting Charges'!O557</f>
        <v>47.080417133582529</v>
      </c>
      <c r="F103" s="365">
        <f>'Public Lighting Charges'!Q557</f>
        <v>49.384479184405059</v>
      </c>
      <c r="G103" s="365">
        <f>'Public Lighting Charges'!T557</f>
        <v>51.412758268769721</v>
      </c>
      <c r="H103" s="365">
        <f>'Public Lighting Charges'!W557</f>
        <v>53.284321844202971</v>
      </c>
      <c r="I103" s="365">
        <f>'Public Lighting Charges'!Z557</f>
        <v>54.823471943557493</v>
      </c>
    </row>
    <row r="104" spans="1:9" x14ac:dyDescent="0.2">
      <c r="A104" t="str">
        <f>'Public Lighting Charges'!A558</f>
        <v>HPS0090-ST-0050-001-B</v>
      </c>
      <c r="B104" s="365">
        <f>'Public Lighting Charges'!J558</f>
        <v>32.009790998230237</v>
      </c>
      <c r="C104" s="365">
        <f>'Public Lighting Charges'!L558*(1+'Public Lighting Charges'!$M$12)+(('Public Lighting Charges'!L558*'Public Lighting Charges'!$M$10)*'Public Lighting Charges'!$M$14)</f>
        <v>67.364406876430564</v>
      </c>
      <c r="D104" s="365">
        <f t="shared" si="1"/>
        <v>99.374197874660808</v>
      </c>
      <c r="E104" s="365">
        <f>'Public Lighting Charges'!O558</f>
        <v>78.471847014249619</v>
      </c>
      <c r="F104" s="365">
        <f>'Public Lighting Charges'!Q558</f>
        <v>79.373528899507832</v>
      </c>
      <c r="G104" s="365">
        <f>'Public Lighting Charges'!T558</f>
        <v>81.937587366365634</v>
      </c>
      <c r="H104" s="365">
        <f>'Public Lighting Charges'!W558</f>
        <v>84.411189503731379</v>
      </c>
      <c r="I104" s="365">
        <f>'Public Lighting Charges'!Z558</f>
        <v>86.66428648346043</v>
      </c>
    </row>
    <row r="105" spans="1:9" x14ac:dyDescent="0.2">
      <c r="A105" t="str">
        <f>'Public Lighting Charges'!A559</f>
        <v>HPS0090-ST-0050-002-B</v>
      </c>
      <c r="B105" s="365">
        <f>'Public Lighting Charges'!J559</f>
        <v>0</v>
      </c>
      <c r="C105" s="365">
        <f>'Public Lighting Charges'!L559*(1+'Public Lighting Charges'!$M$12)+(('Public Lighting Charges'!L559*'Public Lighting Charges'!$M$10)*'Public Lighting Charges'!$M$14)</f>
        <v>67.364406876430564</v>
      </c>
      <c r="D105" s="365">
        <f t="shared" si="1"/>
        <v>67.364406876430564</v>
      </c>
      <c r="E105" s="365">
        <f>'Public Lighting Charges'!O559</f>
        <v>35.021392674980348</v>
      </c>
      <c r="F105" s="365">
        <f>'Public Lighting Charges'!Q559</f>
        <v>36.735299788428989</v>
      </c>
      <c r="G105" s="365">
        <f>'Public Lighting Charges'!T559</f>
        <v>38.244062084787579</v>
      </c>
      <c r="H105" s="365">
        <f>'Public Lighting Charges'!W559</f>
        <v>39.636249471434269</v>
      </c>
      <c r="I105" s="365">
        <f>'Public Lighting Charges'!Z559</f>
        <v>40.781166685363978</v>
      </c>
    </row>
    <row r="106" spans="1:9" x14ac:dyDescent="0.2">
      <c r="A106" t="str">
        <f>'Public Lighting Charges'!A560</f>
        <v>HPS0090-ST-0220-001-B</v>
      </c>
      <c r="B106" s="365">
        <f>'Public Lighting Charges'!J560</f>
        <v>65.91090936010653</v>
      </c>
      <c r="C106" s="365">
        <f>'Public Lighting Charges'!L560*(1+'Public Lighting Charges'!$M$12)+(('Public Lighting Charges'!L560*'Public Lighting Charges'!$M$10)*'Public Lighting Charges'!$M$14)</f>
        <v>78.53881167575733</v>
      </c>
      <c r="D106" s="365">
        <f t="shared" si="1"/>
        <v>144.44972103586386</v>
      </c>
      <c r="E106" s="365">
        <f>'Public Lighting Charges'!O560</f>
        <v>134.88581070188579</v>
      </c>
      <c r="F106" s="365">
        <f>'Public Lighting Charges'!Q560</f>
        <v>135.43605450284772</v>
      </c>
      <c r="G106" s="365">
        <f>'Public Lighting Charges'!T560</f>
        <v>139.56564264711221</v>
      </c>
      <c r="H106" s="365">
        <f>'Public Lighting Charges'!W560</f>
        <v>143.59783068828386</v>
      </c>
      <c r="I106" s="365">
        <f>'Public Lighting Charges'!Z560</f>
        <v>147.36445716752442</v>
      </c>
    </row>
    <row r="107" spans="1:9" x14ac:dyDescent="0.2">
      <c r="A107" t="str">
        <f>'Public Lighting Charges'!A561</f>
        <v>HPS0090-ST-0220-002-B</v>
      </c>
      <c r="B107" s="365">
        <f>'Public Lighting Charges'!J561</f>
        <v>0</v>
      </c>
      <c r="C107" s="365">
        <f>'Public Lighting Charges'!L561*(1+'Public Lighting Charges'!$M$12)+(('Public Lighting Charges'!L561*'Public Lighting Charges'!$M$10)*'Public Lighting Charges'!$M$14)</f>
        <v>78.53881167575733</v>
      </c>
      <c r="D107" s="365">
        <f t="shared" si="1"/>
        <v>78.53881167575733</v>
      </c>
      <c r="E107" s="365">
        <f>'Public Lighting Charges'!O561</f>
        <v>45.417592750404523</v>
      </c>
      <c r="F107" s="365">
        <f>'Public Lighting Charges'!Q561</f>
        <v>47.640278067720359</v>
      </c>
      <c r="G107" s="365">
        <f>'Public Lighting Charges'!T561</f>
        <v>49.596920745215442</v>
      </c>
      <c r="H107" s="365">
        <f>'Public Lighting Charges'!W561</f>
        <v>51.40238291931513</v>
      </c>
      <c r="I107" s="365">
        <f>'Public Lighting Charges'!Z561</f>
        <v>52.887172066273756</v>
      </c>
    </row>
    <row r="108" spans="1:9" x14ac:dyDescent="0.2">
      <c r="A108" t="str">
        <f>'Public Lighting Charges'!A562</f>
        <v>HPS0090-ST-0310-001-B</v>
      </c>
      <c r="B108" s="365">
        <f>'Public Lighting Charges'!J562</f>
        <v>92.1941745337366</v>
      </c>
      <c r="C108" s="365">
        <f>'Public Lighting Charges'!L562*(1+'Public Lighting Charges'!$M$12)+(('Public Lighting Charges'!L562*'Public Lighting Charges'!$M$10)*'Public Lighting Charges'!$M$14)</f>
        <v>77.737041475757337</v>
      </c>
      <c r="D108" s="365">
        <f t="shared" si="1"/>
        <v>169.93121600949394</v>
      </c>
      <c r="E108" s="365">
        <f>'Public Lighting Charges'!O562</f>
        <v>169.76092892136424</v>
      </c>
      <c r="F108" s="365">
        <f>'Public Lighting Charges'!Q562</f>
        <v>169.60500081368428</v>
      </c>
      <c r="G108" s="365">
        <f>'Public Lighting Charges'!T562</f>
        <v>174.56653874660623</v>
      </c>
      <c r="H108" s="365">
        <f>'Public Lighting Charges'!W562</f>
        <v>179.45479244517381</v>
      </c>
      <c r="I108" s="365">
        <f>'Public Lighting Charges'!Z562</f>
        <v>184.10512451458632</v>
      </c>
    </row>
    <row r="109" spans="1:9" x14ac:dyDescent="0.2">
      <c r="A109" t="str">
        <f>'Public Lighting Charges'!A563</f>
        <v>HPS0090-ST-0310-002-B</v>
      </c>
      <c r="B109" s="365">
        <f>'Public Lighting Charges'!J563</f>
        <v>0</v>
      </c>
      <c r="C109" s="365">
        <f>'Public Lighting Charges'!L563*(1+'Public Lighting Charges'!$M$12)+(('Public Lighting Charges'!L563*'Public Lighting Charges'!$M$10)*'Public Lighting Charges'!$M$14)</f>
        <v>77.737041475757337</v>
      </c>
      <c r="D109" s="365">
        <f t="shared" si="1"/>
        <v>77.737041475757337</v>
      </c>
      <c r="E109" s="365">
        <f>'Public Lighting Charges'!O563</f>
        <v>44.615507911079519</v>
      </c>
      <c r="F109" s="365">
        <f>'Public Lighting Charges'!Q563</f>
        <v>46.798940108895906</v>
      </c>
      <c r="G109" s="365">
        <f>'Public Lighting Charges'!T563</f>
        <v>48.721028039374332</v>
      </c>
      <c r="H109" s="365">
        <f>'Public Lighting Charges'!W563</f>
        <v>50.49460534793792</v>
      </c>
      <c r="I109" s="365">
        <f>'Public Lighting Charges'!Z563</f>
        <v>51.953172786693862</v>
      </c>
    </row>
    <row r="110" spans="1:9" x14ac:dyDescent="0.2">
      <c r="A110" t="str">
        <f>'Public Lighting Charges'!A564</f>
        <v>HPS0090-ST-0690-001-B</v>
      </c>
      <c r="B110" s="365">
        <f>'Public Lighting Charges'!J564</f>
        <v>104.79944174971051</v>
      </c>
      <c r="C110" s="365">
        <f>'Public Lighting Charges'!L564*(1+'Public Lighting Charges'!$M$12)+(('Public Lighting Charges'!L564*'Public Lighting Charges'!$M$10)*'Public Lighting Charges'!$M$14)</f>
        <v>77.737041475757337</v>
      </c>
      <c r="D110" s="365">
        <f t="shared" si="1"/>
        <v>182.53648322546786</v>
      </c>
      <c r="E110" s="365">
        <f>'Public Lighting Charges'!O564</f>
        <v>186.87146199645505</v>
      </c>
      <c r="F110" s="365">
        <f>'Public Lighting Charges'!Q564</f>
        <v>186.3956843764349</v>
      </c>
      <c r="G110" s="365">
        <f>'Public Lighting Charges'!T564</f>
        <v>191.77279172753492</v>
      </c>
      <c r="H110" s="365">
        <f>'Public Lighting Charges'!W564</f>
        <v>197.08690018738048</v>
      </c>
      <c r="I110" s="365">
        <f>'Public Lighting Charges'!Z564</f>
        <v>202.1736269234126</v>
      </c>
    </row>
    <row r="111" spans="1:9" x14ac:dyDescent="0.2">
      <c r="A111" t="str">
        <f>'Public Lighting Charges'!A565</f>
        <v>HPS0090-ST-0690-002-B</v>
      </c>
      <c r="B111" s="365">
        <f>'Public Lighting Charges'!J565</f>
        <v>0</v>
      </c>
      <c r="C111" s="365">
        <f>'Public Lighting Charges'!L565*(1+'Public Lighting Charges'!$M$12)+(('Public Lighting Charges'!L565*'Public Lighting Charges'!$M$10)*'Public Lighting Charges'!$M$14)</f>
        <v>77.737041475757337</v>
      </c>
      <c r="D111" s="365">
        <f t="shared" si="1"/>
        <v>77.737041475757337</v>
      </c>
      <c r="E111" s="365">
        <f>'Public Lighting Charges'!O565</f>
        <v>44.615507911079519</v>
      </c>
      <c r="F111" s="365">
        <f>'Public Lighting Charges'!Q565</f>
        <v>46.798940108895906</v>
      </c>
      <c r="G111" s="365">
        <f>'Public Lighting Charges'!T565</f>
        <v>48.721028039374332</v>
      </c>
      <c r="H111" s="365">
        <f>'Public Lighting Charges'!W565</f>
        <v>50.49460534793792</v>
      </c>
      <c r="I111" s="365">
        <f>'Public Lighting Charges'!Z565</f>
        <v>51.953172786693862</v>
      </c>
    </row>
    <row r="112" spans="1:9" x14ac:dyDescent="0.2">
      <c r="A112" t="str">
        <f>'Public Lighting Charges'!A566</f>
        <v>HPS0090-ST-0710-002-B</v>
      </c>
      <c r="B112" s="365">
        <f>'Public Lighting Charges'!J566</f>
        <v>0</v>
      </c>
      <c r="C112" s="365">
        <f>'Public Lighting Charges'!L566*(1+'Public Lighting Charges'!$M$12)+(('Public Lighting Charges'!L566*'Public Lighting Charges'!$M$10)*'Public Lighting Charges'!$M$14)</f>
        <v>77.737041475757337</v>
      </c>
      <c r="D112" s="365">
        <f t="shared" si="1"/>
        <v>77.737041475757337</v>
      </c>
      <c r="E112" s="365">
        <f>'Public Lighting Charges'!O566</f>
        <v>44.615507911079519</v>
      </c>
      <c r="F112" s="365">
        <f>'Public Lighting Charges'!Q566</f>
        <v>46.798940108895906</v>
      </c>
      <c r="G112" s="365">
        <f>'Public Lighting Charges'!T566</f>
        <v>48.721028039374332</v>
      </c>
      <c r="H112" s="365">
        <f>'Public Lighting Charges'!W566</f>
        <v>50.49460534793792</v>
      </c>
      <c r="I112" s="365">
        <f>'Public Lighting Charges'!Z566</f>
        <v>51.953172786693862</v>
      </c>
    </row>
    <row r="113" spans="1:9" x14ac:dyDescent="0.2">
      <c r="A113" t="str">
        <f>'Public Lighting Charges'!A567</f>
        <v>HPS0090-ST-0720-001-B</v>
      </c>
      <c r="B113" s="365">
        <f>'Public Lighting Charges'!J567</f>
        <v>130.00997618165832</v>
      </c>
      <c r="C113" s="365">
        <f>'Public Lighting Charges'!L567*(1+'Public Lighting Charges'!$M$12)+(('Public Lighting Charges'!L567*'Public Lighting Charges'!$M$10)*'Public Lighting Charges'!$M$14)</f>
        <v>77.737041475757337</v>
      </c>
      <c r="D113" s="365">
        <f t="shared" si="1"/>
        <v>207.74701765741565</v>
      </c>
      <c r="E113" s="365">
        <f>'Public Lighting Charges'!O567</f>
        <v>221.09252814663662</v>
      </c>
      <c r="F113" s="365">
        <f>'Public Lighting Charges'!Q567</f>
        <v>219.97705150193607</v>
      </c>
      <c r="G113" s="365">
        <f>'Public Lighting Charges'!T567</f>
        <v>226.18529768939223</v>
      </c>
      <c r="H113" s="365">
        <f>'Public Lighting Charges'!W567</f>
        <v>232.35111567179376</v>
      </c>
      <c r="I113" s="365">
        <f>'Public Lighting Charges'!Z567</f>
        <v>238.31063174106512</v>
      </c>
    </row>
    <row r="114" spans="1:9" x14ac:dyDescent="0.2">
      <c r="A114" t="str">
        <f>'Public Lighting Charges'!A568</f>
        <v>HPS0090-ST-0720-002-B</v>
      </c>
      <c r="B114" s="365">
        <f>'Public Lighting Charges'!J568</f>
        <v>0</v>
      </c>
      <c r="C114" s="365">
        <f>'Public Lighting Charges'!L568*(1+'Public Lighting Charges'!$M$12)+(('Public Lighting Charges'!L568*'Public Lighting Charges'!$M$10)*'Public Lighting Charges'!$M$14)</f>
        <v>77.737041475757337</v>
      </c>
      <c r="D114" s="365">
        <f t="shared" si="1"/>
        <v>77.737041475757337</v>
      </c>
      <c r="E114" s="365">
        <f>'Public Lighting Charges'!O568</f>
        <v>44.615507911079519</v>
      </c>
      <c r="F114" s="365">
        <f>'Public Lighting Charges'!Q568</f>
        <v>46.798940108895906</v>
      </c>
      <c r="G114" s="365">
        <f>'Public Lighting Charges'!T568</f>
        <v>48.721028039374332</v>
      </c>
      <c r="H114" s="365">
        <f>'Public Lighting Charges'!W568</f>
        <v>50.49460534793792</v>
      </c>
      <c r="I114" s="365">
        <f>'Public Lighting Charges'!Z568</f>
        <v>51.953172786693862</v>
      </c>
    </row>
    <row r="115" spans="1:9" x14ac:dyDescent="0.2">
      <c r="A115" t="str">
        <f>'Public Lighting Charges'!A569</f>
        <v>HPS0090-ST-0980-002-B</v>
      </c>
      <c r="B115" s="365">
        <f>'Public Lighting Charges'!J569</f>
        <v>0</v>
      </c>
      <c r="C115" s="365">
        <f>'Public Lighting Charges'!L569*(1+'Public Lighting Charges'!$M$12)+(('Public Lighting Charges'!L569*'Public Lighting Charges'!$M$10)*'Public Lighting Charges'!$M$14)</f>
        <v>78.53881167575733</v>
      </c>
      <c r="D115" s="365">
        <f t="shared" si="1"/>
        <v>78.53881167575733</v>
      </c>
      <c r="E115" s="365">
        <f>'Public Lighting Charges'!O569</f>
        <v>45.417592750404523</v>
      </c>
      <c r="F115" s="365">
        <f>'Public Lighting Charges'!Q569</f>
        <v>47.640278067720359</v>
      </c>
      <c r="G115" s="365">
        <f>'Public Lighting Charges'!T569</f>
        <v>49.596920745215442</v>
      </c>
      <c r="H115" s="365">
        <f>'Public Lighting Charges'!W569</f>
        <v>51.40238291931513</v>
      </c>
      <c r="I115" s="365">
        <f>'Public Lighting Charges'!Z569</f>
        <v>52.887172066273756</v>
      </c>
    </row>
    <row r="116" spans="1:9" x14ac:dyDescent="0.2">
      <c r="A116" t="str">
        <f>'Public Lighting Charges'!A570</f>
        <v>HPS0090-ST-1010-001-B</v>
      </c>
      <c r="B116" s="365">
        <f>'Public Lighting Charges'!J570</f>
        <v>44.61505821420414</v>
      </c>
      <c r="C116" s="365">
        <f>'Public Lighting Charges'!L570*(1+'Public Lighting Charges'!$M$12)+(('Public Lighting Charges'!L570*'Public Lighting Charges'!$M$10)*'Public Lighting Charges'!$M$14)</f>
        <v>67.364406876430564</v>
      </c>
      <c r="D116" s="365">
        <f t="shared" si="1"/>
        <v>111.9794650906347</v>
      </c>
      <c r="E116" s="365">
        <f>'Public Lighting Charges'!O570</f>
        <v>95.582380089340447</v>
      </c>
      <c r="F116" s="365">
        <f>'Public Lighting Charges'!Q570</f>
        <v>96.164212462258448</v>
      </c>
      <c r="G116" s="365">
        <f>'Public Lighting Charges'!T570</f>
        <v>99.143840347294329</v>
      </c>
      <c r="H116" s="365">
        <f>'Public Lighting Charges'!W570</f>
        <v>102.04329724593805</v>
      </c>
      <c r="I116" s="365">
        <f>'Public Lighting Charges'!Z570</f>
        <v>104.73278889228672</v>
      </c>
    </row>
    <row r="117" spans="1:9" x14ac:dyDescent="0.2">
      <c r="A117" t="str">
        <f>'Public Lighting Charges'!A571</f>
        <v>HPS0090-ST-1010-002-B</v>
      </c>
      <c r="B117" s="365">
        <f>'Public Lighting Charges'!J571</f>
        <v>0</v>
      </c>
      <c r="C117" s="365">
        <f>'Public Lighting Charges'!L571*(1+'Public Lighting Charges'!$M$12)+(('Public Lighting Charges'!L571*'Public Lighting Charges'!$M$10)*'Public Lighting Charges'!$M$14)</f>
        <v>67.364406876430564</v>
      </c>
      <c r="D117" s="365">
        <f t="shared" si="1"/>
        <v>67.364406876430564</v>
      </c>
      <c r="E117" s="365">
        <f>'Public Lighting Charges'!O571</f>
        <v>35.021392674980348</v>
      </c>
      <c r="F117" s="365">
        <f>'Public Lighting Charges'!Q571</f>
        <v>36.735299788428989</v>
      </c>
      <c r="G117" s="365">
        <f>'Public Lighting Charges'!T571</f>
        <v>38.244062084787579</v>
      </c>
      <c r="H117" s="365">
        <f>'Public Lighting Charges'!W571</f>
        <v>39.636249471434269</v>
      </c>
      <c r="I117" s="365">
        <f>'Public Lighting Charges'!Z571</f>
        <v>40.781166685363978</v>
      </c>
    </row>
    <row r="118" spans="1:9" x14ac:dyDescent="0.2">
      <c r="A118" t="str">
        <f>'Public Lighting Charges'!A572</f>
        <v>HPS0090-ST-1360-002-B</v>
      </c>
      <c r="B118" s="365">
        <f>'Public Lighting Charges'!J572</f>
        <v>0</v>
      </c>
      <c r="C118" s="365">
        <f>'Public Lighting Charges'!L572*(1+'Public Lighting Charges'!$M$12)+(('Public Lighting Charges'!L572*'Public Lighting Charges'!$M$10)*'Public Lighting Charges'!$M$14)</f>
        <v>77.737041475757337</v>
      </c>
      <c r="D118" s="365">
        <f t="shared" si="1"/>
        <v>77.737041475757337</v>
      </c>
      <c r="E118" s="365">
        <f>'Public Lighting Charges'!O572</f>
        <v>44.615507911079519</v>
      </c>
      <c r="F118" s="365">
        <f>'Public Lighting Charges'!Q572</f>
        <v>46.798940108895906</v>
      </c>
      <c r="G118" s="365">
        <f>'Public Lighting Charges'!T572</f>
        <v>48.721028039374332</v>
      </c>
      <c r="H118" s="365">
        <f>'Public Lighting Charges'!W572</f>
        <v>50.49460534793792</v>
      </c>
      <c r="I118" s="365">
        <f>'Public Lighting Charges'!Z572</f>
        <v>51.953172786693862</v>
      </c>
    </row>
    <row r="119" spans="1:9" x14ac:dyDescent="0.2">
      <c r="A119" t="str">
        <f>'Public Lighting Charges'!A573</f>
        <v>HPS0090-TA-0050-001-B</v>
      </c>
      <c r="B119" s="365">
        <f>'Public Lighting Charges'!J573</f>
        <v>32.009790998230237</v>
      </c>
      <c r="C119" s="365">
        <f>'Public Lighting Charges'!L573*(1+'Public Lighting Charges'!$M$12)+(('Public Lighting Charges'!L573*'Public Lighting Charges'!$M$10)*'Public Lighting Charges'!$M$14)</f>
        <v>73.836169109975756</v>
      </c>
      <c r="D119" s="365">
        <f t="shared" si="1"/>
        <v>105.84596010820599</v>
      </c>
      <c r="E119" s="365">
        <f>'Public Lighting Charges'!O573</f>
        <v>81.494085279449109</v>
      </c>
      <c r="F119" s="365">
        <f>'Public Lighting Charges'!Q573</f>
        <v>82.543672066986133</v>
      </c>
      <c r="G119" s="365">
        <f>'Public Lighting Charges'!T573</f>
        <v>85.237932070586453</v>
      </c>
      <c r="H119" s="365">
        <f>'Public Lighting Charges'!W573</f>
        <v>87.83167568922623</v>
      </c>
      <c r="I119" s="365">
        <f>'Public Lighting Charges'!Z573</f>
        <v>90.183575496316735</v>
      </c>
    </row>
    <row r="120" spans="1:9" x14ac:dyDescent="0.2">
      <c r="A120" t="str">
        <f>'Public Lighting Charges'!A574</f>
        <v>HPS0090-TA-0050-002-B</v>
      </c>
      <c r="B120" s="365">
        <f>'Public Lighting Charges'!J574</f>
        <v>0</v>
      </c>
      <c r="C120" s="365">
        <f>'Public Lighting Charges'!L574*(1+'Public Lighting Charges'!$M$12)+(('Public Lighting Charges'!L574*'Public Lighting Charges'!$M$10)*'Public Lighting Charges'!$M$14)</f>
        <v>73.836169109975756</v>
      </c>
      <c r="D120" s="365">
        <f t="shared" si="1"/>
        <v>73.836169109975756</v>
      </c>
      <c r="E120" s="365">
        <f>'Public Lighting Charges'!O574</f>
        <v>38.04363094017981</v>
      </c>
      <c r="F120" s="365">
        <f>'Public Lighting Charges'!Q574</f>
        <v>39.905442955907297</v>
      </c>
      <c r="G120" s="365">
        <f>'Public Lighting Charges'!T574</f>
        <v>41.544406789008391</v>
      </c>
      <c r="H120" s="365">
        <f>'Public Lighting Charges'!W574</f>
        <v>43.056735656929114</v>
      </c>
      <c r="I120" s="365">
        <f>'Public Lighting Charges'!Z574</f>
        <v>44.300455698220283</v>
      </c>
    </row>
    <row r="121" spans="1:9" x14ac:dyDescent="0.2">
      <c r="A121" t="str">
        <f>'Public Lighting Charges'!A575</f>
        <v>HPS0090-TA-0220-001-B</v>
      </c>
      <c r="B121" s="365">
        <f>'Public Lighting Charges'!J575</f>
        <v>65.91090936010653</v>
      </c>
      <c r="C121" s="365">
        <f>'Public Lighting Charges'!L575*(1+'Public Lighting Charges'!$M$12)+(('Public Lighting Charges'!L575*'Public Lighting Charges'!$M$10)*'Public Lighting Charges'!$M$14)</f>
        <v>85.010573909302522</v>
      </c>
      <c r="D121" s="365">
        <f t="shared" si="1"/>
        <v>150.92148326940907</v>
      </c>
      <c r="E121" s="365">
        <f>'Public Lighting Charges'!O575</f>
        <v>137.90804896708525</v>
      </c>
      <c r="F121" s="365">
        <f>'Public Lighting Charges'!Q575</f>
        <v>138.60619767032603</v>
      </c>
      <c r="G121" s="365">
        <f>'Public Lighting Charges'!T575</f>
        <v>142.86598735133302</v>
      </c>
      <c r="H121" s="365">
        <f>'Public Lighting Charges'!W575</f>
        <v>147.0183168737787</v>
      </c>
      <c r="I121" s="365">
        <f>'Public Lighting Charges'!Z575</f>
        <v>150.88374618038074</v>
      </c>
    </row>
    <row r="122" spans="1:9" x14ac:dyDescent="0.2">
      <c r="A122" t="str">
        <f>'Public Lighting Charges'!A576</f>
        <v>HPS0090-TA-0310-001-B</v>
      </c>
      <c r="B122" s="365">
        <f>'Public Lighting Charges'!J576</f>
        <v>92.1941745337366</v>
      </c>
      <c r="C122" s="365">
        <f>'Public Lighting Charges'!L576*(1+'Public Lighting Charges'!$M$12)+(('Public Lighting Charges'!L576*'Public Lighting Charges'!$M$10)*'Public Lighting Charges'!$M$14)</f>
        <v>84.208803709302515</v>
      </c>
      <c r="D122" s="365">
        <f t="shared" si="1"/>
        <v>176.40297824303912</v>
      </c>
      <c r="E122" s="365">
        <f>'Public Lighting Charges'!O576</f>
        <v>172.7831671865637</v>
      </c>
      <c r="F122" s="365">
        <f>'Public Lighting Charges'!Q576</f>
        <v>172.77514398116259</v>
      </c>
      <c r="G122" s="365">
        <f>'Public Lighting Charges'!T576</f>
        <v>177.86688345082706</v>
      </c>
      <c r="H122" s="365">
        <f>'Public Lighting Charges'!W576</f>
        <v>182.87527863066867</v>
      </c>
      <c r="I122" s="365">
        <f>'Public Lighting Charges'!Z576</f>
        <v>187.62441352744264</v>
      </c>
    </row>
    <row r="123" spans="1:9" x14ac:dyDescent="0.2">
      <c r="A123" t="str">
        <f>'Public Lighting Charges'!A577</f>
        <v>HPS0100-ST-0060-001-B</v>
      </c>
      <c r="B123" s="365">
        <f>'Public Lighting Charges'!J577</f>
        <v>32.138130136529035</v>
      </c>
      <c r="C123" s="365">
        <f>'Public Lighting Charges'!L577*(1+'Public Lighting Charges'!$M$12)+(('Public Lighting Charges'!L577*'Public Lighting Charges'!$M$10)*'Public Lighting Charges'!$M$14)</f>
        <v>68.541669501206812</v>
      </c>
      <c r="D123" s="365">
        <f t="shared" si="1"/>
        <v>100.67979963773584</v>
      </c>
      <c r="E123" s="365">
        <f>'Public Lighting Charges'!O577</f>
        <v>87.058158008637022</v>
      </c>
      <c r="F123" s="365">
        <f>'Public Lighting Charges'!Q577</f>
        <v>88.368262082166183</v>
      </c>
      <c r="G123" s="365">
        <f>'Public Lighting Charges'!T577</f>
        <v>91.29895475297721</v>
      </c>
      <c r="H123" s="365">
        <f>'Public Lighting Charges'!W577</f>
        <v>94.11129464167341</v>
      </c>
      <c r="I123" s="365">
        <f>'Public Lighting Charges'!Z577</f>
        <v>96.643842646066545</v>
      </c>
    </row>
    <row r="124" spans="1:9" x14ac:dyDescent="0.2">
      <c r="A124" t="str">
        <f>'Public Lighting Charges'!A578</f>
        <v>HPS0100-ST-0060-002-B</v>
      </c>
      <c r="B124" s="365">
        <f>'Public Lighting Charges'!J578</f>
        <v>0</v>
      </c>
      <c r="C124" s="365">
        <f>'Public Lighting Charges'!L578*(1+'Public Lighting Charges'!$M$12)+(('Public Lighting Charges'!L578*'Public Lighting Charges'!$M$10)*'Public Lighting Charges'!$M$14)</f>
        <v>68.541669501206812</v>
      </c>
      <c r="D124" s="365">
        <f t="shared" si="1"/>
        <v>68.541669501206812</v>
      </c>
      <c r="E124" s="365">
        <f>'Public Lighting Charges'!O578</f>
        <v>43.433494663476345</v>
      </c>
      <c r="F124" s="365">
        <f>'Public Lighting Charges'!Q578</f>
        <v>45.559080477739151</v>
      </c>
      <c r="G124" s="365">
        <f>'Public Lighting Charges'!T578</f>
        <v>47.430245903840586</v>
      </c>
      <c r="H124" s="365">
        <f>'Public Lighting Charges'!W578</f>
        <v>49.156835248520665</v>
      </c>
      <c r="I124" s="365">
        <f>'Public Lighting Charges'!Z578</f>
        <v>50.576760382933273</v>
      </c>
    </row>
    <row r="125" spans="1:9" x14ac:dyDescent="0.2">
      <c r="A125" t="str">
        <f>'Public Lighting Charges'!A579</f>
        <v>HPS0100-ST-0230-002-B</v>
      </c>
      <c r="B125" s="365">
        <f>'Public Lighting Charges'!J579</f>
        <v>0</v>
      </c>
      <c r="C125" s="365">
        <f>'Public Lighting Charges'!L579*(1+'Public Lighting Charges'!$M$12)+(('Public Lighting Charges'!L579*'Public Lighting Charges'!$M$10)*'Public Lighting Charges'!$M$14)</f>
        <v>79.716074300533563</v>
      </c>
      <c r="D125" s="365">
        <f t="shared" si="1"/>
        <v>79.716074300533563</v>
      </c>
      <c r="E125" s="365">
        <f>'Public Lighting Charges'!O579</f>
        <v>53.829694738900514</v>
      </c>
      <c r="F125" s="365">
        <f>'Public Lighting Charges'!Q579</f>
        <v>56.464058757030521</v>
      </c>
      <c r="G125" s="365">
        <f>'Public Lighting Charges'!T579</f>
        <v>58.783104564268442</v>
      </c>
      <c r="H125" s="365">
        <f>'Public Lighting Charges'!W579</f>
        <v>60.922968696401526</v>
      </c>
      <c r="I125" s="365">
        <f>'Public Lighting Charges'!Z579</f>
        <v>62.682765763843051</v>
      </c>
    </row>
    <row r="126" spans="1:9" x14ac:dyDescent="0.2">
      <c r="A126" t="str">
        <f>'Public Lighting Charges'!A580</f>
        <v>HPS0100-ST-0320-001-B</v>
      </c>
      <c r="B126" s="365">
        <f>'Public Lighting Charges'!J580</f>
        <v>92.322513672035399</v>
      </c>
      <c r="C126" s="365">
        <f>'Public Lighting Charges'!L580*(1+'Public Lighting Charges'!$M$12)+(('Public Lighting Charges'!L580*'Public Lighting Charges'!$M$10)*'Public Lighting Charges'!$M$14)</f>
        <v>78.91430410053357</v>
      </c>
      <c r="D126" s="365">
        <f t="shared" si="1"/>
        <v>171.23681777256897</v>
      </c>
      <c r="E126" s="365">
        <f>'Public Lighting Charges'!O580</f>
        <v>178.34723991575163</v>
      </c>
      <c r="F126" s="365">
        <f>'Public Lighting Charges'!Q580</f>
        <v>178.59973399634268</v>
      </c>
      <c r="G126" s="365">
        <f>'Public Lighting Charges'!T580</f>
        <v>183.92790613321785</v>
      </c>
      <c r="H126" s="365">
        <f>'Public Lighting Charges'!W580</f>
        <v>189.15489758311588</v>
      </c>
      <c r="I126" s="365">
        <f>'Public Lighting Charges'!Z580</f>
        <v>194.08468067719247</v>
      </c>
    </row>
    <row r="127" spans="1:9" x14ac:dyDescent="0.2">
      <c r="A127" t="str">
        <f>'Public Lighting Charges'!A581</f>
        <v>HPS0100-ST-0320-002-B</v>
      </c>
      <c r="B127" s="365">
        <f>'Public Lighting Charges'!J581</f>
        <v>0</v>
      </c>
      <c r="C127" s="365">
        <f>'Public Lighting Charges'!L581*(1+'Public Lighting Charges'!$M$12)+(('Public Lighting Charges'!L581*'Public Lighting Charges'!$M$10)*'Public Lighting Charges'!$M$14)</f>
        <v>78.91430410053357</v>
      </c>
      <c r="D127" s="365">
        <f t="shared" si="1"/>
        <v>78.91430410053357</v>
      </c>
      <c r="E127" s="365">
        <f>'Public Lighting Charges'!O581</f>
        <v>53.027609899575509</v>
      </c>
      <c r="F127" s="365">
        <f>'Public Lighting Charges'!Q581</f>
        <v>55.622720798206068</v>
      </c>
      <c r="G127" s="365">
        <f>'Public Lighting Charges'!T581</f>
        <v>57.907211858427338</v>
      </c>
      <c r="H127" s="365">
        <f>'Public Lighting Charges'!W581</f>
        <v>60.015191125024316</v>
      </c>
      <c r="I127" s="365">
        <f>'Public Lighting Charges'!Z581</f>
        <v>61.74876648426315</v>
      </c>
    </row>
    <row r="128" spans="1:9" x14ac:dyDescent="0.2">
      <c r="A128" t="str">
        <f>'Public Lighting Charges'!A582</f>
        <v>HPS0100-ST-0390-002-B</v>
      </c>
      <c r="B128" s="365">
        <f>'Public Lighting Charges'!J582</f>
        <v>0</v>
      </c>
      <c r="C128" s="365">
        <f>'Public Lighting Charges'!L582*(1+'Public Lighting Charges'!$M$12)+(('Public Lighting Charges'!L582*'Public Lighting Charges'!$M$10)*'Public Lighting Charges'!$M$14)</f>
        <v>78.91430410053357</v>
      </c>
      <c r="D128" s="365">
        <f t="shared" si="1"/>
        <v>78.91430410053357</v>
      </c>
      <c r="E128" s="365">
        <f>'Public Lighting Charges'!O582</f>
        <v>53.027609899575509</v>
      </c>
      <c r="F128" s="365">
        <f>'Public Lighting Charges'!Q582</f>
        <v>55.622720798206068</v>
      </c>
      <c r="G128" s="365">
        <f>'Public Lighting Charges'!T582</f>
        <v>57.907211858427338</v>
      </c>
      <c r="H128" s="365">
        <f>'Public Lighting Charges'!W582</f>
        <v>60.015191125024316</v>
      </c>
      <c r="I128" s="365">
        <f>'Public Lighting Charges'!Z582</f>
        <v>61.74876648426315</v>
      </c>
    </row>
    <row r="129" spans="1:9" x14ac:dyDescent="0.2">
      <c r="A129" t="str">
        <f>'Public Lighting Charges'!A583</f>
        <v>HPS0100-ST-0430-001-B</v>
      </c>
      <c r="B129" s="365">
        <f>'Public Lighting Charges'!J583</f>
        <v>117.78972638058077</v>
      </c>
      <c r="C129" s="365">
        <f>'Public Lighting Charges'!L583*(1+'Public Lighting Charges'!$M$12)+(('Public Lighting Charges'!L583*'Public Lighting Charges'!$M$10)*'Public Lighting Charges'!$M$14)</f>
        <v>78.91430410053357</v>
      </c>
      <c r="D129" s="365">
        <f t="shared" si="1"/>
        <v>196.70403048111433</v>
      </c>
      <c r="E129" s="365">
        <f>'Public Lighting Charges'!O583</f>
        <v>212.916724077716</v>
      </c>
      <c r="F129" s="365">
        <f>'Public Lighting Charges'!Q583</f>
        <v>212.52300610854027</v>
      </c>
      <c r="G129" s="365">
        <f>'Public Lighting Charges'!T583</f>
        <v>218.69077923019231</v>
      </c>
      <c r="H129" s="365">
        <f>'Public Lighting Charges'!W583</f>
        <v>224.77815178924047</v>
      </c>
      <c r="I129" s="365">
        <f>'Public Lighting Charges'!Z583</f>
        <v>230.58961042491862</v>
      </c>
    </row>
    <row r="130" spans="1:9" x14ac:dyDescent="0.2">
      <c r="A130" t="str">
        <f>'Public Lighting Charges'!A584</f>
        <v>HPS0110-ST-0060-001-B</v>
      </c>
      <c r="B130" s="365">
        <f>'Public Lighting Charges'!J584</f>
        <v>32.138130136529035</v>
      </c>
      <c r="C130" s="365">
        <f>'Public Lighting Charges'!L584*(1+'Public Lighting Charges'!$M$12)+(('Public Lighting Charges'!L584*'Public Lighting Charges'!$M$10)*'Public Lighting Charges'!$M$14)</f>
        <v>68.541669501206812</v>
      </c>
      <c r="D130" s="365">
        <f t="shared" si="1"/>
        <v>100.67979963773584</v>
      </c>
      <c r="E130" s="365">
        <f>'Public Lighting Charges'!O584</f>
        <v>79.75311594458617</v>
      </c>
      <c r="F130" s="365">
        <f>'Public Lighting Charges'!Q584</f>
        <v>80.705719570494296</v>
      </c>
      <c r="G130" s="365">
        <f>'Public Lighting Charges'!T584</f>
        <v>83.321702539671207</v>
      </c>
      <c r="H130" s="365">
        <f>'Public Lighting Charges'!W584</f>
        <v>85.843648853363746</v>
      </c>
      <c r="I130" s="365">
        <f>'Public Lighting Charges'!Z584</f>
        <v>88.137380872189638</v>
      </c>
    </row>
    <row r="131" spans="1:9" x14ac:dyDescent="0.2">
      <c r="A131" t="str">
        <f>'Public Lighting Charges'!A585</f>
        <v>HPS0110-ST-0060-002-B</v>
      </c>
      <c r="B131" s="365">
        <f>'Public Lighting Charges'!J585</f>
        <v>0</v>
      </c>
      <c r="C131" s="365">
        <f>'Public Lighting Charges'!L585*(1+'Public Lighting Charges'!$M$12)+(('Public Lighting Charges'!L585*'Public Lighting Charges'!$M$10)*'Public Lighting Charges'!$M$14)</f>
        <v>68.541669501206812</v>
      </c>
      <c r="D131" s="365">
        <f t="shared" si="1"/>
        <v>68.541669501206812</v>
      </c>
      <c r="E131" s="365">
        <f>'Public Lighting Charges'!O585</f>
        <v>36.128452599425493</v>
      </c>
      <c r="F131" s="365">
        <f>'Public Lighting Charges'!Q585</f>
        <v>37.896537966067243</v>
      </c>
      <c r="G131" s="365">
        <f>'Public Lighting Charges'!T585</f>
        <v>39.452993690534583</v>
      </c>
      <c r="H131" s="365">
        <f>'Public Lighting Charges'!W585</f>
        <v>40.889189460210986</v>
      </c>
      <c r="I131" s="365">
        <f>'Public Lighting Charges'!Z585</f>
        <v>42.070298609056358</v>
      </c>
    </row>
    <row r="132" spans="1:9" x14ac:dyDescent="0.2">
      <c r="A132" t="str">
        <f>'Public Lighting Charges'!A586</f>
        <v>HPS0110-ST-0230-001-B</v>
      </c>
      <c r="B132" s="365">
        <f>'Public Lighting Charges'!J586</f>
        <v>66.039248498405314</v>
      </c>
      <c r="C132" s="365">
        <f>'Public Lighting Charges'!L586*(1+'Public Lighting Charges'!$M$12)+(('Public Lighting Charges'!L586*'Public Lighting Charges'!$M$10)*'Public Lighting Charges'!$M$14)</f>
        <v>79.716074300533563</v>
      </c>
      <c r="D132" s="365">
        <f t="shared" ref="D132:D195" si="2">B132+C132</f>
        <v>145.75532279893889</v>
      </c>
      <c r="E132" s="365">
        <f>'Public Lighting Charges'!O586</f>
        <v>136.16707963222228</v>
      </c>
      <c r="F132" s="365">
        <f>'Public Lighting Charges'!Q586</f>
        <v>136.76824517383417</v>
      </c>
      <c r="G132" s="365">
        <f>'Public Lighting Charges'!T586</f>
        <v>140.94975782041774</v>
      </c>
      <c r="H132" s="365">
        <f>'Public Lighting Charges'!W586</f>
        <v>145.03029003791619</v>
      </c>
      <c r="I132" s="365">
        <f>'Public Lighting Charges'!Z586</f>
        <v>148.8375515562536</v>
      </c>
    </row>
    <row r="133" spans="1:9" x14ac:dyDescent="0.2">
      <c r="A133" t="str">
        <f>'Public Lighting Charges'!A587</f>
        <v>HPS0110-ST-0230-002-B</v>
      </c>
      <c r="B133" s="365">
        <f>'Public Lighting Charges'!J587</f>
        <v>0</v>
      </c>
      <c r="C133" s="365">
        <f>'Public Lighting Charges'!L587*(1+'Public Lighting Charges'!$M$12)+(('Public Lighting Charges'!L587*'Public Lighting Charges'!$M$10)*'Public Lighting Charges'!$M$14)</f>
        <v>79.716074300533563</v>
      </c>
      <c r="D133" s="365">
        <f t="shared" si="2"/>
        <v>79.716074300533563</v>
      </c>
      <c r="E133" s="365">
        <f>'Public Lighting Charges'!O587</f>
        <v>46.524652674849662</v>
      </c>
      <c r="F133" s="365">
        <f>'Public Lighting Charges'!Q587</f>
        <v>48.80151624535862</v>
      </c>
      <c r="G133" s="365">
        <f>'Public Lighting Charges'!T587</f>
        <v>50.805852350962439</v>
      </c>
      <c r="H133" s="365">
        <f>'Public Lighting Charges'!W587</f>
        <v>52.65532290809184</v>
      </c>
      <c r="I133" s="365">
        <f>'Public Lighting Charges'!Z587</f>
        <v>54.176303989966136</v>
      </c>
    </row>
    <row r="134" spans="1:9" x14ac:dyDescent="0.2">
      <c r="A134" t="str">
        <f>'Public Lighting Charges'!A588</f>
        <v>HPS0110-ST-0320-001-B</v>
      </c>
      <c r="B134" s="365">
        <f>'Public Lighting Charges'!J588</f>
        <v>92.322513672035399</v>
      </c>
      <c r="C134" s="365">
        <f>'Public Lighting Charges'!L588*(1+'Public Lighting Charges'!$M$12)+(('Public Lighting Charges'!L588*'Public Lighting Charges'!$M$10)*'Public Lighting Charges'!$M$14)</f>
        <v>78.91430410053357</v>
      </c>
      <c r="D134" s="365">
        <f t="shared" si="2"/>
        <v>171.23681777256897</v>
      </c>
      <c r="E134" s="365">
        <f>'Public Lighting Charges'!O588</f>
        <v>171.04219785170076</v>
      </c>
      <c r="F134" s="365">
        <f>'Public Lighting Charges'!Q588</f>
        <v>170.93719148467076</v>
      </c>
      <c r="G134" s="365">
        <f>'Public Lighting Charges'!T588</f>
        <v>175.95065391991184</v>
      </c>
      <c r="H134" s="365">
        <f>'Public Lighting Charges'!W588</f>
        <v>180.88725179480622</v>
      </c>
      <c r="I134" s="365">
        <f>'Public Lighting Charges'!Z588</f>
        <v>185.57821890331556</v>
      </c>
    </row>
    <row r="135" spans="1:9" x14ac:dyDescent="0.2">
      <c r="A135" t="str">
        <f>'Public Lighting Charges'!A589</f>
        <v>HPS0110-ST-0320-002-B</v>
      </c>
      <c r="B135" s="365">
        <f>'Public Lighting Charges'!J589</f>
        <v>0</v>
      </c>
      <c r="C135" s="365">
        <f>'Public Lighting Charges'!L589*(1+'Public Lighting Charges'!$M$12)+(('Public Lighting Charges'!L589*'Public Lighting Charges'!$M$10)*'Public Lighting Charges'!$M$14)</f>
        <v>78.91430410053357</v>
      </c>
      <c r="D135" s="365">
        <f t="shared" si="2"/>
        <v>78.91430410053357</v>
      </c>
      <c r="E135" s="365">
        <f>'Public Lighting Charges'!O589</f>
        <v>45.722567835524657</v>
      </c>
      <c r="F135" s="365">
        <f>'Public Lighting Charges'!Q589</f>
        <v>47.960178286534159</v>
      </c>
      <c r="G135" s="365">
        <f>'Public Lighting Charges'!T589</f>
        <v>49.929959645121336</v>
      </c>
      <c r="H135" s="365">
        <f>'Public Lighting Charges'!W589</f>
        <v>51.747545336714637</v>
      </c>
      <c r="I135" s="365">
        <f>'Public Lighting Charges'!Z589</f>
        <v>53.242304710386243</v>
      </c>
    </row>
    <row r="136" spans="1:9" x14ac:dyDescent="0.2">
      <c r="A136" t="str">
        <f>'Public Lighting Charges'!A590</f>
        <v>HPS0110-ST-0390-001-B</v>
      </c>
      <c r="B136" s="365">
        <f>'Public Lighting Charges'!J590</f>
        <v>105.05612002630808</v>
      </c>
      <c r="C136" s="365">
        <f>'Public Lighting Charges'!L590*(1+'Public Lighting Charges'!$M$12)+(('Public Lighting Charges'!L590*'Public Lighting Charges'!$M$10)*'Public Lighting Charges'!$M$14)</f>
        <v>78.91430410053357</v>
      </c>
      <c r="D136" s="365">
        <f t="shared" si="2"/>
        <v>183.97042412684164</v>
      </c>
      <c r="E136" s="365">
        <f>'Public Lighting Charges'!O590</f>
        <v>188.32693993268293</v>
      </c>
      <c r="F136" s="365">
        <f>'Public Lighting Charges'!Q590</f>
        <v>187.89882754076953</v>
      </c>
      <c r="G136" s="365">
        <f>'Public Lighting Charges'!T590</f>
        <v>193.33209046839906</v>
      </c>
      <c r="H136" s="365">
        <f>'Public Lighting Charges'!W590</f>
        <v>198.6988788978685</v>
      </c>
      <c r="I136" s="365">
        <f>'Public Lighting Charges'!Z590</f>
        <v>203.83068377717862</v>
      </c>
    </row>
    <row r="137" spans="1:9" x14ac:dyDescent="0.2">
      <c r="A137" t="str">
        <f>'Public Lighting Charges'!A591</f>
        <v>HPS0110-ST-0390-002-B</v>
      </c>
      <c r="B137" s="365">
        <f>'Public Lighting Charges'!J591</f>
        <v>0</v>
      </c>
      <c r="C137" s="365">
        <f>'Public Lighting Charges'!L591*(1+'Public Lighting Charges'!$M$12)+(('Public Lighting Charges'!L591*'Public Lighting Charges'!$M$10)*'Public Lighting Charges'!$M$14)</f>
        <v>78.91430410053357</v>
      </c>
      <c r="D137" s="365">
        <f t="shared" si="2"/>
        <v>78.91430410053357</v>
      </c>
      <c r="E137" s="365">
        <f>'Public Lighting Charges'!O591</f>
        <v>45.722567835524657</v>
      </c>
      <c r="F137" s="365">
        <f>'Public Lighting Charges'!Q591</f>
        <v>47.960178286534159</v>
      </c>
      <c r="G137" s="365">
        <f>'Public Lighting Charges'!T591</f>
        <v>49.929959645121336</v>
      </c>
      <c r="H137" s="365">
        <f>'Public Lighting Charges'!W591</f>
        <v>51.747545336714637</v>
      </c>
      <c r="I137" s="365">
        <f>'Public Lighting Charges'!Z591</f>
        <v>53.242304710386243</v>
      </c>
    </row>
    <row r="138" spans="1:9" x14ac:dyDescent="0.2">
      <c r="A138" t="str">
        <f>'Public Lighting Charges'!A592</f>
        <v>HPS0110-ST-0430-002-B</v>
      </c>
      <c r="B138" s="365">
        <f>'Public Lighting Charges'!J592</f>
        <v>0</v>
      </c>
      <c r="C138" s="365">
        <f>'Public Lighting Charges'!L592*(1+'Public Lighting Charges'!$M$12)+(('Public Lighting Charges'!L592*'Public Lighting Charges'!$M$10)*'Public Lighting Charges'!$M$14)</f>
        <v>78.91430410053357</v>
      </c>
      <c r="D138" s="365">
        <f t="shared" si="2"/>
        <v>78.91430410053357</v>
      </c>
      <c r="E138" s="365">
        <f>'Public Lighting Charges'!O592</f>
        <v>45.722567835524657</v>
      </c>
      <c r="F138" s="365">
        <f>'Public Lighting Charges'!Q592</f>
        <v>47.960178286534159</v>
      </c>
      <c r="G138" s="365">
        <f>'Public Lighting Charges'!T592</f>
        <v>49.929959645121336</v>
      </c>
      <c r="H138" s="365">
        <f>'Public Lighting Charges'!W592</f>
        <v>51.747545336714637</v>
      </c>
      <c r="I138" s="365">
        <f>'Public Lighting Charges'!Z592</f>
        <v>53.242304710386243</v>
      </c>
    </row>
    <row r="139" spans="1:9" x14ac:dyDescent="0.2">
      <c r="A139" t="str">
        <f>'Public Lighting Charges'!A593</f>
        <v>HPS0110-ST-0470-001-B</v>
      </c>
      <c r="B139" s="365">
        <f>'Public Lighting Charges'!J593</f>
        <v>130.52333273485345</v>
      </c>
      <c r="C139" s="365">
        <f>'Public Lighting Charges'!L593*(1+'Public Lighting Charges'!$M$12)+(('Public Lighting Charges'!L593*'Public Lighting Charges'!$M$10)*'Public Lighting Charges'!$M$14)</f>
        <v>78.91430410053357</v>
      </c>
      <c r="D139" s="365">
        <f t="shared" si="2"/>
        <v>209.43763683538702</v>
      </c>
      <c r="E139" s="365">
        <f>'Public Lighting Charges'!O593</f>
        <v>222.89642409464736</v>
      </c>
      <c r="F139" s="365">
        <f>'Public Lighting Charges'!Q593</f>
        <v>221.82209965296715</v>
      </c>
      <c r="G139" s="365">
        <f>'Public Lighting Charges'!T593</f>
        <v>228.09496356537358</v>
      </c>
      <c r="H139" s="365">
        <f>'Public Lighting Charges'!W593</f>
        <v>234.32213310399311</v>
      </c>
      <c r="I139" s="365">
        <f>'Public Lighting Charges'!Z593</f>
        <v>240.33561352490483</v>
      </c>
    </row>
    <row r="140" spans="1:9" x14ac:dyDescent="0.2">
      <c r="A140" t="str">
        <f>'Public Lighting Charges'!A594</f>
        <v>HPS0110-ST-0470-002-B</v>
      </c>
      <c r="B140" s="365">
        <f>'Public Lighting Charges'!J594</f>
        <v>0</v>
      </c>
      <c r="C140" s="365">
        <f>'Public Lighting Charges'!L594*(1+'Public Lighting Charges'!$M$12)+(('Public Lighting Charges'!L594*'Public Lighting Charges'!$M$10)*'Public Lighting Charges'!$M$14)</f>
        <v>78.91430410053357</v>
      </c>
      <c r="D140" s="365">
        <f t="shared" si="2"/>
        <v>78.91430410053357</v>
      </c>
      <c r="E140" s="365">
        <f>'Public Lighting Charges'!O594</f>
        <v>45.722567835524657</v>
      </c>
      <c r="F140" s="365">
        <f>'Public Lighting Charges'!Q594</f>
        <v>47.960178286534159</v>
      </c>
      <c r="G140" s="365">
        <f>'Public Lighting Charges'!T594</f>
        <v>49.929959645121336</v>
      </c>
      <c r="H140" s="365">
        <f>'Public Lighting Charges'!W594</f>
        <v>51.747545336714637</v>
      </c>
      <c r="I140" s="365">
        <f>'Public Lighting Charges'!Z594</f>
        <v>53.242304710386243</v>
      </c>
    </row>
    <row r="141" spans="1:9" x14ac:dyDescent="0.2">
      <c r="A141" t="str">
        <f>'Public Lighting Charges'!A595</f>
        <v>HPS0110-ST-0550-001-B</v>
      </c>
      <c r="B141" s="365">
        <f>'Public Lighting Charges'!J595</f>
        <v>177.78992197571316</v>
      </c>
      <c r="C141" s="365">
        <f>'Public Lighting Charges'!L595*(1+'Public Lighting Charges'!$M$12)+(('Public Lighting Charges'!L595*'Public Lighting Charges'!$M$10)*'Public Lighting Charges'!$M$14)</f>
        <v>78.91430410053357</v>
      </c>
      <c r="D141" s="365">
        <f t="shared" si="2"/>
        <v>256.70422607624675</v>
      </c>
      <c r="E141" s="365">
        <f>'Public Lighting Charges'!O595</f>
        <v>287.05662987969981</v>
      </c>
      <c r="F141" s="365">
        <f>'Public Lighting Charges'!Q595</f>
        <v>284.78295002098287</v>
      </c>
      <c r="G141" s="365">
        <f>'Public Lighting Charges'!T595</f>
        <v>292.61409497999767</v>
      </c>
      <c r="H141" s="365">
        <f>'Public Lighting Charges'!W595</f>
        <v>300.4381130211292</v>
      </c>
      <c r="I141" s="365">
        <f>'Public Lighting Charges'!Z595</f>
        <v>308.08796394499007</v>
      </c>
    </row>
    <row r="142" spans="1:9" x14ac:dyDescent="0.2">
      <c r="A142" t="str">
        <f>'Public Lighting Charges'!A596</f>
        <v>HPS0110-ST-0550-002-B</v>
      </c>
      <c r="B142" s="365">
        <f>'Public Lighting Charges'!J596</f>
        <v>0</v>
      </c>
      <c r="C142" s="365">
        <f>'Public Lighting Charges'!L596*(1+'Public Lighting Charges'!$M$12)+(('Public Lighting Charges'!L596*'Public Lighting Charges'!$M$10)*'Public Lighting Charges'!$M$14)</f>
        <v>78.91430410053357</v>
      </c>
      <c r="D142" s="365">
        <f t="shared" si="2"/>
        <v>78.91430410053357</v>
      </c>
      <c r="E142" s="365">
        <f>'Public Lighting Charges'!O596</f>
        <v>45.722567835524657</v>
      </c>
      <c r="F142" s="365">
        <f>'Public Lighting Charges'!Q596</f>
        <v>47.960178286534159</v>
      </c>
      <c r="G142" s="365">
        <f>'Public Lighting Charges'!T596</f>
        <v>49.929959645121336</v>
      </c>
      <c r="H142" s="365">
        <f>'Public Lighting Charges'!W596</f>
        <v>51.747545336714637</v>
      </c>
      <c r="I142" s="365">
        <f>'Public Lighting Charges'!Z596</f>
        <v>53.242304710386243</v>
      </c>
    </row>
    <row r="143" spans="1:9" x14ac:dyDescent="0.2">
      <c r="A143" t="str">
        <f>'Public Lighting Charges'!A597</f>
        <v>HPS0110-ST-0590-001-B</v>
      </c>
      <c r="B143" s="365">
        <f>'Public Lighting Charges'!J597</f>
        <v>190.52352832998582</v>
      </c>
      <c r="C143" s="365">
        <f>'Public Lighting Charges'!L597*(1+'Public Lighting Charges'!$M$12)+(('Public Lighting Charges'!L597*'Public Lighting Charges'!$M$10)*'Public Lighting Charges'!$M$14)</f>
        <v>78.91430410053357</v>
      </c>
      <c r="D143" s="365">
        <f t="shared" si="2"/>
        <v>269.43783243051939</v>
      </c>
      <c r="E143" s="365">
        <f>'Public Lighting Charges'!O597</f>
        <v>304.3413719606819</v>
      </c>
      <c r="F143" s="365">
        <f>'Public Lighting Charges'!Q597</f>
        <v>301.74458607708164</v>
      </c>
      <c r="G143" s="365">
        <f>'Public Lighting Charges'!T597</f>
        <v>309.99553152848489</v>
      </c>
      <c r="H143" s="365">
        <f>'Public Lighting Charges'!W597</f>
        <v>318.24974012419142</v>
      </c>
      <c r="I143" s="365">
        <f>'Public Lighting Charges'!Z597</f>
        <v>326.34042881885307</v>
      </c>
    </row>
    <row r="144" spans="1:9" x14ac:dyDescent="0.2">
      <c r="A144" t="str">
        <f>'Public Lighting Charges'!A598</f>
        <v>HPS0110-ST-0590-002-B</v>
      </c>
      <c r="B144" s="365">
        <f>'Public Lighting Charges'!J598</f>
        <v>0</v>
      </c>
      <c r="C144" s="365">
        <f>'Public Lighting Charges'!L598*(1+'Public Lighting Charges'!$M$12)+(('Public Lighting Charges'!L598*'Public Lighting Charges'!$M$10)*'Public Lighting Charges'!$M$14)</f>
        <v>78.91430410053357</v>
      </c>
      <c r="D144" s="365">
        <f t="shared" si="2"/>
        <v>78.91430410053357</v>
      </c>
      <c r="E144" s="365">
        <f>'Public Lighting Charges'!O598</f>
        <v>45.722567835524657</v>
      </c>
      <c r="F144" s="365">
        <f>'Public Lighting Charges'!Q598</f>
        <v>47.960178286534159</v>
      </c>
      <c r="G144" s="365">
        <f>'Public Lighting Charges'!T598</f>
        <v>49.929959645121336</v>
      </c>
      <c r="H144" s="365">
        <f>'Public Lighting Charges'!W598</f>
        <v>51.747545336714637</v>
      </c>
      <c r="I144" s="365">
        <f>'Public Lighting Charges'!Z598</f>
        <v>53.242304710386243</v>
      </c>
    </row>
    <row r="145" spans="1:9" x14ac:dyDescent="0.2">
      <c r="A145" t="str">
        <f>'Public Lighting Charges'!A599</f>
        <v>HPS0110-ST-0610-001-B</v>
      </c>
      <c r="B145" s="365">
        <f>'Public Lighting Charges'!J599</f>
        <v>37.215587737644988</v>
      </c>
      <c r="C145" s="365">
        <f>'Public Lighting Charges'!L599*(1+'Public Lighting Charges'!$M$12)+(('Public Lighting Charges'!L599*'Public Lighting Charges'!$M$10)*'Public Lighting Charges'!$M$14)</f>
        <v>68.541669501206812</v>
      </c>
      <c r="D145" s="365">
        <f t="shared" si="2"/>
        <v>105.75725723885179</v>
      </c>
      <c r="E145" s="365">
        <f>'Public Lighting Charges'!O599</f>
        <v>86.645314636825745</v>
      </c>
      <c r="F145" s="365">
        <f>'Public Lighting Charges'!Q599</f>
        <v>87.469081459053328</v>
      </c>
      <c r="G145" s="365">
        <f>'Public Lighting Charges'!T599</f>
        <v>90.252457634972089</v>
      </c>
      <c r="H145" s="365">
        <f>'Public Lighting Charges'!W599</f>
        <v>92.945940137273311</v>
      </c>
      <c r="I145" s="365">
        <f>'Public Lighting Charges'!Z599</f>
        <v>95.41545386537598</v>
      </c>
    </row>
    <row r="146" spans="1:9" x14ac:dyDescent="0.2">
      <c r="A146" t="str">
        <f>'Public Lighting Charges'!A600</f>
        <v>HPS0110-ST-0610-002-B</v>
      </c>
      <c r="B146" s="365">
        <f>'Public Lighting Charges'!J600</f>
        <v>0</v>
      </c>
      <c r="C146" s="365">
        <f>'Public Lighting Charges'!L600*(1+'Public Lighting Charges'!$M$12)+(('Public Lighting Charges'!L600*'Public Lighting Charges'!$M$10)*'Public Lighting Charges'!$M$14)</f>
        <v>68.541669501206812</v>
      </c>
      <c r="D146" s="365">
        <f t="shared" si="2"/>
        <v>68.541669501206812</v>
      </c>
      <c r="E146" s="365">
        <f>'Public Lighting Charges'!O600</f>
        <v>36.128452599425493</v>
      </c>
      <c r="F146" s="365">
        <f>'Public Lighting Charges'!Q600</f>
        <v>37.896537966067243</v>
      </c>
      <c r="G146" s="365">
        <f>'Public Lighting Charges'!T600</f>
        <v>39.452993690534583</v>
      </c>
      <c r="H146" s="365">
        <f>'Public Lighting Charges'!W600</f>
        <v>40.889189460210986</v>
      </c>
      <c r="I146" s="365">
        <f>'Public Lighting Charges'!Z600</f>
        <v>42.070298609056358</v>
      </c>
    </row>
    <row r="147" spans="1:9" x14ac:dyDescent="0.2">
      <c r="A147" t="str">
        <f>'Public Lighting Charges'!A601</f>
        <v>HPS0110-ST-0650-002-B</v>
      </c>
      <c r="B147" s="365">
        <f>'Public Lighting Charges'!J601</f>
        <v>0</v>
      </c>
      <c r="C147" s="365">
        <f>'Public Lighting Charges'!L601*(1+'Public Lighting Charges'!$M$12)+(('Public Lighting Charges'!L601*'Public Lighting Charges'!$M$10)*'Public Lighting Charges'!$M$14)</f>
        <v>68.541669501206812</v>
      </c>
      <c r="D147" s="365">
        <f t="shared" si="2"/>
        <v>68.541669501206812</v>
      </c>
      <c r="E147" s="365">
        <f>'Public Lighting Charges'!O601</f>
        <v>36.128452599425493</v>
      </c>
      <c r="F147" s="365">
        <f>'Public Lighting Charges'!Q601</f>
        <v>37.896537966067243</v>
      </c>
      <c r="G147" s="365">
        <f>'Public Lighting Charges'!T601</f>
        <v>39.452993690534583</v>
      </c>
      <c r="H147" s="365">
        <f>'Public Lighting Charges'!W601</f>
        <v>40.889189460210986</v>
      </c>
      <c r="I147" s="365">
        <f>'Public Lighting Charges'!Z601</f>
        <v>42.070298609056358</v>
      </c>
    </row>
    <row r="148" spans="1:9" x14ac:dyDescent="0.2">
      <c r="A148" t="str">
        <f>'Public Lighting Charges'!A602</f>
        <v>HPS0110-ST-0760-001-B</v>
      </c>
      <c r="B148" s="365">
        <f>'Public Lighting Charges'!J602</f>
        <v>78.772854852678023</v>
      </c>
      <c r="C148" s="365">
        <f>'Public Lighting Charges'!L602*(1+'Public Lighting Charges'!$M$12)+(('Public Lighting Charges'!L602*'Public Lighting Charges'!$M$10)*'Public Lighting Charges'!$M$14)</f>
        <v>79.716074300533563</v>
      </c>
      <c r="D148" s="365">
        <f t="shared" si="2"/>
        <v>158.48892915321159</v>
      </c>
      <c r="E148" s="365">
        <f>'Public Lighting Charges'!O602</f>
        <v>153.45182171320448</v>
      </c>
      <c r="F148" s="365">
        <f>'Public Lighting Charges'!Q602</f>
        <v>153.72988122993297</v>
      </c>
      <c r="G148" s="365">
        <f>'Public Lighting Charges'!T602</f>
        <v>158.33119436890499</v>
      </c>
      <c r="H148" s="365">
        <f>'Public Lighting Charges'!W602</f>
        <v>162.8419171409785</v>
      </c>
      <c r="I148" s="365">
        <f>'Public Lighting Charges'!Z602</f>
        <v>167.09001643011669</v>
      </c>
    </row>
    <row r="149" spans="1:9" x14ac:dyDescent="0.2">
      <c r="A149" t="str">
        <f>'Public Lighting Charges'!A603</f>
        <v>HPS0110-ST-0760-002-B</v>
      </c>
      <c r="B149" s="365">
        <f>'Public Lighting Charges'!J603</f>
        <v>0</v>
      </c>
      <c r="C149" s="365">
        <f>'Public Lighting Charges'!L603*(1+'Public Lighting Charges'!$M$12)+(('Public Lighting Charges'!L603*'Public Lighting Charges'!$M$10)*'Public Lighting Charges'!$M$14)</f>
        <v>79.716074300533563</v>
      </c>
      <c r="D149" s="365">
        <f t="shared" si="2"/>
        <v>79.716074300533563</v>
      </c>
      <c r="E149" s="365">
        <f>'Public Lighting Charges'!O603</f>
        <v>46.524652674849662</v>
      </c>
      <c r="F149" s="365">
        <f>'Public Lighting Charges'!Q603</f>
        <v>48.80151624535862</v>
      </c>
      <c r="G149" s="365">
        <f>'Public Lighting Charges'!T603</f>
        <v>50.805852350962439</v>
      </c>
      <c r="H149" s="365">
        <f>'Public Lighting Charges'!W603</f>
        <v>52.65532290809184</v>
      </c>
      <c r="I149" s="365">
        <f>'Public Lighting Charges'!Z603</f>
        <v>54.176303989966136</v>
      </c>
    </row>
    <row r="150" spans="1:9" x14ac:dyDescent="0.2">
      <c r="A150" t="str">
        <f>'Public Lighting Charges'!A604</f>
        <v>HPS0110-ST-0930-002-B</v>
      </c>
      <c r="B150" s="365">
        <f>'Public Lighting Charges'!J604</f>
        <v>0</v>
      </c>
      <c r="C150" s="365">
        <f>'Public Lighting Charges'!L604*(1+'Public Lighting Charges'!$M$12)+(('Public Lighting Charges'!L604*'Public Lighting Charges'!$M$10)*'Public Lighting Charges'!$M$14)</f>
        <v>79.716074300533563</v>
      </c>
      <c r="D150" s="365">
        <f t="shared" si="2"/>
        <v>79.716074300533563</v>
      </c>
      <c r="E150" s="365">
        <f>'Public Lighting Charges'!O604</f>
        <v>46.524652674849662</v>
      </c>
      <c r="F150" s="365">
        <f>'Public Lighting Charges'!Q604</f>
        <v>48.80151624535862</v>
      </c>
      <c r="G150" s="365">
        <f>'Public Lighting Charges'!T604</f>
        <v>50.805852350962439</v>
      </c>
      <c r="H150" s="365">
        <f>'Public Lighting Charges'!W604</f>
        <v>52.65532290809184</v>
      </c>
      <c r="I150" s="365">
        <f>'Public Lighting Charges'!Z604</f>
        <v>54.176303989966136</v>
      </c>
    </row>
    <row r="151" spans="1:9" x14ac:dyDescent="0.2">
      <c r="A151" t="str">
        <f>'Public Lighting Charges'!A605</f>
        <v>HPS0110-ST-0960-001-B</v>
      </c>
      <c r="B151" s="365">
        <f>'Public Lighting Charges'!J605</f>
        <v>44.871736490801723</v>
      </c>
      <c r="C151" s="365">
        <f>'Public Lighting Charges'!L605*(1+'Public Lighting Charges'!$M$12)+(('Public Lighting Charges'!L605*'Public Lighting Charges'!$M$10)*'Public Lighting Charges'!$M$14)</f>
        <v>68.541669501206812</v>
      </c>
      <c r="D151" s="365">
        <f t="shared" si="2"/>
        <v>113.41340599200853</v>
      </c>
      <c r="E151" s="365">
        <f>'Public Lighting Charges'!O605</f>
        <v>97.037858025568354</v>
      </c>
      <c r="F151" s="365">
        <f>'Public Lighting Charges'!Q605</f>
        <v>97.667355626593093</v>
      </c>
      <c r="G151" s="365">
        <f>'Public Lighting Charges'!T605</f>
        <v>100.70313908815845</v>
      </c>
      <c r="H151" s="365">
        <f>'Public Lighting Charges'!W605</f>
        <v>103.65527595642605</v>
      </c>
      <c r="I151" s="365">
        <f>'Public Lighting Charges'!Z605</f>
        <v>106.38984574605274</v>
      </c>
    </row>
    <row r="152" spans="1:9" x14ac:dyDescent="0.2">
      <c r="A152" t="str">
        <f>'Public Lighting Charges'!A606</f>
        <v>HPS0110-ST-0960-002-B</v>
      </c>
      <c r="B152" s="365">
        <f>'Public Lighting Charges'!J606</f>
        <v>0</v>
      </c>
      <c r="C152" s="365">
        <f>'Public Lighting Charges'!L606*(1+'Public Lighting Charges'!$M$12)+(('Public Lighting Charges'!L606*'Public Lighting Charges'!$M$10)*'Public Lighting Charges'!$M$14)</f>
        <v>68.541669501206812</v>
      </c>
      <c r="D152" s="365">
        <f t="shared" si="2"/>
        <v>68.541669501206812</v>
      </c>
      <c r="E152" s="365">
        <f>'Public Lighting Charges'!O606</f>
        <v>36.128452599425493</v>
      </c>
      <c r="F152" s="365">
        <f>'Public Lighting Charges'!Q606</f>
        <v>37.896537966067243</v>
      </c>
      <c r="G152" s="365">
        <f>'Public Lighting Charges'!T606</f>
        <v>39.452993690534583</v>
      </c>
      <c r="H152" s="365">
        <f>'Public Lighting Charges'!W606</f>
        <v>40.889189460210986</v>
      </c>
      <c r="I152" s="365">
        <f>'Public Lighting Charges'!Z606</f>
        <v>42.070298609056358</v>
      </c>
    </row>
    <row r="153" spans="1:9" x14ac:dyDescent="0.2">
      <c r="A153" t="str">
        <f>'Public Lighting Charges'!A607</f>
        <v>HPS0110-ST-0970-002-B</v>
      </c>
      <c r="B153" s="365">
        <f>'Public Lighting Charges'!J607</f>
        <v>0</v>
      </c>
      <c r="C153" s="365">
        <f>'Public Lighting Charges'!L607*(1+'Public Lighting Charges'!$M$12)+(('Public Lighting Charges'!L607*'Public Lighting Charges'!$M$10)*'Public Lighting Charges'!$M$14)</f>
        <v>68.541669501206812</v>
      </c>
      <c r="D153" s="365">
        <f t="shared" si="2"/>
        <v>68.541669501206812</v>
      </c>
      <c r="E153" s="365">
        <f>'Public Lighting Charges'!O607</f>
        <v>36.128452599425493</v>
      </c>
      <c r="F153" s="365">
        <f>'Public Lighting Charges'!Q607</f>
        <v>37.896537966067243</v>
      </c>
      <c r="G153" s="365">
        <f>'Public Lighting Charges'!T607</f>
        <v>39.452993690534583</v>
      </c>
      <c r="H153" s="365">
        <f>'Public Lighting Charges'!W607</f>
        <v>40.889189460210986</v>
      </c>
      <c r="I153" s="365">
        <f>'Public Lighting Charges'!Z607</f>
        <v>42.070298609056358</v>
      </c>
    </row>
    <row r="154" spans="1:9" x14ac:dyDescent="0.2">
      <c r="A154" t="str">
        <f>'Public Lighting Charges'!A608</f>
        <v>HPS0110-ST-1070-001-B</v>
      </c>
      <c r="B154" s="365">
        <f>'Public Lighting Charges'!J608</f>
        <v>71.116706099521267</v>
      </c>
      <c r="C154" s="365">
        <f>'Public Lighting Charges'!L608*(1+'Public Lighting Charges'!$M$12)+(('Public Lighting Charges'!L608*'Public Lighting Charges'!$M$10)*'Public Lighting Charges'!$M$14)</f>
        <v>79.716074300533563</v>
      </c>
      <c r="D154" s="365">
        <f t="shared" si="2"/>
        <v>150.83278040005484</v>
      </c>
      <c r="E154" s="365">
        <f>'Public Lighting Charges'!O608</f>
        <v>143.05927832446184</v>
      </c>
      <c r="F154" s="365">
        <f>'Public Lighting Charges'!Q608</f>
        <v>143.53160706239322</v>
      </c>
      <c r="G154" s="365">
        <f>'Public Lighting Charges'!T608</f>
        <v>147.88051291571861</v>
      </c>
      <c r="H154" s="365">
        <f>'Public Lighting Charges'!W608</f>
        <v>152.13258132182577</v>
      </c>
      <c r="I154" s="365">
        <f>'Public Lighting Charges'!Z608</f>
        <v>156.11562454943993</v>
      </c>
    </row>
    <row r="155" spans="1:9" x14ac:dyDescent="0.2">
      <c r="A155" t="str">
        <f>'Public Lighting Charges'!A609</f>
        <v>HPS0110-ST-1070-002-B</v>
      </c>
      <c r="B155" s="365">
        <f>'Public Lighting Charges'!J609</f>
        <v>0</v>
      </c>
      <c r="C155" s="365">
        <f>'Public Lighting Charges'!L609*(1+'Public Lighting Charges'!$M$12)+(('Public Lighting Charges'!L609*'Public Lighting Charges'!$M$10)*'Public Lighting Charges'!$M$14)</f>
        <v>79.716074300533563</v>
      </c>
      <c r="D155" s="365">
        <f t="shared" si="2"/>
        <v>79.716074300533563</v>
      </c>
      <c r="E155" s="365">
        <f>'Public Lighting Charges'!O609</f>
        <v>46.524652674849662</v>
      </c>
      <c r="F155" s="365">
        <f>'Public Lighting Charges'!Q609</f>
        <v>48.80151624535862</v>
      </c>
      <c r="G155" s="365">
        <f>'Public Lighting Charges'!T609</f>
        <v>50.805852350962439</v>
      </c>
      <c r="H155" s="365">
        <f>'Public Lighting Charges'!W609</f>
        <v>52.65532290809184</v>
      </c>
      <c r="I155" s="365">
        <f>'Public Lighting Charges'!Z609</f>
        <v>54.176303989966136</v>
      </c>
    </row>
    <row r="156" spans="1:9" x14ac:dyDescent="0.2">
      <c r="A156" t="str">
        <f>'Public Lighting Charges'!A610</f>
        <v>HPS0110-ST-1120-001-B</v>
      </c>
      <c r="B156" s="365">
        <f>'Public Lighting Charges'!J610</f>
        <v>97.399971273151337</v>
      </c>
      <c r="C156" s="365">
        <f>'Public Lighting Charges'!L610*(1+'Public Lighting Charges'!$M$12)+(('Public Lighting Charges'!L610*'Public Lighting Charges'!$M$10)*'Public Lighting Charges'!$M$14)</f>
        <v>78.91430410053357</v>
      </c>
      <c r="D156" s="365">
        <f t="shared" si="2"/>
        <v>176.31427537368489</v>
      </c>
      <c r="E156" s="365">
        <f>'Public Lighting Charges'!O610</f>
        <v>177.93439654394038</v>
      </c>
      <c r="F156" s="365">
        <f>'Public Lighting Charges'!Q610</f>
        <v>177.70055337322981</v>
      </c>
      <c r="G156" s="365">
        <f>'Public Lighting Charges'!T610</f>
        <v>182.88140901521271</v>
      </c>
      <c r="H156" s="365">
        <f>'Public Lighting Charges'!W610</f>
        <v>187.9895430787158</v>
      </c>
      <c r="I156" s="365">
        <f>'Public Lighting Charges'!Z610</f>
        <v>192.85629189650189</v>
      </c>
    </row>
    <row r="157" spans="1:9" x14ac:dyDescent="0.2">
      <c r="A157" t="str">
        <f>'Public Lighting Charges'!A611</f>
        <v>HPS0110-ST-1120-002-B</v>
      </c>
      <c r="B157" s="365">
        <f>'Public Lighting Charges'!J611</f>
        <v>0</v>
      </c>
      <c r="C157" s="365">
        <f>'Public Lighting Charges'!L611*(1+'Public Lighting Charges'!$M$12)+(('Public Lighting Charges'!L611*'Public Lighting Charges'!$M$10)*'Public Lighting Charges'!$M$14)</f>
        <v>78.91430410053357</v>
      </c>
      <c r="D157" s="365">
        <f t="shared" si="2"/>
        <v>78.91430410053357</v>
      </c>
      <c r="E157" s="365">
        <f>'Public Lighting Charges'!O611</f>
        <v>45.722567835524657</v>
      </c>
      <c r="F157" s="365">
        <f>'Public Lighting Charges'!Q611</f>
        <v>47.960178286534159</v>
      </c>
      <c r="G157" s="365">
        <f>'Public Lighting Charges'!T611</f>
        <v>49.929959645121336</v>
      </c>
      <c r="H157" s="365">
        <f>'Public Lighting Charges'!W611</f>
        <v>51.747545336714637</v>
      </c>
      <c r="I157" s="365">
        <f>'Public Lighting Charges'!Z611</f>
        <v>53.242304710386243</v>
      </c>
    </row>
    <row r="158" spans="1:9" x14ac:dyDescent="0.2">
      <c r="A158" t="str">
        <f>'Public Lighting Charges'!A612</f>
        <v>HPS0110-ST-1160-001-B</v>
      </c>
      <c r="B158" s="365">
        <f>'Public Lighting Charges'!J612</f>
        <v>88.927770054909942</v>
      </c>
      <c r="C158" s="365">
        <f>'Public Lighting Charges'!L612*(1+'Public Lighting Charges'!$M$12)+(('Public Lighting Charges'!L612*'Public Lighting Charges'!$M$10)*'Public Lighting Charges'!$M$14)</f>
        <v>79.716074300533563</v>
      </c>
      <c r="D158" s="365">
        <f t="shared" si="2"/>
        <v>168.64384435544349</v>
      </c>
      <c r="E158" s="365">
        <f>'Public Lighting Charges'!O612</f>
        <v>167.23621909768366</v>
      </c>
      <c r="F158" s="365">
        <f>'Public Lighting Charges'!Q612</f>
        <v>167.25660500705109</v>
      </c>
      <c r="G158" s="365">
        <f>'Public Lighting Charges'!T612</f>
        <v>172.19270455950681</v>
      </c>
      <c r="H158" s="365">
        <f>'Public Lighting Charges'!W612</f>
        <v>177.04649970879768</v>
      </c>
      <c r="I158" s="365">
        <f>'Public Lighting Charges'!Z612</f>
        <v>181.6461624164894</v>
      </c>
    </row>
    <row r="159" spans="1:9" x14ac:dyDescent="0.2">
      <c r="A159" t="str">
        <f>'Public Lighting Charges'!A613</f>
        <v>HPS0110-ST-1330-002-B</v>
      </c>
      <c r="B159" s="365">
        <f>'Public Lighting Charges'!J613</f>
        <v>0</v>
      </c>
      <c r="C159" s="365">
        <f>'Public Lighting Charges'!L613*(1+'Public Lighting Charges'!$M$12)+(('Public Lighting Charges'!L613*'Public Lighting Charges'!$M$10)*'Public Lighting Charges'!$M$14)</f>
        <v>78.91430410053357</v>
      </c>
      <c r="D159" s="365">
        <f t="shared" si="2"/>
        <v>78.91430410053357</v>
      </c>
      <c r="E159" s="365">
        <f>'Public Lighting Charges'!O613</f>
        <v>45.722567835524657</v>
      </c>
      <c r="F159" s="365">
        <f>'Public Lighting Charges'!Q613</f>
        <v>47.960178286534159</v>
      </c>
      <c r="G159" s="365">
        <f>'Public Lighting Charges'!T613</f>
        <v>49.929959645121336</v>
      </c>
      <c r="H159" s="365">
        <f>'Public Lighting Charges'!W613</f>
        <v>51.747545336714637</v>
      </c>
      <c r="I159" s="365">
        <f>'Public Lighting Charges'!Z613</f>
        <v>53.242304710386243</v>
      </c>
    </row>
    <row r="160" spans="1:9" x14ac:dyDescent="0.2">
      <c r="A160" t="str">
        <f>'Public Lighting Charges'!A614</f>
        <v>HPS0110-ST-1340-002-B</v>
      </c>
      <c r="B160" s="365">
        <f>'Public Lighting Charges'!J614</f>
        <v>0</v>
      </c>
      <c r="C160" s="365">
        <f>'Public Lighting Charges'!L614*(1+'Public Lighting Charges'!$M$12)+(('Public Lighting Charges'!L614*'Public Lighting Charges'!$M$10)*'Public Lighting Charges'!$M$14)</f>
        <v>78.91430410053357</v>
      </c>
      <c r="D160" s="365">
        <f t="shared" si="2"/>
        <v>78.91430410053357</v>
      </c>
      <c r="E160" s="365">
        <f>'Public Lighting Charges'!O614</f>
        <v>45.722567835524657</v>
      </c>
      <c r="F160" s="365">
        <f>'Public Lighting Charges'!Q614</f>
        <v>47.960178286534159</v>
      </c>
      <c r="G160" s="365">
        <f>'Public Lighting Charges'!T614</f>
        <v>49.929959645121336</v>
      </c>
      <c r="H160" s="365">
        <f>'Public Lighting Charges'!W614</f>
        <v>51.747545336714637</v>
      </c>
      <c r="I160" s="365">
        <f>'Public Lighting Charges'!Z614</f>
        <v>53.242304710386243</v>
      </c>
    </row>
    <row r="161" spans="1:9" x14ac:dyDescent="0.2">
      <c r="A161" t="str">
        <f>'Public Lighting Charges'!A615</f>
        <v>HPS0110-ST-1380-002-B</v>
      </c>
      <c r="B161" s="365">
        <f>'Public Lighting Charges'!J615</f>
        <v>0</v>
      </c>
      <c r="C161" s="365">
        <f>'Public Lighting Charges'!L615*(1+'Public Lighting Charges'!$M$12)+(('Public Lighting Charges'!L615*'Public Lighting Charges'!$M$10)*'Public Lighting Charges'!$M$14)</f>
        <v>78.91430410053357</v>
      </c>
      <c r="D161" s="365">
        <f t="shared" si="2"/>
        <v>78.91430410053357</v>
      </c>
      <c r="E161" s="365">
        <f>'Public Lighting Charges'!O615</f>
        <v>45.722567835524657</v>
      </c>
      <c r="F161" s="365">
        <f>'Public Lighting Charges'!Q615</f>
        <v>47.960178286534159</v>
      </c>
      <c r="G161" s="365">
        <f>'Public Lighting Charges'!T615</f>
        <v>49.929959645121336</v>
      </c>
      <c r="H161" s="365">
        <f>'Public Lighting Charges'!W615</f>
        <v>51.747545336714637</v>
      </c>
      <c r="I161" s="365">
        <f>'Public Lighting Charges'!Z615</f>
        <v>53.242304710386243</v>
      </c>
    </row>
    <row r="162" spans="1:9" x14ac:dyDescent="0.2">
      <c r="A162" t="str">
        <f>'Public Lighting Charges'!A616</f>
        <v>HPS0110-ST-1450-002-B</v>
      </c>
      <c r="B162" s="365">
        <f>'Public Lighting Charges'!J616</f>
        <v>0</v>
      </c>
      <c r="C162" s="365">
        <f>'Public Lighting Charges'!L616*(1+'Public Lighting Charges'!$M$12)+(('Public Lighting Charges'!L616*'Public Lighting Charges'!$M$10)*'Public Lighting Charges'!$M$14)</f>
        <v>78.91430410053357</v>
      </c>
      <c r="D162" s="365">
        <f t="shared" si="2"/>
        <v>78.91430410053357</v>
      </c>
      <c r="E162" s="365">
        <f>'Public Lighting Charges'!O616</f>
        <v>45.722567835524657</v>
      </c>
      <c r="F162" s="365">
        <f>'Public Lighting Charges'!Q616</f>
        <v>47.960178286534159</v>
      </c>
      <c r="G162" s="365">
        <f>'Public Lighting Charges'!T616</f>
        <v>49.929959645121336</v>
      </c>
      <c r="H162" s="365">
        <f>'Public Lighting Charges'!W616</f>
        <v>51.747545336714637</v>
      </c>
      <c r="I162" s="365">
        <f>'Public Lighting Charges'!Z616</f>
        <v>53.242304710386243</v>
      </c>
    </row>
    <row r="163" spans="1:9" x14ac:dyDescent="0.2">
      <c r="A163" t="str">
        <f>'Public Lighting Charges'!A617</f>
        <v>HPS0110-TA-0060-001-B</v>
      </c>
      <c r="B163" s="365">
        <f>'Public Lighting Charges'!J617</f>
        <v>32.138130136529035</v>
      </c>
      <c r="C163" s="365">
        <f>'Public Lighting Charges'!L617*(1+'Public Lighting Charges'!$M$12)+(('Public Lighting Charges'!L617*'Public Lighting Charges'!$M$10)*'Public Lighting Charges'!$M$14)</f>
        <v>71.706344059906399</v>
      </c>
      <c r="D163" s="365">
        <f t="shared" si="2"/>
        <v>103.84447419643544</v>
      </c>
      <c r="E163" s="365">
        <f>'Public Lighting Charges'!O617</f>
        <v>77.879735842414846</v>
      </c>
      <c r="F163" s="365">
        <f>'Public Lighting Charges'!Q617</f>
        <v>78.740658377479349</v>
      </c>
      <c r="G163" s="365">
        <f>'Public Lighting Charges'!T617</f>
        <v>81.275933954716265</v>
      </c>
      <c r="H163" s="365">
        <f>'Public Lighting Charges'!W617</f>
        <v>83.723408754016376</v>
      </c>
      <c r="I163" s="365">
        <f>'Public Lighting Charges'!Z617</f>
        <v>85.955896345839761</v>
      </c>
    </row>
    <row r="164" spans="1:9" x14ac:dyDescent="0.2">
      <c r="A164" t="str">
        <f>'Public Lighting Charges'!A618</f>
        <v>HPS0110-TA-0060-002-B</v>
      </c>
      <c r="B164" s="365">
        <f>'Public Lighting Charges'!J618</f>
        <v>0</v>
      </c>
      <c r="C164" s="365">
        <f>'Public Lighting Charges'!L618*(1+'Public Lighting Charges'!$M$12)+(('Public Lighting Charges'!L618*'Public Lighting Charges'!$M$10)*'Public Lighting Charges'!$M$14)</f>
        <v>71.706344059906399</v>
      </c>
      <c r="D164" s="365">
        <f t="shared" si="2"/>
        <v>71.706344059906399</v>
      </c>
      <c r="E164" s="365">
        <f>'Public Lighting Charges'!O618</f>
        <v>34.255072497254169</v>
      </c>
      <c r="F164" s="365">
        <f>'Public Lighting Charges'!Q618</f>
        <v>35.93147677305231</v>
      </c>
      <c r="G164" s="365">
        <f>'Public Lighting Charges'!T618</f>
        <v>37.407225105579649</v>
      </c>
      <c r="H164" s="365">
        <f>'Public Lighting Charges'!W618</f>
        <v>38.768949360863616</v>
      </c>
      <c r="I164" s="365">
        <f>'Public Lighting Charges'!Z618</f>
        <v>39.888814082706475</v>
      </c>
    </row>
    <row r="165" spans="1:9" x14ac:dyDescent="0.2">
      <c r="A165" t="str">
        <f>'Public Lighting Charges'!A619</f>
        <v>HPS0110-TA-0230-001-B</v>
      </c>
      <c r="B165" s="365">
        <f>'Public Lighting Charges'!J619</f>
        <v>66.039248498405314</v>
      </c>
      <c r="C165" s="365">
        <f>'Public Lighting Charges'!L619*(1+'Public Lighting Charges'!$M$12)+(('Public Lighting Charges'!L619*'Public Lighting Charges'!$M$10)*'Public Lighting Charges'!$M$14)</f>
        <v>82.880748859233151</v>
      </c>
      <c r="D165" s="365">
        <f t="shared" si="2"/>
        <v>148.91999735763847</v>
      </c>
      <c r="E165" s="365">
        <f>'Public Lighting Charges'!O619</f>
        <v>134.29369953005096</v>
      </c>
      <c r="F165" s="365">
        <f>'Public Lighting Charges'!Q619</f>
        <v>134.80318398081926</v>
      </c>
      <c r="G165" s="365">
        <f>'Public Lighting Charges'!T619</f>
        <v>138.9039892354628</v>
      </c>
      <c r="H165" s="365">
        <f>'Public Lighting Charges'!W619</f>
        <v>142.91004993856882</v>
      </c>
      <c r="I165" s="365">
        <f>'Public Lighting Charges'!Z619</f>
        <v>146.65606702990374</v>
      </c>
    </row>
    <row r="166" spans="1:9" x14ac:dyDescent="0.2">
      <c r="A166" t="str">
        <f>'Public Lighting Charges'!A620</f>
        <v>HPS0110-TA-0320-001-B</v>
      </c>
      <c r="B166" s="365">
        <f>'Public Lighting Charges'!J620</f>
        <v>92.322513672035399</v>
      </c>
      <c r="C166" s="365">
        <f>'Public Lighting Charges'!L620*(1+'Public Lighting Charges'!$M$12)+(('Public Lighting Charges'!L620*'Public Lighting Charges'!$M$10)*'Public Lighting Charges'!$M$14)</f>
        <v>82.078978659233144</v>
      </c>
      <c r="D166" s="365">
        <f t="shared" si="2"/>
        <v>174.40149233126854</v>
      </c>
      <c r="E166" s="365">
        <f>'Public Lighting Charges'!O620</f>
        <v>169.16881774952947</v>
      </c>
      <c r="F166" s="365">
        <f>'Public Lighting Charges'!Q620</f>
        <v>168.97213029165587</v>
      </c>
      <c r="G166" s="365">
        <f>'Public Lighting Charges'!T620</f>
        <v>173.9048853349569</v>
      </c>
      <c r="H166" s="365">
        <f>'Public Lighting Charges'!W620</f>
        <v>178.76701169545885</v>
      </c>
      <c r="I166" s="365">
        <f>'Public Lighting Charges'!Z620</f>
        <v>183.3967343769657</v>
      </c>
    </row>
    <row r="167" spans="1:9" x14ac:dyDescent="0.2">
      <c r="A167" t="str">
        <f>'Public Lighting Charges'!A621</f>
        <v>HPS0110-TA-0320-002-B</v>
      </c>
      <c r="B167" s="365">
        <f>'Public Lighting Charges'!J621</f>
        <v>0</v>
      </c>
      <c r="C167" s="365">
        <f>'Public Lighting Charges'!L621*(1+'Public Lighting Charges'!$M$12)+(('Public Lighting Charges'!L621*'Public Lighting Charges'!$M$10)*'Public Lighting Charges'!$M$14)</f>
        <v>82.078978659233144</v>
      </c>
      <c r="D167" s="365">
        <f t="shared" si="2"/>
        <v>82.078978659233144</v>
      </c>
      <c r="E167" s="365">
        <f>'Public Lighting Charges'!O621</f>
        <v>43.84918773335334</v>
      </c>
      <c r="F167" s="365">
        <f>'Public Lighting Charges'!Q621</f>
        <v>45.995117093519227</v>
      </c>
      <c r="G167" s="365">
        <f>'Public Lighting Charges'!T621</f>
        <v>47.884191060166401</v>
      </c>
      <c r="H167" s="365">
        <f>'Public Lighting Charges'!W621</f>
        <v>49.627305237367267</v>
      </c>
      <c r="I167" s="365">
        <f>'Public Lighting Charges'!Z621</f>
        <v>51.060820184036359</v>
      </c>
    </row>
    <row r="168" spans="1:9" x14ac:dyDescent="0.2">
      <c r="A168" t="str">
        <f>'Public Lighting Charges'!A622</f>
        <v>HPS0110-TA-0470-001-B</v>
      </c>
      <c r="B168" s="365">
        <f>'Public Lighting Charges'!J622</f>
        <v>130.52333273485345</v>
      </c>
      <c r="C168" s="365">
        <f>'Public Lighting Charges'!L622*(1+'Public Lighting Charges'!$M$12)+(('Public Lighting Charges'!L622*'Public Lighting Charges'!$M$10)*'Public Lighting Charges'!$M$14)</f>
        <v>82.078978659233144</v>
      </c>
      <c r="D168" s="365">
        <f t="shared" si="2"/>
        <v>212.6023113940866</v>
      </c>
      <c r="E168" s="365">
        <f>'Public Lighting Charges'!O622</f>
        <v>221.023043992476</v>
      </c>
      <c r="F168" s="365">
        <f>'Public Lighting Charges'!Q622</f>
        <v>219.85703845995221</v>
      </c>
      <c r="G168" s="365">
        <f>'Public Lighting Charges'!T622</f>
        <v>226.04919498041858</v>
      </c>
      <c r="H168" s="365">
        <f>'Public Lighting Charges'!W622</f>
        <v>232.20189300464571</v>
      </c>
      <c r="I168" s="365">
        <f>'Public Lighting Charges'!Z622</f>
        <v>238.15412899855491</v>
      </c>
    </row>
    <row r="169" spans="1:9" x14ac:dyDescent="0.2">
      <c r="A169" t="str">
        <f>'Public Lighting Charges'!A623</f>
        <v>HPS0110-TA-0590-001-B</v>
      </c>
      <c r="B169" s="365">
        <f>'Public Lighting Charges'!J623</f>
        <v>190.52352832998582</v>
      </c>
      <c r="C169" s="365">
        <f>'Public Lighting Charges'!L623*(1+'Public Lighting Charges'!$M$12)+(('Public Lighting Charges'!L623*'Public Lighting Charges'!$M$10)*'Public Lighting Charges'!$M$14)</f>
        <v>82.078978659233144</v>
      </c>
      <c r="D169" s="365">
        <f t="shared" si="2"/>
        <v>272.60250698921897</v>
      </c>
      <c r="E169" s="365">
        <f>'Public Lighting Charges'!O623</f>
        <v>302.46799185851063</v>
      </c>
      <c r="F169" s="365">
        <f>'Public Lighting Charges'!Q623</f>
        <v>299.77952488406669</v>
      </c>
      <c r="G169" s="365">
        <f>'Public Lighting Charges'!T623</f>
        <v>307.94976294352989</v>
      </c>
      <c r="H169" s="365">
        <f>'Public Lighting Charges'!W623</f>
        <v>316.12950002484399</v>
      </c>
      <c r="I169" s="365">
        <f>'Public Lighting Charges'!Z623</f>
        <v>324.15894429250312</v>
      </c>
    </row>
    <row r="170" spans="1:9" x14ac:dyDescent="0.2">
      <c r="A170" t="str">
        <f>'Public Lighting Charges'!A624</f>
        <v>HPS0110-TA-0590-002-B</v>
      </c>
      <c r="B170" s="365">
        <f>'Public Lighting Charges'!J624</f>
        <v>0</v>
      </c>
      <c r="C170" s="365">
        <f>'Public Lighting Charges'!L624*(1+'Public Lighting Charges'!$M$12)+(('Public Lighting Charges'!L624*'Public Lighting Charges'!$M$10)*'Public Lighting Charges'!$M$14)</f>
        <v>82.078978659233144</v>
      </c>
      <c r="D170" s="365">
        <f t="shared" si="2"/>
        <v>82.078978659233144</v>
      </c>
      <c r="E170" s="365">
        <f>'Public Lighting Charges'!O624</f>
        <v>43.84918773335334</v>
      </c>
      <c r="F170" s="365">
        <f>'Public Lighting Charges'!Q624</f>
        <v>45.995117093519227</v>
      </c>
      <c r="G170" s="365">
        <f>'Public Lighting Charges'!T624</f>
        <v>47.884191060166401</v>
      </c>
      <c r="H170" s="365">
        <f>'Public Lighting Charges'!W624</f>
        <v>49.627305237367267</v>
      </c>
      <c r="I170" s="365">
        <f>'Public Lighting Charges'!Z624</f>
        <v>51.060820184036359</v>
      </c>
    </row>
    <row r="171" spans="1:9" x14ac:dyDescent="0.2">
      <c r="A171" t="str">
        <f>'Public Lighting Charges'!A625</f>
        <v>HPS0110-TA-0960-001-B</v>
      </c>
      <c r="B171" s="365">
        <f>'Public Lighting Charges'!J625</f>
        <v>44.871736490801723</v>
      </c>
      <c r="C171" s="365">
        <f>'Public Lighting Charges'!L625*(1+'Public Lighting Charges'!$M$12)+(('Public Lighting Charges'!L625*'Public Lighting Charges'!$M$10)*'Public Lighting Charges'!$M$14)</f>
        <v>71.706344059906399</v>
      </c>
      <c r="D171" s="365">
        <f t="shared" si="2"/>
        <v>116.57808055070812</v>
      </c>
      <c r="E171" s="365">
        <f>'Public Lighting Charges'!O625</f>
        <v>95.164477923397044</v>
      </c>
      <c r="F171" s="365">
        <f>'Public Lighting Charges'!Q625</f>
        <v>95.70229443357816</v>
      </c>
      <c r="G171" s="365">
        <f>'Public Lighting Charges'!T625</f>
        <v>98.657370503203524</v>
      </c>
      <c r="H171" s="365">
        <f>'Public Lighting Charges'!W625</f>
        <v>101.53503585707868</v>
      </c>
      <c r="I171" s="365">
        <f>'Public Lighting Charges'!Z625</f>
        <v>104.20836121970285</v>
      </c>
    </row>
    <row r="172" spans="1:9" x14ac:dyDescent="0.2">
      <c r="A172" t="str">
        <f>'Public Lighting Charges'!A626</f>
        <v>HPS0110-TA-1120-002-B</v>
      </c>
      <c r="B172" s="365">
        <f>'Public Lighting Charges'!J626</f>
        <v>0</v>
      </c>
      <c r="C172" s="365">
        <f>'Public Lighting Charges'!L626*(1+'Public Lighting Charges'!$M$12)+(('Public Lighting Charges'!L626*'Public Lighting Charges'!$M$10)*'Public Lighting Charges'!$M$14)</f>
        <v>82.078978659233144</v>
      </c>
      <c r="D172" s="365">
        <f t="shared" si="2"/>
        <v>82.078978659233144</v>
      </c>
      <c r="E172" s="365">
        <f>'Public Lighting Charges'!O626</f>
        <v>43.84918773335334</v>
      </c>
      <c r="F172" s="365">
        <f>'Public Lighting Charges'!Q626</f>
        <v>45.995117093519227</v>
      </c>
      <c r="G172" s="365">
        <f>'Public Lighting Charges'!T626</f>
        <v>47.884191060166401</v>
      </c>
      <c r="H172" s="365">
        <f>'Public Lighting Charges'!W626</f>
        <v>49.627305237367267</v>
      </c>
      <c r="I172" s="365">
        <f>'Public Lighting Charges'!Z626</f>
        <v>51.060820184036359</v>
      </c>
    </row>
    <row r="173" spans="1:9" x14ac:dyDescent="0.2">
      <c r="A173" t="str">
        <f>'Public Lighting Charges'!A627</f>
        <v>HPS0120-ST-0860-002-B</v>
      </c>
      <c r="B173" s="365">
        <f>'Public Lighting Charges'!J627</f>
        <v>0</v>
      </c>
      <c r="C173" s="365">
        <f>'Public Lighting Charges'!L627*(1+'Public Lighting Charges'!$M$12)+(('Public Lighting Charges'!L627*'Public Lighting Charges'!$M$10)*'Public Lighting Charges'!$M$14)</f>
        <v>97.18888329255833</v>
      </c>
      <c r="D173" s="365">
        <f t="shared" si="2"/>
        <v>97.18888329255833</v>
      </c>
      <c r="E173" s="365">
        <f>'Public Lighting Charges'!O627</f>
        <v>60.54013478401945</v>
      </c>
      <c r="F173" s="365">
        <f>'Public Lighting Charges'!Q627</f>
        <v>63.502900103446557</v>
      </c>
      <c r="G173" s="365">
        <f>'Public Lighting Charges'!T627</f>
        <v>66.111039466329487</v>
      </c>
      <c r="H173" s="365">
        <f>'Public Lighting Charges'!W627</f>
        <v>68.517660265633523</v>
      </c>
      <c r="I173" s="365">
        <f>'Public Lighting Charges'!Z627</f>
        <v>70.4968346260343</v>
      </c>
    </row>
    <row r="174" spans="1:9" x14ac:dyDescent="0.2">
      <c r="A174" t="str">
        <f>'Public Lighting Charges'!A628</f>
        <v>HPS0120-ST-0870-002-B</v>
      </c>
      <c r="B174" s="365">
        <f>'Public Lighting Charges'!J628</f>
        <v>0</v>
      </c>
      <c r="C174" s="365">
        <f>'Public Lighting Charges'!L628*(1+'Public Lighting Charges'!$M$12)+(('Public Lighting Charges'!L628*'Public Lighting Charges'!$M$10)*'Public Lighting Charges'!$M$14)</f>
        <v>97.18888329255833</v>
      </c>
      <c r="D174" s="365">
        <f t="shared" si="2"/>
        <v>97.18888329255833</v>
      </c>
      <c r="E174" s="365">
        <f>'Public Lighting Charges'!O628</f>
        <v>60.54013478401945</v>
      </c>
      <c r="F174" s="365">
        <f>'Public Lighting Charges'!Q628</f>
        <v>63.502900103446557</v>
      </c>
      <c r="G174" s="365">
        <f>'Public Lighting Charges'!T628</f>
        <v>66.111039466329487</v>
      </c>
      <c r="H174" s="365">
        <f>'Public Lighting Charges'!W628</f>
        <v>68.517660265633523</v>
      </c>
      <c r="I174" s="365">
        <f>'Public Lighting Charges'!Z628</f>
        <v>70.4968346260343</v>
      </c>
    </row>
    <row r="175" spans="1:9" x14ac:dyDescent="0.2">
      <c r="A175" t="str">
        <f>'Public Lighting Charges'!A629</f>
        <v>HPS0140-ST-0070-001-B</v>
      </c>
      <c r="B175" s="365">
        <f>'Public Lighting Charges'!J629</f>
        <v>35.784047435083579</v>
      </c>
      <c r="C175" s="365">
        <f>'Public Lighting Charges'!L629*(1+'Public Lighting Charges'!$M$12)+(('Public Lighting Charges'!L629*'Public Lighting Charges'!$M$10)*'Public Lighting Charges'!$M$14)</f>
        <v>68.541669501206812</v>
      </c>
      <c r="D175" s="365">
        <f t="shared" si="2"/>
        <v>104.32571693629039</v>
      </c>
      <c r="E175" s="365">
        <f>'Public Lighting Charges'!O629</f>
        <v>91.033314398341332</v>
      </c>
      <c r="F175" s="365">
        <f>'Public Lighting Charges'!Q629</f>
        <v>92.20324669659631</v>
      </c>
      <c r="G175" s="365">
        <f>'Public Lighting Charges'!T629</f>
        <v>95.212182942312026</v>
      </c>
      <c r="H175" s="365">
        <f>'Public Lighting Charges'!W629</f>
        <v>98.108982956866257</v>
      </c>
      <c r="I175" s="365">
        <f>'Public Lighting Charges'!Z629</f>
        <v>100.73591556003974</v>
      </c>
    </row>
    <row r="176" spans="1:9" x14ac:dyDescent="0.2">
      <c r="A176" t="str">
        <f>'Public Lighting Charges'!A630</f>
        <v>HPS0140-ST-0070-002-B</v>
      </c>
      <c r="B176" s="365">
        <f>'Public Lighting Charges'!J630</f>
        <v>0</v>
      </c>
      <c r="C176" s="365">
        <f>'Public Lighting Charges'!L630*(1+'Public Lighting Charges'!$M$12)+(('Public Lighting Charges'!L630*'Public Lighting Charges'!$M$10)*'Public Lighting Charges'!$M$14)</f>
        <v>68.541669501206812</v>
      </c>
      <c r="D176" s="365">
        <f t="shared" si="2"/>
        <v>68.541669501206812</v>
      </c>
      <c r="E176" s="365">
        <f>'Public Lighting Charges'!O630</f>
        <v>42.459641448139642</v>
      </c>
      <c r="F176" s="365">
        <f>'Public Lighting Charges'!Q630</f>
        <v>44.53756799400297</v>
      </c>
      <c r="G176" s="365">
        <f>'Public Lighting Charges'!T630</f>
        <v>46.366778691829502</v>
      </c>
      <c r="H176" s="365">
        <f>'Public Lighting Charges'!W630</f>
        <v>48.054654951184283</v>
      </c>
      <c r="I176" s="365">
        <f>'Public Lighting Charges'!Z630</f>
        <v>49.442742936217151</v>
      </c>
    </row>
    <row r="177" spans="1:9" x14ac:dyDescent="0.2">
      <c r="A177" t="str">
        <f>'Public Lighting Charges'!A631</f>
        <v>HPS0140-ST-0240-002-B</v>
      </c>
      <c r="B177" s="365">
        <f>'Public Lighting Charges'!J631</f>
        <v>0</v>
      </c>
      <c r="C177" s="365">
        <f>'Public Lighting Charges'!L631*(1+'Public Lighting Charges'!$M$12)+(('Public Lighting Charges'!L631*'Public Lighting Charges'!$M$10)*'Public Lighting Charges'!$M$14)</f>
        <v>79.716074300533563</v>
      </c>
      <c r="D177" s="365">
        <f t="shared" si="2"/>
        <v>79.716074300533563</v>
      </c>
      <c r="E177" s="365">
        <f>'Public Lighting Charges'!O631</f>
        <v>52.855841523563811</v>
      </c>
      <c r="F177" s="365">
        <f>'Public Lighting Charges'!Q631</f>
        <v>55.44254627329434</v>
      </c>
      <c r="G177" s="365">
        <f>'Public Lighting Charges'!T631</f>
        <v>57.719637352257358</v>
      </c>
      <c r="H177" s="365">
        <f>'Public Lighting Charges'!W631</f>
        <v>59.820788399065137</v>
      </c>
      <c r="I177" s="365">
        <f>'Public Lighting Charges'!Z631</f>
        <v>61.548748317126936</v>
      </c>
    </row>
    <row r="178" spans="1:9" x14ac:dyDescent="0.2">
      <c r="A178" t="str">
        <f>'Public Lighting Charges'!A632</f>
        <v>HPS0140-ST-0330-002-B</v>
      </c>
      <c r="B178" s="365">
        <f>'Public Lighting Charges'!J632</f>
        <v>0</v>
      </c>
      <c r="C178" s="365">
        <f>'Public Lighting Charges'!L632*(1+'Public Lighting Charges'!$M$12)+(('Public Lighting Charges'!L632*'Public Lighting Charges'!$M$10)*'Public Lighting Charges'!$M$14)</f>
        <v>78.91430410053357</v>
      </c>
      <c r="D178" s="365">
        <f t="shared" si="2"/>
        <v>78.91430410053357</v>
      </c>
      <c r="E178" s="365">
        <f>'Public Lighting Charges'!O632</f>
        <v>52.053756684238806</v>
      </c>
      <c r="F178" s="365">
        <f>'Public Lighting Charges'!Q632</f>
        <v>54.601208314469886</v>
      </c>
      <c r="G178" s="365">
        <f>'Public Lighting Charges'!T632</f>
        <v>56.843744646416255</v>
      </c>
      <c r="H178" s="365">
        <f>'Public Lighting Charges'!W632</f>
        <v>58.913010827687941</v>
      </c>
      <c r="I178" s="365">
        <f>'Public Lighting Charges'!Z632</f>
        <v>60.614749037547035</v>
      </c>
    </row>
    <row r="179" spans="1:9" x14ac:dyDescent="0.2">
      <c r="A179" t="str">
        <f>'Public Lighting Charges'!A633</f>
        <v>HPS0140-ST-0400-002-B</v>
      </c>
      <c r="B179" s="365">
        <f>'Public Lighting Charges'!J633</f>
        <v>0</v>
      </c>
      <c r="C179" s="365">
        <f>'Public Lighting Charges'!L633*(1+'Public Lighting Charges'!$M$12)+(('Public Lighting Charges'!L633*'Public Lighting Charges'!$M$10)*'Public Lighting Charges'!$M$14)</f>
        <v>78.91430410053357</v>
      </c>
      <c r="D179" s="365">
        <f t="shared" si="2"/>
        <v>78.91430410053357</v>
      </c>
      <c r="E179" s="365">
        <f>'Public Lighting Charges'!O633</f>
        <v>52.053756684238806</v>
      </c>
      <c r="F179" s="365">
        <f>'Public Lighting Charges'!Q633</f>
        <v>54.601208314469886</v>
      </c>
      <c r="G179" s="365">
        <f>'Public Lighting Charges'!T633</f>
        <v>56.843744646416255</v>
      </c>
      <c r="H179" s="365">
        <f>'Public Lighting Charges'!W633</f>
        <v>58.913010827687941</v>
      </c>
      <c r="I179" s="365">
        <f>'Public Lighting Charges'!Z633</f>
        <v>60.614749037547035</v>
      </c>
    </row>
    <row r="180" spans="1:9" x14ac:dyDescent="0.2">
      <c r="A180" t="str">
        <f>'Public Lighting Charges'!A634</f>
        <v>HPS0140-ST-1030-001-B</v>
      </c>
      <c r="B180" s="365">
        <f>'Public Lighting Charges'!J634</f>
        <v>52.163571087910817</v>
      </c>
      <c r="C180" s="365">
        <f>'Public Lighting Charges'!L634*(1+'Public Lighting Charges'!$M$12)+(('Public Lighting Charges'!L634*'Public Lighting Charges'!$M$10)*'Public Lighting Charges'!$M$14)</f>
        <v>68.541669501206812</v>
      </c>
      <c r="D180" s="365">
        <f t="shared" si="2"/>
        <v>120.70524058911764</v>
      </c>
      <c r="E180" s="365">
        <f>'Public Lighting Charges'!O634</f>
        <v>113.2670660843645</v>
      </c>
      <c r="F180" s="365">
        <f>'Public Lighting Charges'!Q634</f>
        <v>114.02137985086138</v>
      </c>
      <c r="G180" s="365">
        <f>'Public Lighting Charges'!T634</f>
        <v>117.57031489214515</v>
      </c>
      <c r="H180" s="365">
        <f>'Public Lighting Charges'!W634</f>
        <v>121.02047867245776</v>
      </c>
      <c r="I180" s="365">
        <f>'Public Lighting Charges'!Z634</f>
        <v>124.21447079459213</v>
      </c>
    </row>
    <row r="181" spans="1:9" x14ac:dyDescent="0.2">
      <c r="A181" t="str">
        <f>'Public Lighting Charges'!A635</f>
        <v>HPS0160-ST-0070-001-B</v>
      </c>
      <c r="B181" s="365">
        <f>'Public Lighting Charges'!J635</f>
        <v>35.784047435083579</v>
      </c>
      <c r="C181" s="365">
        <f>'Public Lighting Charges'!L635*(1+'Public Lighting Charges'!$M$12)+(('Public Lighting Charges'!L635*'Public Lighting Charges'!$M$10)*'Public Lighting Charges'!$M$14)</f>
        <v>73.32263047207914</v>
      </c>
      <c r="D181" s="365">
        <f t="shared" si="2"/>
        <v>109.10667790716272</v>
      </c>
      <c r="E181" s="365">
        <f>'Public Lighting Charges'!O635</f>
        <v>95.372511494213612</v>
      </c>
      <c r="F181" s="365">
        <f>'Public Lighting Charges'!Q635</f>
        <v>96.754799161607991</v>
      </c>
      <c r="G181" s="365">
        <f>'Public Lighting Charges'!T635</f>
        <v>99.950673060988123</v>
      </c>
      <c r="H181" s="365">
        <f>'Public Lighting Charges'!W635</f>
        <v>103.01996694296537</v>
      </c>
      <c r="I181" s="365">
        <f>'Public Lighting Charges'!Z635</f>
        <v>105.78875631054008</v>
      </c>
    </row>
    <row r="182" spans="1:9" x14ac:dyDescent="0.2">
      <c r="A182" t="str">
        <f>'Public Lighting Charges'!A636</f>
        <v>HPS0160-ST-0070-002-B</v>
      </c>
      <c r="B182" s="365">
        <f>'Public Lighting Charges'!J636</f>
        <v>0</v>
      </c>
      <c r="C182" s="365">
        <f>'Public Lighting Charges'!L636*(1+'Public Lighting Charges'!$M$12)+(('Public Lighting Charges'!L636*'Public Lighting Charges'!$M$10)*'Public Lighting Charges'!$M$14)</f>
        <v>73.32263047207914</v>
      </c>
      <c r="D182" s="365">
        <f t="shared" si="2"/>
        <v>73.32263047207914</v>
      </c>
      <c r="E182" s="365">
        <f>'Public Lighting Charges'!O636</f>
        <v>46.798838544011929</v>
      </c>
      <c r="F182" s="365">
        <f>'Public Lighting Charges'!Q636</f>
        <v>49.089120459014651</v>
      </c>
      <c r="G182" s="365">
        <f>'Public Lighting Charges'!T636</f>
        <v>51.105268810505599</v>
      </c>
      <c r="H182" s="365">
        <f>'Public Lighting Charges'!W636</f>
        <v>52.965638937283387</v>
      </c>
      <c r="I182" s="365">
        <f>'Public Lighting Charges'!Z636</f>
        <v>54.495583686717495</v>
      </c>
    </row>
    <row r="183" spans="1:9" x14ac:dyDescent="0.2">
      <c r="A183" t="str">
        <f>'Public Lighting Charges'!A637</f>
        <v>HPS0160-ST-0240-001-B</v>
      </c>
      <c r="B183" s="365">
        <f>'Public Lighting Charges'!J637</f>
        <v>69.685165796959865</v>
      </c>
      <c r="C183" s="365">
        <f>'Public Lighting Charges'!L637*(1+'Public Lighting Charges'!$M$12)+(('Public Lighting Charges'!L637*'Public Lighting Charges'!$M$10)*'Public Lighting Charges'!$M$14)</f>
        <v>84.497035271405892</v>
      </c>
      <c r="D183" s="365">
        <f t="shared" si="2"/>
        <v>154.18220106836577</v>
      </c>
      <c r="E183" s="365">
        <f>'Public Lighting Charges'!O637</f>
        <v>151.78647518184974</v>
      </c>
      <c r="F183" s="365">
        <f>'Public Lighting Charges'!Q637</f>
        <v>152.81732476494787</v>
      </c>
      <c r="G183" s="365">
        <f>'Public Lighting Charges'!T637</f>
        <v>157.57872834173469</v>
      </c>
      <c r="H183" s="365">
        <f>'Public Lighting Charges'!W637</f>
        <v>162.2066081275178</v>
      </c>
      <c r="I183" s="365">
        <f>'Public Lighting Charges'!Z637</f>
        <v>166.48892699460407</v>
      </c>
    </row>
    <row r="184" spans="1:9" x14ac:dyDescent="0.2">
      <c r="A184" t="str">
        <f>'Public Lighting Charges'!A638</f>
        <v>HPS0160-ST-0240-002-B</v>
      </c>
      <c r="B184" s="365">
        <f>'Public Lighting Charges'!J638</f>
        <v>0</v>
      </c>
      <c r="C184" s="365">
        <f>'Public Lighting Charges'!L638*(1+'Public Lighting Charges'!$M$12)+(('Public Lighting Charges'!L638*'Public Lighting Charges'!$M$10)*'Public Lighting Charges'!$M$14)</f>
        <v>84.497035271405892</v>
      </c>
      <c r="D184" s="365">
        <f t="shared" si="2"/>
        <v>84.497035271405892</v>
      </c>
      <c r="E184" s="365">
        <f>'Public Lighting Charges'!O638</f>
        <v>57.195038619436104</v>
      </c>
      <c r="F184" s="365">
        <f>'Public Lighting Charges'!Q638</f>
        <v>59.994098738306029</v>
      </c>
      <c r="G184" s="365">
        <f>'Public Lighting Charges'!T638</f>
        <v>62.458127470933448</v>
      </c>
      <c r="H184" s="365">
        <f>'Public Lighting Charges'!W638</f>
        <v>64.731772385164248</v>
      </c>
      <c r="I184" s="365">
        <f>'Public Lighting Charges'!Z638</f>
        <v>66.601589067627273</v>
      </c>
    </row>
    <row r="185" spans="1:9" x14ac:dyDescent="0.2">
      <c r="A185" t="str">
        <f>'Public Lighting Charges'!A639</f>
        <v>HPS0160-ST-0330-001-B</v>
      </c>
      <c r="B185" s="365">
        <f>'Public Lighting Charges'!J639</f>
        <v>95.968430970589921</v>
      </c>
      <c r="C185" s="365">
        <f>'Public Lighting Charges'!L639*(1+'Public Lighting Charges'!$M$12)+(('Public Lighting Charges'!L639*'Public Lighting Charges'!$M$10)*'Public Lighting Charges'!$M$14)</f>
        <v>83.695265071405899</v>
      </c>
      <c r="D185" s="365">
        <f t="shared" si="2"/>
        <v>179.66369604199582</v>
      </c>
      <c r="E185" s="365">
        <f>'Public Lighting Charges'!O639</f>
        <v>186.66159340132816</v>
      </c>
      <c r="F185" s="365">
        <f>'Public Lighting Charges'!Q639</f>
        <v>186.98627107578443</v>
      </c>
      <c r="G185" s="365">
        <f>'Public Lighting Charges'!T639</f>
        <v>192.57962444122873</v>
      </c>
      <c r="H185" s="365">
        <f>'Public Lighting Charges'!W639</f>
        <v>198.0635698844078</v>
      </c>
      <c r="I185" s="365">
        <f>'Public Lighting Charges'!Z639</f>
        <v>203.229594341666</v>
      </c>
    </row>
    <row r="186" spans="1:9" x14ac:dyDescent="0.2">
      <c r="A186" t="str">
        <f>'Public Lighting Charges'!A640</f>
        <v>HPS0160-ST-0330-002-B</v>
      </c>
      <c r="B186" s="365">
        <f>'Public Lighting Charges'!J640</f>
        <v>0</v>
      </c>
      <c r="C186" s="365">
        <f>'Public Lighting Charges'!L640*(1+'Public Lighting Charges'!$M$12)+(('Public Lighting Charges'!L640*'Public Lighting Charges'!$M$10)*'Public Lighting Charges'!$M$14)</f>
        <v>83.695265071405899</v>
      </c>
      <c r="D186" s="365">
        <f t="shared" si="2"/>
        <v>83.695265071405899</v>
      </c>
      <c r="E186" s="365">
        <f>'Public Lighting Charges'!O640</f>
        <v>56.3929537801111</v>
      </c>
      <c r="F186" s="365">
        <f>'Public Lighting Charges'!Q640</f>
        <v>59.152760779481568</v>
      </c>
      <c r="G186" s="365">
        <f>'Public Lighting Charges'!T640</f>
        <v>61.582234765092345</v>
      </c>
      <c r="H186" s="365">
        <f>'Public Lighting Charges'!W640</f>
        <v>63.823994813787046</v>
      </c>
      <c r="I186" s="365">
        <f>'Public Lighting Charges'!Z640</f>
        <v>65.66758978804738</v>
      </c>
    </row>
    <row r="187" spans="1:9" x14ac:dyDescent="0.2">
      <c r="A187" t="str">
        <f>'Public Lighting Charges'!A641</f>
        <v>HPS0160-ST-1020-001-B</v>
      </c>
      <c r="B187" s="365">
        <f>'Public Lighting Charges'!J641</f>
        <v>57.605342845074404</v>
      </c>
      <c r="C187" s="365">
        <f>'Public Lighting Charges'!L641*(1+'Public Lighting Charges'!$M$12)+(('Public Lighting Charges'!L641*'Public Lighting Charges'!$M$10)*'Public Lighting Charges'!$M$14)</f>
        <v>73.32263047207914</v>
      </c>
      <c r="D187" s="365">
        <f t="shared" si="2"/>
        <v>130.92797331715354</v>
      </c>
      <c r="E187" s="365">
        <f>'Public Lighting Charges'!O641</f>
        <v>124.99298605113697</v>
      </c>
      <c r="F187" s="365">
        <f>'Public Lighting Charges'!Q641</f>
        <v>125.82157417563927</v>
      </c>
      <c r="G187" s="365">
        <f>'Public Lighting Charges'!T641</f>
        <v>129.73685075661666</v>
      </c>
      <c r="H187" s="365">
        <f>'Public Lighting Charges'!W641</f>
        <v>133.54335253656072</v>
      </c>
      <c r="I187" s="365">
        <f>'Public Lighting Charges'!Z641</f>
        <v>137.06759569757693</v>
      </c>
    </row>
    <row r="188" spans="1:9" x14ac:dyDescent="0.2">
      <c r="A188" t="str">
        <f>'Public Lighting Charges'!A642</f>
        <v>HPS0160-ST-1030-001-B</v>
      </c>
      <c r="B188" s="365">
        <f>'Public Lighting Charges'!J642</f>
        <v>52.163571087910817</v>
      </c>
      <c r="C188" s="365">
        <f>'Public Lighting Charges'!L642*(1+'Public Lighting Charges'!$M$12)+(('Public Lighting Charges'!L642*'Public Lighting Charges'!$M$10)*'Public Lighting Charges'!$M$14)</f>
        <v>73.32263047207914</v>
      </c>
      <c r="D188" s="365">
        <f t="shared" si="2"/>
        <v>125.48620155998995</v>
      </c>
      <c r="E188" s="365">
        <f>'Public Lighting Charges'!O642</f>
        <v>117.60626318023678</v>
      </c>
      <c r="F188" s="365">
        <f>'Public Lighting Charges'!Q642</f>
        <v>118.57293231587306</v>
      </c>
      <c r="G188" s="365">
        <f>'Public Lighting Charges'!T642</f>
        <v>122.30880501082125</v>
      </c>
      <c r="H188" s="365">
        <f>'Public Lighting Charges'!W642</f>
        <v>125.93146265855687</v>
      </c>
      <c r="I188" s="365">
        <f>'Public Lighting Charges'!Z642</f>
        <v>129.26731154509247</v>
      </c>
    </row>
    <row r="189" spans="1:9" x14ac:dyDescent="0.2">
      <c r="A189" t="str">
        <f>'Public Lighting Charges'!A643</f>
        <v>HPS0170-ST-0070-001-B</v>
      </c>
      <c r="B189" s="365">
        <f>'Public Lighting Charges'!J643</f>
        <v>35.784047435083579</v>
      </c>
      <c r="C189" s="365">
        <f>'Public Lighting Charges'!L643*(1+'Public Lighting Charges'!$M$12)+(('Public Lighting Charges'!L643*'Public Lighting Charges'!$M$10)*'Public Lighting Charges'!$M$14)</f>
        <v>73.32263047207914</v>
      </c>
      <c r="D189" s="365">
        <f t="shared" si="2"/>
        <v>109.10667790716272</v>
      </c>
      <c r="E189" s="365">
        <f>'Public Lighting Charges'!O643</f>
        <v>88.371289312794445</v>
      </c>
      <c r="F189" s="365">
        <f>'Public Lighting Charges'!Q643</f>
        <v>89.410945131965931</v>
      </c>
      <c r="G189" s="365">
        <f>'Public Lighting Charges'!T643</f>
        <v>92.305198243338353</v>
      </c>
      <c r="H189" s="365">
        <f>'Public Lighting Charges'!W643</f>
        <v>95.096176145635951</v>
      </c>
      <c r="I189" s="365">
        <f>'Public Lighting Charges'!Z643</f>
        <v>97.636081988547772</v>
      </c>
    </row>
    <row r="190" spans="1:9" x14ac:dyDescent="0.2">
      <c r="A190" t="str">
        <f>'Public Lighting Charges'!A644</f>
        <v>HPS0170-ST-0070-002-B</v>
      </c>
      <c r="B190" s="365">
        <f>'Public Lighting Charges'!J644</f>
        <v>0</v>
      </c>
      <c r="C190" s="365">
        <f>'Public Lighting Charges'!L644*(1+'Public Lighting Charges'!$M$12)+(('Public Lighting Charges'!L644*'Public Lighting Charges'!$M$10)*'Public Lighting Charges'!$M$14)</f>
        <v>73.32263047207914</v>
      </c>
      <c r="D190" s="365">
        <f t="shared" si="2"/>
        <v>73.32263047207914</v>
      </c>
      <c r="E190" s="365">
        <f>'Public Lighting Charges'!O644</f>
        <v>39.797616362592777</v>
      </c>
      <c r="F190" s="365">
        <f>'Public Lighting Charges'!Q644</f>
        <v>41.745266429372592</v>
      </c>
      <c r="G190" s="365">
        <f>'Public Lighting Charges'!T644</f>
        <v>43.459793992855836</v>
      </c>
      <c r="H190" s="365">
        <f>'Public Lighting Charges'!W644</f>
        <v>45.041848139953977</v>
      </c>
      <c r="I190" s="365">
        <f>'Public Lighting Charges'!Z644</f>
        <v>46.34290936472518</v>
      </c>
    </row>
    <row r="191" spans="1:9" x14ac:dyDescent="0.2">
      <c r="A191" t="str">
        <f>'Public Lighting Charges'!A645</f>
        <v>HPS0170-ST-0240-001-B</v>
      </c>
      <c r="B191" s="365">
        <f>'Public Lighting Charges'!J645</f>
        <v>69.685165796959865</v>
      </c>
      <c r="C191" s="365">
        <f>'Public Lighting Charges'!L645*(1+'Public Lighting Charges'!$M$12)+(('Public Lighting Charges'!L645*'Public Lighting Charges'!$M$10)*'Public Lighting Charges'!$M$14)</f>
        <v>84.497035271405892</v>
      </c>
      <c r="D191" s="365">
        <f t="shared" si="2"/>
        <v>154.18220106836577</v>
      </c>
      <c r="E191" s="365">
        <f>'Public Lighting Charges'!O645</f>
        <v>144.78525300043057</v>
      </c>
      <c r="F191" s="365">
        <f>'Public Lighting Charges'!Q645</f>
        <v>145.4734707353058</v>
      </c>
      <c r="G191" s="365">
        <f>'Public Lighting Charges'!T645</f>
        <v>149.9332535240849</v>
      </c>
      <c r="H191" s="365">
        <f>'Public Lighting Charges'!W645</f>
        <v>154.28281733018838</v>
      </c>
      <c r="I191" s="365">
        <f>'Public Lighting Charges'!Z645</f>
        <v>158.33625267261175</v>
      </c>
    </row>
    <row r="192" spans="1:9" x14ac:dyDescent="0.2">
      <c r="A192" t="str">
        <f>'Public Lighting Charges'!A646</f>
        <v>HPS0170-ST-0240-002-B</v>
      </c>
      <c r="B192" s="365">
        <f>'Public Lighting Charges'!J646</f>
        <v>0</v>
      </c>
      <c r="C192" s="365">
        <f>'Public Lighting Charges'!L646*(1+'Public Lighting Charges'!$M$12)+(('Public Lighting Charges'!L646*'Public Lighting Charges'!$M$10)*'Public Lighting Charges'!$M$14)</f>
        <v>84.497035271405892</v>
      </c>
      <c r="D192" s="365">
        <f t="shared" si="2"/>
        <v>84.497035271405892</v>
      </c>
      <c r="E192" s="365">
        <f>'Public Lighting Charges'!O646</f>
        <v>50.193816438016945</v>
      </c>
      <c r="F192" s="365">
        <f>'Public Lighting Charges'!Q646</f>
        <v>52.650244708663969</v>
      </c>
      <c r="G192" s="365">
        <f>'Public Lighting Charges'!T646</f>
        <v>54.812652653283685</v>
      </c>
      <c r="H192" s="365">
        <f>'Public Lighting Charges'!W646</f>
        <v>56.807981587834846</v>
      </c>
      <c r="I192" s="365">
        <f>'Public Lighting Charges'!Z646</f>
        <v>58.448914745634958</v>
      </c>
    </row>
    <row r="193" spans="1:9" x14ac:dyDescent="0.2">
      <c r="A193" t="str">
        <f>'Public Lighting Charges'!A647</f>
        <v>HPS0170-ST-0270-002-B</v>
      </c>
      <c r="B193" s="365">
        <f>'Public Lighting Charges'!J647</f>
        <v>0</v>
      </c>
      <c r="C193" s="365">
        <f>'Public Lighting Charges'!L647*(1+'Public Lighting Charges'!$M$12)+(('Public Lighting Charges'!L647*'Public Lighting Charges'!$M$10)*'Public Lighting Charges'!$M$14)</f>
        <v>83.695265071405899</v>
      </c>
      <c r="D193" s="365">
        <f t="shared" si="2"/>
        <v>83.695265071405899</v>
      </c>
      <c r="E193" s="365">
        <f>'Public Lighting Charges'!O647</f>
        <v>49.391731598691941</v>
      </c>
      <c r="F193" s="365">
        <f>'Public Lighting Charges'!Q647</f>
        <v>51.808906749839515</v>
      </c>
      <c r="G193" s="365">
        <f>'Public Lighting Charges'!T647</f>
        <v>53.936759947442589</v>
      </c>
      <c r="H193" s="365">
        <f>'Public Lighting Charges'!W647</f>
        <v>55.900204016457636</v>
      </c>
      <c r="I193" s="365">
        <f>'Public Lighting Charges'!Z647</f>
        <v>57.514915466055065</v>
      </c>
    </row>
    <row r="194" spans="1:9" x14ac:dyDescent="0.2">
      <c r="A194" t="str">
        <f>'Public Lighting Charges'!A648</f>
        <v>HPS0170-ST-0330-001-B</v>
      </c>
      <c r="B194" s="365">
        <f>'Public Lighting Charges'!J648</f>
        <v>95.968430970589921</v>
      </c>
      <c r="C194" s="365">
        <f>'Public Lighting Charges'!L648*(1+'Public Lighting Charges'!$M$12)+(('Public Lighting Charges'!L648*'Public Lighting Charges'!$M$10)*'Public Lighting Charges'!$M$14)</f>
        <v>83.695265071405899</v>
      </c>
      <c r="D194" s="365">
        <f t="shared" si="2"/>
        <v>179.66369604199582</v>
      </c>
      <c r="E194" s="365">
        <f>'Public Lighting Charges'!O648</f>
        <v>179.66037121990902</v>
      </c>
      <c r="F194" s="365">
        <f>'Public Lighting Charges'!Q648</f>
        <v>179.64241704614236</v>
      </c>
      <c r="G194" s="365">
        <f>'Public Lighting Charges'!T648</f>
        <v>184.93414962357895</v>
      </c>
      <c r="H194" s="365">
        <f>'Public Lighting Charges'!W648</f>
        <v>190.13977908707838</v>
      </c>
      <c r="I194" s="365">
        <f>'Public Lighting Charges'!Z648</f>
        <v>195.07692001967368</v>
      </c>
    </row>
    <row r="195" spans="1:9" x14ac:dyDescent="0.2">
      <c r="A195" t="str">
        <f>'Public Lighting Charges'!A649</f>
        <v>HPS0170-ST-0330-002-B</v>
      </c>
      <c r="B195" s="365">
        <f>'Public Lighting Charges'!J649</f>
        <v>0</v>
      </c>
      <c r="C195" s="365">
        <f>'Public Lighting Charges'!L649*(1+'Public Lighting Charges'!$M$12)+(('Public Lighting Charges'!L649*'Public Lighting Charges'!$M$10)*'Public Lighting Charges'!$M$14)</f>
        <v>83.695265071405899</v>
      </c>
      <c r="D195" s="365">
        <f t="shared" si="2"/>
        <v>83.695265071405899</v>
      </c>
      <c r="E195" s="365">
        <f>'Public Lighting Charges'!O649</f>
        <v>49.391731598691941</v>
      </c>
      <c r="F195" s="365">
        <f>'Public Lighting Charges'!Q649</f>
        <v>51.808906749839515</v>
      </c>
      <c r="G195" s="365">
        <f>'Public Lighting Charges'!T649</f>
        <v>53.936759947442589</v>
      </c>
      <c r="H195" s="365">
        <f>'Public Lighting Charges'!W649</f>
        <v>55.900204016457636</v>
      </c>
      <c r="I195" s="365">
        <f>'Public Lighting Charges'!Z649</f>
        <v>57.514915466055065</v>
      </c>
    </row>
    <row r="196" spans="1:9" x14ac:dyDescent="0.2">
      <c r="A196" t="str">
        <f>'Public Lighting Charges'!A650</f>
        <v>HPS0170-ST-0400-001-B</v>
      </c>
      <c r="B196" s="365">
        <f>'Public Lighting Charges'!J650</f>
        <v>112.34795462341719</v>
      </c>
      <c r="C196" s="365">
        <f>'Public Lighting Charges'!L650*(1+'Public Lighting Charges'!$M$12)+(('Public Lighting Charges'!L650*'Public Lighting Charges'!$M$10)*'Public Lighting Charges'!$M$14)</f>
        <v>83.695265071405899</v>
      </c>
      <c r="D196" s="365">
        <f t="shared" ref="D196:D259" si="3">B196+C196</f>
        <v>196.04321969482311</v>
      </c>
      <c r="E196" s="365">
        <f>'Public Lighting Charges'!O650</f>
        <v>201.89412290593219</v>
      </c>
      <c r="F196" s="365">
        <f>'Public Lighting Charges'!Q650</f>
        <v>201.46055020040745</v>
      </c>
      <c r="G196" s="365">
        <f>'Public Lighting Charges'!T650</f>
        <v>207.29228157341208</v>
      </c>
      <c r="H196" s="365">
        <f>'Public Lighting Charges'!W650</f>
        <v>213.05127480266989</v>
      </c>
      <c r="I196" s="365">
        <f>'Public Lighting Charges'!Z650</f>
        <v>218.55547525422608</v>
      </c>
    </row>
    <row r="197" spans="1:9" x14ac:dyDescent="0.2">
      <c r="A197" t="str">
        <f>'Public Lighting Charges'!A651</f>
        <v>HPS0170-ST-0400-002-B</v>
      </c>
      <c r="B197" s="365">
        <f>'Public Lighting Charges'!J651</f>
        <v>0</v>
      </c>
      <c r="C197" s="365">
        <f>'Public Lighting Charges'!L651*(1+'Public Lighting Charges'!$M$12)+(('Public Lighting Charges'!L651*'Public Lighting Charges'!$M$10)*'Public Lighting Charges'!$M$14)</f>
        <v>83.695265071405899</v>
      </c>
      <c r="D197" s="365">
        <f t="shared" si="3"/>
        <v>83.695265071405899</v>
      </c>
      <c r="E197" s="365">
        <f>'Public Lighting Charges'!O651</f>
        <v>49.391731598691941</v>
      </c>
      <c r="F197" s="365">
        <f>'Public Lighting Charges'!Q651</f>
        <v>51.808906749839515</v>
      </c>
      <c r="G197" s="365">
        <f>'Public Lighting Charges'!T651</f>
        <v>53.936759947442589</v>
      </c>
      <c r="H197" s="365">
        <f>'Public Lighting Charges'!W651</f>
        <v>55.900204016457636</v>
      </c>
      <c r="I197" s="365">
        <f>'Public Lighting Charges'!Z651</f>
        <v>57.514915466055065</v>
      </c>
    </row>
    <row r="198" spans="1:9" x14ac:dyDescent="0.2">
      <c r="A198" t="str">
        <f>'Public Lighting Charges'!A652</f>
        <v>HPS0170-ST-0440-001-B</v>
      </c>
      <c r="B198" s="365">
        <f>'Public Lighting Charges'!J652</f>
        <v>128.72747827624443</v>
      </c>
      <c r="C198" s="365">
        <f>'Public Lighting Charges'!L652*(1+'Public Lighting Charges'!$M$12)+(('Public Lighting Charges'!L652*'Public Lighting Charges'!$M$10)*'Public Lighting Charges'!$M$14)</f>
        <v>83.695265071405899</v>
      </c>
      <c r="D198" s="365">
        <f t="shared" si="3"/>
        <v>212.42274334765034</v>
      </c>
      <c r="E198" s="365">
        <f>'Public Lighting Charges'!O652</f>
        <v>224.12787459195542</v>
      </c>
      <c r="F198" s="365">
        <f>'Public Lighting Charges'!Q652</f>
        <v>223.27868335467255</v>
      </c>
      <c r="G198" s="365">
        <f>'Public Lighting Charges'!T652</f>
        <v>229.65041352324525</v>
      </c>
      <c r="H198" s="365">
        <f>'Public Lighting Charges'!W652</f>
        <v>235.96277051826144</v>
      </c>
      <c r="I198" s="365">
        <f>'Public Lighting Charges'!Z652</f>
        <v>242.03403048877848</v>
      </c>
    </row>
    <row r="199" spans="1:9" x14ac:dyDescent="0.2">
      <c r="A199" t="str">
        <f>'Public Lighting Charges'!A653</f>
        <v>HPS0170-ST-0440-002-B</v>
      </c>
      <c r="B199" s="365">
        <f>'Public Lighting Charges'!J653</f>
        <v>0</v>
      </c>
      <c r="C199" s="365">
        <f>'Public Lighting Charges'!L653*(1+'Public Lighting Charges'!$M$12)+(('Public Lighting Charges'!L653*'Public Lighting Charges'!$M$10)*'Public Lighting Charges'!$M$14)</f>
        <v>83.695265071405899</v>
      </c>
      <c r="D199" s="365">
        <f t="shared" si="3"/>
        <v>83.695265071405899</v>
      </c>
      <c r="E199" s="365">
        <f>'Public Lighting Charges'!O653</f>
        <v>49.391731598691941</v>
      </c>
      <c r="F199" s="365">
        <f>'Public Lighting Charges'!Q653</f>
        <v>51.808906749839515</v>
      </c>
      <c r="G199" s="365">
        <f>'Public Lighting Charges'!T653</f>
        <v>53.936759947442589</v>
      </c>
      <c r="H199" s="365">
        <f>'Public Lighting Charges'!W653</f>
        <v>55.900204016457636</v>
      </c>
      <c r="I199" s="365">
        <f>'Public Lighting Charges'!Z653</f>
        <v>57.514915466055065</v>
      </c>
    </row>
    <row r="200" spans="1:9" x14ac:dyDescent="0.2">
      <c r="A200" t="str">
        <f>'Public Lighting Charges'!A654</f>
        <v>HPS0170-ST-0480-002-B</v>
      </c>
      <c r="B200" s="365">
        <f>'Public Lighting Charges'!J654</f>
        <v>0</v>
      </c>
      <c r="C200" s="365">
        <f>'Public Lighting Charges'!L654*(1+'Public Lighting Charges'!$M$12)+(('Public Lighting Charges'!L654*'Public Lighting Charges'!$M$10)*'Public Lighting Charges'!$M$14)</f>
        <v>83.695265071405899</v>
      </c>
      <c r="D200" s="365">
        <f t="shared" si="3"/>
        <v>83.695265071405899</v>
      </c>
      <c r="E200" s="365">
        <f>'Public Lighting Charges'!O654</f>
        <v>49.391731598691941</v>
      </c>
      <c r="F200" s="365">
        <f>'Public Lighting Charges'!Q654</f>
        <v>51.808906749839515</v>
      </c>
      <c r="G200" s="365">
        <f>'Public Lighting Charges'!T654</f>
        <v>53.936759947442589</v>
      </c>
      <c r="H200" s="365">
        <f>'Public Lighting Charges'!W654</f>
        <v>55.900204016457636</v>
      </c>
      <c r="I200" s="365">
        <f>'Public Lighting Charges'!Z654</f>
        <v>57.514915466055065</v>
      </c>
    </row>
    <row r="201" spans="1:9" x14ac:dyDescent="0.2">
      <c r="A201" t="str">
        <f>'Public Lighting Charges'!A655</f>
        <v>HPS0170-ST-0560-002-B</v>
      </c>
      <c r="B201" s="365">
        <f>'Public Lighting Charges'!J655</f>
        <v>0</v>
      </c>
      <c r="C201" s="365">
        <f>'Public Lighting Charges'!L655*(1+'Public Lighting Charges'!$M$12)+(('Public Lighting Charges'!L655*'Public Lighting Charges'!$M$10)*'Public Lighting Charges'!$M$14)</f>
        <v>83.695265071405899</v>
      </c>
      <c r="D201" s="365">
        <f t="shared" si="3"/>
        <v>83.695265071405899</v>
      </c>
      <c r="E201" s="365">
        <f>'Public Lighting Charges'!O655</f>
        <v>49.391731598691941</v>
      </c>
      <c r="F201" s="365">
        <f>'Public Lighting Charges'!Q655</f>
        <v>51.808906749839515</v>
      </c>
      <c r="G201" s="365">
        <f>'Public Lighting Charges'!T655</f>
        <v>53.936759947442589</v>
      </c>
      <c r="H201" s="365">
        <f>'Public Lighting Charges'!W655</f>
        <v>55.900204016457636</v>
      </c>
      <c r="I201" s="365">
        <f>'Public Lighting Charges'!Z655</f>
        <v>57.514915466055065</v>
      </c>
    </row>
    <row r="202" spans="1:9" x14ac:dyDescent="0.2">
      <c r="A202" t="str">
        <f>'Public Lighting Charges'!A656</f>
        <v>HPS0170-ST-0600-002-B</v>
      </c>
      <c r="B202" s="365">
        <f>'Public Lighting Charges'!J656</f>
        <v>0</v>
      </c>
      <c r="C202" s="365">
        <f>'Public Lighting Charges'!L656*(1+'Public Lighting Charges'!$M$12)+(('Public Lighting Charges'!L656*'Public Lighting Charges'!$M$10)*'Public Lighting Charges'!$M$14)</f>
        <v>83.695265071405899</v>
      </c>
      <c r="D202" s="365">
        <f t="shared" si="3"/>
        <v>83.695265071405899</v>
      </c>
      <c r="E202" s="365">
        <f>'Public Lighting Charges'!O656</f>
        <v>49.391731598691941</v>
      </c>
      <c r="F202" s="365">
        <f>'Public Lighting Charges'!Q656</f>
        <v>51.808906749839515</v>
      </c>
      <c r="G202" s="365">
        <f>'Public Lighting Charges'!T656</f>
        <v>53.936759947442589</v>
      </c>
      <c r="H202" s="365">
        <f>'Public Lighting Charges'!W656</f>
        <v>55.900204016457636</v>
      </c>
      <c r="I202" s="365">
        <f>'Public Lighting Charges'!Z656</f>
        <v>57.514915466055065</v>
      </c>
    </row>
    <row r="203" spans="1:9" x14ac:dyDescent="0.2">
      <c r="A203" t="str">
        <f>'Public Lighting Charges'!A657</f>
        <v>HPS0170-ST-0620-001-B</v>
      </c>
      <c r="B203" s="365">
        <f>'Public Lighting Charges'!J657</f>
        <v>34.455205908772193</v>
      </c>
      <c r="C203" s="365">
        <f>'Public Lighting Charges'!L657*(1+'Public Lighting Charges'!$M$12)+(('Public Lighting Charges'!L657*'Public Lighting Charges'!$M$10)*'Public Lighting Charges'!$M$14)</f>
        <v>73.32263047207914</v>
      </c>
      <c r="D203" s="365">
        <f t="shared" si="3"/>
        <v>107.77783638085134</v>
      </c>
      <c r="E203" s="365">
        <f>'Public Lighting Charges'!O657</f>
        <v>86.567504712441689</v>
      </c>
      <c r="F203" s="365">
        <f>'Public Lighting Charges'!Q657</f>
        <v>87.640878921464491</v>
      </c>
      <c r="G203" s="365">
        <f>'Public Lighting Charges'!T657</f>
        <v>90.491322894127009</v>
      </c>
      <c r="H203" s="365">
        <f>'Public Lighting Charges'!W657</f>
        <v>93.237407381531625</v>
      </c>
      <c r="I203" s="365">
        <f>'Public Lighting Charges'!Z657</f>
        <v>95.731308697531858</v>
      </c>
    </row>
    <row r="204" spans="1:9" x14ac:dyDescent="0.2">
      <c r="A204" t="str">
        <f>'Public Lighting Charges'!A658</f>
        <v>HPS0170-ST-0620-002-B</v>
      </c>
      <c r="B204" s="365">
        <f>'Public Lighting Charges'!J658</f>
        <v>0</v>
      </c>
      <c r="C204" s="365">
        <f>'Public Lighting Charges'!L658*(1+'Public Lighting Charges'!$M$12)+(('Public Lighting Charges'!L658*'Public Lighting Charges'!$M$10)*'Public Lighting Charges'!$M$14)</f>
        <v>73.32263047207914</v>
      </c>
      <c r="D204" s="365">
        <f t="shared" si="3"/>
        <v>73.32263047207914</v>
      </c>
      <c r="E204" s="365">
        <f>'Public Lighting Charges'!O658</f>
        <v>39.797616362592777</v>
      </c>
      <c r="F204" s="365">
        <f>'Public Lighting Charges'!Q658</f>
        <v>41.745266429372592</v>
      </c>
      <c r="G204" s="365">
        <f>'Public Lighting Charges'!T658</f>
        <v>43.459793992855836</v>
      </c>
      <c r="H204" s="365">
        <f>'Public Lighting Charges'!W658</f>
        <v>45.041848139953977</v>
      </c>
      <c r="I204" s="365">
        <f>'Public Lighting Charges'!Z658</f>
        <v>46.34290936472518</v>
      </c>
    </row>
    <row r="205" spans="1:9" x14ac:dyDescent="0.2">
      <c r="A205" t="str">
        <f>'Public Lighting Charges'!A659</f>
        <v>HPS0170-ST-0660-002-B</v>
      </c>
      <c r="B205" s="365">
        <f>'Public Lighting Charges'!J659</f>
        <v>0</v>
      </c>
      <c r="C205" s="365">
        <f>'Public Lighting Charges'!L659*(1+'Public Lighting Charges'!$M$12)+(('Public Lighting Charges'!L659*'Public Lighting Charges'!$M$10)*'Public Lighting Charges'!$M$14)</f>
        <v>73.32263047207914</v>
      </c>
      <c r="D205" s="365">
        <f t="shared" si="3"/>
        <v>73.32263047207914</v>
      </c>
      <c r="E205" s="365">
        <f>'Public Lighting Charges'!O659</f>
        <v>39.797616362592777</v>
      </c>
      <c r="F205" s="365">
        <f>'Public Lighting Charges'!Q659</f>
        <v>41.745266429372592</v>
      </c>
      <c r="G205" s="365">
        <f>'Public Lighting Charges'!T659</f>
        <v>43.459793992855836</v>
      </c>
      <c r="H205" s="365">
        <f>'Public Lighting Charges'!W659</f>
        <v>45.041848139953977</v>
      </c>
      <c r="I205" s="365">
        <f>'Public Lighting Charges'!Z659</f>
        <v>46.34290936472518</v>
      </c>
    </row>
    <row r="206" spans="1:9" x14ac:dyDescent="0.2">
      <c r="A206" t="str">
        <f>'Public Lighting Charges'!A660</f>
        <v>HPS0170-ST-0770-002-B</v>
      </c>
      <c r="B206" s="365">
        <f>'Public Lighting Charges'!J660</f>
        <v>0</v>
      </c>
      <c r="C206" s="365">
        <f>'Public Lighting Charges'!L660*(1+'Public Lighting Charges'!$M$12)+(('Public Lighting Charges'!L660*'Public Lighting Charges'!$M$10)*'Public Lighting Charges'!$M$14)</f>
        <v>84.497035271405892</v>
      </c>
      <c r="D206" s="365">
        <f t="shared" si="3"/>
        <v>84.497035271405892</v>
      </c>
      <c r="E206" s="365">
        <f>'Public Lighting Charges'!O660</f>
        <v>50.193816438016945</v>
      </c>
      <c r="F206" s="365">
        <f>'Public Lighting Charges'!Q660</f>
        <v>52.650244708663969</v>
      </c>
      <c r="G206" s="365">
        <f>'Public Lighting Charges'!T660</f>
        <v>54.812652653283685</v>
      </c>
      <c r="H206" s="365">
        <f>'Public Lighting Charges'!W660</f>
        <v>56.807981587834846</v>
      </c>
      <c r="I206" s="365">
        <f>'Public Lighting Charges'!Z660</f>
        <v>58.448914745634958</v>
      </c>
    </row>
    <row r="207" spans="1:9" x14ac:dyDescent="0.2">
      <c r="A207" t="str">
        <f>'Public Lighting Charges'!A661</f>
        <v>HPS0170-ST-0900-002-B</v>
      </c>
      <c r="B207" s="365">
        <f>'Public Lighting Charges'!J661</f>
        <v>0</v>
      </c>
      <c r="C207" s="365">
        <f>'Public Lighting Charges'!L661*(1+'Public Lighting Charges'!$M$12)+(('Public Lighting Charges'!L661*'Public Lighting Charges'!$M$10)*'Public Lighting Charges'!$M$14)</f>
        <v>84.497035271405892</v>
      </c>
      <c r="D207" s="365">
        <f t="shared" si="3"/>
        <v>84.497035271405892</v>
      </c>
      <c r="E207" s="365">
        <f>'Public Lighting Charges'!O661</f>
        <v>50.193816438016945</v>
      </c>
      <c r="F207" s="365">
        <f>'Public Lighting Charges'!Q661</f>
        <v>52.650244708663969</v>
      </c>
      <c r="G207" s="365">
        <f>'Public Lighting Charges'!T661</f>
        <v>54.812652653283685</v>
      </c>
      <c r="H207" s="365">
        <f>'Public Lighting Charges'!W661</f>
        <v>56.807981587834846</v>
      </c>
      <c r="I207" s="365">
        <f>'Public Lighting Charges'!Z661</f>
        <v>58.448914745634958</v>
      </c>
    </row>
    <row r="208" spans="1:9" x14ac:dyDescent="0.2">
      <c r="A208" t="str">
        <f>'Public Lighting Charges'!A662</f>
        <v>HPS0170-ST-1030-001-B</v>
      </c>
      <c r="B208" s="365">
        <f>'Public Lighting Charges'!J662</f>
        <v>52.163571087910817</v>
      </c>
      <c r="C208" s="365">
        <f>'Public Lighting Charges'!L662*(1+'Public Lighting Charges'!$M$12)+(('Public Lighting Charges'!L662*'Public Lighting Charges'!$M$10)*'Public Lighting Charges'!$M$14)</f>
        <v>73.32263047207914</v>
      </c>
      <c r="D208" s="365">
        <f t="shared" si="3"/>
        <v>125.48620155998995</v>
      </c>
      <c r="E208" s="365">
        <f>'Public Lighting Charges'!O662</f>
        <v>110.60504099881761</v>
      </c>
      <c r="F208" s="365">
        <f>'Public Lighting Charges'!Q662</f>
        <v>111.22907828623102</v>
      </c>
      <c r="G208" s="365">
        <f>'Public Lighting Charges'!T662</f>
        <v>114.6633301931715</v>
      </c>
      <c r="H208" s="365">
        <f>'Public Lighting Charges'!W662</f>
        <v>118.00767186122746</v>
      </c>
      <c r="I208" s="365">
        <f>'Public Lighting Charges'!Z662</f>
        <v>121.11463722310017</v>
      </c>
    </row>
    <row r="209" spans="1:9" x14ac:dyDescent="0.2">
      <c r="A209" t="str">
        <f>'Public Lighting Charges'!A663</f>
        <v>HPS0170-ST-1030-002-B</v>
      </c>
      <c r="B209" s="365">
        <f>'Public Lighting Charges'!J663</f>
        <v>0</v>
      </c>
      <c r="C209" s="365">
        <f>'Public Lighting Charges'!L663*(1+'Public Lighting Charges'!$M$12)+(('Public Lighting Charges'!L663*'Public Lighting Charges'!$M$10)*'Public Lighting Charges'!$M$14)</f>
        <v>73.32263047207914</v>
      </c>
      <c r="D209" s="365">
        <f t="shared" si="3"/>
        <v>73.32263047207914</v>
      </c>
      <c r="E209" s="365">
        <f>'Public Lighting Charges'!O663</f>
        <v>39.797616362592777</v>
      </c>
      <c r="F209" s="365">
        <f>'Public Lighting Charges'!Q663</f>
        <v>41.745266429372592</v>
      </c>
      <c r="G209" s="365">
        <f>'Public Lighting Charges'!T663</f>
        <v>43.459793992855836</v>
      </c>
      <c r="H209" s="365">
        <f>'Public Lighting Charges'!W663</f>
        <v>45.041848139953977</v>
      </c>
      <c r="I209" s="365">
        <f>'Public Lighting Charges'!Z663</f>
        <v>46.34290936472518</v>
      </c>
    </row>
    <row r="210" spans="1:9" x14ac:dyDescent="0.2">
      <c r="A210" t="str">
        <f>'Public Lighting Charges'!A664</f>
        <v>HPS0170-ST-1100-001-B</v>
      </c>
      <c r="B210" s="365">
        <f>'Public Lighting Charges'!J664</f>
        <v>73.527525225964666</v>
      </c>
      <c r="C210" s="365">
        <f>'Public Lighting Charges'!L664*(1+'Public Lighting Charges'!$M$12)+(('Public Lighting Charges'!L664*'Public Lighting Charges'!$M$10)*'Public Lighting Charges'!$M$14)</f>
        <v>84.497035271405892</v>
      </c>
      <c r="D210" s="365">
        <f t="shared" si="3"/>
        <v>158.02456049737054</v>
      </c>
      <c r="E210" s="365">
        <f>'Public Lighting Charges'!O664</f>
        <v>150.00091538742538</v>
      </c>
      <c r="F210" s="365">
        <f>'Public Lighting Charges'!Q664</f>
        <v>150.59163603885554</v>
      </c>
      <c r="G210" s="365">
        <f>'Public Lighting Charges'!T664</f>
        <v>155.1780934188975</v>
      </c>
      <c r="H210" s="365">
        <f>'Public Lighting Charges'!W664</f>
        <v>159.65746701239757</v>
      </c>
      <c r="I210" s="365">
        <f>'Public Lighting Charges'!Z664</f>
        <v>163.84392493445563</v>
      </c>
    </row>
    <row r="211" spans="1:9" x14ac:dyDescent="0.2">
      <c r="A211" t="str">
        <f>'Public Lighting Charges'!A665</f>
        <v>HPS0170-ST-1100-002-B</v>
      </c>
      <c r="B211" s="365">
        <f>'Public Lighting Charges'!J665</f>
        <v>0</v>
      </c>
      <c r="C211" s="365">
        <f>'Public Lighting Charges'!L665*(1+'Public Lighting Charges'!$M$12)+(('Public Lighting Charges'!L665*'Public Lighting Charges'!$M$10)*'Public Lighting Charges'!$M$14)</f>
        <v>84.497035271405892</v>
      </c>
      <c r="D211" s="365">
        <f t="shared" si="3"/>
        <v>84.497035271405892</v>
      </c>
      <c r="E211" s="365">
        <f>'Public Lighting Charges'!O665</f>
        <v>50.193816438016945</v>
      </c>
      <c r="F211" s="365">
        <f>'Public Lighting Charges'!Q665</f>
        <v>52.650244708663969</v>
      </c>
      <c r="G211" s="365">
        <f>'Public Lighting Charges'!T665</f>
        <v>54.812652653283685</v>
      </c>
      <c r="H211" s="365">
        <f>'Public Lighting Charges'!W665</f>
        <v>56.807981587834846</v>
      </c>
      <c r="I211" s="365">
        <f>'Public Lighting Charges'!Z665</f>
        <v>58.448914745634958</v>
      </c>
    </row>
    <row r="212" spans="1:9" x14ac:dyDescent="0.2">
      <c r="A212" t="str">
        <f>'Public Lighting Charges'!A666</f>
        <v>HPS0170-ST-1130-001-B</v>
      </c>
      <c r="B212" s="365">
        <f>'Public Lighting Charges'!J666</f>
        <v>120.03267348142677</v>
      </c>
      <c r="C212" s="365">
        <f>'Public Lighting Charges'!L666*(1+'Public Lighting Charges'!$M$12)+(('Public Lighting Charges'!L666*'Public Lighting Charges'!$M$10)*'Public Lighting Charges'!$M$14)</f>
        <v>83.695265071405899</v>
      </c>
      <c r="D212" s="365">
        <f t="shared" si="3"/>
        <v>203.72793855283265</v>
      </c>
      <c r="E212" s="365">
        <f>'Public Lighting Charges'!O666</f>
        <v>212.32544767992178</v>
      </c>
      <c r="F212" s="365">
        <f>'Public Lighting Charges'!Q666</f>
        <v>211.69688080750694</v>
      </c>
      <c r="G212" s="365">
        <f>'Public Lighting Charges'!T666</f>
        <v>217.78196136303728</v>
      </c>
      <c r="H212" s="365">
        <f>'Public Lighting Charges'!W666</f>
        <v>223.80057416708831</v>
      </c>
      <c r="I212" s="365">
        <f>'Public Lighting Charges'!Z666</f>
        <v>229.57081977791384</v>
      </c>
    </row>
    <row r="213" spans="1:9" x14ac:dyDescent="0.2">
      <c r="A213" t="str">
        <f>'Public Lighting Charges'!A667</f>
        <v>HPS0170-ST-1170-001-B</v>
      </c>
      <c r="B213" s="365">
        <f>'Public Lighting Charges'!J667</f>
        <v>99.810790399594723</v>
      </c>
      <c r="C213" s="365">
        <f>'Public Lighting Charges'!L667*(1+'Public Lighting Charges'!$M$12)+(('Public Lighting Charges'!L667*'Public Lighting Charges'!$M$10)*'Public Lighting Charges'!$M$14)</f>
        <v>83.695265071405899</v>
      </c>
      <c r="D213" s="365">
        <f t="shared" si="3"/>
        <v>183.50605547100062</v>
      </c>
      <c r="E213" s="365">
        <f>'Public Lighting Charges'!O667</f>
        <v>184.8760336069038</v>
      </c>
      <c r="F213" s="365">
        <f>'Public Lighting Charges'!Q667</f>
        <v>184.76058234969207</v>
      </c>
      <c r="G213" s="365">
        <f>'Public Lighting Charges'!T667</f>
        <v>190.17898951839152</v>
      </c>
      <c r="H213" s="365">
        <f>'Public Lighting Charges'!W667</f>
        <v>195.51442876928758</v>
      </c>
      <c r="I213" s="365">
        <f>'Public Lighting Charges'!Z667</f>
        <v>200.58459228151753</v>
      </c>
    </row>
    <row r="214" spans="1:9" x14ac:dyDescent="0.2">
      <c r="A214" t="str">
        <f>'Public Lighting Charges'!A668</f>
        <v>HPS0170-ST-1170-002-B</v>
      </c>
      <c r="B214" s="365">
        <f>'Public Lighting Charges'!J668</f>
        <v>0</v>
      </c>
      <c r="C214" s="365">
        <f>'Public Lighting Charges'!L668*(1+'Public Lighting Charges'!$M$12)+(('Public Lighting Charges'!L668*'Public Lighting Charges'!$M$10)*'Public Lighting Charges'!$M$14)</f>
        <v>83.695265071405899</v>
      </c>
      <c r="D214" s="365">
        <f t="shared" si="3"/>
        <v>83.695265071405899</v>
      </c>
      <c r="E214" s="365">
        <f>'Public Lighting Charges'!O668</f>
        <v>49.391731598691941</v>
      </c>
      <c r="F214" s="365">
        <f>'Public Lighting Charges'!Q668</f>
        <v>51.808906749839515</v>
      </c>
      <c r="G214" s="365">
        <f>'Public Lighting Charges'!T668</f>
        <v>53.936759947442589</v>
      </c>
      <c r="H214" s="365">
        <f>'Public Lighting Charges'!W668</f>
        <v>55.900204016457636</v>
      </c>
      <c r="I214" s="365">
        <f>'Public Lighting Charges'!Z668</f>
        <v>57.514915466055065</v>
      </c>
    </row>
    <row r="215" spans="1:9" x14ac:dyDescent="0.2">
      <c r="A215" t="str">
        <f>'Public Lighting Charges'!A669</f>
        <v>HPS0170-ST-1250-001-B</v>
      </c>
      <c r="B215" s="365">
        <f>'Public Lighting Charges'!J669</f>
        <v>113.97129138962873</v>
      </c>
      <c r="C215" s="365">
        <f>'Public Lighting Charges'!L669*(1+'Public Lighting Charges'!$M$12)+(('Public Lighting Charges'!L669*'Public Lighting Charges'!$M$10)*'Public Lighting Charges'!$M$14)</f>
        <v>84.497035271405892</v>
      </c>
      <c r="D215" s="365">
        <f t="shared" si="3"/>
        <v>198.46832666103461</v>
      </c>
      <c r="E215" s="365">
        <f>'Public Lighting Charges'!O669</f>
        <v>204.89974353346125</v>
      </c>
      <c r="F215" s="365">
        <f>'Public Lighting Charges'!Q669</f>
        <v>204.46423295448514</v>
      </c>
      <c r="G215" s="365">
        <f>'Public Lighting Charges'!T669</f>
        <v>210.38403710818892</v>
      </c>
      <c r="H215" s="365">
        <f>'Public Lighting Charges'!W669</f>
        <v>216.22975780799896</v>
      </c>
      <c r="I215" s="365">
        <f>'Public Lighting Charges'!Z669</f>
        <v>221.81637992724814</v>
      </c>
    </row>
    <row r="216" spans="1:9" x14ac:dyDescent="0.2">
      <c r="A216" t="str">
        <f>'Public Lighting Charges'!A670</f>
        <v>HPS0170-TA-0070-001-B</v>
      </c>
      <c r="B216" s="365">
        <f>'Public Lighting Charges'!J670</f>
        <v>35.784047435083579</v>
      </c>
      <c r="C216" s="365">
        <f>'Public Lighting Charges'!L670*(1+'Public Lighting Charges'!$M$12)+(('Public Lighting Charges'!L670*'Public Lighting Charges'!$M$10)*'Public Lighting Charges'!$M$14)</f>
        <v>82.763046339238599</v>
      </c>
      <c r="D216" s="365">
        <f t="shared" si="3"/>
        <v>118.54709377432218</v>
      </c>
      <c r="E216" s="365">
        <f>'Public Lighting Charges'!O670</f>
        <v>90.107497707765432</v>
      </c>
      <c r="F216" s="365">
        <f>'Public Lighting Charges'!Q670</f>
        <v>91.232121590491275</v>
      </c>
      <c r="G216" s="365">
        <f>'Public Lighting Charges'!T670</f>
        <v>94.201172577244165</v>
      </c>
      <c r="H216" s="365">
        <f>'Public Lighting Charges'!W670</f>
        <v>97.06116907770263</v>
      </c>
      <c r="I216" s="365">
        <f>'Public Lighting Charges'!Z670</f>
        <v>99.657834938607451</v>
      </c>
    </row>
    <row r="217" spans="1:9" x14ac:dyDescent="0.2">
      <c r="A217" t="str">
        <f>'Public Lighting Charges'!A671</f>
        <v>HPS0180-ST-0860-001-B</v>
      </c>
      <c r="B217" s="365">
        <f>'Public Lighting Charges'!J671</f>
        <v>200.25475215839111</v>
      </c>
      <c r="C217" s="365">
        <f>'Public Lighting Charges'!L671*(1+'Public Lighting Charges'!$M$12)+(('Public Lighting Charges'!L671*'Public Lighting Charges'!$M$10)*'Public Lighting Charges'!$M$14)</f>
        <v>106.75080523430299</v>
      </c>
      <c r="D217" s="365">
        <f t="shared" si="3"/>
        <v>307.00555739269407</v>
      </c>
      <c r="E217" s="365">
        <f>'Public Lighting Charges'!O671</f>
        <v>339.70654033063647</v>
      </c>
      <c r="F217" s="365">
        <f>'Public Lighting Charges'!Q671</f>
        <v>337.94711596965402</v>
      </c>
      <c r="G217" s="365">
        <f>'Public Lighting Charges'!T671</f>
        <v>347.47338129432376</v>
      </c>
      <c r="H217" s="365">
        <f>'Public Lighting Charges'!W671</f>
        <v>356.93710019374925</v>
      </c>
      <c r="I217" s="365">
        <f>'Public Lighting Charges'!Z671</f>
        <v>366.08900323957522</v>
      </c>
    </row>
    <row r="218" spans="1:9" x14ac:dyDescent="0.2">
      <c r="A218" t="str">
        <f>'Public Lighting Charges'!A672</f>
        <v>HPS0180-ST-0870-001-B</v>
      </c>
      <c r="B218" s="365">
        <f>'Public Lighting Charges'!J672</f>
        <v>220.47663524022317</v>
      </c>
      <c r="C218" s="365">
        <f>'Public Lighting Charges'!L672*(1+'Public Lighting Charges'!$M$12)+(('Public Lighting Charges'!L672*'Public Lighting Charges'!$M$10)*'Public Lighting Charges'!$M$14)</f>
        <v>106.75080523430299</v>
      </c>
      <c r="D218" s="365">
        <f t="shared" si="3"/>
        <v>327.22744047452613</v>
      </c>
      <c r="E218" s="365">
        <f>'Public Lighting Charges'!O672</f>
        <v>367.15595440365433</v>
      </c>
      <c r="F218" s="365">
        <f>'Public Lighting Charges'!Q672</f>
        <v>364.88341442746872</v>
      </c>
      <c r="G218" s="365">
        <f>'Public Lighting Charges'!T672</f>
        <v>375.07635313896941</v>
      </c>
      <c r="H218" s="365">
        <f>'Public Lighting Charges'!W672</f>
        <v>385.22324559154987</v>
      </c>
      <c r="I218" s="365">
        <f>'Public Lighting Charges'!Z672</f>
        <v>395.07523073597139</v>
      </c>
    </row>
    <row r="219" spans="1:9" x14ac:dyDescent="0.2">
      <c r="A219" t="str">
        <f>'Public Lighting Charges'!A673</f>
        <v>HPS0180-ST-0870-002-B</v>
      </c>
      <c r="B219" s="365">
        <f>'Public Lighting Charges'!J673</f>
        <v>0</v>
      </c>
      <c r="C219" s="365">
        <f>'Public Lighting Charges'!L673*(1+'Public Lighting Charges'!$M$12)+(('Public Lighting Charges'!L673*'Public Lighting Charges'!$M$10)*'Public Lighting Charges'!$M$14)</f>
        <v>106.75080523430299</v>
      </c>
      <c r="D219" s="365">
        <f t="shared" si="3"/>
        <v>106.75080523430299</v>
      </c>
      <c r="E219" s="365">
        <f>'Public Lighting Charges'!O673</f>
        <v>67.878462310354024</v>
      </c>
      <c r="F219" s="365">
        <f>'Public Lighting Charges'!Q673</f>
        <v>71.200357030057262</v>
      </c>
      <c r="G219" s="365">
        <f>'Public Lighting Charges'!T673</f>
        <v>74.124640070971978</v>
      </c>
      <c r="H219" s="365">
        <f>'Public Lighting Charges'!W673</f>
        <v>76.82297762511952</v>
      </c>
      <c r="I219" s="365">
        <f>'Public Lighting Charges'!Z673</f>
        <v>79.042056137371944</v>
      </c>
    </row>
    <row r="220" spans="1:9" x14ac:dyDescent="0.2">
      <c r="A220" t="str">
        <f>'Public Lighting Charges'!A674</f>
        <v>HPS0210-ST-0250-001-B</v>
      </c>
      <c r="B220" s="365">
        <f>'Public Lighting Charges'!J674</f>
        <v>171.86224006998557</v>
      </c>
      <c r="C220" s="365">
        <f>'Public Lighting Charges'!L674*(1+'Public Lighting Charges'!$M$12)+(('Public Lighting Charges'!L674*'Public Lighting Charges'!$M$10)*'Public Lighting Charges'!$M$14)</f>
        <v>129.56209950872994</v>
      </c>
      <c r="D220" s="365">
        <f t="shared" si="3"/>
        <v>301.42433957871549</v>
      </c>
      <c r="E220" s="365">
        <f>'Public Lighting Charges'!O674</f>
        <v>329.69093464243593</v>
      </c>
      <c r="F220" s="365">
        <f>'Public Lighting Charges'!Q674</f>
        <v>330.04791668848117</v>
      </c>
      <c r="G220" s="365">
        <f>'Public Lighting Charges'!T674</f>
        <v>339.86701778884952</v>
      </c>
      <c r="H220" s="365">
        <f>'Public Lighting Charges'!W674</f>
        <v>349.50545586319322</v>
      </c>
      <c r="I220" s="365">
        <f>'Public Lighting Charges'!Z674</f>
        <v>358.60693759542238</v>
      </c>
    </row>
    <row r="221" spans="1:9" x14ac:dyDescent="0.2">
      <c r="A221" t="str">
        <f>'Public Lighting Charges'!A675</f>
        <v>HPS0250-ST-0120-001-B</v>
      </c>
      <c r="B221" s="365">
        <f>'Public Lighting Charges'!J675</f>
        <v>60.355285078550516</v>
      </c>
      <c r="C221" s="365">
        <f>'Public Lighting Charges'!L675*(1+'Public Lighting Charges'!$M$12)+(('Public Lighting Charges'!L675*'Public Lighting Charges'!$M$10)*'Public Lighting Charges'!$M$14)</f>
        <v>199.3318625524968</v>
      </c>
      <c r="D221" s="365">
        <f t="shared" si="3"/>
        <v>259.68714763104731</v>
      </c>
      <c r="E221" s="365">
        <f>'Public Lighting Charges'!O675</f>
        <v>239.07053895080617</v>
      </c>
      <c r="F221" s="365">
        <f>'Public Lighting Charges'!Q675</f>
        <v>245.22949581271843</v>
      </c>
      <c r="G221" s="365">
        <f>'Public Lighting Charges'!T675</f>
        <v>253.98921233241177</v>
      </c>
      <c r="H221" s="365">
        <f>'Public Lighting Charges'!W675</f>
        <v>262.27509583431129</v>
      </c>
      <c r="I221" s="365">
        <f>'Public Lighting Charges'!Z675</f>
        <v>269.50192584133566</v>
      </c>
    </row>
    <row r="222" spans="1:9" x14ac:dyDescent="0.2">
      <c r="A222" t="str">
        <f>'Public Lighting Charges'!A676</f>
        <v>HPS0250-ST-0120-002-B</v>
      </c>
      <c r="B222" s="365">
        <f>'Public Lighting Charges'!J676</f>
        <v>0</v>
      </c>
      <c r="C222" s="365">
        <f>'Public Lighting Charges'!L676*(1+'Public Lighting Charges'!$M$12)+(('Public Lighting Charges'!L676*'Public Lighting Charges'!$M$10)*'Public Lighting Charges'!$M$14)</f>
        <v>199.3318625524968</v>
      </c>
      <c r="D222" s="365">
        <f t="shared" si="3"/>
        <v>199.3318625524968</v>
      </c>
      <c r="E222" s="365">
        <f>'Public Lighting Charges'!O676</f>
        <v>157.14358858164783</v>
      </c>
      <c r="F222" s="365">
        <f>'Public Lighting Charges'!Q676</f>
        <v>164.83401702355681</v>
      </c>
      <c r="G222" s="365">
        <f>'Public Lighting Charges'!T676</f>
        <v>171.60394544321841</v>
      </c>
      <c r="H222" s="365">
        <f>'Public Lighting Charges'!W676</f>
        <v>177.85079358961039</v>
      </c>
      <c r="I222" s="365">
        <f>'Public Lighting Charges'!Z676</f>
        <v>182.98812211607844</v>
      </c>
    </row>
    <row r="223" spans="1:9" x14ac:dyDescent="0.2">
      <c r="A223" t="str">
        <f>'Public Lighting Charges'!A677</f>
        <v>HPS0250-ST-0850-001-B</v>
      </c>
      <c r="B223" s="365">
        <f>'Public Lighting Charges'!J677</f>
        <v>180.03286907655911</v>
      </c>
      <c r="C223" s="365">
        <f>'Public Lighting Charges'!L677*(1+'Public Lighting Charges'!$M$12)+(('Public Lighting Charges'!L677*'Public Lighting Charges'!$M$10)*'Public Lighting Charges'!$M$14)</f>
        <v>209.70449715182357</v>
      </c>
      <c r="D223" s="365">
        <f t="shared" si="3"/>
        <v>389.73736622838271</v>
      </c>
      <c r="E223" s="365">
        <f>'Public Lighting Charges'!O677</f>
        <v>411.11636776501138</v>
      </c>
      <c r="F223" s="365">
        <f>'Public Lighting Charges'!Q677</f>
        <v>414.70811782580563</v>
      </c>
      <c r="G223" s="365">
        <f>'Public Lighting Charges'!T677</f>
        <v>427.82668077651118</v>
      </c>
      <c r="H223" s="365">
        <f>'Public Lighting Charges'!W677</f>
        <v>440.53712663694301</v>
      </c>
      <c r="I223" s="365">
        <f>'Public Lighting Charges'!Z677</f>
        <v>452.22084782321531</v>
      </c>
    </row>
    <row r="224" spans="1:9" x14ac:dyDescent="0.2">
      <c r="A224" t="str">
        <f>'Public Lighting Charges'!A678</f>
        <v>HPS0250-ST-1050-001-B</v>
      </c>
      <c r="B224" s="365">
        <f>'Public Lighting Charges'!J678</f>
        <v>220.47663524022317</v>
      </c>
      <c r="C224" s="365">
        <f>'Public Lighting Charges'!L678*(1+'Public Lighting Charges'!$M$12)+(('Public Lighting Charges'!L678*'Public Lighting Charges'!$M$10)*'Public Lighting Charges'!$M$14)</f>
        <v>209.70449715182357</v>
      </c>
      <c r="D224" s="365">
        <f t="shared" si="3"/>
        <v>430.18113239204672</v>
      </c>
      <c r="E224" s="365">
        <f>'Public Lighting Charges'!O678</f>
        <v>466.01519591104733</v>
      </c>
      <c r="F224" s="365">
        <f>'Public Lighting Charges'!Q678</f>
        <v>468.58071474143526</v>
      </c>
      <c r="G224" s="365">
        <f>'Public Lighting Charges'!T678</f>
        <v>483.0326244658026</v>
      </c>
      <c r="H224" s="365">
        <f>'Public Lighting Charges'!W678</f>
        <v>497.10941743254438</v>
      </c>
      <c r="I224" s="365">
        <f>'Public Lighting Charges'!Z678</f>
        <v>510.19330281600782</v>
      </c>
    </row>
    <row r="225" spans="1:9" x14ac:dyDescent="0.2">
      <c r="A225" t="str">
        <f>'Public Lighting Charges'!A679</f>
        <v>HPS0250-ST-1050-002-B</v>
      </c>
      <c r="B225" s="365">
        <f>'Public Lighting Charges'!J679</f>
        <v>0</v>
      </c>
      <c r="C225" s="365">
        <f>'Public Lighting Charges'!L679*(1+'Public Lighting Charges'!$M$12)+(('Public Lighting Charges'!L679*'Public Lighting Charges'!$M$10)*'Public Lighting Charges'!$M$14)</f>
        <v>209.70449715182357</v>
      </c>
      <c r="D225" s="365">
        <f t="shared" si="3"/>
        <v>209.70449715182357</v>
      </c>
      <c r="E225" s="365">
        <f>'Public Lighting Charges'!O679</f>
        <v>166.73770381774699</v>
      </c>
      <c r="F225" s="365">
        <f>'Public Lighting Charges'!Q679</f>
        <v>174.89765734402374</v>
      </c>
      <c r="G225" s="365">
        <f>'Public Lighting Charges'!T679</f>
        <v>182.08091139780515</v>
      </c>
      <c r="H225" s="365">
        <f>'Public Lighting Charges'!W679</f>
        <v>188.70914946611401</v>
      </c>
      <c r="I225" s="365">
        <f>'Public Lighting Charges'!Z679</f>
        <v>194.16012821740833</v>
      </c>
    </row>
    <row r="226" spans="1:9" x14ac:dyDescent="0.2">
      <c r="A226" t="str">
        <f>'Public Lighting Charges'!A680</f>
        <v>INC0010-ST-0010-002-B</v>
      </c>
      <c r="B226" s="365">
        <f>'Public Lighting Charges'!J680</f>
        <v>0</v>
      </c>
      <c r="C226" s="365">
        <f>'Public Lighting Charges'!L680*(1+'Public Lighting Charges'!$M$12)+(('Public Lighting Charges'!L680*'Public Lighting Charges'!$M$10)*'Public Lighting Charges'!$M$14)</f>
        <v>18.901998208453637</v>
      </c>
      <c r="D226" s="365">
        <f t="shared" si="3"/>
        <v>18.901998208453637</v>
      </c>
      <c r="E226" s="365">
        <f>'Public Lighting Charges'!O680</f>
        <v>63.288490110653221</v>
      </c>
      <c r="F226" s="365">
        <f>'Public Lighting Charges'!Q680</f>
        <v>66.385756812944152</v>
      </c>
      <c r="G226" s="365">
        <f>'Public Lighting Charges'!T680</f>
        <v>69.112298517284614</v>
      </c>
      <c r="H226" s="365">
        <f>'Public Lighting Charges'!W680</f>
        <v>71.628173270458291</v>
      </c>
      <c r="I226" s="365">
        <f>'Public Lighting Charges'!Z680</f>
        <v>73.69719669404914</v>
      </c>
    </row>
    <row r="227" spans="1:9" x14ac:dyDescent="0.2">
      <c r="A227" t="str">
        <f>'Public Lighting Charges'!A681</f>
        <v>INC0010-ST-0810-001-B</v>
      </c>
      <c r="B227" s="365">
        <f>'Public Lighting Charges'!J681</f>
        <v>51.156145528662286</v>
      </c>
      <c r="C227" s="365">
        <f>'Public Lighting Charges'!L681*(1+'Public Lighting Charges'!$M$12)+(('Public Lighting Charges'!L681*'Public Lighting Charges'!$M$10)*'Public Lighting Charges'!$M$14)</f>
        <v>30.076403007780392</v>
      </c>
      <c r="D227" s="365">
        <f t="shared" si="3"/>
        <v>81.232548536442678</v>
      </c>
      <c r="E227" s="365">
        <f>'Public Lighting Charges'!O681</f>
        <v>143.12462391101323</v>
      </c>
      <c r="F227" s="365">
        <f>'Public Lighting Charges'!Q681</f>
        <v>145.43261873063193</v>
      </c>
      <c r="G227" s="365">
        <f>'Public Lighting Charges'!T681</f>
        <v>150.29355243615919</v>
      </c>
      <c r="H227" s="365">
        <f>'Public Lighting Charges'!W681</f>
        <v>154.95095475943245</v>
      </c>
      <c r="I227" s="365">
        <f>'Public Lighting Charges'!Z681</f>
        <v>159.13087715506927</v>
      </c>
    </row>
    <row r="228" spans="1:9" x14ac:dyDescent="0.2">
      <c r="A228" t="str">
        <f>'Public Lighting Charges'!A682</f>
        <v>INC0020-ST-0010-001-B</v>
      </c>
      <c r="B228" s="365">
        <f>'Public Lighting Charges'!J682</f>
        <v>17.255027166785979</v>
      </c>
      <c r="C228" s="365">
        <f>'Public Lighting Charges'!L682*(1+'Public Lighting Charges'!$M$12)+(('Public Lighting Charges'!L682*'Public Lighting Charges'!$M$10)*'Public Lighting Charges'!$M$14)</f>
        <v>18.901998208453637</v>
      </c>
      <c r="D228" s="365">
        <f t="shared" si="3"/>
        <v>36.157025375239613</v>
      </c>
      <c r="E228" s="365">
        <f>'Public Lighting Charges'!O682</f>
        <v>86.710660223377076</v>
      </c>
      <c r="F228" s="365">
        <f>'Public Lighting Charges'!Q682</f>
        <v>89.370093127292051</v>
      </c>
      <c r="G228" s="365">
        <f>'Public Lighting Charges'!T682</f>
        <v>92.665497155412623</v>
      </c>
      <c r="H228" s="365">
        <f>'Public Lighting Charges'!W682</f>
        <v>95.764313574879978</v>
      </c>
      <c r="I228" s="365">
        <f>'Public Lighting Charges'!Z682</f>
        <v>98.430706471005252</v>
      </c>
    </row>
    <row r="229" spans="1:9" x14ac:dyDescent="0.2">
      <c r="A229" t="str">
        <f>'Public Lighting Charges'!A683</f>
        <v>INC0020-ST-0010-002-B</v>
      </c>
      <c r="B229" s="365">
        <f>'Public Lighting Charges'!J683</f>
        <v>0</v>
      </c>
      <c r="C229" s="365">
        <f>'Public Lighting Charges'!L683*(1+'Public Lighting Charges'!$M$12)+(('Public Lighting Charges'!L683*'Public Lighting Charges'!$M$10)*'Public Lighting Charges'!$M$14)</f>
        <v>18.901998208453637</v>
      </c>
      <c r="D229" s="365">
        <f t="shared" si="3"/>
        <v>18.901998208453637</v>
      </c>
      <c r="E229" s="365">
        <f>'Public Lighting Charges'!O683</f>
        <v>63.288490110653221</v>
      </c>
      <c r="F229" s="365">
        <f>'Public Lighting Charges'!Q683</f>
        <v>66.385756812944152</v>
      </c>
      <c r="G229" s="365">
        <f>'Public Lighting Charges'!T683</f>
        <v>69.112298517284614</v>
      </c>
      <c r="H229" s="365">
        <f>'Public Lighting Charges'!W683</f>
        <v>71.628173270458291</v>
      </c>
      <c r="I229" s="365">
        <f>'Public Lighting Charges'!Z683</f>
        <v>73.69719669404914</v>
      </c>
    </row>
    <row r="230" spans="1:9" x14ac:dyDescent="0.2">
      <c r="A230" t="str">
        <f>'Public Lighting Charges'!A684</f>
        <v>INC0020-ST-0810-001-B</v>
      </c>
      <c r="B230" s="365">
        <f>'Public Lighting Charges'!J684</f>
        <v>51.156145528662286</v>
      </c>
      <c r="C230" s="365">
        <f>'Public Lighting Charges'!L684*(1+'Public Lighting Charges'!$M$12)+(('Public Lighting Charges'!L684*'Public Lighting Charges'!$M$10)*'Public Lighting Charges'!$M$14)</f>
        <v>30.076403007780392</v>
      </c>
      <c r="D230" s="365">
        <f t="shared" si="3"/>
        <v>81.232548536442678</v>
      </c>
      <c r="E230" s="365">
        <f>'Public Lighting Charges'!O684</f>
        <v>143.12462391101323</v>
      </c>
      <c r="F230" s="365">
        <f>'Public Lighting Charges'!Q684</f>
        <v>145.43261873063193</v>
      </c>
      <c r="G230" s="365">
        <f>'Public Lighting Charges'!T684</f>
        <v>150.29355243615919</v>
      </c>
      <c r="H230" s="365">
        <f>'Public Lighting Charges'!W684</f>
        <v>154.95095475943245</v>
      </c>
      <c r="I230" s="365">
        <f>'Public Lighting Charges'!Z684</f>
        <v>159.13087715506927</v>
      </c>
    </row>
    <row r="231" spans="1:9" x14ac:dyDescent="0.2">
      <c r="A231" t="str">
        <f>'Public Lighting Charges'!A685</f>
        <v>INC0020-ST-0830-002-B</v>
      </c>
      <c r="B231" s="365">
        <f>'Public Lighting Charges'!J685</f>
        <v>0</v>
      </c>
      <c r="C231" s="365">
        <f>'Public Lighting Charges'!L685*(1+'Public Lighting Charges'!$M$12)+(('Public Lighting Charges'!L685*'Public Lighting Charges'!$M$10)*'Public Lighting Charges'!$M$14)</f>
        <v>18.901998208453637</v>
      </c>
      <c r="D231" s="365">
        <f t="shared" si="3"/>
        <v>18.901998208453637</v>
      </c>
      <c r="E231" s="365">
        <f>'Public Lighting Charges'!O685</f>
        <v>63.288490110653221</v>
      </c>
      <c r="F231" s="365">
        <f>'Public Lighting Charges'!Q685</f>
        <v>66.385756812944152</v>
      </c>
      <c r="G231" s="365">
        <f>'Public Lighting Charges'!T685</f>
        <v>69.112298517284614</v>
      </c>
      <c r="H231" s="365">
        <f>'Public Lighting Charges'!W685</f>
        <v>71.628173270458291</v>
      </c>
      <c r="I231" s="365">
        <f>'Public Lighting Charges'!Z685</f>
        <v>73.69719669404914</v>
      </c>
    </row>
    <row r="232" spans="1:9" x14ac:dyDescent="0.2">
      <c r="A232" t="str">
        <f>'Public Lighting Charges'!A686</f>
        <v>INC0030-ST-0010-001-B</v>
      </c>
      <c r="B232" s="365">
        <f>'Public Lighting Charges'!J686</f>
        <v>17.255027166785979</v>
      </c>
      <c r="C232" s="365">
        <f>'Public Lighting Charges'!L686*(1+'Public Lighting Charges'!$M$12)+(('Public Lighting Charges'!L686*'Public Lighting Charges'!$M$10)*'Public Lighting Charges'!$M$14)</f>
        <v>18.901998208453637</v>
      </c>
      <c r="D232" s="365">
        <f t="shared" si="3"/>
        <v>36.157025375239613</v>
      </c>
      <c r="E232" s="365">
        <f>'Public Lighting Charges'!O686</f>
        <v>86.710660223377076</v>
      </c>
      <c r="F232" s="365">
        <f>'Public Lighting Charges'!Q686</f>
        <v>89.370093127292051</v>
      </c>
      <c r="G232" s="365">
        <f>'Public Lighting Charges'!T686</f>
        <v>92.665497155412623</v>
      </c>
      <c r="H232" s="365">
        <f>'Public Lighting Charges'!W686</f>
        <v>95.764313574879978</v>
      </c>
      <c r="I232" s="365">
        <f>'Public Lighting Charges'!Z686</f>
        <v>98.430706471005252</v>
      </c>
    </row>
    <row r="233" spans="1:9" x14ac:dyDescent="0.2">
      <c r="A233" t="str">
        <f>'Public Lighting Charges'!A687</f>
        <v>INC0030-ST-0010-002-B</v>
      </c>
      <c r="B233" s="365">
        <f>'Public Lighting Charges'!J687</f>
        <v>0</v>
      </c>
      <c r="C233" s="365">
        <f>'Public Lighting Charges'!L687*(1+'Public Lighting Charges'!$M$12)+(('Public Lighting Charges'!L687*'Public Lighting Charges'!$M$10)*'Public Lighting Charges'!$M$14)</f>
        <v>18.901998208453637</v>
      </c>
      <c r="D233" s="365">
        <f t="shared" si="3"/>
        <v>18.901998208453637</v>
      </c>
      <c r="E233" s="365">
        <f>'Public Lighting Charges'!O687</f>
        <v>63.288490110653221</v>
      </c>
      <c r="F233" s="365">
        <f>'Public Lighting Charges'!Q687</f>
        <v>66.385756812944152</v>
      </c>
      <c r="G233" s="365">
        <f>'Public Lighting Charges'!T687</f>
        <v>69.112298517284614</v>
      </c>
      <c r="H233" s="365">
        <f>'Public Lighting Charges'!W687</f>
        <v>71.628173270458291</v>
      </c>
      <c r="I233" s="365">
        <f>'Public Lighting Charges'!Z687</f>
        <v>73.69719669404914</v>
      </c>
    </row>
    <row r="234" spans="1:9" x14ac:dyDescent="0.2">
      <c r="A234" t="str">
        <f>'Public Lighting Charges'!A688</f>
        <v>INC0040-ST-0010-001-B</v>
      </c>
      <c r="B234" s="365">
        <f>'Public Lighting Charges'!J688</f>
        <v>17.255027166785979</v>
      </c>
      <c r="C234" s="365">
        <f>'Public Lighting Charges'!L688*(1+'Public Lighting Charges'!$M$12)+(('Public Lighting Charges'!L688*'Public Lighting Charges'!$M$10)*'Public Lighting Charges'!$M$14)</f>
        <v>18.901998208453637</v>
      </c>
      <c r="D234" s="365">
        <f t="shared" si="3"/>
        <v>36.157025375239613</v>
      </c>
      <c r="E234" s="365">
        <f>'Public Lighting Charges'!O688</f>
        <v>86.710660223377076</v>
      </c>
      <c r="F234" s="365">
        <f>'Public Lighting Charges'!Q688</f>
        <v>89.370093127292051</v>
      </c>
      <c r="G234" s="365">
        <f>'Public Lighting Charges'!T688</f>
        <v>92.665497155412623</v>
      </c>
      <c r="H234" s="365">
        <f>'Public Lighting Charges'!W688</f>
        <v>95.764313574879978</v>
      </c>
      <c r="I234" s="365">
        <f>'Public Lighting Charges'!Z688</f>
        <v>98.430706471005252</v>
      </c>
    </row>
    <row r="235" spans="1:9" x14ac:dyDescent="0.2">
      <c r="A235" t="str">
        <f>'Public Lighting Charges'!A689</f>
        <v>INC0040-ST-0010-002-B</v>
      </c>
      <c r="B235" s="365">
        <f>'Public Lighting Charges'!J689</f>
        <v>0</v>
      </c>
      <c r="C235" s="365">
        <f>'Public Lighting Charges'!L689*(1+'Public Lighting Charges'!$M$12)+(('Public Lighting Charges'!L689*'Public Lighting Charges'!$M$10)*'Public Lighting Charges'!$M$14)</f>
        <v>18.901998208453637</v>
      </c>
      <c r="D235" s="365">
        <f t="shared" si="3"/>
        <v>18.901998208453637</v>
      </c>
      <c r="E235" s="365">
        <f>'Public Lighting Charges'!O689</f>
        <v>63.288490110653221</v>
      </c>
      <c r="F235" s="365">
        <f>'Public Lighting Charges'!Q689</f>
        <v>66.385756812944152</v>
      </c>
      <c r="G235" s="365">
        <f>'Public Lighting Charges'!T689</f>
        <v>69.112298517284614</v>
      </c>
      <c r="H235" s="365">
        <f>'Public Lighting Charges'!W689</f>
        <v>71.628173270458291</v>
      </c>
      <c r="I235" s="365">
        <f>'Public Lighting Charges'!Z689</f>
        <v>73.69719669404914</v>
      </c>
    </row>
    <row r="236" spans="1:9" x14ac:dyDescent="0.2">
      <c r="A236" t="str">
        <f>'Public Lighting Charges'!A690</f>
        <v>INC0040-ST-0810-001-B</v>
      </c>
      <c r="B236" s="365">
        <f>'Public Lighting Charges'!J690</f>
        <v>51.156145528662286</v>
      </c>
      <c r="C236" s="365">
        <f>'Public Lighting Charges'!L690*(1+'Public Lighting Charges'!$M$12)+(('Public Lighting Charges'!L690*'Public Lighting Charges'!$M$10)*'Public Lighting Charges'!$M$14)</f>
        <v>30.076403007780392</v>
      </c>
      <c r="D236" s="365">
        <f t="shared" si="3"/>
        <v>81.232548536442678</v>
      </c>
      <c r="E236" s="365">
        <f>'Public Lighting Charges'!O690</f>
        <v>143.12462391101323</v>
      </c>
      <c r="F236" s="365">
        <f>'Public Lighting Charges'!Q690</f>
        <v>145.43261873063193</v>
      </c>
      <c r="G236" s="365">
        <f>'Public Lighting Charges'!T690</f>
        <v>150.29355243615919</v>
      </c>
      <c r="H236" s="365">
        <f>'Public Lighting Charges'!W690</f>
        <v>154.95095475943245</v>
      </c>
      <c r="I236" s="365">
        <f>'Public Lighting Charges'!Z690</f>
        <v>159.13087715506927</v>
      </c>
    </row>
    <row r="237" spans="1:9" x14ac:dyDescent="0.2">
      <c r="A237" t="str">
        <f>'Public Lighting Charges'!A691</f>
        <v>INC0040-ST-0990-001-B</v>
      </c>
      <c r="B237" s="365">
        <f>'Public Lighting Charges'!J691</f>
        <v>86.253661186307269</v>
      </c>
      <c r="C237" s="365">
        <f>'Public Lighting Charges'!L691*(1+'Public Lighting Charges'!$M$12)+(('Public Lighting Charges'!L691*'Public Lighting Charges'!$M$10)*'Public Lighting Charges'!$M$14)</f>
        <v>29.274632807780392</v>
      </c>
      <c r="D237" s="365">
        <f t="shared" si="3"/>
        <v>115.52829399408766</v>
      </c>
      <c r="E237" s="365">
        <f>'Public Lighting Charges'!O691</f>
        <v>189.96430597946363</v>
      </c>
      <c r="F237" s="365">
        <f>'Public Lighting Charges'!Q691</f>
        <v>191.34247367784937</v>
      </c>
      <c r="G237" s="365">
        <f>'Public Lighting Charges'!T691</f>
        <v>197.3259446607845</v>
      </c>
      <c r="H237" s="365">
        <f>'Public Lighting Charges'!W691</f>
        <v>203.13719217055072</v>
      </c>
      <c r="I237" s="365">
        <f>'Public Lighting Charges'!Z691</f>
        <v>208.50596972880157</v>
      </c>
    </row>
    <row r="238" spans="1:9" x14ac:dyDescent="0.2">
      <c r="A238" t="str">
        <f>'Public Lighting Charges'!A692</f>
        <v>INC0050-ST-0010-001-B</v>
      </c>
      <c r="B238" s="365">
        <f>'Public Lighting Charges'!J692</f>
        <v>17.255027166785979</v>
      </c>
      <c r="C238" s="365">
        <f>'Public Lighting Charges'!L692*(1+'Public Lighting Charges'!$M$12)+(('Public Lighting Charges'!L692*'Public Lighting Charges'!$M$10)*'Public Lighting Charges'!$M$14)</f>
        <v>18.901998208453637</v>
      </c>
      <c r="D238" s="365">
        <f t="shared" si="3"/>
        <v>36.157025375239613</v>
      </c>
      <c r="E238" s="365">
        <f>'Public Lighting Charges'!O692</f>
        <v>86.710660223377076</v>
      </c>
      <c r="F238" s="365">
        <f>'Public Lighting Charges'!Q692</f>
        <v>89.370093127292051</v>
      </c>
      <c r="G238" s="365">
        <f>'Public Lighting Charges'!T692</f>
        <v>92.665497155412623</v>
      </c>
      <c r="H238" s="365">
        <f>'Public Lighting Charges'!W692</f>
        <v>95.764313574879978</v>
      </c>
      <c r="I238" s="365">
        <f>'Public Lighting Charges'!Z692</f>
        <v>98.430706471005252</v>
      </c>
    </row>
    <row r="239" spans="1:9" x14ac:dyDescent="0.2">
      <c r="A239" t="str">
        <f>'Public Lighting Charges'!A693</f>
        <v>INC0050-ST-0010-002-B</v>
      </c>
      <c r="B239" s="365">
        <f>'Public Lighting Charges'!J693</f>
        <v>0</v>
      </c>
      <c r="C239" s="365">
        <f>'Public Lighting Charges'!L693*(1+'Public Lighting Charges'!$M$12)+(('Public Lighting Charges'!L693*'Public Lighting Charges'!$M$10)*'Public Lighting Charges'!$M$14)</f>
        <v>18.901998208453637</v>
      </c>
      <c r="D239" s="365">
        <f t="shared" si="3"/>
        <v>18.901998208453637</v>
      </c>
      <c r="E239" s="365">
        <f>'Public Lighting Charges'!O693</f>
        <v>63.288490110653221</v>
      </c>
      <c r="F239" s="365">
        <f>'Public Lighting Charges'!Q693</f>
        <v>66.385756812944152</v>
      </c>
      <c r="G239" s="365">
        <f>'Public Lighting Charges'!T693</f>
        <v>69.112298517284614</v>
      </c>
      <c r="H239" s="365">
        <f>'Public Lighting Charges'!W693</f>
        <v>71.628173270458291</v>
      </c>
      <c r="I239" s="365">
        <f>'Public Lighting Charges'!Z693</f>
        <v>73.69719669404914</v>
      </c>
    </row>
    <row r="240" spans="1:9" x14ac:dyDescent="0.2">
      <c r="A240" t="str">
        <f>'Public Lighting Charges'!A694</f>
        <v>INC0050-ST-0110-002-B</v>
      </c>
      <c r="B240" s="365">
        <f>'Public Lighting Charges'!J694</f>
        <v>0</v>
      </c>
      <c r="C240" s="365">
        <f>'Public Lighting Charges'!L694*(1+'Public Lighting Charges'!$M$12)+(('Public Lighting Charges'!L694*'Public Lighting Charges'!$M$10)*'Public Lighting Charges'!$M$14)</f>
        <v>18.901998208453637</v>
      </c>
      <c r="D240" s="365">
        <f t="shared" si="3"/>
        <v>18.901998208453637</v>
      </c>
      <c r="E240" s="365">
        <f>'Public Lighting Charges'!O694</f>
        <v>63.288490110653221</v>
      </c>
      <c r="F240" s="365">
        <f>'Public Lighting Charges'!Q694</f>
        <v>66.385756812944152</v>
      </c>
      <c r="G240" s="365">
        <f>'Public Lighting Charges'!T694</f>
        <v>69.112298517284614</v>
      </c>
      <c r="H240" s="365">
        <f>'Public Lighting Charges'!W694</f>
        <v>71.628173270458291</v>
      </c>
      <c r="I240" s="365">
        <f>'Public Lighting Charges'!Z694</f>
        <v>73.69719669404914</v>
      </c>
    </row>
    <row r="241" spans="1:9" x14ac:dyDescent="0.2">
      <c r="A241" t="str">
        <f>'Public Lighting Charges'!A695</f>
        <v>INC0050-ST-0810-001-B</v>
      </c>
      <c r="B241" s="365">
        <f>'Public Lighting Charges'!J695</f>
        <v>51.156145528662286</v>
      </c>
      <c r="C241" s="365">
        <f>'Public Lighting Charges'!L695*(1+'Public Lighting Charges'!$M$12)+(('Public Lighting Charges'!L695*'Public Lighting Charges'!$M$10)*'Public Lighting Charges'!$M$14)</f>
        <v>30.076403007780392</v>
      </c>
      <c r="D241" s="365">
        <f t="shared" si="3"/>
        <v>81.232548536442678</v>
      </c>
      <c r="E241" s="365">
        <f>'Public Lighting Charges'!O695</f>
        <v>143.12462391101323</v>
      </c>
      <c r="F241" s="365">
        <f>'Public Lighting Charges'!Q695</f>
        <v>145.43261873063193</v>
      </c>
      <c r="G241" s="365">
        <f>'Public Lighting Charges'!T695</f>
        <v>150.29355243615919</v>
      </c>
      <c r="H241" s="365">
        <f>'Public Lighting Charges'!W695</f>
        <v>154.95095475943245</v>
      </c>
      <c r="I241" s="365">
        <f>'Public Lighting Charges'!Z695</f>
        <v>159.13087715506927</v>
      </c>
    </row>
    <row r="242" spans="1:9" x14ac:dyDescent="0.2">
      <c r="A242" t="str">
        <f>'Public Lighting Charges'!A696</f>
        <v>INC0050-ST-0990-001-B</v>
      </c>
      <c r="B242" s="365">
        <f>'Public Lighting Charges'!J696</f>
        <v>86.253661186307269</v>
      </c>
      <c r="C242" s="365">
        <f>'Public Lighting Charges'!L696*(1+'Public Lighting Charges'!$M$12)+(('Public Lighting Charges'!L696*'Public Lighting Charges'!$M$10)*'Public Lighting Charges'!$M$14)</f>
        <v>29.274632807780392</v>
      </c>
      <c r="D242" s="365">
        <f t="shared" si="3"/>
        <v>115.52829399408766</v>
      </c>
      <c r="E242" s="365">
        <f>'Public Lighting Charges'!O696</f>
        <v>189.96430597946363</v>
      </c>
      <c r="F242" s="365">
        <f>'Public Lighting Charges'!Q696</f>
        <v>191.34247367784937</v>
      </c>
      <c r="G242" s="365">
        <f>'Public Lighting Charges'!T696</f>
        <v>197.3259446607845</v>
      </c>
      <c r="H242" s="365">
        <f>'Public Lighting Charges'!W696</f>
        <v>203.13719217055072</v>
      </c>
      <c r="I242" s="365">
        <f>'Public Lighting Charges'!Z696</f>
        <v>208.50596972880157</v>
      </c>
    </row>
    <row r="243" spans="1:9" x14ac:dyDescent="0.2">
      <c r="A243" t="str">
        <f>'Public Lighting Charges'!A697</f>
        <v>INC0070-ST-0740-002-B</v>
      </c>
      <c r="B243" s="365">
        <f>'Public Lighting Charges'!J697</f>
        <v>0</v>
      </c>
      <c r="C243" s="365">
        <f>'Public Lighting Charges'!L697*(1+'Public Lighting Charges'!$M$12)+(('Public Lighting Charges'!L697*'Public Lighting Charges'!$M$10)*'Public Lighting Charges'!$M$14)</f>
        <v>18.901998208453637</v>
      </c>
      <c r="D243" s="365">
        <f t="shared" si="3"/>
        <v>18.901998208453637</v>
      </c>
      <c r="E243" s="365">
        <f>'Public Lighting Charges'!O697</f>
        <v>63.288490110653221</v>
      </c>
      <c r="F243" s="365">
        <f>'Public Lighting Charges'!Q697</f>
        <v>66.385756812944152</v>
      </c>
      <c r="G243" s="365">
        <f>'Public Lighting Charges'!T697</f>
        <v>69.112298517284614</v>
      </c>
      <c r="H243" s="365">
        <f>'Public Lighting Charges'!W697</f>
        <v>71.628173270458291</v>
      </c>
      <c r="I243" s="365">
        <f>'Public Lighting Charges'!Z697</f>
        <v>73.69719669404914</v>
      </c>
    </row>
    <row r="244" spans="1:9" x14ac:dyDescent="0.2">
      <c r="A244" t="str">
        <f>'Public Lighting Charges'!A698</f>
        <v>INC0080-ST-0010-001-B</v>
      </c>
      <c r="B244" s="365">
        <f>'Public Lighting Charges'!J698</f>
        <v>17.255027166785979</v>
      </c>
      <c r="C244" s="365">
        <f>'Public Lighting Charges'!L698*(1+'Public Lighting Charges'!$M$12)+(('Public Lighting Charges'!L698*'Public Lighting Charges'!$M$10)*'Public Lighting Charges'!$M$14)</f>
        <v>21.76569459956475</v>
      </c>
      <c r="D244" s="365">
        <f t="shared" si="3"/>
        <v>39.020721766350732</v>
      </c>
      <c r="E244" s="365">
        <f>'Public Lighting Charges'!O698</f>
        <v>89.575480417168194</v>
      </c>
      <c r="F244" s="365">
        <f>'Public Lighting Charges'!Q698</f>
        <v>92.375114362042837</v>
      </c>
      <c r="G244" s="365">
        <f>'Public Lighting Charges'!T698</f>
        <v>95.793938173447103</v>
      </c>
      <c r="H244" s="365">
        <f>'Public Lighting Charges'!W698</f>
        <v>99.00663831466764</v>
      </c>
      <c r="I244" s="365">
        <f>'Public Lighting Charges'!Z698</f>
        <v>101.76668773625222</v>
      </c>
    </row>
    <row r="245" spans="1:9" x14ac:dyDescent="0.2">
      <c r="A245" t="str">
        <f>'Public Lighting Charges'!A699</f>
        <v>INC0080-ST-0010-002-B</v>
      </c>
      <c r="B245" s="365">
        <f>'Public Lighting Charges'!J699</f>
        <v>0</v>
      </c>
      <c r="C245" s="365">
        <f>'Public Lighting Charges'!L699*(1+'Public Lighting Charges'!$M$12)+(('Public Lighting Charges'!L699*'Public Lighting Charges'!$M$10)*'Public Lighting Charges'!$M$14)</f>
        <v>21.76569459956475</v>
      </c>
      <c r="D245" s="365">
        <f t="shared" si="3"/>
        <v>21.76569459956475</v>
      </c>
      <c r="E245" s="365">
        <f>'Public Lighting Charges'!O699</f>
        <v>66.153310304444332</v>
      </c>
      <c r="F245" s="365">
        <f>'Public Lighting Charges'!Q699</f>
        <v>69.390778047694937</v>
      </c>
      <c r="G245" s="365">
        <f>'Public Lighting Charges'!T699</f>
        <v>72.240739535319094</v>
      </c>
      <c r="H245" s="365">
        <f>'Public Lighting Charges'!W699</f>
        <v>74.870498010245953</v>
      </c>
      <c r="I245" s="365">
        <f>'Public Lighting Charges'!Z699</f>
        <v>77.033177959296111</v>
      </c>
    </row>
    <row r="246" spans="1:9" x14ac:dyDescent="0.2">
      <c r="A246" t="str">
        <f>'Public Lighting Charges'!A700</f>
        <v>INC0080-ST-0110-002-B</v>
      </c>
      <c r="B246" s="365">
        <f>'Public Lighting Charges'!J700</f>
        <v>0</v>
      </c>
      <c r="C246" s="365">
        <f>'Public Lighting Charges'!L700*(1+'Public Lighting Charges'!$M$12)+(('Public Lighting Charges'!L700*'Public Lighting Charges'!$M$10)*'Public Lighting Charges'!$M$14)</f>
        <v>21.76569459956475</v>
      </c>
      <c r="D246" s="365">
        <f t="shared" si="3"/>
        <v>21.76569459956475</v>
      </c>
      <c r="E246" s="365">
        <f>'Public Lighting Charges'!O700</f>
        <v>66.153310304444332</v>
      </c>
      <c r="F246" s="365">
        <f>'Public Lighting Charges'!Q700</f>
        <v>69.390778047694937</v>
      </c>
      <c r="G246" s="365">
        <f>'Public Lighting Charges'!T700</f>
        <v>72.240739535319094</v>
      </c>
      <c r="H246" s="365">
        <f>'Public Lighting Charges'!W700</f>
        <v>74.870498010245953</v>
      </c>
      <c r="I246" s="365">
        <f>'Public Lighting Charges'!Z700</f>
        <v>77.033177959296111</v>
      </c>
    </row>
    <row r="247" spans="1:9" x14ac:dyDescent="0.2">
      <c r="A247" t="str">
        <f>'Public Lighting Charges'!A701</f>
        <v>INC0080-ST-0810-001-B</v>
      </c>
      <c r="B247" s="365">
        <f>'Public Lighting Charges'!J701</f>
        <v>51.156145528662286</v>
      </c>
      <c r="C247" s="365">
        <f>'Public Lighting Charges'!L701*(1+'Public Lighting Charges'!$M$12)+(('Public Lighting Charges'!L701*'Public Lighting Charges'!$M$10)*'Public Lighting Charges'!$M$14)</f>
        <v>32.940099398891512</v>
      </c>
      <c r="D247" s="365">
        <f t="shared" si="3"/>
        <v>84.096244927553798</v>
      </c>
      <c r="E247" s="365">
        <f>'Public Lighting Charges'!O701</f>
        <v>145.98944410480433</v>
      </c>
      <c r="F247" s="365">
        <f>'Public Lighting Charges'!Q701</f>
        <v>148.43763996538274</v>
      </c>
      <c r="G247" s="365">
        <f>'Public Lighting Charges'!T701</f>
        <v>153.42199345419365</v>
      </c>
      <c r="H247" s="365">
        <f>'Public Lighting Charges'!W701</f>
        <v>158.1932794992201</v>
      </c>
      <c r="I247" s="365">
        <f>'Public Lighting Charges'!Z701</f>
        <v>162.46685842031624</v>
      </c>
    </row>
    <row r="248" spans="1:9" x14ac:dyDescent="0.2">
      <c r="A248" t="str">
        <f>'Public Lighting Charges'!A702</f>
        <v>INC0090-ST-0010-001-B</v>
      </c>
      <c r="B248" s="365">
        <f>'Public Lighting Charges'!J702</f>
        <v>17.255027166785979</v>
      </c>
      <c r="C248" s="365">
        <f>'Public Lighting Charges'!L702*(1+'Public Lighting Charges'!$M$12)+(('Public Lighting Charges'!L702*'Public Lighting Charges'!$M$10)*'Public Lighting Charges'!$M$14)</f>
        <v>21.76569459956475</v>
      </c>
      <c r="D248" s="365">
        <f t="shared" si="3"/>
        <v>39.020721766350732</v>
      </c>
      <c r="E248" s="365">
        <f>'Public Lighting Charges'!O702</f>
        <v>89.575480417168194</v>
      </c>
      <c r="F248" s="365">
        <f>'Public Lighting Charges'!Q702</f>
        <v>92.375114362042837</v>
      </c>
      <c r="G248" s="365">
        <f>'Public Lighting Charges'!T702</f>
        <v>95.793938173447103</v>
      </c>
      <c r="H248" s="365">
        <f>'Public Lighting Charges'!W702</f>
        <v>99.00663831466764</v>
      </c>
      <c r="I248" s="365">
        <f>'Public Lighting Charges'!Z702</f>
        <v>101.76668773625222</v>
      </c>
    </row>
    <row r="249" spans="1:9" x14ac:dyDescent="0.2">
      <c r="A249" t="str">
        <f>'Public Lighting Charges'!A703</f>
        <v>INC0090-ST-0010-002-B</v>
      </c>
      <c r="B249" s="365">
        <f>'Public Lighting Charges'!J703</f>
        <v>0</v>
      </c>
      <c r="C249" s="365">
        <f>'Public Lighting Charges'!L703*(1+'Public Lighting Charges'!$M$12)+(('Public Lighting Charges'!L703*'Public Lighting Charges'!$M$10)*'Public Lighting Charges'!$M$14)</f>
        <v>21.76569459956475</v>
      </c>
      <c r="D249" s="365">
        <f t="shared" si="3"/>
        <v>21.76569459956475</v>
      </c>
      <c r="E249" s="365">
        <f>'Public Lighting Charges'!O703</f>
        <v>66.153310304444332</v>
      </c>
      <c r="F249" s="365">
        <f>'Public Lighting Charges'!Q703</f>
        <v>69.390778047694937</v>
      </c>
      <c r="G249" s="365">
        <f>'Public Lighting Charges'!T703</f>
        <v>72.240739535319094</v>
      </c>
      <c r="H249" s="365">
        <f>'Public Lighting Charges'!W703</f>
        <v>74.870498010245953</v>
      </c>
      <c r="I249" s="365">
        <f>'Public Lighting Charges'!Z703</f>
        <v>77.033177959296111</v>
      </c>
    </row>
    <row r="250" spans="1:9" x14ac:dyDescent="0.2">
      <c r="A250" t="str">
        <f>'Public Lighting Charges'!A704</f>
        <v>INC0090-ST-0810-001-B</v>
      </c>
      <c r="B250" s="365">
        <f>'Public Lighting Charges'!J704</f>
        <v>51.156145528662286</v>
      </c>
      <c r="C250" s="365">
        <f>'Public Lighting Charges'!L704*(1+'Public Lighting Charges'!$M$12)+(('Public Lighting Charges'!L704*'Public Lighting Charges'!$M$10)*'Public Lighting Charges'!$M$14)</f>
        <v>32.940099398891512</v>
      </c>
      <c r="D250" s="365">
        <f t="shared" si="3"/>
        <v>84.096244927553798</v>
      </c>
      <c r="E250" s="365">
        <f>'Public Lighting Charges'!O704</f>
        <v>145.98944410480433</v>
      </c>
      <c r="F250" s="365">
        <f>'Public Lighting Charges'!Q704</f>
        <v>148.43763996538274</v>
      </c>
      <c r="G250" s="365">
        <f>'Public Lighting Charges'!T704</f>
        <v>153.42199345419365</v>
      </c>
      <c r="H250" s="365">
        <f>'Public Lighting Charges'!W704</f>
        <v>158.1932794992201</v>
      </c>
      <c r="I250" s="365">
        <f>'Public Lighting Charges'!Z704</f>
        <v>162.46685842031624</v>
      </c>
    </row>
    <row r="251" spans="1:9" x14ac:dyDescent="0.2">
      <c r="A251" t="str">
        <f>'Public Lighting Charges'!A705</f>
        <v>INC0100-ST-0010-001-B</v>
      </c>
      <c r="B251" s="365">
        <f>'Public Lighting Charges'!J705</f>
        <v>17.255027166785979</v>
      </c>
      <c r="C251" s="365">
        <f>'Public Lighting Charges'!L705*(1+'Public Lighting Charges'!$M$12)+(('Public Lighting Charges'!L705*'Public Lighting Charges'!$M$10)*'Public Lighting Charges'!$M$14)</f>
        <v>21.76569459956475</v>
      </c>
      <c r="D251" s="365">
        <f t="shared" si="3"/>
        <v>39.020721766350732</v>
      </c>
      <c r="E251" s="365">
        <f>'Public Lighting Charges'!O705</f>
        <v>89.575480417168194</v>
      </c>
      <c r="F251" s="365">
        <f>'Public Lighting Charges'!Q705</f>
        <v>92.375114362042837</v>
      </c>
      <c r="G251" s="365">
        <f>'Public Lighting Charges'!T705</f>
        <v>95.793938173447103</v>
      </c>
      <c r="H251" s="365">
        <f>'Public Lighting Charges'!W705</f>
        <v>99.00663831466764</v>
      </c>
      <c r="I251" s="365">
        <f>'Public Lighting Charges'!Z705</f>
        <v>101.76668773625222</v>
      </c>
    </row>
    <row r="252" spans="1:9" x14ac:dyDescent="0.2">
      <c r="A252" t="str">
        <f>'Public Lighting Charges'!A706</f>
        <v>INC0100-ST-0010-002-B</v>
      </c>
      <c r="B252" s="365">
        <f>'Public Lighting Charges'!J706</f>
        <v>0</v>
      </c>
      <c r="C252" s="365">
        <f>'Public Lighting Charges'!L706*(1+'Public Lighting Charges'!$M$12)+(('Public Lighting Charges'!L706*'Public Lighting Charges'!$M$10)*'Public Lighting Charges'!$M$14)</f>
        <v>21.76569459956475</v>
      </c>
      <c r="D252" s="365">
        <f t="shared" si="3"/>
        <v>21.76569459956475</v>
      </c>
      <c r="E252" s="365">
        <f>'Public Lighting Charges'!O706</f>
        <v>66.153310304444332</v>
      </c>
      <c r="F252" s="365">
        <f>'Public Lighting Charges'!Q706</f>
        <v>69.390778047694937</v>
      </c>
      <c r="G252" s="365">
        <f>'Public Lighting Charges'!T706</f>
        <v>72.240739535319094</v>
      </c>
      <c r="H252" s="365">
        <f>'Public Lighting Charges'!W706</f>
        <v>74.870498010245953</v>
      </c>
      <c r="I252" s="365">
        <f>'Public Lighting Charges'!Z706</f>
        <v>77.033177959296111</v>
      </c>
    </row>
    <row r="253" spans="1:9" x14ac:dyDescent="0.2">
      <c r="A253" t="str">
        <f>'Public Lighting Charges'!A707</f>
        <v>INC0100-ST-0610-001-B</v>
      </c>
      <c r="B253" s="365">
        <f>'Public Lighting Charges'!J707</f>
        <v>37.215587737644988</v>
      </c>
      <c r="C253" s="365">
        <f>'Public Lighting Charges'!L707*(1+'Public Lighting Charges'!$M$12)+(('Public Lighting Charges'!L707*'Public Lighting Charges'!$M$10)*'Public Lighting Charges'!$M$14)</f>
        <v>21.76569459956475</v>
      </c>
      <c r="D253" s="365">
        <f t="shared" si="3"/>
        <v>58.981282337209734</v>
      </c>
      <c r="E253" s="365">
        <f>'Public Lighting Charges'!O707</f>
        <v>116.67017234184458</v>
      </c>
      <c r="F253" s="365">
        <f>'Public Lighting Charges'!Q707</f>
        <v>118.96332154068104</v>
      </c>
      <c r="G253" s="365">
        <f>'Public Lighting Charges'!T707</f>
        <v>123.0402034797566</v>
      </c>
      <c r="H253" s="365">
        <f>'Public Lighting Charges'!W707</f>
        <v>126.92724868730829</v>
      </c>
      <c r="I253" s="365">
        <f>'Public Lighting Charges'!Z707</f>
        <v>130.37833321561573</v>
      </c>
    </row>
    <row r="254" spans="1:9" x14ac:dyDescent="0.2">
      <c r="A254" t="str">
        <f>'Public Lighting Charges'!A708</f>
        <v>INC0100-ST-0810-001-B</v>
      </c>
      <c r="B254" s="365">
        <f>'Public Lighting Charges'!J708</f>
        <v>51.156145528662286</v>
      </c>
      <c r="C254" s="365">
        <f>'Public Lighting Charges'!L708*(1+'Public Lighting Charges'!$M$12)+(('Public Lighting Charges'!L708*'Public Lighting Charges'!$M$10)*'Public Lighting Charges'!$M$14)</f>
        <v>32.940099398891512</v>
      </c>
      <c r="D254" s="365">
        <f t="shared" si="3"/>
        <v>84.096244927553798</v>
      </c>
      <c r="E254" s="365">
        <f>'Public Lighting Charges'!O708</f>
        <v>145.98944410480433</v>
      </c>
      <c r="F254" s="365">
        <f>'Public Lighting Charges'!Q708</f>
        <v>148.43763996538274</v>
      </c>
      <c r="G254" s="365">
        <f>'Public Lighting Charges'!T708</f>
        <v>153.42199345419365</v>
      </c>
      <c r="H254" s="365">
        <f>'Public Lighting Charges'!W708</f>
        <v>158.1932794992201</v>
      </c>
      <c r="I254" s="365">
        <f>'Public Lighting Charges'!Z708</f>
        <v>162.46685842031624</v>
      </c>
    </row>
    <row r="255" spans="1:9" x14ac:dyDescent="0.2">
      <c r="A255" t="str">
        <f>'Public Lighting Charges'!A709</f>
        <v>INC0100-ST-0990-001-B</v>
      </c>
      <c r="B255" s="365">
        <f>'Public Lighting Charges'!J709</f>
        <v>86.253661186307269</v>
      </c>
      <c r="C255" s="365">
        <f>'Public Lighting Charges'!L709*(1+'Public Lighting Charges'!$M$12)+(('Public Lighting Charges'!L709*'Public Lighting Charges'!$M$10)*'Public Lighting Charges'!$M$14)</f>
        <v>32.138329198891505</v>
      </c>
      <c r="D255" s="365">
        <f t="shared" si="3"/>
        <v>118.39199038519877</v>
      </c>
      <c r="E255" s="365">
        <f>'Public Lighting Charges'!O709</f>
        <v>192.82912617325474</v>
      </c>
      <c r="F255" s="365">
        <f>'Public Lighting Charges'!Q709</f>
        <v>194.34749491260013</v>
      </c>
      <c r="G255" s="365">
        <f>'Public Lighting Charges'!T709</f>
        <v>200.45438567881897</v>
      </c>
      <c r="H255" s="365">
        <f>'Public Lighting Charges'!W709</f>
        <v>206.37951691033831</v>
      </c>
      <c r="I255" s="365">
        <f>'Public Lighting Charges'!Z709</f>
        <v>211.84195099404852</v>
      </c>
    </row>
    <row r="256" spans="1:9" x14ac:dyDescent="0.2">
      <c r="A256" t="str">
        <f>'Public Lighting Charges'!A710</f>
        <v>INC0110-ST-0010-001-B</v>
      </c>
      <c r="B256" s="365">
        <f>'Public Lighting Charges'!J710</f>
        <v>17.255027166785979</v>
      </c>
      <c r="C256" s="365">
        <f>'Public Lighting Charges'!L710*(1+'Public Lighting Charges'!$M$12)+(('Public Lighting Charges'!L710*'Public Lighting Charges'!$M$10)*'Public Lighting Charges'!$M$14)</f>
        <v>21.76569459956475</v>
      </c>
      <c r="D256" s="365">
        <f t="shared" si="3"/>
        <v>39.020721766350732</v>
      </c>
      <c r="E256" s="365">
        <f>'Public Lighting Charges'!O710</f>
        <v>89.575480417168194</v>
      </c>
      <c r="F256" s="365">
        <f>'Public Lighting Charges'!Q710</f>
        <v>92.375114362042837</v>
      </c>
      <c r="G256" s="365">
        <f>'Public Lighting Charges'!T710</f>
        <v>95.793938173447103</v>
      </c>
      <c r="H256" s="365">
        <f>'Public Lighting Charges'!W710</f>
        <v>99.00663831466764</v>
      </c>
      <c r="I256" s="365">
        <f>'Public Lighting Charges'!Z710</f>
        <v>101.76668773625222</v>
      </c>
    </row>
    <row r="257" spans="1:9" x14ac:dyDescent="0.2">
      <c r="A257" t="str">
        <f>'Public Lighting Charges'!A711</f>
        <v>INC0110-ST-0010-002-B</v>
      </c>
      <c r="B257" s="365">
        <f>'Public Lighting Charges'!J711</f>
        <v>0</v>
      </c>
      <c r="C257" s="365">
        <f>'Public Lighting Charges'!L711*(1+'Public Lighting Charges'!$M$12)+(('Public Lighting Charges'!L711*'Public Lighting Charges'!$M$10)*'Public Lighting Charges'!$M$14)</f>
        <v>21.76569459956475</v>
      </c>
      <c r="D257" s="365">
        <f t="shared" si="3"/>
        <v>21.76569459956475</v>
      </c>
      <c r="E257" s="365">
        <f>'Public Lighting Charges'!O711</f>
        <v>66.153310304444332</v>
      </c>
      <c r="F257" s="365">
        <f>'Public Lighting Charges'!Q711</f>
        <v>69.390778047694937</v>
      </c>
      <c r="G257" s="365">
        <f>'Public Lighting Charges'!T711</f>
        <v>72.240739535319094</v>
      </c>
      <c r="H257" s="365">
        <f>'Public Lighting Charges'!W711</f>
        <v>74.870498010245953</v>
      </c>
      <c r="I257" s="365">
        <f>'Public Lighting Charges'!Z711</f>
        <v>77.033177959296111</v>
      </c>
    </row>
    <row r="258" spans="1:9" x14ac:dyDescent="0.2">
      <c r="A258" t="str">
        <f>'Public Lighting Charges'!A712</f>
        <v>INC0110-ST-0110-001-B</v>
      </c>
      <c r="B258" s="365">
        <f>'Public Lighting Charges'!J712</f>
        <v>8.1913367400317085</v>
      </c>
      <c r="C258" s="365">
        <f>'Public Lighting Charges'!L712*(1+'Public Lighting Charges'!$M$12)+(('Public Lighting Charges'!L712*'Public Lighting Charges'!$M$10)*'Public Lighting Charges'!$M$14)</f>
        <v>21.76569459956475</v>
      </c>
      <c r="D258" s="365">
        <f t="shared" si="3"/>
        <v>29.957031339596458</v>
      </c>
      <c r="E258" s="365">
        <f>'Public Lighting Charges'!O712</f>
        <v>77.272323953112164</v>
      </c>
      <c r="F258" s="365">
        <f>'Public Lighting Charges'!Q712</f>
        <v>80.301942468193019</v>
      </c>
      <c r="G258" s="365">
        <f>'Public Lighting Charges'!T712</f>
        <v>83.421955275224491</v>
      </c>
      <c r="H258" s="365">
        <f>'Public Lighting Charges'!W712</f>
        <v>86.328448839714014</v>
      </c>
      <c r="I258" s="365">
        <f>'Public Lighting Charges'!Z712</f>
        <v>88.774713071793514</v>
      </c>
    </row>
    <row r="259" spans="1:9" x14ac:dyDescent="0.2">
      <c r="A259" t="str">
        <f>'Public Lighting Charges'!A713</f>
        <v>INC0110-ST-0810-001-B</v>
      </c>
      <c r="B259" s="365">
        <f>'Public Lighting Charges'!J713</f>
        <v>51.156145528662286</v>
      </c>
      <c r="C259" s="365">
        <f>'Public Lighting Charges'!L713*(1+'Public Lighting Charges'!$M$12)+(('Public Lighting Charges'!L713*'Public Lighting Charges'!$M$10)*'Public Lighting Charges'!$M$14)</f>
        <v>32.940099398891512</v>
      </c>
      <c r="D259" s="365">
        <f t="shared" si="3"/>
        <v>84.096244927553798</v>
      </c>
      <c r="E259" s="365">
        <f>'Public Lighting Charges'!O713</f>
        <v>145.98944410480433</v>
      </c>
      <c r="F259" s="365">
        <f>'Public Lighting Charges'!Q713</f>
        <v>148.43763996538274</v>
      </c>
      <c r="G259" s="365">
        <f>'Public Lighting Charges'!T713</f>
        <v>153.42199345419365</v>
      </c>
      <c r="H259" s="365">
        <f>'Public Lighting Charges'!W713</f>
        <v>158.1932794992201</v>
      </c>
      <c r="I259" s="365">
        <f>'Public Lighting Charges'!Z713</f>
        <v>162.46685842031624</v>
      </c>
    </row>
    <row r="260" spans="1:9" x14ac:dyDescent="0.2">
      <c r="A260" t="str">
        <f>'Public Lighting Charges'!A714</f>
        <v>INC0130-ST-0010-001-B</v>
      </c>
      <c r="B260" s="365">
        <f>'Public Lighting Charges'!J714</f>
        <v>17.255027166785979</v>
      </c>
      <c r="C260" s="365">
        <f>'Public Lighting Charges'!L714*(1+'Public Lighting Charges'!$M$12)+(('Public Lighting Charges'!L714*'Public Lighting Charges'!$M$10)*'Public Lighting Charges'!$M$14)</f>
        <v>21.76569459956475</v>
      </c>
      <c r="D260" s="365">
        <f t="shared" ref="D260:D323" si="4">B260+C260</f>
        <v>39.020721766350732</v>
      </c>
      <c r="E260" s="365">
        <f>'Public Lighting Charges'!O714</f>
        <v>89.575480417168194</v>
      </c>
      <c r="F260" s="365">
        <f>'Public Lighting Charges'!Q714</f>
        <v>92.375114362042837</v>
      </c>
      <c r="G260" s="365">
        <f>'Public Lighting Charges'!T714</f>
        <v>95.793938173447103</v>
      </c>
      <c r="H260" s="365">
        <f>'Public Lighting Charges'!W714</f>
        <v>99.00663831466764</v>
      </c>
      <c r="I260" s="365">
        <f>'Public Lighting Charges'!Z714</f>
        <v>101.76668773625222</v>
      </c>
    </row>
    <row r="261" spans="1:9" x14ac:dyDescent="0.2">
      <c r="A261" t="str">
        <f>'Public Lighting Charges'!A715</f>
        <v>INC0140-ST-0680-002-B</v>
      </c>
      <c r="B261" s="365">
        <f>'Public Lighting Charges'!J715</f>
        <v>0</v>
      </c>
      <c r="C261" s="365">
        <f>'Public Lighting Charges'!L715*(1+'Public Lighting Charges'!$M$12)+(('Public Lighting Charges'!L715*'Public Lighting Charges'!$M$10)*'Public Lighting Charges'!$M$14)</f>
        <v>21.76569459956475</v>
      </c>
      <c r="D261" s="365">
        <f t="shared" si="4"/>
        <v>21.76569459956475</v>
      </c>
      <c r="E261" s="365">
        <f>'Public Lighting Charges'!O715</f>
        <v>66.153310304444332</v>
      </c>
      <c r="F261" s="365">
        <f>'Public Lighting Charges'!Q715</f>
        <v>69.390778047694937</v>
      </c>
      <c r="G261" s="365">
        <f>'Public Lighting Charges'!T715</f>
        <v>72.240739535319094</v>
      </c>
      <c r="H261" s="365">
        <f>'Public Lighting Charges'!W715</f>
        <v>74.870498010245953</v>
      </c>
      <c r="I261" s="365">
        <f>'Public Lighting Charges'!Z715</f>
        <v>77.033177959296111</v>
      </c>
    </row>
    <row r="262" spans="1:9" x14ac:dyDescent="0.2">
      <c r="A262" t="str">
        <f>'Public Lighting Charges'!A716</f>
        <v>INC0140-ST-0900-002-B</v>
      </c>
      <c r="B262" s="365">
        <f>'Public Lighting Charges'!J716</f>
        <v>0</v>
      </c>
      <c r="C262" s="365">
        <f>'Public Lighting Charges'!L716*(1+'Public Lighting Charges'!$M$12)+(('Public Lighting Charges'!L716*'Public Lighting Charges'!$M$10)*'Public Lighting Charges'!$M$14)</f>
        <v>32.940099398891512</v>
      </c>
      <c r="D262" s="365">
        <f t="shared" si="4"/>
        <v>32.940099398891512</v>
      </c>
      <c r="E262" s="365">
        <f>'Public Lighting Charges'!O716</f>
        <v>76.549510379868494</v>
      </c>
      <c r="F262" s="365">
        <f>'Public Lighting Charges'!Q716</f>
        <v>80.295756326986321</v>
      </c>
      <c r="G262" s="365">
        <f>'Public Lighting Charges'!T716</f>
        <v>83.593598195746935</v>
      </c>
      <c r="H262" s="365">
        <f>'Public Lighting Charges'!W716</f>
        <v>86.636631458126814</v>
      </c>
      <c r="I262" s="365">
        <f>'Public Lighting Charges'!Z716</f>
        <v>89.139183340205889</v>
      </c>
    </row>
    <row r="263" spans="1:9" x14ac:dyDescent="0.2">
      <c r="A263" t="str">
        <f>'Public Lighting Charges'!A717</f>
        <v>INC0140-ST-1130-002-B</v>
      </c>
      <c r="B263" s="365">
        <f>'Public Lighting Charges'!J717</f>
        <v>0</v>
      </c>
      <c r="C263" s="365">
        <f>'Public Lighting Charges'!L717*(1+'Public Lighting Charges'!$M$12)+(('Public Lighting Charges'!L717*'Public Lighting Charges'!$M$10)*'Public Lighting Charges'!$M$14)</f>
        <v>32.138329198891505</v>
      </c>
      <c r="D263" s="365">
        <f t="shared" si="4"/>
        <v>32.138329198891505</v>
      </c>
      <c r="E263" s="365">
        <f>'Public Lighting Charges'!O717</f>
        <v>75.747425540543503</v>
      </c>
      <c r="F263" s="365">
        <f>'Public Lighting Charges'!Q717</f>
        <v>79.454418368161853</v>
      </c>
      <c r="G263" s="365">
        <f>'Public Lighting Charges'!T717</f>
        <v>82.717705489905839</v>
      </c>
      <c r="H263" s="365">
        <f>'Public Lighting Charges'!W717</f>
        <v>85.728853886749633</v>
      </c>
      <c r="I263" s="365">
        <f>'Public Lighting Charges'!Z717</f>
        <v>88.205184060625996</v>
      </c>
    </row>
    <row r="264" spans="1:9" x14ac:dyDescent="0.2">
      <c r="A264" t="str">
        <f>'Public Lighting Charges'!A718</f>
        <v>INC0160-ST-0640-001-B</v>
      </c>
      <c r="B264" s="365">
        <f>'Public Lighting Charges'!J718</f>
        <v>34.4552059087722</v>
      </c>
      <c r="C264" s="365">
        <f>'Public Lighting Charges'!L718*(1+'Public Lighting Charges'!$M$12)+(('Public Lighting Charges'!L718*'Public Lighting Charges'!$M$10)*'Public Lighting Charges'!$M$14)</f>
        <v>21.76569459956475</v>
      </c>
      <c r="D264" s="365">
        <f t="shared" si="4"/>
        <v>56.220900508336953</v>
      </c>
      <c r="E264" s="365">
        <f>'Public Lighting Charges'!O718</f>
        <v>112.92319865429327</v>
      </c>
      <c r="F264" s="365">
        <f>'Public Lighting Charges'!Q718</f>
        <v>115.28639053978682</v>
      </c>
      <c r="G264" s="365">
        <f>'Public Lighting Charges'!T718</f>
        <v>119.27226843659025</v>
      </c>
      <c r="H264" s="365">
        <f>'Public Lighting Charges'!W718</f>
        <v>123.06605725182358</v>
      </c>
      <c r="I264" s="365">
        <f>'Public Lighting Charges'!Z718</f>
        <v>126.42157729210277</v>
      </c>
    </row>
    <row r="265" spans="1:9" x14ac:dyDescent="0.2">
      <c r="A265" t="str">
        <f>'Public Lighting Charges'!A719</f>
        <v>INC0160-ST-0640-002-B</v>
      </c>
      <c r="B265" s="365">
        <f>'Public Lighting Charges'!J719</f>
        <v>0</v>
      </c>
      <c r="C265" s="365">
        <f>'Public Lighting Charges'!L719*(1+'Public Lighting Charges'!$M$12)+(('Public Lighting Charges'!L719*'Public Lighting Charges'!$M$10)*'Public Lighting Charges'!$M$14)</f>
        <v>21.76569459956475</v>
      </c>
      <c r="D265" s="365">
        <f t="shared" si="4"/>
        <v>21.76569459956475</v>
      </c>
      <c r="E265" s="365">
        <f>'Public Lighting Charges'!O719</f>
        <v>66.153310304444332</v>
      </c>
      <c r="F265" s="365">
        <f>'Public Lighting Charges'!Q719</f>
        <v>69.390778047694937</v>
      </c>
      <c r="G265" s="365">
        <f>'Public Lighting Charges'!T719</f>
        <v>72.240739535319094</v>
      </c>
      <c r="H265" s="365">
        <f>'Public Lighting Charges'!W719</f>
        <v>74.870498010245953</v>
      </c>
      <c r="I265" s="365">
        <f>'Public Lighting Charges'!Z719</f>
        <v>77.033177959296111</v>
      </c>
    </row>
    <row r="266" spans="1:9" x14ac:dyDescent="0.2">
      <c r="A266" t="str">
        <f>'Public Lighting Charges'!A720</f>
        <v>INC0160-ST-1170-002-B</v>
      </c>
      <c r="B266" s="365">
        <f>'Public Lighting Charges'!J720</f>
        <v>0</v>
      </c>
      <c r="C266" s="365">
        <f>'Public Lighting Charges'!L720*(1+'Public Lighting Charges'!$M$12)+(('Public Lighting Charges'!L720*'Public Lighting Charges'!$M$10)*'Public Lighting Charges'!$M$14)</f>
        <v>32.138329198891505</v>
      </c>
      <c r="D266" s="365">
        <f t="shared" si="4"/>
        <v>32.138329198891505</v>
      </c>
      <c r="E266" s="365">
        <f>'Public Lighting Charges'!O720</f>
        <v>75.747425540543503</v>
      </c>
      <c r="F266" s="365">
        <f>'Public Lighting Charges'!Q720</f>
        <v>79.454418368161853</v>
      </c>
      <c r="G266" s="365">
        <f>'Public Lighting Charges'!T720</f>
        <v>82.717705489905839</v>
      </c>
      <c r="H266" s="365">
        <f>'Public Lighting Charges'!W720</f>
        <v>85.728853886749633</v>
      </c>
      <c r="I266" s="365">
        <f>'Public Lighting Charges'!Z720</f>
        <v>88.205184060625996</v>
      </c>
    </row>
    <row r="267" spans="1:9" x14ac:dyDescent="0.2">
      <c r="A267" t="str">
        <f>'Public Lighting Charges'!A721</f>
        <v>LPS0010-ST-0040-001-B</v>
      </c>
      <c r="B267" s="365">
        <f>'Public Lighting Charges'!J721</f>
        <v>18.483521869130684</v>
      </c>
      <c r="C267" s="365">
        <f>'Public Lighting Charges'!L721*(1+'Public Lighting Charges'!$M$12)+(('Public Lighting Charges'!L721*'Public Lighting Charges'!$M$10)*'Public Lighting Charges'!$M$14)</f>
        <v>54.482603557175011</v>
      </c>
      <c r="D267" s="365">
        <f t="shared" si="4"/>
        <v>72.966125426305695</v>
      </c>
      <c r="E267" s="365">
        <f>'Public Lighting Charges'!O721</f>
        <v>71.893786389745046</v>
      </c>
      <c r="F267" s="365">
        <f>'Public Lighting Charges'!Q721</f>
        <v>73.71531707375037</v>
      </c>
      <c r="G267" s="365">
        <f>'Public Lighting Charges'!T721</f>
        <v>76.341052901569881</v>
      </c>
      <c r="H267" s="365">
        <f>'Public Lighting Charges'!W721</f>
        <v>78.826074918842181</v>
      </c>
      <c r="I267" s="365">
        <f>'Public Lighting Charges'!Z721</f>
        <v>80.996089821427489</v>
      </c>
    </row>
    <row r="268" spans="1:9" x14ac:dyDescent="0.2">
      <c r="A268" t="str">
        <f>'Public Lighting Charges'!A722</f>
        <v>LPS0010-ST-0350-001-B</v>
      </c>
      <c r="B268" s="365">
        <f>'Public Lighting Charges'!J722</f>
        <v>52.384640231006998</v>
      </c>
      <c r="C268" s="365">
        <f>'Public Lighting Charges'!L722*(1+'Public Lighting Charges'!$M$12)+(('Public Lighting Charges'!L722*'Public Lighting Charges'!$M$10)*'Public Lighting Charges'!$M$14)</f>
        <v>65.657008356501777</v>
      </c>
      <c r="D268" s="365">
        <f t="shared" si="4"/>
        <v>118.04164858750877</v>
      </c>
      <c r="E268" s="365">
        <f>'Public Lighting Charges'!O722</f>
        <v>128.30775007738117</v>
      </c>
      <c r="F268" s="365">
        <f>'Public Lighting Charges'!Q722</f>
        <v>129.77784267709026</v>
      </c>
      <c r="G268" s="365">
        <f>'Public Lighting Charges'!T722</f>
        <v>133.96910818231643</v>
      </c>
      <c r="H268" s="365">
        <f>'Public Lighting Charges'!W722</f>
        <v>138.01271610339464</v>
      </c>
      <c r="I268" s="365">
        <f>'Public Lighting Charges'!Z722</f>
        <v>141.69626050549149</v>
      </c>
    </row>
    <row r="269" spans="1:9" x14ac:dyDescent="0.2">
      <c r="A269" t="str">
        <f>'Public Lighting Charges'!A723</f>
        <v>LPS0010-ST-0350-002-B</v>
      </c>
      <c r="B269" s="365">
        <f>'Public Lighting Charges'!J723</f>
        <v>0</v>
      </c>
      <c r="C269" s="365">
        <f>'Public Lighting Charges'!L723*(1+'Public Lighting Charges'!$M$12)+(('Public Lighting Charges'!L723*'Public Lighting Charges'!$M$10)*'Public Lighting Charges'!$M$14)</f>
        <v>65.657008356501777</v>
      </c>
      <c r="D269" s="365">
        <f t="shared" si="4"/>
        <v>65.657008356501777</v>
      </c>
      <c r="E269" s="365">
        <f>'Public Lighting Charges'!O723</f>
        <v>57.200243672160944</v>
      </c>
      <c r="F269" s="365">
        <f>'Public Lighting Charges'!Q723</f>
        <v>59.999558520389407</v>
      </c>
      <c r="G269" s="365">
        <f>'Public Lighting Charges'!T723</f>
        <v>62.463811492737236</v>
      </c>
      <c r="H269" s="365">
        <f>'Public Lighting Charges'!W723</f>
        <v>64.737663320748354</v>
      </c>
      <c r="I269" s="365">
        <f>'Public Lighting Charges'!Z723</f>
        <v>66.607650166474713</v>
      </c>
    </row>
    <row r="270" spans="1:9" x14ac:dyDescent="0.2">
      <c r="A270" t="str">
        <f>'Public Lighting Charges'!A724</f>
        <v>LPS0020-ST-0040-001-B</v>
      </c>
      <c r="B270" s="365">
        <f>'Public Lighting Charges'!J724</f>
        <v>18.483521869130684</v>
      </c>
      <c r="C270" s="365">
        <f>'Public Lighting Charges'!L724*(1+'Public Lighting Charges'!$M$12)+(('Public Lighting Charges'!L724*'Public Lighting Charges'!$M$10)*'Public Lighting Charges'!$M$14)</f>
        <v>54.482603557175011</v>
      </c>
      <c r="D270" s="365">
        <f t="shared" si="4"/>
        <v>72.966125426305695</v>
      </c>
      <c r="E270" s="365">
        <f>'Public Lighting Charges'!O724</f>
        <v>71.893786389745046</v>
      </c>
      <c r="F270" s="365">
        <f>'Public Lighting Charges'!Q724</f>
        <v>73.71531707375037</v>
      </c>
      <c r="G270" s="365">
        <f>'Public Lighting Charges'!T724</f>
        <v>76.341052901569881</v>
      </c>
      <c r="H270" s="365">
        <f>'Public Lighting Charges'!W724</f>
        <v>78.826074918842181</v>
      </c>
      <c r="I270" s="365">
        <f>'Public Lighting Charges'!Z724</f>
        <v>80.996089821427489</v>
      </c>
    </row>
    <row r="271" spans="1:9" x14ac:dyDescent="0.2">
      <c r="A271" t="str">
        <f>'Public Lighting Charges'!A725</f>
        <v>LPS0020-ST-0040-002-B</v>
      </c>
      <c r="B271" s="365">
        <f>'Public Lighting Charges'!J725</f>
        <v>0</v>
      </c>
      <c r="C271" s="365">
        <f>'Public Lighting Charges'!L725*(1+'Public Lighting Charges'!$M$12)+(('Public Lighting Charges'!L725*'Public Lighting Charges'!$M$10)*'Public Lighting Charges'!$M$14)</f>
        <v>54.482603557175011</v>
      </c>
      <c r="D271" s="365">
        <f t="shared" si="4"/>
        <v>54.482603557175011</v>
      </c>
      <c r="E271" s="365">
        <f>'Public Lighting Charges'!O725</f>
        <v>46.804043596736783</v>
      </c>
      <c r="F271" s="365">
        <f>'Public Lighting Charges'!Q725</f>
        <v>49.094580241098029</v>
      </c>
      <c r="G271" s="365">
        <f>'Public Lighting Charges'!T725</f>
        <v>51.11095283230938</v>
      </c>
      <c r="H271" s="365">
        <f>'Public Lighting Charges'!W725</f>
        <v>52.971529872867499</v>
      </c>
      <c r="I271" s="365">
        <f>'Public Lighting Charges'!Z725</f>
        <v>54.501644785564942</v>
      </c>
    </row>
    <row r="272" spans="1:9" x14ac:dyDescent="0.2">
      <c r="A272" t="str">
        <f>'Public Lighting Charges'!A726</f>
        <v>LPS0030-ST-0040-001-B</v>
      </c>
      <c r="B272" s="365">
        <f>'Public Lighting Charges'!J726</f>
        <v>18.483521869130684</v>
      </c>
      <c r="C272" s="365">
        <f>'Public Lighting Charges'!L726*(1+'Public Lighting Charges'!$M$12)+(('Public Lighting Charges'!L726*'Public Lighting Charges'!$M$10)*'Public Lighting Charges'!$M$14)</f>
        <v>54.482603557175011</v>
      </c>
      <c r="D272" s="365">
        <f t="shared" si="4"/>
        <v>72.966125426305695</v>
      </c>
      <c r="E272" s="365">
        <f>'Public Lighting Charges'!O726</f>
        <v>71.893786389745046</v>
      </c>
      <c r="F272" s="365">
        <f>'Public Lighting Charges'!Q726</f>
        <v>73.71531707375037</v>
      </c>
      <c r="G272" s="365">
        <f>'Public Lighting Charges'!T726</f>
        <v>76.341052901569881</v>
      </c>
      <c r="H272" s="365">
        <f>'Public Lighting Charges'!W726</f>
        <v>78.826074918842181</v>
      </c>
      <c r="I272" s="365">
        <f>'Public Lighting Charges'!Z726</f>
        <v>80.996089821427489</v>
      </c>
    </row>
    <row r="273" spans="1:9" x14ac:dyDescent="0.2">
      <c r="A273" t="str">
        <f>'Public Lighting Charges'!A727</f>
        <v>LPS0030-ST-0040-002-B</v>
      </c>
      <c r="B273" s="365">
        <f>'Public Lighting Charges'!J727</f>
        <v>0</v>
      </c>
      <c r="C273" s="365">
        <f>'Public Lighting Charges'!L727*(1+'Public Lighting Charges'!$M$12)+(('Public Lighting Charges'!L727*'Public Lighting Charges'!$M$10)*'Public Lighting Charges'!$M$14)</f>
        <v>54.482603557175011</v>
      </c>
      <c r="D273" s="365">
        <f t="shared" si="4"/>
        <v>54.482603557175011</v>
      </c>
      <c r="E273" s="365">
        <f>'Public Lighting Charges'!O727</f>
        <v>46.804043596736783</v>
      </c>
      <c r="F273" s="365">
        <f>'Public Lighting Charges'!Q727</f>
        <v>49.094580241098029</v>
      </c>
      <c r="G273" s="365">
        <f>'Public Lighting Charges'!T727</f>
        <v>51.11095283230938</v>
      </c>
      <c r="H273" s="365">
        <f>'Public Lighting Charges'!W727</f>
        <v>52.971529872867499</v>
      </c>
      <c r="I273" s="365">
        <f>'Public Lighting Charges'!Z727</f>
        <v>54.501644785564942</v>
      </c>
    </row>
    <row r="274" spans="1:9" x14ac:dyDescent="0.2">
      <c r="A274" t="str">
        <f>'Public Lighting Charges'!A728</f>
        <v>LPS0030-ST-0360-001-B</v>
      </c>
      <c r="B274" s="365">
        <f>'Public Lighting Charges'!J728</f>
        <v>87.482155888651974</v>
      </c>
      <c r="C274" s="365">
        <f>'Public Lighting Charges'!L728*(1+'Public Lighting Charges'!$M$12)+(('Public Lighting Charges'!L728*'Public Lighting Charges'!$M$10)*'Public Lighting Charges'!$M$14)</f>
        <v>64.85523815650177</v>
      </c>
      <c r="D274" s="365">
        <f t="shared" si="4"/>
        <v>152.33739404515376</v>
      </c>
      <c r="E274" s="365">
        <f>'Public Lighting Charges'!O728</f>
        <v>175.1474321458316</v>
      </c>
      <c r="F274" s="365">
        <f>'Public Lighting Charges'!Q728</f>
        <v>175.68769762430762</v>
      </c>
      <c r="G274" s="365">
        <f>'Public Lighting Charges'!T728</f>
        <v>181.00150040694172</v>
      </c>
      <c r="H274" s="365">
        <f>'Public Lighting Charges'!W728</f>
        <v>186.19895351451285</v>
      </c>
      <c r="I274" s="365">
        <f>'Public Lighting Charges'!Z728</f>
        <v>191.07135307922377</v>
      </c>
    </row>
    <row r="275" spans="1:9" x14ac:dyDescent="0.2">
      <c r="A275" t="str">
        <f>'Public Lighting Charges'!A729</f>
        <v>LPS0040-ST-0050-001-B</v>
      </c>
      <c r="B275" s="365">
        <f>'Public Lighting Charges'!J729</f>
        <v>32.009790998230237</v>
      </c>
      <c r="C275" s="365">
        <f>'Public Lighting Charges'!L729*(1+'Public Lighting Charges'!$M$12)+(('Public Lighting Charges'!L729*'Public Lighting Charges'!$M$10)*'Public Lighting Charges'!$M$14)</f>
        <v>56.736001876214736</v>
      </c>
      <c r="D275" s="365">
        <f t="shared" si="4"/>
        <v>88.745792874444973</v>
      </c>
      <c r="E275" s="365">
        <f>'Public Lighting Charges'!O729</f>
        <v>92.462428513900392</v>
      </c>
      <c r="F275" s="365">
        <f>'Public Lighting Charges'!Q729</f>
        <v>94.048793540576455</v>
      </c>
      <c r="G275" s="365">
        <f>'Public Lighting Charges'!T729</f>
        <v>97.215582517517177</v>
      </c>
      <c r="H275" s="365">
        <f>'Public Lighting Charges'!W729</f>
        <v>100.2453450359514</v>
      </c>
      <c r="I275" s="365">
        <f>'Public Lighting Charges'!Z729</f>
        <v>102.95582124501307</v>
      </c>
    </row>
    <row r="276" spans="1:9" x14ac:dyDescent="0.2">
      <c r="A276" t="str">
        <f>'Public Lighting Charges'!A730</f>
        <v>LPS0040-ST-0050-002-B</v>
      </c>
      <c r="B276" s="365">
        <f>'Public Lighting Charges'!J730</f>
        <v>0</v>
      </c>
      <c r="C276" s="365">
        <f>'Public Lighting Charges'!L730*(1+'Public Lighting Charges'!$M$12)+(('Public Lighting Charges'!L730*'Public Lighting Charges'!$M$10)*'Public Lighting Charges'!$M$14)</f>
        <v>56.736001876214736</v>
      </c>
      <c r="D276" s="365">
        <f t="shared" si="4"/>
        <v>56.736001876214736</v>
      </c>
      <c r="E276" s="365">
        <f>'Public Lighting Charges'!O730</f>
        <v>49.011974174631113</v>
      </c>
      <c r="F276" s="365">
        <f>'Public Lighting Charges'!Q730</f>
        <v>51.410564429497619</v>
      </c>
      <c r="G276" s="365">
        <f>'Public Lighting Charges'!T730</f>
        <v>53.522057235939144</v>
      </c>
      <c r="H276" s="365">
        <f>'Public Lighting Charges'!W730</f>
        <v>55.470405003654314</v>
      </c>
      <c r="I276" s="365">
        <f>'Public Lighting Charges'!Z730</f>
        <v>57.072701446916618</v>
      </c>
    </row>
    <row r="277" spans="1:9" x14ac:dyDescent="0.2">
      <c r="A277" t="str">
        <f>'Public Lighting Charges'!A731</f>
        <v>LPS0040-ST-0060-001-B</v>
      </c>
      <c r="B277" s="365">
        <f>'Public Lighting Charges'!J731</f>
        <v>32.138130136529035</v>
      </c>
      <c r="C277" s="365">
        <f>'Public Lighting Charges'!L731*(1+'Public Lighting Charges'!$M$12)+(('Public Lighting Charges'!L731*'Public Lighting Charges'!$M$10)*'Public Lighting Charges'!$M$14)</f>
        <v>56.736001876214736</v>
      </c>
      <c r="D277" s="365">
        <f t="shared" si="4"/>
        <v>88.874132012743772</v>
      </c>
      <c r="E277" s="365">
        <f>'Public Lighting Charges'!O731</f>
        <v>92.636637519791776</v>
      </c>
      <c r="F277" s="365">
        <f>'Public Lighting Charges'!Q731</f>
        <v>94.219746033924665</v>
      </c>
      <c r="G277" s="365">
        <f>'Public Lighting Charges'!T731</f>
        <v>97.390766085075754</v>
      </c>
      <c r="H277" s="365">
        <f>'Public Lighting Charges'!W731</f>
        <v>100.42486439680705</v>
      </c>
      <c r="I277" s="365">
        <f>'Public Lighting Charges'!Z731</f>
        <v>103.13978371004988</v>
      </c>
    </row>
    <row r="278" spans="1:9" x14ac:dyDescent="0.2">
      <c r="A278" t="str">
        <f>'Public Lighting Charges'!A732</f>
        <v>LPS0040-ST-0220-001-B</v>
      </c>
      <c r="B278" s="365">
        <f>'Public Lighting Charges'!J732</f>
        <v>65.91090936010653</v>
      </c>
      <c r="C278" s="365">
        <f>'Public Lighting Charges'!L732*(1+'Public Lighting Charges'!$M$12)+(('Public Lighting Charges'!L732*'Public Lighting Charges'!$M$10)*'Public Lighting Charges'!$M$14)</f>
        <v>67.910406675541481</v>
      </c>
      <c r="D278" s="365">
        <f t="shared" si="4"/>
        <v>133.82131603564801</v>
      </c>
      <c r="E278" s="365">
        <f>'Public Lighting Charges'!O732</f>
        <v>148.87639220153656</v>
      </c>
      <c r="F278" s="365">
        <f>'Public Lighting Charges'!Q732</f>
        <v>150.11131914391638</v>
      </c>
      <c r="G278" s="365">
        <f>'Public Lighting Charges'!T732</f>
        <v>154.84363779826376</v>
      </c>
      <c r="H278" s="365">
        <f>'Public Lighting Charges'!W732</f>
        <v>159.43198622050389</v>
      </c>
      <c r="I278" s="365">
        <f>'Public Lighting Charges'!Z732</f>
        <v>163.65599192907706</v>
      </c>
    </row>
    <row r="279" spans="1:9" x14ac:dyDescent="0.2">
      <c r="A279" t="str">
        <f>'Public Lighting Charges'!A733</f>
        <v>LPS0040-ST-0310-001-B</v>
      </c>
      <c r="B279" s="365">
        <f>'Public Lighting Charges'!J733</f>
        <v>92.1941745337366</v>
      </c>
      <c r="C279" s="365">
        <f>'Public Lighting Charges'!L733*(1+'Public Lighting Charges'!$M$12)+(('Public Lighting Charges'!L733*'Public Lighting Charges'!$M$10)*'Public Lighting Charges'!$M$14)</f>
        <v>67.108636475541488</v>
      </c>
      <c r="D279" s="365">
        <f t="shared" si="4"/>
        <v>159.30281100927809</v>
      </c>
      <c r="E279" s="365">
        <f>'Public Lighting Charges'!O733</f>
        <v>183.75151042101501</v>
      </c>
      <c r="F279" s="365">
        <f>'Public Lighting Charges'!Q733</f>
        <v>184.28026545475294</v>
      </c>
      <c r="G279" s="365">
        <f>'Public Lighting Charges'!T733</f>
        <v>189.8445338977578</v>
      </c>
      <c r="H279" s="365">
        <f>'Public Lighting Charges'!W733</f>
        <v>195.28894797739383</v>
      </c>
      <c r="I279" s="365">
        <f>'Public Lighting Charges'!Z733</f>
        <v>200.39665927613896</v>
      </c>
    </row>
    <row r="280" spans="1:9" x14ac:dyDescent="0.2">
      <c r="A280" t="str">
        <f>'Public Lighting Charges'!A734</f>
        <v>LPS0050-ST-0060-001-B</v>
      </c>
      <c r="B280" s="365">
        <f>'Public Lighting Charges'!J734</f>
        <v>32.138130136529035</v>
      </c>
      <c r="C280" s="365">
        <f>'Public Lighting Charges'!L734*(1+'Public Lighting Charges'!$M$12)+(('Public Lighting Charges'!L734*'Public Lighting Charges'!$M$10)*'Public Lighting Charges'!$M$14)</f>
        <v>59.470840258134047</v>
      </c>
      <c r="D280" s="365">
        <f t="shared" si="4"/>
        <v>91.608970394663089</v>
      </c>
      <c r="E280" s="365">
        <f>'Public Lighting Charges'!O734</f>
        <v>95.328781992955527</v>
      </c>
      <c r="F280" s="365">
        <f>'Public Lighting Charges'!Q734</f>
        <v>97.043640994734858</v>
      </c>
      <c r="G280" s="365">
        <f>'Public Lighting Charges'!T734</f>
        <v>100.33064175845085</v>
      </c>
      <c r="H280" s="365">
        <f>'Public Lighting Charges'!W734</f>
        <v>103.47175950294296</v>
      </c>
      <c r="I280" s="365">
        <f>'Public Lighting Charges'!Z734</f>
        <v>106.27469023761371</v>
      </c>
    </row>
    <row r="281" spans="1:9" x14ac:dyDescent="0.2">
      <c r="A281" t="str">
        <f>'Public Lighting Charges'!A735</f>
        <v>LPS0050-ST-0060-002-B</v>
      </c>
      <c r="B281" s="365">
        <f>'Public Lighting Charges'!J735</f>
        <v>0</v>
      </c>
      <c r="C281" s="365">
        <f>'Public Lighting Charges'!L735*(1+'Public Lighting Charges'!$M$12)+(('Public Lighting Charges'!L735*'Public Lighting Charges'!$M$10)*'Public Lighting Charges'!$M$14)</f>
        <v>59.470840258134047</v>
      </c>
      <c r="D281" s="365">
        <f t="shared" si="4"/>
        <v>59.470840258134047</v>
      </c>
      <c r="E281" s="365">
        <f>'Public Lighting Charges'!O735</f>
        <v>51.704118647794857</v>
      </c>
      <c r="F281" s="365">
        <f>'Public Lighting Charges'!Q735</f>
        <v>54.234459390307819</v>
      </c>
      <c r="G281" s="365">
        <f>'Public Lighting Charges'!T735</f>
        <v>56.46193290931425</v>
      </c>
      <c r="H281" s="365">
        <f>'Public Lighting Charges'!W735</f>
        <v>58.517300109790206</v>
      </c>
      <c r="I281" s="365">
        <f>'Public Lighting Charges'!Z735</f>
        <v>60.207607974480439</v>
      </c>
    </row>
    <row r="282" spans="1:9" x14ac:dyDescent="0.2">
      <c r="A282" t="str">
        <f>'Public Lighting Charges'!A736</f>
        <v>LPS0050-ST-0230-001-B</v>
      </c>
      <c r="B282" s="365">
        <f>'Public Lighting Charges'!J736</f>
        <v>66.039248498405314</v>
      </c>
      <c r="C282" s="365">
        <f>'Public Lighting Charges'!L736*(1+'Public Lighting Charges'!$M$12)+(('Public Lighting Charges'!L736*'Public Lighting Charges'!$M$10)*'Public Lighting Charges'!$M$14)</f>
        <v>70.645245057460798</v>
      </c>
      <c r="D282" s="365">
        <f t="shared" si="4"/>
        <v>136.68449355586611</v>
      </c>
      <c r="E282" s="365">
        <f>'Public Lighting Charges'!O736</f>
        <v>151.74274568059164</v>
      </c>
      <c r="F282" s="365">
        <f>'Public Lighting Charges'!Q736</f>
        <v>153.10616659807474</v>
      </c>
      <c r="G282" s="365">
        <f>'Public Lighting Charges'!T736</f>
        <v>157.95869703919743</v>
      </c>
      <c r="H282" s="365">
        <f>'Public Lighting Charges'!W736</f>
        <v>162.65840068749543</v>
      </c>
      <c r="I282" s="365">
        <f>'Public Lighting Charges'!Z736</f>
        <v>166.9748609216777</v>
      </c>
    </row>
    <row r="283" spans="1:9" x14ac:dyDescent="0.2">
      <c r="A283" t="str">
        <f>'Public Lighting Charges'!A737</f>
        <v>LPS0050-ST-0230-002-B</v>
      </c>
      <c r="B283" s="365">
        <f>'Public Lighting Charges'!J737</f>
        <v>0</v>
      </c>
      <c r="C283" s="365">
        <f>'Public Lighting Charges'!L737*(1+'Public Lighting Charges'!$M$12)+(('Public Lighting Charges'!L737*'Public Lighting Charges'!$M$10)*'Public Lighting Charges'!$M$14)</f>
        <v>70.645245057460798</v>
      </c>
      <c r="D283" s="365">
        <f t="shared" si="4"/>
        <v>70.645245057460798</v>
      </c>
      <c r="E283" s="365">
        <f>'Public Lighting Charges'!O737</f>
        <v>62.100318723219026</v>
      </c>
      <c r="F283" s="365">
        <f>'Public Lighting Charges'!Q737</f>
        <v>65.139437669599204</v>
      </c>
      <c r="G283" s="365">
        <f>'Public Lighting Charges'!T737</f>
        <v>67.814791569742098</v>
      </c>
      <c r="H283" s="365">
        <f>'Public Lighting Charges'!W737</f>
        <v>70.28343355767106</v>
      </c>
      <c r="I283" s="365">
        <f>'Public Lighting Charges'!Z737</f>
        <v>72.313613355390217</v>
      </c>
    </row>
    <row r="284" spans="1:9" x14ac:dyDescent="0.2">
      <c r="A284" t="str">
        <f>'Public Lighting Charges'!A738</f>
        <v>LPS0060-ST-0060-002-B</v>
      </c>
      <c r="B284" s="365">
        <f>'Public Lighting Charges'!J738</f>
        <v>0</v>
      </c>
      <c r="C284" s="365">
        <f>'Public Lighting Charges'!L738*(1+'Public Lighting Charges'!$M$12)+(('Public Lighting Charges'!L738*'Public Lighting Charges'!$M$10)*'Public Lighting Charges'!$M$14)</f>
        <v>64.830677608557153</v>
      </c>
      <c r="D284" s="365">
        <f t="shared" si="4"/>
        <v>64.830677608557153</v>
      </c>
      <c r="E284" s="365">
        <f>'Public Lighting Charges'!O738</f>
        <v>55.461440517343959</v>
      </c>
      <c r="F284" s="365">
        <f>'Public Lighting Charges'!Q738</f>
        <v>58.175660317423272</v>
      </c>
      <c r="G284" s="365">
        <f>'Public Lighting Charges'!T738</f>
        <v>60.56500362912098</v>
      </c>
      <c r="H284" s="365">
        <f>'Public Lighting Charges'!W738</f>
        <v>62.769733710819388</v>
      </c>
      <c r="I284" s="365">
        <f>'Public Lighting Charges'!Z738</f>
        <v>64.582875710823572</v>
      </c>
    </row>
    <row r="285" spans="1:9" x14ac:dyDescent="0.2">
      <c r="A285" t="str">
        <f>'Public Lighting Charges'!A739</f>
        <v>LPS0060-ST-0230-002-B</v>
      </c>
      <c r="B285" s="365">
        <f>'Public Lighting Charges'!J739</f>
        <v>0</v>
      </c>
      <c r="C285" s="365">
        <f>'Public Lighting Charges'!L739*(1+'Public Lighting Charges'!$M$12)+(('Public Lighting Charges'!L739*'Public Lighting Charges'!$M$10)*'Public Lighting Charges'!$M$14)</f>
        <v>76.005082407883918</v>
      </c>
      <c r="D285" s="365">
        <f t="shared" si="4"/>
        <v>76.005082407883918</v>
      </c>
      <c r="E285" s="365">
        <f>'Public Lighting Charges'!O739</f>
        <v>65.857640592768135</v>
      </c>
      <c r="F285" s="365">
        <f>'Public Lighting Charges'!Q739</f>
        <v>69.08063859671465</v>
      </c>
      <c r="G285" s="365">
        <f>'Public Lighting Charges'!T739</f>
        <v>71.917862289548836</v>
      </c>
      <c r="H285" s="365">
        <f>'Public Lighting Charges'!W739</f>
        <v>74.535867158700256</v>
      </c>
      <c r="I285" s="365">
        <f>'Public Lighting Charges'!Z739</f>
        <v>76.688881091733364</v>
      </c>
    </row>
    <row r="286" spans="1:9" x14ac:dyDescent="0.2">
      <c r="A286" t="str">
        <f>'Public Lighting Charges'!A740</f>
        <v>LPS0060-ST-0320-002-B</v>
      </c>
      <c r="B286" s="365">
        <f>'Public Lighting Charges'!J740</f>
        <v>0</v>
      </c>
      <c r="C286" s="365">
        <f>'Public Lighting Charges'!L740*(1+'Public Lighting Charges'!$M$12)+(('Public Lighting Charges'!L740*'Public Lighting Charges'!$M$10)*'Public Lighting Charges'!$M$14)</f>
        <v>75.203312207883926</v>
      </c>
      <c r="D286" s="365">
        <f t="shared" si="4"/>
        <v>75.203312207883926</v>
      </c>
      <c r="E286" s="365">
        <f>'Public Lighting Charges'!O740</f>
        <v>65.055555753443116</v>
      </c>
      <c r="F286" s="365">
        <f>'Public Lighting Charges'!Q740</f>
        <v>68.239300637890196</v>
      </c>
      <c r="G286" s="365">
        <f>'Public Lighting Charges'!T740</f>
        <v>71.04196958370774</v>
      </c>
      <c r="H286" s="365">
        <f>'Public Lighting Charges'!W740</f>
        <v>73.628089587323046</v>
      </c>
      <c r="I286" s="365">
        <f>'Public Lighting Charges'!Z740</f>
        <v>75.754881812153471</v>
      </c>
    </row>
    <row r="287" spans="1:9" x14ac:dyDescent="0.2">
      <c r="A287" t="str">
        <f>'Public Lighting Charges'!A741</f>
        <v>LPS0080-ST-0070-001-B</v>
      </c>
      <c r="B287" s="365">
        <f>'Public Lighting Charges'!J741</f>
        <v>35.784047435083579</v>
      </c>
      <c r="C287" s="365">
        <f>'Public Lighting Charges'!L741*(1+'Public Lighting Charges'!$M$12)+(('Public Lighting Charges'!L741*'Public Lighting Charges'!$M$10)*'Public Lighting Charges'!$M$14)</f>
        <v>64.830677608557153</v>
      </c>
      <c r="D287" s="365">
        <f t="shared" si="4"/>
        <v>100.61472504364073</v>
      </c>
      <c r="E287" s="365">
        <f>'Public Lighting Charges'!O741</f>
        <v>104.03511346754563</v>
      </c>
      <c r="F287" s="365">
        <f>'Public Lighting Charges'!Q741</f>
        <v>105.8413390200166</v>
      </c>
      <c r="G287" s="365">
        <f>'Public Lighting Charges'!T741</f>
        <v>109.41040787960351</v>
      </c>
      <c r="H287" s="365">
        <f>'Public Lighting Charges'!W741</f>
        <v>112.82406171650136</v>
      </c>
      <c r="I287" s="365">
        <f>'Public Lighting Charges'!Z741</f>
        <v>115.87604833464617</v>
      </c>
    </row>
    <row r="288" spans="1:9" x14ac:dyDescent="0.2">
      <c r="A288" t="str">
        <f>'Public Lighting Charges'!A742</f>
        <v>LPS0080-ST-0230-001-B</v>
      </c>
      <c r="B288" s="365">
        <f>'Public Lighting Charges'!J742</f>
        <v>66.039248498405314</v>
      </c>
      <c r="C288" s="365">
        <f>'Public Lighting Charges'!L742*(1+'Public Lighting Charges'!$M$12)+(('Public Lighting Charges'!L742*'Public Lighting Charges'!$M$10)*'Public Lighting Charges'!$M$14)</f>
        <v>76.005082407883918</v>
      </c>
      <c r="D288" s="365">
        <f t="shared" si="4"/>
        <v>142.04433090628925</v>
      </c>
      <c r="E288" s="365">
        <f>'Public Lighting Charges'!O742</f>
        <v>155.50006755014076</v>
      </c>
      <c r="F288" s="365">
        <f>'Public Lighting Charges'!Q742</f>
        <v>157.0473675251902</v>
      </c>
      <c r="G288" s="365">
        <f>'Public Lighting Charges'!T742</f>
        <v>162.06176775900414</v>
      </c>
      <c r="H288" s="365">
        <f>'Public Lighting Charges'!W742</f>
        <v>166.9108342885246</v>
      </c>
      <c r="I288" s="365">
        <f>'Public Lighting Charges'!Z742</f>
        <v>171.35012865802082</v>
      </c>
    </row>
    <row r="289" spans="1:9" x14ac:dyDescent="0.2">
      <c r="A289" t="str">
        <f>'Public Lighting Charges'!A743</f>
        <v>LPS0080-ST-0240-001-B</v>
      </c>
      <c r="B289" s="365">
        <f>'Public Lighting Charges'!J743</f>
        <v>69.685165796959865</v>
      </c>
      <c r="C289" s="365">
        <f>'Public Lighting Charges'!L743*(1+'Public Lighting Charges'!$M$12)+(('Public Lighting Charges'!L743*'Public Lighting Charges'!$M$10)*'Public Lighting Charges'!$M$14)</f>
        <v>76.005082407883918</v>
      </c>
      <c r="D289" s="365">
        <f t="shared" si="4"/>
        <v>145.69024820484378</v>
      </c>
      <c r="E289" s="365">
        <f>'Public Lighting Charges'!O743</f>
        <v>160.44907715518175</v>
      </c>
      <c r="F289" s="365">
        <f>'Public Lighting Charges'!Q743</f>
        <v>161.90386462335647</v>
      </c>
      <c r="G289" s="365">
        <f>'Public Lighting Charges'!T743</f>
        <v>167.03846316035003</v>
      </c>
      <c r="H289" s="365">
        <f>'Public Lighting Charges'!W743</f>
        <v>172.0107029010538</v>
      </c>
      <c r="I289" s="365">
        <f>'Public Lighting Charges'!Z743</f>
        <v>176.57621901871013</v>
      </c>
    </row>
    <row r="290" spans="1:9" x14ac:dyDescent="0.2">
      <c r="A290" t="str">
        <f>'Public Lighting Charges'!A744</f>
        <v>LPS0090-ST-0070-002-B</v>
      </c>
      <c r="B290" s="365">
        <f>'Public Lighting Charges'!J744</f>
        <v>0</v>
      </c>
      <c r="C290" s="365">
        <f>'Public Lighting Charges'!L744*(1+'Public Lighting Charges'!$M$12)+(('Public Lighting Charges'!L744*'Public Lighting Charges'!$M$10)*'Public Lighting Charges'!$M$14)</f>
        <v>64.830677608557153</v>
      </c>
      <c r="D290" s="365">
        <f t="shared" si="4"/>
        <v>64.830677608557153</v>
      </c>
      <c r="E290" s="365">
        <f>'Public Lighting Charges'!O744</f>
        <v>55.461440517343959</v>
      </c>
      <c r="F290" s="365">
        <f>'Public Lighting Charges'!Q744</f>
        <v>58.175660317423272</v>
      </c>
      <c r="G290" s="365">
        <f>'Public Lighting Charges'!T744</f>
        <v>60.56500362912098</v>
      </c>
      <c r="H290" s="365">
        <f>'Public Lighting Charges'!W744</f>
        <v>62.769733710819388</v>
      </c>
      <c r="I290" s="365">
        <f>'Public Lighting Charges'!Z744</f>
        <v>64.582875710823572</v>
      </c>
    </row>
    <row r="291" spans="1:9" x14ac:dyDescent="0.2">
      <c r="A291" t="str">
        <f>'Public Lighting Charges'!A745</f>
        <v>MHR0010-ST-0040-002-B</v>
      </c>
      <c r="B291" s="365">
        <f>'Public Lighting Charges'!J745</f>
        <v>0</v>
      </c>
      <c r="C291" s="365">
        <f>'Public Lighting Charges'!L745*(1+'Public Lighting Charges'!$M$12)+(('Public Lighting Charges'!L745*'Public Lighting Charges'!$M$10)*'Public Lighting Charges'!$M$14)</f>
        <v>67.902412940913877</v>
      </c>
      <c r="D291" s="365">
        <f t="shared" si="4"/>
        <v>67.902412940913877</v>
      </c>
      <c r="E291" s="365">
        <f>'Public Lighting Charges'!O745</f>
        <v>55.968177805366196</v>
      </c>
      <c r="F291" s="365">
        <f>'Public Lighting Charges'!Q745</f>
        <v>58.707196751803032</v>
      </c>
      <c r="G291" s="365">
        <f>'Public Lighting Charges'!T745</f>
        <v>61.118370894770713</v>
      </c>
      <c r="H291" s="365">
        <f>'Public Lighting Charges'!W745</f>
        <v>63.343245042905181</v>
      </c>
      <c r="I291" s="365">
        <f>'Public Lighting Charges'!Z745</f>
        <v>65.172953267142105</v>
      </c>
    </row>
    <row r="292" spans="1:9" x14ac:dyDescent="0.2">
      <c r="A292" t="str">
        <f>'Public Lighting Charges'!A746</f>
        <v>MHR0010-ST-0360-002-B</v>
      </c>
      <c r="B292" s="365">
        <f>'Public Lighting Charges'!J746</f>
        <v>0</v>
      </c>
      <c r="C292" s="365">
        <f>'Public Lighting Charges'!L746*(1+'Public Lighting Charges'!$M$12)+(('Public Lighting Charges'!L746*'Public Lighting Charges'!$M$10)*'Public Lighting Charges'!$M$14)</f>
        <v>78.275047540240649</v>
      </c>
      <c r="D292" s="365">
        <f t="shared" si="4"/>
        <v>78.275047540240649</v>
      </c>
      <c r="E292" s="365">
        <f>'Public Lighting Charges'!O746</f>
        <v>65.562293041465367</v>
      </c>
      <c r="F292" s="365">
        <f>'Public Lighting Charges'!Q746</f>
        <v>68.770837072269941</v>
      </c>
      <c r="G292" s="365">
        <f>'Public Lighting Charges'!T746</f>
        <v>71.595336849357466</v>
      </c>
      <c r="H292" s="365">
        <f>'Public Lighting Charges'!W746</f>
        <v>74.201600919408833</v>
      </c>
      <c r="I292" s="365">
        <f>'Public Lighting Charges'!Z746</f>
        <v>76.34495936847199</v>
      </c>
    </row>
    <row r="293" spans="1:9" x14ac:dyDescent="0.2">
      <c r="A293" t="str">
        <f>'Public Lighting Charges'!A747</f>
        <v>MHR0030-ST-0050-002-B</v>
      </c>
      <c r="B293" s="365">
        <f>'Public Lighting Charges'!J747</f>
        <v>0</v>
      </c>
      <c r="C293" s="365">
        <f>'Public Lighting Charges'!L747*(1+'Public Lighting Charges'!$M$12)+(('Public Lighting Charges'!L747*'Public Lighting Charges'!$M$10)*'Public Lighting Charges'!$M$14)</f>
        <v>73.921186830931646</v>
      </c>
      <c r="D293" s="365">
        <f t="shared" si="4"/>
        <v>73.921186830931646</v>
      </c>
      <c r="E293" s="365">
        <f>'Public Lighting Charges'!O747</f>
        <v>59.725499674915305</v>
      </c>
      <c r="F293" s="365">
        <f>'Public Lighting Charges'!Q747</f>
        <v>62.648397678918485</v>
      </c>
      <c r="G293" s="365">
        <f>'Public Lighting Charges'!T747</f>
        <v>65.221441614577458</v>
      </c>
      <c r="H293" s="365">
        <f>'Public Lighting Charges'!W747</f>
        <v>67.595678643934377</v>
      </c>
      <c r="I293" s="365">
        <f>'Public Lighting Charges'!Z747</f>
        <v>69.548221003485253</v>
      </c>
    </row>
    <row r="294" spans="1:9" x14ac:dyDescent="0.2">
      <c r="A294" t="str">
        <f>'Public Lighting Charges'!A748</f>
        <v>MHR0030-ST-0310-002-B</v>
      </c>
      <c r="B294" s="365">
        <f>'Public Lighting Charges'!J748</f>
        <v>0</v>
      </c>
      <c r="C294" s="365">
        <f>'Public Lighting Charges'!L748*(1+'Public Lighting Charges'!$M$12)+(('Public Lighting Charges'!L748*'Public Lighting Charges'!$M$10)*'Public Lighting Charges'!$M$14)</f>
        <v>84.293821430258419</v>
      </c>
      <c r="D294" s="365">
        <f t="shared" si="4"/>
        <v>84.293821430258419</v>
      </c>
      <c r="E294" s="365">
        <f>'Public Lighting Charges'!O748</f>
        <v>69.319614911014469</v>
      </c>
      <c r="F294" s="365">
        <f>'Public Lighting Charges'!Q748</f>
        <v>72.712037999385402</v>
      </c>
      <c r="G294" s="365">
        <f>'Public Lighting Charges'!T748</f>
        <v>75.698407569164203</v>
      </c>
      <c r="H294" s="365">
        <f>'Public Lighting Charges'!W748</f>
        <v>78.454034520438043</v>
      </c>
      <c r="I294" s="365">
        <f>'Public Lighting Charges'!Z748</f>
        <v>80.720227104815152</v>
      </c>
    </row>
    <row r="295" spans="1:9" x14ac:dyDescent="0.2">
      <c r="A295" t="str">
        <f>'Public Lighting Charges'!A749</f>
        <v>MHR0060-ST-0060-002-B</v>
      </c>
      <c r="B295" s="365">
        <f>'Public Lighting Charges'!J749</f>
        <v>0</v>
      </c>
      <c r="C295" s="365">
        <f>'Public Lighting Charges'!L749*(1+'Public Lighting Charges'!$M$12)+(('Public Lighting Charges'!L749*'Public Lighting Charges'!$M$10)*'Public Lighting Charges'!$M$14)</f>
        <v>73.921186830931646</v>
      </c>
      <c r="D295" s="365">
        <f t="shared" si="4"/>
        <v>73.921186830931646</v>
      </c>
      <c r="E295" s="365">
        <f>'Public Lighting Charges'!O749</f>
        <v>59.725499674915305</v>
      </c>
      <c r="F295" s="365">
        <f>'Public Lighting Charges'!Q749</f>
        <v>62.648397678918485</v>
      </c>
      <c r="G295" s="365">
        <f>'Public Lighting Charges'!T749</f>
        <v>65.221441614577458</v>
      </c>
      <c r="H295" s="365">
        <f>'Public Lighting Charges'!W749</f>
        <v>67.595678643934377</v>
      </c>
      <c r="I295" s="365">
        <f>'Public Lighting Charges'!Z749</f>
        <v>69.548221003485253</v>
      </c>
    </row>
    <row r="296" spans="1:9" x14ac:dyDescent="0.2">
      <c r="A296" t="str">
        <f>'Public Lighting Charges'!A750</f>
        <v>MHR0060-ST-0320-001-B</v>
      </c>
      <c r="B296" s="365">
        <f>'Public Lighting Charges'!J750</f>
        <v>92.322513672035399</v>
      </c>
      <c r="C296" s="365">
        <f>'Public Lighting Charges'!L750*(1+'Public Lighting Charges'!$M$12)+(('Public Lighting Charges'!L750*'Public Lighting Charges'!$M$10)*'Public Lighting Charges'!$M$14)</f>
        <v>84.293821430258419</v>
      </c>
      <c r="D296" s="365">
        <f t="shared" si="4"/>
        <v>176.61633510229382</v>
      </c>
      <c r="E296" s="365">
        <f>'Public Lighting Charges'!O750</f>
        <v>194.63924492719059</v>
      </c>
      <c r="F296" s="365">
        <f>'Public Lighting Charges'!Q750</f>
        <v>195.68905119752205</v>
      </c>
      <c r="G296" s="365">
        <f>'Public Lighting Charges'!T750</f>
        <v>201.71910184395475</v>
      </c>
      <c r="H296" s="365">
        <f>'Public Lighting Charges'!W750</f>
        <v>207.59374097852964</v>
      </c>
      <c r="I296" s="365">
        <f>'Public Lighting Charges'!Z750</f>
        <v>213.05614129774446</v>
      </c>
    </row>
    <row r="297" spans="1:9" x14ac:dyDescent="0.2">
      <c r="A297" t="str">
        <f>'Public Lighting Charges'!A751</f>
        <v>MHR0060-ST-0320-002-B</v>
      </c>
      <c r="B297" s="365">
        <f>'Public Lighting Charges'!J751</f>
        <v>0</v>
      </c>
      <c r="C297" s="365">
        <f>'Public Lighting Charges'!L751*(1+'Public Lighting Charges'!$M$12)+(('Public Lighting Charges'!L751*'Public Lighting Charges'!$M$10)*'Public Lighting Charges'!$M$14)</f>
        <v>84.293821430258419</v>
      </c>
      <c r="D297" s="365">
        <f t="shared" si="4"/>
        <v>84.293821430258419</v>
      </c>
      <c r="E297" s="365">
        <f>'Public Lighting Charges'!O751</f>
        <v>69.319614911014469</v>
      </c>
      <c r="F297" s="365">
        <f>'Public Lighting Charges'!Q751</f>
        <v>72.712037999385402</v>
      </c>
      <c r="G297" s="365">
        <f>'Public Lighting Charges'!T751</f>
        <v>75.698407569164203</v>
      </c>
      <c r="H297" s="365">
        <f>'Public Lighting Charges'!W751</f>
        <v>78.454034520438043</v>
      </c>
      <c r="I297" s="365">
        <f>'Public Lighting Charges'!Z751</f>
        <v>80.720227104815152</v>
      </c>
    </row>
    <row r="298" spans="1:9" x14ac:dyDescent="0.2">
      <c r="A298" t="str">
        <f>'Public Lighting Charges'!A752</f>
        <v>MHR0060-ST-0390-002-B</v>
      </c>
      <c r="B298" s="365">
        <f>'Public Lighting Charges'!J752</f>
        <v>0</v>
      </c>
      <c r="C298" s="365">
        <f>'Public Lighting Charges'!L752*(1+'Public Lighting Charges'!$M$12)+(('Public Lighting Charges'!L752*'Public Lighting Charges'!$M$10)*'Public Lighting Charges'!$M$14)</f>
        <v>84.293821430258419</v>
      </c>
      <c r="D298" s="365">
        <f t="shared" si="4"/>
        <v>84.293821430258419</v>
      </c>
      <c r="E298" s="365">
        <f>'Public Lighting Charges'!O752</f>
        <v>69.319614911014469</v>
      </c>
      <c r="F298" s="365">
        <f>'Public Lighting Charges'!Q752</f>
        <v>72.712037999385402</v>
      </c>
      <c r="G298" s="365">
        <f>'Public Lighting Charges'!T752</f>
        <v>75.698407569164203</v>
      </c>
      <c r="H298" s="365">
        <f>'Public Lighting Charges'!W752</f>
        <v>78.454034520438043</v>
      </c>
      <c r="I298" s="365">
        <f>'Public Lighting Charges'!Z752</f>
        <v>80.720227104815152</v>
      </c>
    </row>
    <row r="299" spans="1:9" x14ac:dyDescent="0.2">
      <c r="A299" t="str">
        <f>'Public Lighting Charges'!A753</f>
        <v>MHR0060-ST-0430-002-B</v>
      </c>
      <c r="B299" s="365">
        <f>'Public Lighting Charges'!J753</f>
        <v>0</v>
      </c>
      <c r="C299" s="365">
        <f>'Public Lighting Charges'!L753*(1+'Public Lighting Charges'!$M$12)+(('Public Lighting Charges'!L753*'Public Lighting Charges'!$M$10)*'Public Lighting Charges'!$M$14)</f>
        <v>84.293821430258419</v>
      </c>
      <c r="D299" s="365">
        <f t="shared" si="4"/>
        <v>84.293821430258419</v>
      </c>
      <c r="E299" s="365">
        <f>'Public Lighting Charges'!O753</f>
        <v>69.319614911014469</v>
      </c>
      <c r="F299" s="365">
        <f>'Public Lighting Charges'!Q753</f>
        <v>72.712037999385402</v>
      </c>
      <c r="G299" s="365">
        <f>'Public Lighting Charges'!T753</f>
        <v>75.698407569164203</v>
      </c>
      <c r="H299" s="365">
        <f>'Public Lighting Charges'!W753</f>
        <v>78.454034520438043</v>
      </c>
      <c r="I299" s="365">
        <f>'Public Lighting Charges'!Z753</f>
        <v>80.720227104815152</v>
      </c>
    </row>
    <row r="300" spans="1:9" x14ac:dyDescent="0.2">
      <c r="A300" t="str">
        <f>'Public Lighting Charges'!A754</f>
        <v>MHR0060-ST-0610-001-B</v>
      </c>
      <c r="B300" s="365">
        <f>'Public Lighting Charges'!J754</f>
        <v>37.215587737644988</v>
      </c>
      <c r="C300" s="365">
        <f>'Public Lighting Charges'!L754*(1+'Public Lighting Charges'!$M$12)+(('Public Lighting Charges'!L754*'Public Lighting Charges'!$M$10)*'Public Lighting Charges'!$M$14)</f>
        <v>73.921186830931646</v>
      </c>
      <c r="D300" s="365">
        <f t="shared" si="4"/>
        <v>111.13677456857664</v>
      </c>
      <c r="E300" s="365">
        <f>'Public Lighting Charges'!O754</f>
        <v>110.24236171231554</v>
      </c>
      <c r="F300" s="365">
        <f>'Public Lighting Charges'!Q754</f>
        <v>112.22094117190457</v>
      </c>
      <c r="G300" s="365">
        <f>'Public Lighting Charges'!T754</f>
        <v>116.02090555901496</v>
      </c>
      <c r="H300" s="365">
        <f>'Public Lighting Charges'!W754</f>
        <v>119.65242932099672</v>
      </c>
      <c r="I300" s="365">
        <f>'Public Lighting Charges'!Z754</f>
        <v>122.89337625980487</v>
      </c>
    </row>
    <row r="301" spans="1:9" x14ac:dyDescent="0.2">
      <c r="A301" t="str">
        <f>'Public Lighting Charges'!A755</f>
        <v>MHR0060-ST-0610-002-B</v>
      </c>
      <c r="B301" s="365">
        <f>'Public Lighting Charges'!J755</f>
        <v>0</v>
      </c>
      <c r="C301" s="365">
        <f>'Public Lighting Charges'!L755*(1+'Public Lighting Charges'!$M$12)+(('Public Lighting Charges'!L755*'Public Lighting Charges'!$M$10)*'Public Lighting Charges'!$M$14)</f>
        <v>73.921186830931646</v>
      </c>
      <c r="D301" s="365">
        <f t="shared" si="4"/>
        <v>73.921186830931646</v>
      </c>
      <c r="E301" s="365">
        <f>'Public Lighting Charges'!O755</f>
        <v>59.725499674915305</v>
      </c>
      <c r="F301" s="365">
        <f>'Public Lighting Charges'!Q755</f>
        <v>62.648397678918485</v>
      </c>
      <c r="G301" s="365">
        <f>'Public Lighting Charges'!T755</f>
        <v>65.221441614577458</v>
      </c>
      <c r="H301" s="365">
        <f>'Public Lighting Charges'!W755</f>
        <v>67.595678643934377</v>
      </c>
      <c r="I301" s="365">
        <f>'Public Lighting Charges'!Z755</f>
        <v>69.548221003485253</v>
      </c>
    </row>
    <row r="302" spans="1:9" x14ac:dyDescent="0.2">
      <c r="A302" t="str">
        <f>'Public Lighting Charges'!A756</f>
        <v>MHR0060-ST-0960-002-B</v>
      </c>
      <c r="B302" s="365">
        <f>'Public Lighting Charges'!J756</f>
        <v>0</v>
      </c>
      <c r="C302" s="365">
        <f>'Public Lighting Charges'!L756*(1+'Public Lighting Charges'!$M$12)+(('Public Lighting Charges'!L756*'Public Lighting Charges'!$M$10)*'Public Lighting Charges'!$M$14)</f>
        <v>73.921186830931646</v>
      </c>
      <c r="D302" s="365">
        <f t="shared" si="4"/>
        <v>73.921186830931646</v>
      </c>
      <c r="E302" s="365">
        <f>'Public Lighting Charges'!O756</f>
        <v>59.725499674915305</v>
      </c>
      <c r="F302" s="365">
        <f>'Public Lighting Charges'!Q756</f>
        <v>62.648397678918485</v>
      </c>
      <c r="G302" s="365">
        <f>'Public Lighting Charges'!T756</f>
        <v>65.221441614577458</v>
      </c>
      <c r="H302" s="365">
        <f>'Public Lighting Charges'!W756</f>
        <v>67.595678643934377</v>
      </c>
      <c r="I302" s="365">
        <f>'Public Lighting Charges'!Z756</f>
        <v>69.548221003485253</v>
      </c>
    </row>
    <row r="303" spans="1:9" x14ac:dyDescent="0.2">
      <c r="A303" t="str">
        <f>'Public Lighting Charges'!A757</f>
        <v>MHR0060-ST-1120-002-B</v>
      </c>
      <c r="B303" s="365">
        <f>'Public Lighting Charges'!J757</f>
        <v>0</v>
      </c>
      <c r="C303" s="365">
        <f>'Public Lighting Charges'!L757*(1+'Public Lighting Charges'!$M$12)+(('Public Lighting Charges'!L757*'Public Lighting Charges'!$M$10)*'Public Lighting Charges'!$M$14)</f>
        <v>84.293821430258419</v>
      </c>
      <c r="D303" s="365">
        <f t="shared" si="4"/>
        <v>84.293821430258419</v>
      </c>
      <c r="E303" s="365">
        <f>'Public Lighting Charges'!O757</f>
        <v>69.319614911014469</v>
      </c>
      <c r="F303" s="365">
        <f>'Public Lighting Charges'!Q757</f>
        <v>72.712037999385402</v>
      </c>
      <c r="G303" s="365">
        <f>'Public Lighting Charges'!T757</f>
        <v>75.698407569164203</v>
      </c>
      <c r="H303" s="365">
        <f>'Public Lighting Charges'!W757</f>
        <v>78.454034520438043</v>
      </c>
      <c r="I303" s="365">
        <f>'Public Lighting Charges'!Z757</f>
        <v>80.720227104815152</v>
      </c>
    </row>
    <row r="304" spans="1:9" x14ac:dyDescent="0.2">
      <c r="A304" t="str">
        <f>'Public Lighting Charges'!A758</f>
        <v>MHR0060-ST-1270-002-B</v>
      </c>
      <c r="B304" s="365">
        <f>'Public Lighting Charges'!J758</f>
        <v>0</v>
      </c>
      <c r="C304" s="365">
        <f>'Public Lighting Charges'!L758*(1+'Public Lighting Charges'!$M$12)+(('Public Lighting Charges'!L758*'Public Lighting Charges'!$M$10)*'Public Lighting Charges'!$M$14)</f>
        <v>84.293821430258419</v>
      </c>
      <c r="D304" s="365">
        <f t="shared" si="4"/>
        <v>84.293821430258419</v>
      </c>
      <c r="E304" s="365">
        <f>'Public Lighting Charges'!O758</f>
        <v>69.319614911014469</v>
      </c>
      <c r="F304" s="365">
        <f>'Public Lighting Charges'!Q758</f>
        <v>72.712037999385402</v>
      </c>
      <c r="G304" s="365">
        <f>'Public Lighting Charges'!T758</f>
        <v>75.698407569164203</v>
      </c>
      <c r="H304" s="365">
        <f>'Public Lighting Charges'!W758</f>
        <v>78.454034520438043</v>
      </c>
      <c r="I304" s="365">
        <f>'Public Lighting Charges'!Z758</f>
        <v>80.720227104815152</v>
      </c>
    </row>
    <row r="305" spans="1:9" x14ac:dyDescent="0.2">
      <c r="A305" t="str">
        <f>'Public Lighting Charges'!A759</f>
        <v>MHR0060-ST-1280-002-B</v>
      </c>
      <c r="B305" s="365">
        <f>'Public Lighting Charges'!J759</f>
        <v>0</v>
      </c>
      <c r="C305" s="365">
        <f>'Public Lighting Charges'!L759*(1+'Public Lighting Charges'!$M$12)+(('Public Lighting Charges'!L759*'Public Lighting Charges'!$M$10)*'Public Lighting Charges'!$M$14)</f>
        <v>84.293821430258419</v>
      </c>
      <c r="D305" s="365">
        <f t="shared" si="4"/>
        <v>84.293821430258419</v>
      </c>
      <c r="E305" s="365">
        <f>'Public Lighting Charges'!O759</f>
        <v>69.319614911014469</v>
      </c>
      <c r="F305" s="365">
        <f>'Public Lighting Charges'!Q759</f>
        <v>72.712037999385402</v>
      </c>
      <c r="G305" s="365">
        <f>'Public Lighting Charges'!T759</f>
        <v>75.698407569164203</v>
      </c>
      <c r="H305" s="365">
        <f>'Public Lighting Charges'!W759</f>
        <v>78.454034520438043</v>
      </c>
      <c r="I305" s="365">
        <f>'Public Lighting Charges'!Z759</f>
        <v>80.720227104815152</v>
      </c>
    </row>
    <row r="306" spans="1:9" x14ac:dyDescent="0.2">
      <c r="A306" t="str">
        <f>'Public Lighting Charges'!A760</f>
        <v>MHR0060-ST-1290-002-B</v>
      </c>
      <c r="B306" s="365">
        <f>'Public Lighting Charges'!J760</f>
        <v>0</v>
      </c>
      <c r="C306" s="365">
        <f>'Public Lighting Charges'!L760*(1+'Public Lighting Charges'!$M$12)+(('Public Lighting Charges'!L760*'Public Lighting Charges'!$M$10)*'Public Lighting Charges'!$M$14)</f>
        <v>84.293821430258419</v>
      </c>
      <c r="D306" s="365">
        <f t="shared" si="4"/>
        <v>84.293821430258419</v>
      </c>
      <c r="E306" s="365">
        <f>'Public Lighting Charges'!O760</f>
        <v>69.319614911014469</v>
      </c>
      <c r="F306" s="365">
        <f>'Public Lighting Charges'!Q760</f>
        <v>72.712037999385402</v>
      </c>
      <c r="G306" s="365">
        <f>'Public Lighting Charges'!T760</f>
        <v>75.698407569164203</v>
      </c>
      <c r="H306" s="365">
        <f>'Public Lighting Charges'!W760</f>
        <v>78.454034520438043</v>
      </c>
      <c r="I306" s="365">
        <f>'Public Lighting Charges'!Z760</f>
        <v>80.720227104815152</v>
      </c>
    </row>
    <row r="307" spans="1:9" x14ac:dyDescent="0.2">
      <c r="A307" t="str">
        <f>'Public Lighting Charges'!A761</f>
        <v>MHR0070-ST-0070-001-B</v>
      </c>
      <c r="B307" s="365">
        <f>'Public Lighting Charges'!J761</f>
        <v>35.784047435083579</v>
      </c>
      <c r="C307" s="365">
        <f>'Public Lighting Charges'!L761*(1+'Public Lighting Charges'!$M$12)+(('Public Lighting Charges'!L761*'Public Lighting Charges'!$M$10)*'Public Lighting Charges'!$M$14)</f>
        <v>77.692487445016468</v>
      </c>
      <c r="D307" s="365">
        <f t="shared" si="4"/>
        <v>113.47653488010005</v>
      </c>
      <c r="E307" s="365">
        <f>'Public Lighting Charges'!O761</f>
        <v>111.95998040141451</v>
      </c>
      <c r="F307" s="365">
        <f>'Public Lighting Charges'!Q761</f>
        <v>114.1540399254567</v>
      </c>
      <c r="G307" s="365">
        <f>'Public Lighting Charges'!T761</f>
        <v>118.06452126239553</v>
      </c>
      <c r="H307" s="365">
        <f>'Public Lighting Charges'!W761</f>
        <v>121.79320825313104</v>
      </c>
      <c r="I307" s="365">
        <f>'Public Lighting Charges'!Z761</f>
        <v>125.10427413333989</v>
      </c>
    </row>
    <row r="308" spans="1:9" x14ac:dyDescent="0.2">
      <c r="A308" t="str">
        <f>'Public Lighting Charges'!A762</f>
        <v>MHR0070-ST-0070-002-B</v>
      </c>
      <c r="B308" s="365">
        <f>'Public Lighting Charges'!J762</f>
        <v>0</v>
      </c>
      <c r="C308" s="365">
        <f>'Public Lighting Charges'!L762*(1+'Public Lighting Charges'!$M$12)+(('Public Lighting Charges'!L762*'Public Lighting Charges'!$M$10)*'Public Lighting Charges'!$M$14)</f>
        <v>77.692487445016468</v>
      </c>
      <c r="D308" s="365">
        <f t="shared" si="4"/>
        <v>77.692487445016468</v>
      </c>
      <c r="E308" s="365">
        <f>'Public Lighting Charges'!O762</f>
        <v>63.386307451212851</v>
      </c>
      <c r="F308" s="365">
        <f>'Public Lighting Charges'!Q762</f>
        <v>66.488361222863347</v>
      </c>
      <c r="G308" s="365">
        <f>'Public Lighting Charges'!T762</f>
        <v>69.219117011912999</v>
      </c>
      <c r="H308" s="365">
        <f>'Public Lighting Charges'!W762</f>
        <v>71.73888024744906</v>
      </c>
      <c r="I308" s="365">
        <f>'Public Lighting Charges'!Z762</f>
        <v>73.811101509517286</v>
      </c>
    </row>
    <row r="309" spans="1:9" x14ac:dyDescent="0.2">
      <c r="A309" t="str">
        <f>'Public Lighting Charges'!A763</f>
        <v>MHR0070-ST-0620-001-B</v>
      </c>
      <c r="B309" s="365">
        <f>'Public Lighting Charges'!J763</f>
        <v>34.455205908772193</v>
      </c>
      <c r="C309" s="365">
        <f>'Public Lighting Charges'!L763*(1+'Public Lighting Charges'!$M$12)+(('Public Lighting Charges'!L763*'Public Lighting Charges'!$M$10)*'Public Lighting Charges'!$M$14)</f>
        <v>77.692487445016468</v>
      </c>
      <c r="D309" s="365">
        <f t="shared" si="4"/>
        <v>112.14769335378867</v>
      </c>
      <c r="E309" s="365">
        <f>'Public Lighting Charges'!O763</f>
        <v>110.15619580106177</v>
      </c>
      <c r="F309" s="365">
        <f>'Public Lighting Charges'!Q763</f>
        <v>112.38397371495525</v>
      </c>
      <c r="G309" s="365">
        <f>'Public Lighting Charges'!T763</f>
        <v>116.25064591318416</v>
      </c>
      <c r="H309" s="365">
        <f>'Public Lighting Charges'!W763</f>
        <v>119.9344394890267</v>
      </c>
      <c r="I309" s="365">
        <f>'Public Lighting Charges'!Z763</f>
        <v>123.19950084232396</v>
      </c>
    </row>
    <row r="310" spans="1:9" x14ac:dyDescent="0.2">
      <c r="A310" t="str">
        <f>'Public Lighting Charges'!A764</f>
        <v>MHR0070-ST-0640-001-B</v>
      </c>
      <c r="B310" s="365">
        <f>'Public Lighting Charges'!J764</f>
        <v>34.4552059087722</v>
      </c>
      <c r="C310" s="365">
        <f>'Public Lighting Charges'!L764*(1+'Public Lighting Charges'!$M$12)+(('Public Lighting Charges'!L764*'Public Lighting Charges'!$M$10)*'Public Lighting Charges'!$M$14)</f>
        <v>77.692487445016468</v>
      </c>
      <c r="D310" s="365">
        <f t="shared" si="4"/>
        <v>112.14769335378867</v>
      </c>
      <c r="E310" s="365">
        <f>'Public Lighting Charges'!O764</f>
        <v>110.15619580106177</v>
      </c>
      <c r="F310" s="365">
        <f>'Public Lighting Charges'!Q764</f>
        <v>112.38397371495526</v>
      </c>
      <c r="G310" s="365">
        <f>'Public Lighting Charges'!T764</f>
        <v>116.25064591318419</v>
      </c>
      <c r="H310" s="365">
        <f>'Public Lighting Charges'!W764</f>
        <v>119.93443948902672</v>
      </c>
      <c r="I310" s="365">
        <f>'Public Lighting Charges'!Z764</f>
        <v>123.19950084232397</v>
      </c>
    </row>
    <row r="311" spans="1:9" x14ac:dyDescent="0.2">
      <c r="A311" t="str">
        <f>'Public Lighting Charges'!A765</f>
        <v>MHR0070-ST-0640-002-B</v>
      </c>
      <c r="B311" s="365">
        <f>'Public Lighting Charges'!J765</f>
        <v>0</v>
      </c>
      <c r="C311" s="365">
        <f>'Public Lighting Charges'!L765*(1+'Public Lighting Charges'!$M$12)+(('Public Lighting Charges'!L765*'Public Lighting Charges'!$M$10)*'Public Lighting Charges'!$M$14)</f>
        <v>77.692487445016468</v>
      </c>
      <c r="D311" s="365">
        <f t="shared" si="4"/>
        <v>77.692487445016468</v>
      </c>
      <c r="E311" s="365">
        <f>'Public Lighting Charges'!O765</f>
        <v>63.386307451212851</v>
      </c>
      <c r="F311" s="365">
        <f>'Public Lighting Charges'!Q765</f>
        <v>66.488361222863347</v>
      </c>
      <c r="G311" s="365">
        <f>'Public Lighting Charges'!T765</f>
        <v>69.219117011912999</v>
      </c>
      <c r="H311" s="365">
        <f>'Public Lighting Charges'!W765</f>
        <v>71.73888024744906</v>
      </c>
      <c r="I311" s="365">
        <f>'Public Lighting Charges'!Z765</f>
        <v>73.811101509517286</v>
      </c>
    </row>
    <row r="312" spans="1:9" x14ac:dyDescent="0.2">
      <c r="A312" t="str">
        <f>'Public Lighting Charges'!A766</f>
        <v>MHR0070-ST-0680-002-B</v>
      </c>
      <c r="B312" s="365">
        <f>'Public Lighting Charges'!J766</f>
        <v>0</v>
      </c>
      <c r="C312" s="365">
        <f>'Public Lighting Charges'!L766*(1+'Public Lighting Charges'!$M$12)+(('Public Lighting Charges'!L766*'Public Lighting Charges'!$M$10)*'Public Lighting Charges'!$M$14)</f>
        <v>77.692487445016468</v>
      </c>
      <c r="D312" s="365">
        <f t="shared" si="4"/>
        <v>77.692487445016468</v>
      </c>
      <c r="E312" s="365">
        <f>'Public Lighting Charges'!O766</f>
        <v>63.386307451212851</v>
      </c>
      <c r="F312" s="365">
        <f>'Public Lighting Charges'!Q766</f>
        <v>66.488361222863347</v>
      </c>
      <c r="G312" s="365">
        <f>'Public Lighting Charges'!T766</f>
        <v>69.219117011912999</v>
      </c>
      <c r="H312" s="365">
        <f>'Public Lighting Charges'!W766</f>
        <v>71.73888024744906</v>
      </c>
      <c r="I312" s="365">
        <f>'Public Lighting Charges'!Z766</f>
        <v>73.811101509517286</v>
      </c>
    </row>
    <row r="313" spans="1:9" x14ac:dyDescent="0.2">
      <c r="A313" t="str">
        <f>'Public Lighting Charges'!A767</f>
        <v>MHR0070-ST-1100-001-B</v>
      </c>
      <c r="B313" s="365">
        <f>'Public Lighting Charges'!J767</f>
        <v>73.527525225964666</v>
      </c>
      <c r="C313" s="365">
        <f>'Public Lighting Charges'!L767*(1+'Public Lighting Charges'!$M$12)+(('Public Lighting Charges'!L767*'Public Lighting Charges'!$M$10)*'Public Lighting Charges'!$M$14)</f>
        <v>88.866892244343219</v>
      </c>
      <c r="D313" s="365">
        <f t="shared" si="4"/>
        <v>162.39441747030787</v>
      </c>
      <c r="E313" s="365">
        <f>'Public Lighting Charges'!O767</f>
        <v>173.58960647604542</v>
      </c>
      <c r="F313" s="365">
        <f>'Public Lighting Charges'!Q767</f>
        <v>175.33473083234628</v>
      </c>
      <c r="G313" s="365">
        <f>'Public Lighting Charges'!T767</f>
        <v>180.93741643795465</v>
      </c>
      <c r="H313" s="365">
        <f>'Public Lighting Charges'!W767</f>
        <v>186.35449911989269</v>
      </c>
      <c r="I313" s="365">
        <f>'Public Lighting Charges'!Z767</f>
        <v>191.31211707924771</v>
      </c>
    </row>
    <row r="314" spans="1:9" x14ac:dyDescent="0.2">
      <c r="A314" t="str">
        <f>'Public Lighting Charges'!A768</f>
        <v>MHR0070-ST-1100-002-B</v>
      </c>
      <c r="B314" s="365">
        <f>'Public Lighting Charges'!J768</f>
        <v>0</v>
      </c>
      <c r="C314" s="365">
        <f>'Public Lighting Charges'!L768*(1+'Public Lighting Charges'!$M$12)+(('Public Lighting Charges'!L768*'Public Lighting Charges'!$M$10)*'Public Lighting Charges'!$M$14)</f>
        <v>88.866892244343219</v>
      </c>
      <c r="D314" s="365">
        <f t="shared" si="4"/>
        <v>88.866892244343219</v>
      </c>
      <c r="E314" s="365">
        <f>'Public Lighting Charges'!O768</f>
        <v>73.782507526637019</v>
      </c>
      <c r="F314" s="365">
        <f>'Public Lighting Charges'!Q768</f>
        <v>77.393339502154731</v>
      </c>
      <c r="G314" s="365">
        <f>'Public Lighting Charges'!T768</f>
        <v>80.571975672340855</v>
      </c>
      <c r="H314" s="365">
        <f>'Public Lighting Charges'!W768</f>
        <v>83.505013695329922</v>
      </c>
      <c r="I314" s="365">
        <f>'Public Lighting Charges'!Z768</f>
        <v>85.917106890427064</v>
      </c>
    </row>
    <row r="315" spans="1:9" x14ac:dyDescent="0.2">
      <c r="A315" t="str">
        <f>'Public Lighting Charges'!A769</f>
        <v>MHR0100-ST-0120-001-B</v>
      </c>
      <c r="B315" s="365">
        <f>'Public Lighting Charges'!J769</f>
        <v>60.355285078550516</v>
      </c>
      <c r="C315" s="365">
        <f>'Public Lighting Charges'!L769*(1+'Public Lighting Charges'!$M$12)+(('Public Lighting Charges'!L769*'Public Lighting Charges'!$M$10)*'Public Lighting Charges'!$M$14)</f>
        <v>175.14573987791201</v>
      </c>
      <c r="D315" s="365">
        <f t="shared" si="4"/>
        <v>235.50102495646252</v>
      </c>
      <c r="E315" s="365">
        <f>'Public Lighting Charges'!O769</f>
        <v>238.1144334933926</v>
      </c>
      <c r="F315" s="365">
        <f>'Public Lighting Charges'!Q769</f>
        <v>244.22659964198641</v>
      </c>
      <c r="G315" s="365">
        <f>'Public Lighting Charges'!T769</f>
        <v>252.94512602744163</v>
      </c>
      <c r="H315" s="365">
        <f>'Public Lighting Charges'!W769</f>
        <v>261.19300196149629</v>
      </c>
      <c r="I315" s="365">
        <f>'Public Lighting Charges'!Z769</f>
        <v>268.38857502775068</v>
      </c>
    </row>
    <row r="316" spans="1:9" x14ac:dyDescent="0.2">
      <c r="A316" t="str">
        <f>'Public Lighting Charges'!A770</f>
        <v>MHR0100-ST-0120-002-B</v>
      </c>
      <c r="B316" s="365">
        <f>'Public Lighting Charges'!J770</f>
        <v>0</v>
      </c>
      <c r="C316" s="365">
        <f>'Public Lighting Charges'!L770*(1+'Public Lighting Charges'!$M$12)+(('Public Lighting Charges'!L770*'Public Lighting Charges'!$M$10)*'Public Lighting Charges'!$M$14)</f>
        <v>175.14573987791201</v>
      </c>
      <c r="D316" s="365">
        <f t="shared" si="4"/>
        <v>175.14573987791201</v>
      </c>
      <c r="E316" s="365">
        <f>'Public Lighting Charges'!O770</f>
        <v>156.18748312423426</v>
      </c>
      <c r="F316" s="365">
        <f>'Public Lighting Charges'!Q770</f>
        <v>163.8311208528248</v>
      </c>
      <c r="G316" s="365">
        <f>'Public Lighting Charges'!T770</f>
        <v>170.55985913824827</v>
      </c>
      <c r="H316" s="365">
        <f>'Public Lighting Charges'!W770</f>
        <v>176.76869971679537</v>
      </c>
      <c r="I316" s="365">
        <f>'Public Lighting Charges'!Z770</f>
        <v>181.87477130249346</v>
      </c>
    </row>
    <row r="317" spans="1:9" x14ac:dyDescent="0.2">
      <c r="A317" t="str">
        <f>'Public Lighting Charges'!A771</f>
        <v>MVA0010-ST-0010-001-B</v>
      </c>
      <c r="B317" s="365">
        <f>'Public Lighting Charges'!J771</f>
        <v>17.255027166785979</v>
      </c>
      <c r="C317" s="365">
        <f>'Public Lighting Charges'!L771*(1+'Public Lighting Charges'!$M$12)+(('Public Lighting Charges'!L771*'Public Lighting Charges'!$M$10)*'Public Lighting Charges'!$M$14)</f>
        <v>35.545209993703082</v>
      </c>
      <c r="D317" s="365">
        <f t="shared" si="4"/>
        <v>52.800237160489061</v>
      </c>
      <c r="E317" s="365">
        <f>'Public Lighting Charges'!O771</f>
        <v>52.989703699083528</v>
      </c>
      <c r="F317" s="365">
        <f>'Public Lighting Charges'!Q771</f>
        <v>53.998871355249875</v>
      </c>
      <c r="G317" s="365">
        <f>'Public Lighting Charges'!T771</f>
        <v>55.841537387678223</v>
      </c>
      <c r="H317" s="365">
        <f>'Public Lighting Charges'!W771</f>
        <v>57.599861989059733</v>
      </c>
      <c r="I317" s="365">
        <f>'Public Lighting Charges'!Z771</f>
        <v>59.163851449857866</v>
      </c>
    </row>
    <row r="318" spans="1:9" x14ac:dyDescent="0.2">
      <c r="A318" t="str">
        <f>'Public Lighting Charges'!A772</f>
        <v>MVA0010-ST-0010-002-B</v>
      </c>
      <c r="B318" s="365">
        <f>'Public Lighting Charges'!J772</f>
        <v>0</v>
      </c>
      <c r="C318" s="365">
        <f>'Public Lighting Charges'!L772*(1+'Public Lighting Charges'!$M$12)+(('Public Lighting Charges'!L772*'Public Lighting Charges'!$M$10)*'Public Lighting Charges'!$M$14)</f>
        <v>35.545209993703082</v>
      </c>
      <c r="D318" s="365">
        <f t="shared" si="4"/>
        <v>35.545209993703082</v>
      </c>
      <c r="E318" s="365">
        <f>'Public Lighting Charges'!O772</f>
        <v>29.567533586359676</v>
      </c>
      <c r="F318" s="365">
        <f>'Public Lighting Charges'!Q772</f>
        <v>31.014535040901965</v>
      </c>
      <c r="G318" s="365">
        <f>'Public Lighting Charges'!T772</f>
        <v>32.288338749550199</v>
      </c>
      <c r="H318" s="365">
        <f>'Public Lighting Charges'!W772</f>
        <v>33.463721684638038</v>
      </c>
      <c r="I318" s="365">
        <f>'Public Lighting Charges'!Z772</f>
        <v>34.43034167290174</v>
      </c>
    </row>
    <row r="319" spans="1:9" x14ac:dyDescent="0.2">
      <c r="A319" t="str">
        <f>'Public Lighting Charges'!A773</f>
        <v>MVA0010-ST-0810-002-B</v>
      </c>
      <c r="B319" s="365">
        <f>'Public Lighting Charges'!J773</f>
        <v>0</v>
      </c>
      <c r="C319" s="365">
        <f>'Public Lighting Charges'!L773*(1+'Public Lighting Charges'!$M$12)+(('Public Lighting Charges'!L773*'Public Lighting Charges'!$M$10)*'Public Lighting Charges'!$M$14)</f>
        <v>46.719614793029841</v>
      </c>
      <c r="D319" s="365">
        <f t="shared" si="4"/>
        <v>46.719614793029841</v>
      </c>
      <c r="E319" s="365">
        <f>'Public Lighting Charges'!O773</f>
        <v>39.963733661783849</v>
      </c>
      <c r="F319" s="365">
        <f>'Public Lighting Charges'!Q773</f>
        <v>41.919513320193339</v>
      </c>
      <c r="G319" s="365">
        <f>'Public Lighting Charges'!T773</f>
        <v>43.641197409978048</v>
      </c>
      <c r="H319" s="365">
        <f>'Public Lighting Charges'!W773</f>
        <v>45.2298551325189</v>
      </c>
      <c r="I319" s="365">
        <f>'Public Lighting Charges'!Z773</f>
        <v>46.536347053811518</v>
      </c>
    </row>
    <row r="320" spans="1:9" x14ac:dyDescent="0.2">
      <c r="A320" t="str">
        <f>'Public Lighting Charges'!A774</f>
        <v>MVA0010-ST-0990-001-B</v>
      </c>
      <c r="B320" s="365">
        <f>'Public Lighting Charges'!J774</f>
        <v>86.253661186307269</v>
      </c>
      <c r="C320" s="365">
        <f>'Public Lighting Charges'!L774*(1+'Public Lighting Charges'!$M$12)+(('Public Lighting Charges'!L774*'Public Lighting Charges'!$M$10)*'Public Lighting Charges'!$M$14)</f>
        <v>45.917844593029834</v>
      </c>
      <c r="D320" s="365">
        <f t="shared" si="4"/>
        <v>132.17150577933711</v>
      </c>
      <c r="E320" s="365">
        <f>'Public Lighting Charges'!O774</f>
        <v>156.24334945517006</v>
      </c>
      <c r="F320" s="365">
        <f>'Public Lighting Charges'!Q774</f>
        <v>155.97125190580715</v>
      </c>
      <c r="G320" s="365">
        <f>'Public Lighting Charges'!T774</f>
        <v>160.50198489305006</v>
      </c>
      <c r="H320" s="365">
        <f>'Public Lighting Charges'!W774</f>
        <v>164.97274058473039</v>
      </c>
      <c r="I320" s="365">
        <f>'Public Lighting Charges'!Z774</f>
        <v>169.23911470765412</v>
      </c>
    </row>
    <row r="321" spans="1:9" x14ac:dyDescent="0.2">
      <c r="A321" t="str">
        <f>'Public Lighting Charges'!A775</f>
        <v>MVA0010-ST-0990-002-B</v>
      </c>
      <c r="B321" s="365">
        <f>'Public Lighting Charges'!J775</f>
        <v>0</v>
      </c>
      <c r="C321" s="365">
        <f>'Public Lighting Charges'!L775*(1+'Public Lighting Charges'!$M$12)+(('Public Lighting Charges'!L775*'Public Lighting Charges'!$M$10)*'Public Lighting Charges'!$M$14)</f>
        <v>45.917844593029834</v>
      </c>
      <c r="D321" s="365">
        <f t="shared" si="4"/>
        <v>45.917844593029834</v>
      </c>
      <c r="E321" s="365">
        <f>'Public Lighting Charges'!O775</f>
        <v>39.161648822458844</v>
      </c>
      <c r="F321" s="365">
        <f>'Public Lighting Charges'!Q775</f>
        <v>41.078175361368878</v>
      </c>
      <c r="G321" s="365">
        <f>'Public Lighting Charges'!T775</f>
        <v>42.765304704136952</v>
      </c>
      <c r="H321" s="365">
        <f>'Public Lighting Charges'!W775</f>
        <v>44.32207756114169</v>
      </c>
      <c r="I321" s="365">
        <f>'Public Lighting Charges'!Z775</f>
        <v>45.602347774231617</v>
      </c>
    </row>
    <row r="322" spans="1:9" x14ac:dyDescent="0.2">
      <c r="A322" t="str">
        <f>'Public Lighting Charges'!A776</f>
        <v>MVA0020-ST-0010-001-B</v>
      </c>
      <c r="B322" s="365">
        <f>'Public Lighting Charges'!J776</f>
        <v>17.255027166785979</v>
      </c>
      <c r="C322" s="365">
        <f>'Public Lighting Charges'!L776*(1+'Public Lighting Charges'!$M$12)+(('Public Lighting Charges'!L776*'Public Lighting Charges'!$M$10)*'Public Lighting Charges'!$M$14)</f>
        <v>35.815297395348722</v>
      </c>
      <c r="D322" s="365">
        <f t="shared" si="4"/>
        <v>53.070324562134701</v>
      </c>
      <c r="E322" s="365">
        <f>'Public Lighting Charges'!O776</f>
        <v>53.266666510774591</v>
      </c>
      <c r="F322" s="365">
        <f>'Public Lighting Charges'!Q776</f>
        <v>54.289388411842722</v>
      </c>
      <c r="G322" s="365">
        <f>'Public Lighting Charges'!T776</f>
        <v>56.143986324069537</v>
      </c>
      <c r="H322" s="365">
        <f>'Public Lighting Charges'!W776</f>
        <v>57.91332088546563</v>
      </c>
      <c r="I322" s="365">
        <f>'Public Lighting Charges'!Z776</f>
        <v>59.486364797457824</v>
      </c>
    </row>
    <row r="323" spans="1:9" x14ac:dyDescent="0.2">
      <c r="A323" t="str">
        <f>'Public Lighting Charges'!A777</f>
        <v>MVA0020-ST-0010-002-B</v>
      </c>
      <c r="B323" s="365">
        <f>'Public Lighting Charges'!J777</f>
        <v>0</v>
      </c>
      <c r="C323" s="365">
        <f>'Public Lighting Charges'!L777*(1+'Public Lighting Charges'!$M$12)+(('Public Lighting Charges'!L777*'Public Lighting Charges'!$M$10)*'Public Lighting Charges'!$M$14)</f>
        <v>35.815297395348722</v>
      </c>
      <c r="D323" s="365">
        <f t="shared" si="4"/>
        <v>35.815297395348722</v>
      </c>
      <c r="E323" s="365">
        <f>'Public Lighting Charges'!O777</f>
        <v>29.84449639805074</v>
      </c>
      <c r="F323" s="365">
        <f>'Public Lighting Charges'!Q777</f>
        <v>31.305052097494812</v>
      </c>
      <c r="G323" s="365">
        <f>'Public Lighting Charges'!T777</f>
        <v>32.590787685941514</v>
      </c>
      <c r="H323" s="365">
        <f>'Public Lighting Charges'!W777</f>
        <v>33.777180581043936</v>
      </c>
      <c r="I323" s="365">
        <f>'Public Lighting Charges'!Z777</f>
        <v>34.752855020501691</v>
      </c>
    </row>
    <row r="324" spans="1:9" x14ac:dyDescent="0.2">
      <c r="A324" t="str">
        <f>'Public Lighting Charges'!A778</f>
        <v>MVA0020-ST-0110-002-B</v>
      </c>
      <c r="B324" s="365">
        <f>'Public Lighting Charges'!J778</f>
        <v>0</v>
      </c>
      <c r="C324" s="365">
        <f>'Public Lighting Charges'!L778*(1+'Public Lighting Charges'!$M$12)+(('Public Lighting Charges'!L778*'Public Lighting Charges'!$M$10)*'Public Lighting Charges'!$M$14)</f>
        <v>35.815297395348722</v>
      </c>
      <c r="D324" s="365">
        <f t="shared" ref="D324:D387" si="5">B324+C324</f>
        <v>35.815297395348722</v>
      </c>
      <c r="E324" s="365">
        <f>'Public Lighting Charges'!O778</f>
        <v>29.84449639805074</v>
      </c>
      <c r="F324" s="365">
        <f>'Public Lighting Charges'!Q778</f>
        <v>31.305052097494812</v>
      </c>
      <c r="G324" s="365">
        <f>'Public Lighting Charges'!T778</f>
        <v>32.590787685941514</v>
      </c>
      <c r="H324" s="365">
        <f>'Public Lighting Charges'!W778</f>
        <v>33.777180581043936</v>
      </c>
      <c r="I324" s="365">
        <f>'Public Lighting Charges'!Z778</f>
        <v>34.752855020501691</v>
      </c>
    </row>
    <row r="325" spans="1:9" x14ac:dyDescent="0.2">
      <c r="A325" t="str">
        <f>'Public Lighting Charges'!A779</f>
        <v>MVA0020-ST-0740-001-B</v>
      </c>
      <c r="B325" s="365">
        <f>'Public Lighting Charges'!J779</f>
        <v>23.919781035330548</v>
      </c>
      <c r="C325" s="365">
        <f>'Public Lighting Charges'!L779*(1+'Public Lighting Charges'!$M$12)+(('Public Lighting Charges'!L779*'Public Lighting Charges'!$M$10)*'Public Lighting Charges'!$M$14)</f>
        <v>35.815297395348722</v>
      </c>
      <c r="D325" s="365">
        <f t="shared" si="5"/>
        <v>59.735078430679266</v>
      </c>
      <c r="E325" s="365">
        <f>'Public Lighting Charges'!O779</f>
        <v>62.313479208291888</v>
      </c>
      <c r="F325" s="365">
        <f>'Public Lighting Charges'!Q779</f>
        <v>63.167087814243196</v>
      </c>
      <c r="G325" s="365">
        <f>'Public Lighting Charges'!T779</f>
        <v>65.241408786679429</v>
      </c>
      <c r="H325" s="365">
        <f>'Public Lighting Charges'!W779</f>
        <v>67.235904554025112</v>
      </c>
      <c r="I325" s="365">
        <f>'Public Lighting Charges'!Z779</f>
        <v>69.039682411814141</v>
      </c>
    </row>
    <row r="326" spans="1:9" x14ac:dyDescent="0.2">
      <c r="A326" t="str">
        <f>'Public Lighting Charges'!A780</f>
        <v>MVA0020-ST-0740-002-B</v>
      </c>
      <c r="B326" s="365">
        <f>'Public Lighting Charges'!J780</f>
        <v>0</v>
      </c>
      <c r="C326" s="365">
        <f>'Public Lighting Charges'!L780*(1+'Public Lighting Charges'!$M$12)+(('Public Lighting Charges'!L780*'Public Lighting Charges'!$M$10)*'Public Lighting Charges'!$M$14)</f>
        <v>35.815297395348722</v>
      </c>
      <c r="D326" s="365">
        <f t="shared" si="5"/>
        <v>35.815297395348722</v>
      </c>
      <c r="E326" s="365">
        <f>'Public Lighting Charges'!O780</f>
        <v>29.84449639805074</v>
      </c>
      <c r="F326" s="365">
        <f>'Public Lighting Charges'!Q780</f>
        <v>31.305052097494812</v>
      </c>
      <c r="G326" s="365">
        <f>'Public Lighting Charges'!T780</f>
        <v>32.590787685941514</v>
      </c>
      <c r="H326" s="365">
        <f>'Public Lighting Charges'!W780</f>
        <v>33.777180581043936</v>
      </c>
      <c r="I326" s="365">
        <f>'Public Lighting Charges'!Z780</f>
        <v>34.752855020501691</v>
      </c>
    </row>
    <row r="327" spans="1:9" x14ac:dyDescent="0.2">
      <c r="A327" t="str">
        <f>'Public Lighting Charges'!A781</f>
        <v>MVA0020-ST-0810-001-B</v>
      </c>
      <c r="B327" s="365">
        <f>'Public Lighting Charges'!J781</f>
        <v>51.156145528662286</v>
      </c>
      <c r="C327" s="365">
        <f>'Public Lighting Charges'!L781*(1+'Public Lighting Charges'!$M$12)+(('Public Lighting Charges'!L781*'Public Lighting Charges'!$M$10)*'Public Lighting Charges'!$M$14)</f>
        <v>46.98970219467548</v>
      </c>
      <c r="D327" s="365">
        <f t="shared" si="5"/>
        <v>98.145847723337766</v>
      </c>
      <c r="E327" s="365">
        <f>'Public Lighting Charges'!O781</f>
        <v>109.68063019841073</v>
      </c>
      <c r="F327" s="365">
        <f>'Public Lighting Charges'!Q781</f>
        <v>110.35191401518262</v>
      </c>
      <c r="G327" s="365">
        <f>'Public Lighting Charges'!T781</f>
        <v>113.77204160481611</v>
      </c>
      <c r="H327" s="365">
        <f>'Public Lighting Charges'!W781</f>
        <v>117.09996207001808</v>
      </c>
      <c r="I327" s="365">
        <f>'Public Lighting Charges'!Z781</f>
        <v>120.1865354815218</v>
      </c>
    </row>
    <row r="328" spans="1:9" x14ac:dyDescent="0.2">
      <c r="A328" t="str">
        <f>'Public Lighting Charges'!A782</f>
        <v>MVA0020-ST-0810-002-B</v>
      </c>
      <c r="B328" s="365">
        <f>'Public Lighting Charges'!J782</f>
        <v>0</v>
      </c>
      <c r="C328" s="365">
        <f>'Public Lighting Charges'!L782*(1+'Public Lighting Charges'!$M$12)+(('Public Lighting Charges'!L782*'Public Lighting Charges'!$M$10)*'Public Lighting Charges'!$M$14)</f>
        <v>46.98970219467548</v>
      </c>
      <c r="D328" s="365">
        <f t="shared" si="5"/>
        <v>46.98970219467548</v>
      </c>
      <c r="E328" s="365">
        <f>'Public Lighting Charges'!O782</f>
        <v>40.240696473474905</v>
      </c>
      <c r="F328" s="365">
        <f>'Public Lighting Charges'!Q782</f>
        <v>42.210030376786186</v>
      </c>
      <c r="G328" s="365">
        <f>'Public Lighting Charges'!T782</f>
        <v>43.943646346369363</v>
      </c>
      <c r="H328" s="365">
        <f>'Public Lighting Charges'!W782</f>
        <v>45.54331402892479</v>
      </c>
      <c r="I328" s="365">
        <f>'Public Lighting Charges'!Z782</f>
        <v>46.858860401411469</v>
      </c>
    </row>
    <row r="329" spans="1:9" x14ac:dyDescent="0.2">
      <c r="A329" t="str">
        <f>'Public Lighting Charges'!A783</f>
        <v>MVA0020-ST-0990-001-B</v>
      </c>
      <c r="B329" s="365">
        <f>'Public Lighting Charges'!J783</f>
        <v>86.253661186307269</v>
      </c>
      <c r="C329" s="365">
        <f>'Public Lighting Charges'!L783*(1+'Public Lighting Charges'!$M$12)+(('Public Lighting Charges'!L783*'Public Lighting Charges'!$M$10)*'Public Lighting Charges'!$M$14)</f>
        <v>46.187931994675473</v>
      </c>
      <c r="D329" s="365">
        <f t="shared" si="5"/>
        <v>132.44159318098275</v>
      </c>
      <c r="E329" s="365">
        <f>'Public Lighting Charges'!O783</f>
        <v>156.52031226686111</v>
      </c>
      <c r="F329" s="365">
        <f>'Public Lighting Charges'!Q783</f>
        <v>156.2617689624</v>
      </c>
      <c r="G329" s="365">
        <f>'Public Lighting Charges'!T783</f>
        <v>160.80443382944136</v>
      </c>
      <c r="H329" s="365">
        <f>'Public Lighting Charges'!W783</f>
        <v>165.28619948113632</v>
      </c>
      <c r="I329" s="365">
        <f>'Public Lighting Charges'!Z783</f>
        <v>169.56162805525409</v>
      </c>
    </row>
    <row r="330" spans="1:9" x14ac:dyDescent="0.2">
      <c r="A330" t="str">
        <f>'Public Lighting Charges'!A784</f>
        <v>MVA0020-ST-0990-002-B</v>
      </c>
      <c r="B330" s="365">
        <f>'Public Lighting Charges'!J784</f>
        <v>0</v>
      </c>
      <c r="C330" s="365">
        <f>'Public Lighting Charges'!L784*(1+'Public Lighting Charges'!$M$12)+(('Public Lighting Charges'!L784*'Public Lighting Charges'!$M$10)*'Public Lighting Charges'!$M$14)</f>
        <v>46.187931994675473</v>
      </c>
      <c r="D330" s="365">
        <f t="shared" si="5"/>
        <v>46.187931994675473</v>
      </c>
      <c r="E330" s="365">
        <f>'Public Lighting Charges'!O784</f>
        <v>39.438611634149908</v>
      </c>
      <c r="F330" s="365">
        <f>'Public Lighting Charges'!Q784</f>
        <v>41.368692417961732</v>
      </c>
      <c r="G330" s="365">
        <f>'Public Lighting Charges'!T784</f>
        <v>43.067753640528267</v>
      </c>
      <c r="H330" s="365">
        <f>'Public Lighting Charges'!W784</f>
        <v>44.635536457547595</v>
      </c>
      <c r="I330" s="365">
        <f>'Public Lighting Charges'!Z784</f>
        <v>45.924861121831583</v>
      </c>
    </row>
    <row r="331" spans="1:9" x14ac:dyDescent="0.2">
      <c r="A331" t="str">
        <f>'Public Lighting Charges'!A785</f>
        <v>MVA0020-ST-1000-002-B</v>
      </c>
      <c r="B331" s="365">
        <f>'Public Lighting Charges'!J785</f>
        <v>0</v>
      </c>
      <c r="C331" s="365">
        <f>'Public Lighting Charges'!L785*(1+'Public Lighting Charges'!$M$12)+(('Public Lighting Charges'!L785*'Public Lighting Charges'!$M$10)*'Public Lighting Charges'!$M$14)</f>
        <v>46.187931994675473</v>
      </c>
      <c r="D331" s="365">
        <f t="shared" si="5"/>
        <v>46.187931994675473</v>
      </c>
      <c r="E331" s="365">
        <f>'Public Lighting Charges'!O785</f>
        <v>39.438611634149908</v>
      </c>
      <c r="F331" s="365">
        <f>'Public Lighting Charges'!Q785</f>
        <v>41.368692417961732</v>
      </c>
      <c r="G331" s="365">
        <f>'Public Lighting Charges'!T785</f>
        <v>43.067753640528267</v>
      </c>
      <c r="H331" s="365">
        <f>'Public Lighting Charges'!W785</f>
        <v>44.635536457547595</v>
      </c>
      <c r="I331" s="365">
        <f>'Public Lighting Charges'!Z785</f>
        <v>45.924861121831583</v>
      </c>
    </row>
    <row r="332" spans="1:9" x14ac:dyDescent="0.2">
      <c r="A332" t="str">
        <f>'Public Lighting Charges'!A786</f>
        <v>MVA0020-ST-1260-002-B</v>
      </c>
      <c r="B332" s="365">
        <f>'Public Lighting Charges'!J786</f>
        <v>0</v>
      </c>
      <c r="C332" s="365">
        <f>'Public Lighting Charges'!L786*(1+'Public Lighting Charges'!$M$12)+(('Public Lighting Charges'!L786*'Public Lighting Charges'!$M$10)*'Public Lighting Charges'!$M$14)</f>
        <v>46.98970219467548</v>
      </c>
      <c r="D332" s="365">
        <f t="shared" si="5"/>
        <v>46.98970219467548</v>
      </c>
      <c r="E332" s="365">
        <f>'Public Lighting Charges'!O786</f>
        <v>40.240696473474905</v>
      </c>
      <c r="F332" s="365">
        <f>'Public Lighting Charges'!Q786</f>
        <v>42.210030376786186</v>
      </c>
      <c r="G332" s="365">
        <f>'Public Lighting Charges'!T786</f>
        <v>43.943646346369363</v>
      </c>
      <c r="H332" s="365">
        <f>'Public Lighting Charges'!W786</f>
        <v>45.54331402892479</v>
      </c>
      <c r="I332" s="365">
        <f>'Public Lighting Charges'!Z786</f>
        <v>46.858860401411469</v>
      </c>
    </row>
    <row r="333" spans="1:9" x14ac:dyDescent="0.2">
      <c r="A333" t="str">
        <f>'Public Lighting Charges'!A787</f>
        <v>MVA0080-ST-0010-001-B</v>
      </c>
      <c r="B333" s="365">
        <f>'Public Lighting Charges'!J787</f>
        <v>17.255027166785979</v>
      </c>
      <c r="C333" s="365">
        <f>'Public Lighting Charges'!L787*(1+'Public Lighting Charges'!$M$12)+(('Public Lighting Charges'!L787*'Public Lighting Charges'!$M$10)*'Public Lighting Charges'!$M$14)</f>
        <v>36.198428253636699</v>
      </c>
      <c r="D333" s="365">
        <f t="shared" si="5"/>
        <v>53.453455420422678</v>
      </c>
      <c r="E333" s="365">
        <f>'Public Lighting Charges'!O787</f>
        <v>53.659614565239131</v>
      </c>
      <c r="F333" s="365">
        <f>'Public Lighting Charges'!Q787</f>
        <v>54.701566897033217</v>
      </c>
      <c r="G333" s="365">
        <f>'Public Lighting Charges'!T787</f>
        <v>56.573093468108809</v>
      </c>
      <c r="H333" s="365">
        <f>'Public Lighting Charges'!W787</f>
        <v>58.35804869114191</v>
      </c>
      <c r="I333" s="365">
        <f>'Public Lighting Charges'!Z787</f>
        <v>59.943938836746561</v>
      </c>
    </row>
    <row r="334" spans="1:9" x14ac:dyDescent="0.2">
      <c r="A334" t="str">
        <f>'Public Lighting Charges'!A788</f>
        <v>MVA0080-ST-0010-002-B</v>
      </c>
      <c r="B334" s="365">
        <f>'Public Lighting Charges'!J788</f>
        <v>0</v>
      </c>
      <c r="C334" s="365">
        <f>'Public Lighting Charges'!L788*(1+'Public Lighting Charges'!$M$12)+(('Public Lighting Charges'!L788*'Public Lighting Charges'!$M$10)*'Public Lighting Charges'!$M$14)</f>
        <v>36.198428253636699</v>
      </c>
      <c r="D334" s="365">
        <f t="shared" si="5"/>
        <v>36.198428253636699</v>
      </c>
      <c r="E334" s="365">
        <f>'Public Lighting Charges'!O788</f>
        <v>30.237444452515287</v>
      </c>
      <c r="F334" s="365">
        <f>'Public Lighting Charges'!Q788</f>
        <v>31.71723058268531</v>
      </c>
      <c r="G334" s="365">
        <f>'Public Lighting Charges'!T788</f>
        <v>33.019894829980778</v>
      </c>
      <c r="H334" s="365">
        <f>'Public Lighting Charges'!W788</f>
        <v>34.221908386720216</v>
      </c>
      <c r="I334" s="365">
        <f>'Public Lighting Charges'!Z788</f>
        <v>35.210429059790435</v>
      </c>
    </row>
    <row r="335" spans="1:9" x14ac:dyDescent="0.2">
      <c r="A335" t="str">
        <f>'Public Lighting Charges'!A789</f>
        <v>MVA0080-ST-0810-002-B</v>
      </c>
      <c r="B335" s="365">
        <f>'Public Lighting Charges'!J789</f>
        <v>0</v>
      </c>
      <c r="C335" s="365">
        <f>'Public Lighting Charges'!L789*(1+'Public Lighting Charges'!$M$12)+(('Public Lighting Charges'!L789*'Public Lighting Charges'!$M$10)*'Public Lighting Charges'!$M$14)</f>
        <v>47.372833052963458</v>
      </c>
      <c r="D335" s="365">
        <f t="shared" si="5"/>
        <v>47.372833052963458</v>
      </c>
      <c r="E335" s="365">
        <f>'Public Lighting Charges'!O789</f>
        <v>40.633644527939452</v>
      </c>
      <c r="F335" s="365">
        <f>'Public Lighting Charges'!Q789</f>
        <v>42.622208861976681</v>
      </c>
      <c r="G335" s="365">
        <f>'Public Lighting Charges'!T789</f>
        <v>44.372753490408634</v>
      </c>
      <c r="H335" s="365">
        <f>'Public Lighting Charges'!W789</f>
        <v>45.988041834601077</v>
      </c>
      <c r="I335" s="365">
        <f>'Public Lighting Charges'!Z789</f>
        <v>47.31643444070022</v>
      </c>
    </row>
    <row r="336" spans="1:9" x14ac:dyDescent="0.2">
      <c r="A336" t="str">
        <f>'Public Lighting Charges'!A790</f>
        <v>MVA0080-ST-0990-001-B</v>
      </c>
      <c r="B336" s="365">
        <f>'Public Lighting Charges'!J790</f>
        <v>86.253661186307269</v>
      </c>
      <c r="C336" s="365">
        <f>'Public Lighting Charges'!L790*(1+'Public Lighting Charges'!$M$12)+(('Public Lighting Charges'!L790*'Public Lighting Charges'!$M$10)*'Public Lighting Charges'!$M$14)</f>
        <v>46.571062852963458</v>
      </c>
      <c r="D336" s="365">
        <f t="shared" si="5"/>
        <v>132.82472403927073</v>
      </c>
      <c r="E336" s="365">
        <f>'Public Lighting Charges'!O790</f>
        <v>156.91326032132568</v>
      </c>
      <c r="F336" s="365">
        <f>'Public Lighting Charges'!Q790</f>
        <v>156.67394744759051</v>
      </c>
      <c r="G336" s="365">
        <f>'Public Lighting Charges'!T790</f>
        <v>161.23354097348067</v>
      </c>
      <c r="H336" s="365">
        <f>'Public Lighting Charges'!W790</f>
        <v>165.73092728681263</v>
      </c>
      <c r="I336" s="365">
        <f>'Public Lighting Charges'!Z790</f>
        <v>170.01920209454286</v>
      </c>
    </row>
    <row r="337" spans="1:9" x14ac:dyDescent="0.2">
      <c r="A337" t="str">
        <f>'Public Lighting Charges'!A791</f>
        <v>MVA0080-ST-0990-002-B</v>
      </c>
      <c r="B337" s="365">
        <f>'Public Lighting Charges'!J791</f>
        <v>0</v>
      </c>
      <c r="C337" s="365">
        <f>'Public Lighting Charges'!L791*(1+'Public Lighting Charges'!$M$12)+(('Public Lighting Charges'!L791*'Public Lighting Charges'!$M$10)*'Public Lighting Charges'!$M$14)</f>
        <v>46.571062852963458</v>
      </c>
      <c r="D337" s="365">
        <f t="shared" si="5"/>
        <v>46.571062852963458</v>
      </c>
      <c r="E337" s="365">
        <f>'Public Lighting Charges'!O791</f>
        <v>39.831559688614448</v>
      </c>
      <c r="F337" s="365">
        <f>'Public Lighting Charges'!Q791</f>
        <v>41.780870903152227</v>
      </c>
      <c r="G337" s="365">
        <f>'Public Lighting Charges'!T791</f>
        <v>43.496860784567531</v>
      </c>
      <c r="H337" s="365">
        <f>'Public Lighting Charges'!W791</f>
        <v>45.080264263223874</v>
      </c>
      <c r="I337" s="365">
        <f>'Public Lighting Charges'!Z791</f>
        <v>46.382435161120327</v>
      </c>
    </row>
    <row r="338" spans="1:9" x14ac:dyDescent="0.2">
      <c r="A338" t="str">
        <f>'Public Lighting Charges'!A792</f>
        <v>MVA0120-ST-0010-002-B</v>
      </c>
      <c r="B338" s="365">
        <f>'Public Lighting Charges'!J792</f>
        <v>0</v>
      </c>
      <c r="C338" s="365">
        <f>'Public Lighting Charges'!L792*(1+'Public Lighting Charges'!$M$12)+(('Public Lighting Charges'!L792*'Public Lighting Charges'!$M$10)*'Public Lighting Charges'!$M$14)</f>
        <v>41.558265604059812</v>
      </c>
      <c r="D338" s="365">
        <f t="shared" si="5"/>
        <v>41.558265604059812</v>
      </c>
      <c r="E338" s="365">
        <f>'Public Lighting Charges'!O792</f>
        <v>34.292266880650395</v>
      </c>
      <c r="F338" s="365">
        <f>'Public Lighting Charges'!Q792</f>
        <v>35.970491407255658</v>
      </c>
      <c r="G338" s="365">
        <f>'Public Lighting Charges'!T792</f>
        <v>37.447842117044956</v>
      </c>
      <c r="H338" s="365">
        <f>'Public Lighting Charges'!W792</f>
        <v>38.811044941496597</v>
      </c>
      <c r="I338" s="365">
        <f>'Public Lighting Charges'!Z792</f>
        <v>39.932125619832306</v>
      </c>
    </row>
    <row r="339" spans="1:9" x14ac:dyDescent="0.2">
      <c r="A339" t="str">
        <f>'Public Lighting Charges'!A793</f>
        <v>MVA0120-ST-0740-002-B</v>
      </c>
      <c r="B339" s="365">
        <f>'Public Lighting Charges'!J793</f>
        <v>0</v>
      </c>
      <c r="C339" s="365">
        <f>'Public Lighting Charges'!L793*(1+'Public Lighting Charges'!$M$12)+(('Public Lighting Charges'!L793*'Public Lighting Charges'!$M$10)*'Public Lighting Charges'!$M$14)</f>
        <v>41.558265604059812</v>
      </c>
      <c r="D339" s="365">
        <f t="shared" si="5"/>
        <v>41.558265604059812</v>
      </c>
      <c r="E339" s="365">
        <f>'Public Lighting Charges'!O793</f>
        <v>34.292266880650395</v>
      </c>
      <c r="F339" s="365">
        <f>'Public Lighting Charges'!Q793</f>
        <v>35.970491407255658</v>
      </c>
      <c r="G339" s="365">
        <f>'Public Lighting Charges'!T793</f>
        <v>37.447842117044956</v>
      </c>
      <c r="H339" s="365">
        <f>'Public Lighting Charges'!W793</f>
        <v>38.811044941496597</v>
      </c>
      <c r="I339" s="365">
        <f>'Public Lighting Charges'!Z793</f>
        <v>39.932125619832306</v>
      </c>
    </row>
    <row r="340" spans="1:9" x14ac:dyDescent="0.2">
      <c r="A340" t="str">
        <f>'Public Lighting Charges'!A794</f>
        <v>MVA0120-ST-1000-002-B</v>
      </c>
      <c r="B340" s="365">
        <f>'Public Lighting Charges'!J794</f>
        <v>0</v>
      </c>
      <c r="C340" s="365">
        <f>'Public Lighting Charges'!L794*(1+'Public Lighting Charges'!$M$12)+(('Public Lighting Charges'!L794*'Public Lighting Charges'!$M$10)*'Public Lighting Charges'!$M$14)</f>
        <v>51.930900203386564</v>
      </c>
      <c r="D340" s="365">
        <f t="shared" si="5"/>
        <v>51.930900203386564</v>
      </c>
      <c r="E340" s="365">
        <f>'Public Lighting Charges'!O794</f>
        <v>43.886382116749566</v>
      </c>
      <c r="F340" s="365">
        <f>'Public Lighting Charges'!Q794</f>
        <v>46.034131727722574</v>
      </c>
      <c r="G340" s="365">
        <f>'Public Lighting Charges'!T794</f>
        <v>47.924808071631702</v>
      </c>
      <c r="H340" s="365">
        <f>'Public Lighting Charges'!W794</f>
        <v>49.669400818000248</v>
      </c>
      <c r="I340" s="365">
        <f>'Public Lighting Charges'!Z794</f>
        <v>51.104131721162197</v>
      </c>
    </row>
    <row r="341" spans="1:9" x14ac:dyDescent="0.2">
      <c r="A341" t="str">
        <f>'Public Lighting Charges'!A795</f>
        <v>MVA0170-ST-0020-001-B</v>
      </c>
      <c r="B341" s="365">
        <f>'Public Lighting Charges'!J795</f>
        <v>32.500655058222634</v>
      </c>
      <c r="C341" s="365">
        <f>'Public Lighting Charges'!L795*(1+'Public Lighting Charges'!$M$12)+(('Public Lighting Charges'!L795*'Public Lighting Charges'!$M$10)*'Public Lighting Charges'!$M$14)</f>
        <v>41.558265604059812</v>
      </c>
      <c r="D341" s="365">
        <f t="shared" si="5"/>
        <v>74.058920662282446</v>
      </c>
      <c r="E341" s="365">
        <f>'Public Lighting Charges'!O795</f>
        <v>78.409025677411051</v>
      </c>
      <c r="F341" s="365">
        <f>'Public Lighting Charges'!Q795</f>
        <v>79.262569656353165</v>
      </c>
      <c r="G341" s="365">
        <f>'Public Lighting Charges'!T795</f>
        <v>81.811399302807629</v>
      </c>
      <c r="H341" s="365">
        <f>'Public Lighting Charges'!W795</f>
        <v>84.272600167606896</v>
      </c>
      <c r="I341" s="365">
        <f>'Public Lighting Charges'!Z795</f>
        <v>86.51885433778881</v>
      </c>
    </row>
    <row r="342" spans="1:9" x14ac:dyDescent="0.2">
      <c r="A342" t="str">
        <f>'Public Lighting Charges'!A796</f>
        <v>MVA0190-ST-0020-001-B</v>
      </c>
      <c r="B342" s="365">
        <f>'Public Lighting Charges'!J796</f>
        <v>32.500655058222634</v>
      </c>
      <c r="C342" s="365">
        <f>'Public Lighting Charges'!L796*(1+'Public Lighting Charges'!$M$12)+(('Public Lighting Charges'!L796*'Public Lighting Charges'!$M$10)*'Public Lighting Charges'!$M$14)</f>
        <v>46.562842997957631</v>
      </c>
      <c r="D342" s="365">
        <f t="shared" si="5"/>
        <v>79.063498056180265</v>
      </c>
      <c r="E342" s="365">
        <f>'Public Lighting Charges'!O796</f>
        <v>83.444379163023001</v>
      </c>
      <c r="F342" s="365">
        <f>'Public Lighting Charges'!Q796</f>
        <v>84.544347612796741</v>
      </c>
      <c r="G342" s="365">
        <f>'Public Lighting Charges'!T796</f>
        <v>87.31010613921994</v>
      </c>
      <c r="H342" s="365">
        <f>'Public Lighting Charges'!W796</f>
        <v>89.971474817876157</v>
      </c>
      <c r="I342" s="365">
        <f>'Public Lighting Charges'!Z796</f>
        <v>92.382344454307571</v>
      </c>
    </row>
    <row r="343" spans="1:9" x14ac:dyDescent="0.2">
      <c r="A343" t="str">
        <f>'Public Lighting Charges'!A797</f>
        <v>MVA0190-ST-0020-002-B</v>
      </c>
      <c r="B343" s="365">
        <f>'Public Lighting Charges'!J797</f>
        <v>0</v>
      </c>
      <c r="C343" s="365">
        <f>'Public Lighting Charges'!L797*(1+'Public Lighting Charges'!$M$12)+(('Public Lighting Charges'!L797*'Public Lighting Charges'!$M$10)*'Public Lighting Charges'!$M$14)</f>
        <v>46.562842997957631</v>
      </c>
      <c r="D343" s="365">
        <f t="shared" si="5"/>
        <v>46.562842997957631</v>
      </c>
      <c r="E343" s="365">
        <f>'Public Lighting Charges'!O797</f>
        <v>39.327620366262359</v>
      </c>
      <c r="F343" s="365">
        <f>'Public Lighting Charges'!Q797</f>
        <v>41.252269363699241</v>
      </c>
      <c r="G343" s="365">
        <f>'Public Lighting Charges'!T797</f>
        <v>42.946548953457288</v>
      </c>
      <c r="H343" s="365">
        <f>'Public Lighting Charges'!W797</f>
        <v>44.509919591765872</v>
      </c>
      <c r="I343" s="365">
        <f>'Public Lighting Charges'!Z797</f>
        <v>45.795615736351067</v>
      </c>
    </row>
    <row r="344" spans="1:9" x14ac:dyDescent="0.2">
      <c r="A344" t="str">
        <f>'Public Lighting Charges'!A798</f>
        <v>MVA0190-ST-0200-001-B</v>
      </c>
      <c r="B344" s="365">
        <f>'Public Lighting Charges'!J798</f>
        <v>66.401773420098948</v>
      </c>
      <c r="C344" s="365">
        <f>'Public Lighting Charges'!L798*(1+'Public Lighting Charges'!$M$12)+(('Public Lighting Charges'!L798*'Public Lighting Charges'!$M$10)*'Public Lighting Charges'!$M$14)</f>
        <v>57.73724779728439</v>
      </c>
      <c r="D344" s="365">
        <f t="shared" si="5"/>
        <v>124.13902121738334</v>
      </c>
      <c r="E344" s="365">
        <f>'Public Lighting Charges'!O798</f>
        <v>139.85834285065917</v>
      </c>
      <c r="F344" s="365">
        <f>'Public Lighting Charges'!Q798</f>
        <v>140.60687321613665</v>
      </c>
      <c r="G344" s="365">
        <f>'Public Lighting Charges'!T798</f>
        <v>144.93816141996652</v>
      </c>
      <c r="H344" s="365">
        <f>'Public Lighting Charges'!W798</f>
        <v>149.15811600242864</v>
      </c>
      <c r="I344" s="365">
        <f>'Public Lighting Charges'!Z798</f>
        <v>153.0825151383716</v>
      </c>
    </row>
    <row r="345" spans="1:9" x14ac:dyDescent="0.2">
      <c r="A345" t="str">
        <f>'Public Lighting Charges'!A799</f>
        <v>MVA0190-ST-0200-002-B</v>
      </c>
      <c r="B345" s="365">
        <f>'Public Lighting Charges'!J799</f>
        <v>0</v>
      </c>
      <c r="C345" s="365">
        <f>'Public Lighting Charges'!L799*(1+'Public Lighting Charges'!$M$12)+(('Public Lighting Charges'!L799*'Public Lighting Charges'!$M$10)*'Public Lighting Charges'!$M$14)</f>
        <v>57.73724779728439</v>
      </c>
      <c r="D345" s="365">
        <f t="shared" si="5"/>
        <v>57.73724779728439</v>
      </c>
      <c r="E345" s="365">
        <f>'Public Lighting Charges'!O799</f>
        <v>49.72382044168652</v>
      </c>
      <c r="F345" s="365">
        <f>'Public Lighting Charges'!Q799</f>
        <v>52.157247642990619</v>
      </c>
      <c r="G345" s="365">
        <f>'Public Lighting Charges'!T799</f>
        <v>54.299407613885137</v>
      </c>
      <c r="H345" s="365">
        <f>'Public Lighting Charges'!W799</f>
        <v>56.276053039646733</v>
      </c>
      <c r="I345" s="365">
        <f>'Public Lighting Charges'!Z799</f>
        <v>57.901621117260845</v>
      </c>
    </row>
    <row r="346" spans="1:9" x14ac:dyDescent="0.2">
      <c r="A346" t="str">
        <f>'Public Lighting Charges'!A800</f>
        <v>MVA0190-ST-0290-001-B</v>
      </c>
      <c r="B346" s="365">
        <f>'Public Lighting Charges'!J800</f>
        <v>92.68503859372899</v>
      </c>
      <c r="C346" s="365">
        <f>'Public Lighting Charges'!L800*(1+'Public Lighting Charges'!$M$12)+(('Public Lighting Charges'!L800*'Public Lighting Charges'!$M$10)*'Public Lighting Charges'!$M$14)</f>
        <v>56.93547759728439</v>
      </c>
      <c r="D346" s="365">
        <f t="shared" si="5"/>
        <v>149.62051619101339</v>
      </c>
      <c r="E346" s="365">
        <f>'Public Lighting Charges'!O800</f>
        <v>174.73346107013762</v>
      </c>
      <c r="F346" s="365">
        <f>'Public Lighting Charges'!Q800</f>
        <v>174.77581952697318</v>
      </c>
      <c r="G346" s="365">
        <f>'Public Lighting Charges'!T800</f>
        <v>179.93905751946056</v>
      </c>
      <c r="H346" s="365">
        <f>'Public Lighting Charges'!W800</f>
        <v>185.01507775931861</v>
      </c>
      <c r="I346" s="365">
        <f>'Public Lighting Charges'!Z800</f>
        <v>189.82318248543345</v>
      </c>
    </row>
    <row r="347" spans="1:9" x14ac:dyDescent="0.2">
      <c r="A347" t="str">
        <f>'Public Lighting Charges'!A801</f>
        <v>MVA0190-ST-0290-002-B</v>
      </c>
      <c r="B347" s="365">
        <f>'Public Lighting Charges'!J801</f>
        <v>0</v>
      </c>
      <c r="C347" s="365">
        <f>'Public Lighting Charges'!L801*(1+'Public Lighting Charges'!$M$12)+(('Public Lighting Charges'!L801*'Public Lighting Charges'!$M$10)*'Public Lighting Charges'!$M$14)</f>
        <v>56.93547759728439</v>
      </c>
      <c r="D347" s="365">
        <f t="shared" si="5"/>
        <v>56.93547759728439</v>
      </c>
      <c r="E347" s="365">
        <f>'Public Lighting Charges'!O801</f>
        <v>48.921735602361515</v>
      </c>
      <c r="F347" s="365">
        <f>'Public Lighting Charges'!Q801</f>
        <v>51.315909684166158</v>
      </c>
      <c r="G347" s="365">
        <f>'Public Lighting Charges'!T801</f>
        <v>53.423514908044034</v>
      </c>
      <c r="H347" s="365">
        <f>'Public Lighting Charges'!W801</f>
        <v>55.368275468269523</v>
      </c>
      <c r="I347" s="365">
        <f>'Public Lighting Charges'!Z801</f>
        <v>56.967621837680944</v>
      </c>
    </row>
    <row r="348" spans="1:9" x14ac:dyDescent="0.2">
      <c r="A348" t="str">
        <f>'Public Lighting Charges'!A802</f>
        <v>MVA0190-ST-0370-001-B</v>
      </c>
      <c r="B348" s="365">
        <f>'Public Lighting Charges'!J802</f>
        <v>105.78116986969529</v>
      </c>
      <c r="C348" s="365">
        <f>'Public Lighting Charges'!L802*(1+'Public Lighting Charges'!$M$12)+(('Public Lighting Charges'!L802*'Public Lighting Charges'!$M$10)*'Public Lighting Charges'!$M$14)</f>
        <v>56.93547759728439</v>
      </c>
      <c r="D348" s="365">
        <f t="shared" si="5"/>
        <v>162.71664746697968</v>
      </c>
      <c r="E348" s="365">
        <f>'Public Lighting Charges'!O802</f>
        <v>192.51029860271979</v>
      </c>
      <c r="F348" s="365">
        <f>'Public Lighting Charges'!Q802</f>
        <v>192.22035222774247</v>
      </c>
      <c r="G348" s="365">
        <f>'Public Lighting Charges'!T802</f>
        <v>197.81534240457387</v>
      </c>
      <c r="H348" s="365">
        <f>'Public Lighting Charges'!W802</f>
        <v>203.33380069533848</v>
      </c>
      <c r="I348" s="365">
        <f>'Public Lighting Charges'!Z802</f>
        <v>208.59529381411983</v>
      </c>
    </row>
    <row r="349" spans="1:9" x14ac:dyDescent="0.2">
      <c r="A349" t="str">
        <f>'Public Lighting Charges'!A803</f>
        <v>MVA0190-ST-0370-002-B</v>
      </c>
      <c r="B349" s="365">
        <f>'Public Lighting Charges'!J803</f>
        <v>0</v>
      </c>
      <c r="C349" s="365">
        <f>'Public Lighting Charges'!L803*(1+'Public Lighting Charges'!$M$12)+(('Public Lighting Charges'!L803*'Public Lighting Charges'!$M$10)*'Public Lighting Charges'!$M$14)</f>
        <v>56.93547759728439</v>
      </c>
      <c r="D349" s="365">
        <f t="shared" si="5"/>
        <v>56.93547759728439</v>
      </c>
      <c r="E349" s="365">
        <f>'Public Lighting Charges'!O803</f>
        <v>48.921735602361515</v>
      </c>
      <c r="F349" s="365">
        <f>'Public Lighting Charges'!Q803</f>
        <v>51.315909684166158</v>
      </c>
      <c r="G349" s="365">
        <f>'Public Lighting Charges'!T803</f>
        <v>53.423514908044034</v>
      </c>
      <c r="H349" s="365">
        <f>'Public Lighting Charges'!W803</f>
        <v>55.368275468269523</v>
      </c>
      <c r="I349" s="365">
        <f>'Public Lighting Charges'!Z803</f>
        <v>56.967621837680944</v>
      </c>
    </row>
    <row r="350" spans="1:9" x14ac:dyDescent="0.2">
      <c r="A350" t="str">
        <f>'Public Lighting Charges'!A804</f>
        <v>MVA0190-ST-0940-001-B</v>
      </c>
      <c r="B350" s="365">
        <f>'Public Lighting Charges'!J804</f>
        <v>45.596786334188934</v>
      </c>
      <c r="C350" s="365">
        <f>'Public Lighting Charges'!L804*(1+'Public Lighting Charges'!$M$12)+(('Public Lighting Charges'!L804*'Public Lighting Charges'!$M$10)*'Public Lighting Charges'!$M$14)</f>
        <v>46.562842997957631</v>
      </c>
      <c r="D350" s="365">
        <f t="shared" si="5"/>
        <v>92.159629332146565</v>
      </c>
      <c r="E350" s="365">
        <f>'Public Lighting Charges'!O804</f>
        <v>101.22121669560518</v>
      </c>
      <c r="F350" s="365">
        <f>'Public Lighting Charges'!Q804</f>
        <v>101.988880313566</v>
      </c>
      <c r="G350" s="365">
        <f>'Public Lighting Charges'!T804</f>
        <v>105.18639102433325</v>
      </c>
      <c r="H350" s="365">
        <f>'Public Lighting Charges'!W804</f>
        <v>108.29019775389601</v>
      </c>
      <c r="I350" s="365">
        <f>'Public Lighting Charges'!Z804</f>
        <v>111.15445578299391</v>
      </c>
    </row>
    <row r="351" spans="1:9" x14ac:dyDescent="0.2">
      <c r="A351" t="str">
        <f>'Public Lighting Charges'!A805</f>
        <v>MVA0220-ST-0030-001-B</v>
      </c>
      <c r="B351" s="365">
        <f>'Public Lighting Charges'!J805</f>
        <v>32.642120539558654</v>
      </c>
      <c r="C351" s="365">
        <f>'Public Lighting Charges'!L805*(1+'Public Lighting Charges'!$M$12)+(('Public Lighting Charges'!L805*'Public Lighting Charges'!$M$10)*'Public Lighting Charges'!$M$14)</f>
        <v>61.406567150811142</v>
      </c>
      <c r="D351" s="365">
        <f t="shared" si="5"/>
        <v>94.048687690369803</v>
      </c>
      <c r="E351" s="365">
        <f>'Public Lighting Charges'!O805</f>
        <v>98.628855197255049</v>
      </c>
      <c r="F351" s="365">
        <f>'Public Lighting Charges'!Q805</f>
        <v>100.45894746896498</v>
      </c>
      <c r="G351" s="365">
        <f>'Public Lighting Charges'!T805</f>
        <v>103.87526195191313</v>
      </c>
      <c r="H351" s="365">
        <f>'Public Lighting Charges'!W805</f>
        <v>107.13739699362191</v>
      </c>
      <c r="I351" s="365">
        <f>'Public Lighting Charges'!Z805</f>
        <v>110.04329639447079</v>
      </c>
    </row>
    <row r="352" spans="1:9" x14ac:dyDescent="0.2">
      <c r="A352" t="str">
        <f>'Public Lighting Charges'!A806</f>
        <v>MVA0220-ST-0030-002-B</v>
      </c>
      <c r="B352" s="365">
        <f>'Public Lighting Charges'!J806</f>
        <v>0</v>
      </c>
      <c r="C352" s="365">
        <f>'Public Lighting Charges'!L806*(1+'Public Lighting Charges'!$M$12)+(('Public Lighting Charges'!L806*'Public Lighting Charges'!$M$10)*'Public Lighting Charges'!$M$14)</f>
        <v>61.406567150811142</v>
      </c>
      <c r="D352" s="365">
        <f t="shared" si="5"/>
        <v>61.406567150811142</v>
      </c>
      <c r="E352" s="365">
        <f>'Public Lighting Charges'!O806</f>
        <v>54.320069547282081</v>
      </c>
      <c r="F352" s="365">
        <f>'Public Lighting Charges'!Q806</f>
        <v>56.978431950631702</v>
      </c>
      <c r="G352" s="365">
        <f>'Public Lighting Charges'!T806</f>
        <v>59.318603674501105</v>
      </c>
      <c r="H352" s="365">
        <f>'Public Lighting Charges'!W806</f>
        <v>61.477961423843922</v>
      </c>
      <c r="I352" s="365">
        <f>'Public Lighting Charges'!Z806</f>
        <v>63.253789794340818</v>
      </c>
    </row>
    <row r="353" spans="1:9" x14ac:dyDescent="0.2">
      <c r="A353" t="str">
        <f>'Public Lighting Charges'!A807</f>
        <v>MVA0220-ST-0210-001-B</v>
      </c>
      <c r="B353" s="365">
        <f>'Public Lighting Charges'!J807</f>
        <v>66.543238901434947</v>
      </c>
      <c r="C353" s="365">
        <f>'Public Lighting Charges'!L807*(1+'Public Lighting Charges'!$M$12)+(('Public Lighting Charges'!L807*'Public Lighting Charges'!$M$10)*'Public Lighting Charges'!$M$14)</f>
        <v>72.580971950137908</v>
      </c>
      <c r="D353" s="365">
        <f t="shared" si="5"/>
        <v>139.12421085157285</v>
      </c>
      <c r="E353" s="365">
        <f>'Public Lighting Charges'!O807</f>
        <v>155.04281888489118</v>
      </c>
      <c r="F353" s="365">
        <f>'Public Lighting Charges'!Q807</f>
        <v>156.52147307230487</v>
      </c>
      <c r="G353" s="365">
        <f>'Public Lighting Charges'!T807</f>
        <v>161.50331723265973</v>
      </c>
      <c r="H353" s="365">
        <f>'Public Lighting Charges'!W807</f>
        <v>166.32403817817436</v>
      </c>
      <c r="I353" s="365">
        <f>'Public Lighting Charges'!Z807</f>
        <v>170.74346707853479</v>
      </c>
    </row>
    <row r="354" spans="1:9" x14ac:dyDescent="0.2">
      <c r="A354" t="str">
        <f>'Public Lighting Charges'!A808</f>
        <v>MVA0220-ST-0210-002-B</v>
      </c>
      <c r="B354" s="365">
        <f>'Public Lighting Charges'!J808</f>
        <v>0</v>
      </c>
      <c r="C354" s="365">
        <f>'Public Lighting Charges'!L808*(1+'Public Lighting Charges'!$M$12)+(('Public Lighting Charges'!L808*'Public Lighting Charges'!$M$10)*'Public Lighting Charges'!$M$14)</f>
        <v>72.580971950137908</v>
      </c>
      <c r="D354" s="365">
        <f t="shared" si="5"/>
        <v>72.580971950137908</v>
      </c>
      <c r="E354" s="365">
        <f>'Public Lighting Charges'!O808</f>
        <v>64.71626962270625</v>
      </c>
      <c r="F354" s="365">
        <f>'Public Lighting Charges'!Q808</f>
        <v>67.883410229923072</v>
      </c>
      <c r="G354" s="365">
        <f>'Public Lighting Charges'!T808</f>
        <v>70.671462334928961</v>
      </c>
      <c r="H354" s="365">
        <f>'Public Lighting Charges'!W808</f>
        <v>73.244094871724798</v>
      </c>
      <c r="I354" s="365">
        <f>'Public Lighting Charges'!Z808</f>
        <v>75.359795175250596</v>
      </c>
    </row>
    <row r="355" spans="1:9" x14ac:dyDescent="0.2">
      <c r="A355" t="str">
        <f>'Public Lighting Charges'!A809</f>
        <v>MVA0220-ST-0300-001-B</v>
      </c>
      <c r="B355" s="365">
        <f>'Public Lighting Charges'!J809</f>
        <v>92.826504075065003</v>
      </c>
      <c r="C355" s="365">
        <f>'Public Lighting Charges'!L809*(1+'Public Lighting Charges'!$M$12)+(('Public Lighting Charges'!L809*'Public Lighting Charges'!$M$10)*'Public Lighting Charges'!$M$14)</f>
        <v>71.779201750137887</v>
      </c>
      <c r="D355" s="365">
        <f t="shared" si="5"/>
        <v>164.6057058252029</v>
      </c>
      <c r="E355" s="365">
        <f>'Public Lighting Charges'!O809</f>
        <v>189.91793710436963</v>
      </c>
      <c r="F355" s="365">
        <f>'Public Lighting Charges'!Q809</f>
        <v>190.69041938314143</v>
      </c>
      <c r="G355" s="365">
        <f>'Public Lighting Charges'!T809</f>
        <v>196.50421333215374</v>
      </c>
      <c r="H355" s="365">
        <f>'Public Lighting Charges'!W809</f>
        <v>202.18099993506436</v>
      </c>
      <c r="I355" s="365">
        <f>'Public Lighting Charges'!Z809</f>
        <v>207.48413442559669</v>
      </c>
    </row>
    <row r="356" spans="1:9" x14ac:dyDescent="0.2">
      <c r="A356" t="str">
        <f>'Public Lighting Charges'!A810</f>
        <v>MVA0220-ST-0300-002-B</v>
      </c>
      <c r="B356" s="365">
        <f>'Public Lighting Charges'!J810</f>
        <v>0</v>
      </c>
      <c r="C356" s="365">
        <f>'Public Lighting Charges'!L810*(1+'Public Lighting Charges'!$M$12)+(('Public Lighting Charges'!L810*'Public Lighting Charges'!$M$10)*'Public Lighting Charges'!$M$14)</f>
        <v>71.779201750137887</v>
      </c>
      <c r="D356" s="365">
        <f t="shared" si="5"/>
        <v>71.779201750137887</v>
      </c>
      <c r="E356" s="365">
        <f>'Public Lighting Charges'!O810</f>
        <v>63.914184783381252</v>
      </c>
      <c r="F356" s="365">
        <f>'Public Lighting Charges'!Q810</f>
        <v>67.042072271098618</v>
      </c>
      <c r="G356" s="365">
        <f>'Public Lighting Charges'!T810</f>
        <v>69.795569629087851</v>
      </c>
      <c r="H356" s="365">
        <f>'Public Lighting Charges'!W810</f>
        <v>72.336317300347588</v>
      </c>
      <c r="I356" s="365">
        <f>'Public Lighting Charges'!Z810</f>
        <v>74.425795895670703</v>
      </c>
    </row>
    <row r="357" spans="1:9" x14ac:dyDescent="0.2">
      <c r="A357" t="str">
        <f>'Public Lighting Charges'!A811</f>
        <v>MVA0220-ST-0380-002-B</v>
      </c>
      <c r="B357" s="365">
        <f>'Public Lighting Charges'!J811</f>
        <v>0</v>
      </c>
      <c r="C357" s="365">
        <f>'Public Lighting Charges'!L811*(1+'Public Lighting Charges'!$M$12)+(('Public Lighting Charges'!L811*'Public Lighting Charges'!$M$10)*'Public Lighting Charges'!$M$14)</f>
        <v>71.779201750137887</v>
      </c>
      <c r="D357" s="365">
        <f t="shared" si="5"/>
        <v>71.779201750137887</v>
      </c>
      <c r="E357" s="365">
        <f>'Public Lighting Charges'!O811</f>
        <v>63.914184783381252</v>
      </c>
      <c r="F357" s="365">
        <f>'Public Lighting Charges'!Q811</f>
        <v>67.042072271098618</v>
      </c>
      <c r="G357" s="365">
        <f>'Public Lighting Charges'!T811</f>
        <v>69.795569629087851</v>
      </c>
      <c r="H357" s="365">
        <f>'Public Lighting Charges'!W811</f>
        <v>72.336317300347588</v>
      </c>
      <c r="I357" s="365">
        <f>'Public Lighting Charges'!Z811</f>
        <v>74.425795895670703</v>
      </c>
    </row>
    <row r="358" spans="1:9" x14ac:dyDescent="0.2">
      <c r="A358" t="str">
        <f>'Public Lighting Charges'!A812</f>
        <v>MVA0220-ST-0420-002-B</v>
      </c>
      <c r="B358" s="365">
        <f>'Public Lighting Charges'!J812</f>
        <v>0</v>
      </c>
      <c r="C358" s="365">
        <f>'Public Lighting Charges'!L812*(1+'Public Lighting Charges'!$M$12)+(('Public Lighting Charges'!L812*'Public Lighting Charges'!$M$10)*'Public Lighting Charges'!$M$14)</f>
        <v>71.779201750137887</v>
      </c>
      <c r="D358" s="365">
        <f t="shared" si="5"/>
        <v>71.779201750137887</v>
      </c>
      <c r="E358" s="365">
        <f>'Public Lighting Charges'!O812</f>
        <v>63.914184783381252</v>
      </c>
      <c r="F358" s="365">
        <f>'Public Lighting Charges'!Q812</f>
        <v>67.042072271098618</v>
      </c>
      <c r="G358" s="365">
        <f>'Public Lighting Charges'!T812</f>
        <v>69.795569629087851</v>
      </c>
      <c r="H358" s="365">
        <f>'Public Lighting Charges'!W812</f>
        <v>72.336317300347588</v>
      </c>
      <c r="I358" s="365">
        <f>'Public Lighting Charges'!Z812</f>
        <v>74.425795895670703</v>
      </c>
    </row>
    <row r="359" spans="1:9" x14ac:dyDescent="0.2">
      <c r="A359" t="str">
        <f>'Public Lighting Charges'!A813</f>
        <v>MVA0220-ST-0460-002-B</v>
      </c>
      <c r="B359" s="365">
        <f>'Public Lighting Charges'!J813</f>
        <v>0</v>
      </c>
      <c r="C359" s="365">
        <f>'Public Lighting Charges'!L813*(1+'Public Lighting Charges'!$M$12)+(('Public Lighting Charges'!L813*'Public Lighting Charges'!$M$10)*'Public Lighting Charges'!$M$14)</f>
        <v>71.779201750137887</v>
      </c>
      <c r="D359" s="365">
        <f t="shared" si="5"/>
        <v>71.779201750137887</v>
      </c>
      <c r="E359" s="365">
        <f>'Public Lighting Charges'!O813</f>
        <v>63.914184783381252</v>
      </c>
      <c r="F359" s="365">
        <f>'Public Lighting Charges'!Q813</f>
        <v>67.042072271098618</v>
      </c>
      <c r="G359" s="365">
        <f>'Public Lighting Charges'!T813</f>
        <v>69.795569629087851</v>
      </c>
      <c r="H359" s="365">
        <f>'Public Lighting Charges'!W813</f>
        <v>72.336317300347588</v>
      </c>
      <c r="I359" s="365">
        <f>'Public Lighting Charges'!Z813</f>
        <v>74.425795895670703</v>
      </c>
    </row>
    <row r="360" spans="1:9" x14ac:dyDescent="0.2">
      <c r="A360" t="str">
        <f>'Public Lighting Charges'!A814</f>
        <v>MVA0220-ST-0540-002-B</v>
      </c>
      <c r="B360" s="365">
        <f>'Public Lighting Charges'!J814</f>
        <v>0</v>
      </c>
      <c r="C360" s="365">
        <f>'Public Lighting Charges'!L814*(1+'Public Lighting Charges'!$M$12)+(('Public Lighting Charges'!L814*'Public Lighting Charges'!$M$10)*'Public Lighting Charges'!$M$14)</f>
        <v>71.779201750137887</v>
      </c>
      <c r="D360" s="365">
        <f t="shared" si="5"/>
        <v>71.779201750137887</v>
      </c>
      <c r="E360" s="365">
        <f>'Public Lighting Charges'!O814</f>
        <v>63.914184783381252</v>
      </c>
      <c r="F360" s="365">
        <f>'Public Lighting Charges'!Q814</f>
        <v>67.042072271098618</v>
      </c>
      <c r="G360" s="365">
        <f>'Public Lighting Charges'!T814</f>
        <v>69.795569629087851</v>
      </c>
      <c r="H360" s="365">
        <f>'Public Lighting Charges'!W814</f>
        <v>72.336317300347588</v>
      </c>
      <c r="I360" s="365">
        <f>'Public Lighting Charges'!Z814</f>
        <v>74.425795895670703</v>
      </c>
    </row>
    <row r="361" spans="1:9" x14ac:dyDescent="0.2">
      <c r="A361" t="str">
        <f>'Public Lighting Charges'!A815</f>
        <v>MVA0220-ST-0580-002-B</v>
      </c>
      <c r="B361" s="365">
        <f>'Public Lighting Charges'!J815</f>
        <v>0</v>
      </c>
      <c r="C361" s="365">
        <f>'Public Lighting Charges'!L815*(1+'Public Lighting Charges'!$M$12)+(('Public Lighting Charges'!L815*'Public Lighting Charges'!$M$10)*'Public Lighting Charges'!$M$14)</f>
        <v>71.779201750137887</v>
      </c>
      <c r="D361" s="365">
        <f t="shared" si="5"/>
        <v>71.779201750137887</v>
      </c>
      <c r="E361" s="365">
        <f>'Public Lighting Charges'!O815</f>
        <v>63.914184783381252</v>
      </c>
      <c r="F361" s="365">
        <f>'Public Lighting Charges'!Q815</f>
        <v>67.042072271098618</v>
      </c>
      <c r="G361" s="365">
        <f>'Public Lighting Charges'!T815</f>
        <v>69.795569629087851</v>
      </c>
      <c r="H361" s="365">
        <f>'Public Lighting Charges'!W815</f>
        <v>72.336317300347588</v>
      </c>
      <c r="I361" s="365">
        <f>'Public Lighting Charges'!Z815</f>
        <v>74.425795895670703</v>
      </c>
    </row>
    <row r="362" spans="1:9" x14ac:dyDescent="0.2">
      <c r="A362" t="str">
        <f>'Public Lighting Charges'!A816</f>
        <v>MVA0220-ST-0790-001-B</v>
      </c>
      <c r="B362" s="365">
        <f>'Public Lighting Charges'!J816</f>
        <v>79.780835658737288</v>
      </c>
      <c r="C362" s="365">
        <f>'Public Lighting Charges'!L816*(1+'Public Lighting Charges'!$M$12)+(('Public Lighting Charges'!L816*'Public Lighting Charges'!$M$10)*'Public Lighting Charges'!$M$14)</f>
        <v>72.580971950137908</v>
      </c>
      <c r="D362" s="365">
        <f t="shared" si="5"/>
        <v>152.36180760887521</v>
      </c>
      <c r="E362" s="365">
        <f>'Public Lighting Charges'!O816</f>
        <v>173.01168327068567</v>
      </c>
      <c r="F362" s="365">
        <f>'Public Lighting Charges'!Q816</f>
        <v>174.15444304230991</v>
      </c>
      <c r="G362" s="365">
        <f>'Public Lighting Charges'!T816</f>
        <v>179.57270320942231</v>
      </c>
      <c r="H362" s="365">
        <f>'Public Lighting Charges'!W816</f>
        <v>184.84064145786189</v>
      </c>
      <c r="I362" s="365">
        <f>'Public Lighting Charges'!Z816</f>
        <v>189.71835628939459</v>
      </c>
    </row>
    <row r="363" spans="1:9" x14ac:dyDescent="0.2">
      <c r="A363" t="str">
        <f>'Public Lighting Charges'!A817</f>
        <v>MVA0220-ST-0950-001-B</v>
      </c>
      <c r="B363" s="365">
        <f>'Public Lighting Charges'!J817</f>
        <v>45.879717296860981</v>
      </c>
      <c r="C363" s="365">
        <f>'Public Lighting Charges'!L817*(1+'Public Lighting Charges'!$M$12)+(('Public Lighting Charges'!L817*'Public Lighting Charges'!$M$10)*'Public Lighting Charges'!$M$14)</f>
        <v>61.406567150811142</v>
      </c>
      <c r="D363" s="365">
        <f t="shared" si="5"/>
        <v>107.28628444767213</v>
      </c>
      <c r="E363" s="365">
        <f>'Public Lighting Charges'!O817</f>
        <v>116.5977195830495</v>
      </c>
      <c r="F363" s="365">
        <f>'Public Lighting Charges'!Q817</f>
        <v>118.09191743897</v>
      </c>
      <c r="G363" s="365">
        <f>'Public Lighting Charges'!T817</f>
        <v>121.94464792867576</v>
      </c>
      <c r="H363" s="365">
        <f>'Public Lighting Charges'!W817</f>
        <v>125.65400027330942</v>
      </c>
      <c r="I363" s="365">
        <f>'Public Lighting Charges'!Z817</f>
        <v>129.01818560533059</v>
      </c>
    </row>
    <row r="364" spans="1:9" x14ac:dyDescent="0.2">
      <c r="A364" t="str">
        <f>'Public Lighting Charges'!A818</f>
        <v>MVA0220-ST-0950-002-B</v>
      </c>
      <c r="B364" s="365">
        <f>'Public Lighting Charges'!J818</f>
        <v>0</v>
      </c>
      <c r="C364" s="365">
        <f>'Public Lighting Charges'!L818*(1+'Public Lighting Charges'!$M$12)+(('Public Lighting Charges'!L818*'Public Lighting Charges'!$M$10)*'Public Lighting Charges'!$M$14)</f>
        <v>61.406567150811142</v>
      </c>
      <c r="D364" s="365">
        <f t="shared" si="5"/>
        <v>61.406567150811142</v>
      </c>
      <c r="E364" s="365">
        <f>'Public Lighting Charges'!O818</f>
        <v>54.320069547282081</v>
      </c>
      <c r="F364" s="365">
        <f>'Public Lighting Charges'!Q818</f>
        <v>56.978431950631702</v>
      </c>
      <c r="G364" s="365">
        <f>'Public Lighting Charges'!T818</f>
        <v>59.318603674501105</v>
      </c>
      <c r="H364" s="365">
        <f>'Public Lighting Charges'!W818</f>
        <v>61.477961423843922</v>
      </c>
      <c r="I364" s="365">
        <f>'Public Lighting Charges'!Z818</f>
        <v>63.253789794340818</v>
      </c>
    </row>
    <row r="365" spans="1:9" x14ac:dyDescent="0.2">
      <c r="A365" t="str">
        <f>'Public Lighting Charges'!A819</f>
        <v>MVA0250-ST-0300-001-B</v>
      </c>
      <c r="B365" s="365">
        <f>'Public Lighting Charges'!J819</f>
        <v>92.826504075065003</v>
      </c>
      <c r="C365" s="365">
        <f>'Public Lighting Charges'!L819*(1+'Public Lighting Charges'!$M$12)+(('Public Lighting Charges'!L819*'Public Lighting Charges'!$M$10)*'Public Lighting Charges'!$M$14)</f>
        <v>58.106982833758273</v>
      </c>
      <c r="D365" s="365">
        <f t="shared" si="5"/>
        <v>150.93348690882328</v>
      </c>
      <c r="E365" s="365">
        <f>'Public Lighting Charges'!O819</f>
        <v>176.1144497078237</v>
      </c>
      <c r="F365" s="365">
        <f>'Public Lighting Charges'!Q819</f>
        <v>176.21140501772541</v>
      </c>
      <c r="G365" s="365">
        <f>'Public Lighting Charges'!T819</f>
        <v>181.43052868804691</v>
      </c>
      <c r="H365" s="365">
        <f>'Public Lighting Charges'!W819</f>
        <v>186.55859236541448</v>
      </c>
      <c r="I365" s="365">
        <f>'Public Lighting Charges'!Z819</f>
        <v>191.41046409551814</v>
      </c>
    </row>
    <row r="366" spans="1:9" x14ac:dyDescent="0.2">
      <c r="A366" t="str">
        <f>'Public Lighting Charges'!A820</f>
        <v>MVA0260-ST-0190-001-B</v>
      </c>
      <c r="B366" s="365">
        <f>'Public Lighting Charges'!J820</f>
        <v>137.96112170810926</v>
      </c>
      <c r="C366" s="365">
        <f>'Public Lighting Charges'!L820*(1+'Public Lighting Charges'!$M$12)+(('Public Lighting Charges'!L820*'Public Lighting Charges'!$M$10)*'Public Lighting Charges'!$M$14)</f>
        <v>55.602572281696673</v>
      </c>
      <c r="D366" s="365">
        <f t="shared" si="5"/>
        <v>193.56369398980593</v>
      </c>
      <c r="E366" s="365">
        <f>'Public Lighting Charges'!O820</f>
        <v>235.69132248777427</v>
      </c>
      <c r="F366" s="365">
        <f>'Public Lighting Charges'!Q820</f>
        <v>234.56034374357483</v>
      </c>
      <c r="G366" s="365">
        <f>'Public Lighting Charges'!T820</f>
        <v>241.19468175062073</v>
      </c>
      <c r="H366" s="365">
        <f>'Public Lighting Charges'!W820</f>
        <v>247.78041099462769</v>
      </c>
      <c r="I366" s="365">
        <f>'Public Lighting Charges'!Z820</f>
        <v>254.1396155208798</v>
      </c>
    </row>
    <row r="367" spans="1:9" x14ac:dyDescent="0.2">
      <c r="A367" t="str">
        <f>'Public Lighting Charges'!A821</f>
        <v>MVA0260-ST-0190-002-B</v>
      </c>
      <c r="B367" s="365">
        <f>'Public Lighting Charges'!J821</f>
        <v>0</v>
      </c>
      <c r="C367" s="365">
        <f>'Public Lighting Charges'!L821*(1+'Public Lighting Charges'!$M$12)+(('Public Lighting Charges'!L821*'Public Lighting Charges'!$M$10)*'Public Lighting Charges'!$M$14)</f>
        <v>55.602572281696673</v>
      </c>
      <c r="D367" s="365">
        <f t="shared" si="5"/>
        <v>55.602572281696673</v>
      </c>
      <c r="E367" s="365">
        <f>'Public Lighting Charges'!O821</f>
        <v>48.421326888490327</v>
      </c>
      <c r="F367" s="365">
        <f>'Public Lighting Charges'!Q821</f>
        <v>50.791011537156344</v>
      </c>
      <c r="G367" s="365">
        <f>'Public Lighting Charges'!T821</f>
        <v>52.877058572093389</v>
      </c>
      <c r="H367" s="365">
        <f>'Public Lighting Charges'!W821</f>
        <v>54.801926642431773</v>
      </c>
      <c r="I367" s="365">
        <f>'Public Lighting Charges'!Z821</f>
        <v>56.384913680967095</v>
      </c>
    </row>
    <row r="368" spans="1:9" x14ac:dyDescent="0.2">
      <c r="A368" t="str">
        <f>'Public Lighting Charges'!A822</f>
        <v>MVA0260-ST-0250-002-B</v>
      </c>
      <c r="B368" s="365">
        <f>'Public Lighting Charges'!J822</f>
        <v>0</v>
      </c>
      <c r="C368" s="365">
        <f>'Public Lighting Charges'!L822*(1+'Public Lighting Charges'!$M$12)+(('Public Lighting Charges'!L822*'Public Lighting Charges'!$M$10)*'Public Lighting Charges'!$M$14)</f>
        <v>66.776977081023418</v>
      </c>
      <c r="D368" s="365">
        <f t="shared" si="5"/>
        <v>66.776977081023418</v>
      </c>
      <c r="E368" s="365">
        <f>'Public Lighting Charges'!O822</f>
        <v>58.817526963914496</v>
      </c>
      <c r="F368" s="365">
        <f>'Public Lighting Charges'!Q822</f>
        <v>61.695989816447714</v>
      </c>
      <c r="G368" s="365">
        <f>'Public Lighting Charges'!T822</f>
        <v>64.229917232521245</v>
      </c>
      <c r="H368" s="365">
        <f>'Public Lighting Charges'!W822</f>
        <v>66.568060090312628</v>
      </c>
      <c r="I368" s="365">
        <f>'Public Lighting Charges'!Z822</f>
        <v>68.49091906187688</v>
      </c>
    </row>
    <row r="369" spans="1:9" x14ac:dyDescent="0.2">
      <c r="A369" t="str">
        <f>'Public Lighting Charges'!A823</f>
        <v>MVA0260-ST-0340-002-B</v>
      </c>
      <c r="B369" s="365">
        <f>'Public Lighting Charges'!J823</f>
        <v>0</v>
      </c>
      <c r="C369" s="365">
        <f>'Public Lighting Charges'!L823*(1+'Public Lighting Charges'!$M$12)+(('Public Lighting Charges'!L823*'Public Lighting Charges'!$M$10)*'Public Lighting Charges'!$M$14)</f>
        <v>65.975206881023425</v>
      </c>
      <c r="D369" s="365">
        <f t="shared" si="5"/>
        <v>65.975206881023425</v>
      </c>
      <c r="E369" s="365">
        <f>'Public Lighting Charges'!O823</f>
        <v>58.015442124589491</v>
      </c>
      <c r="F369" s="365">
        <f>'Public Lighting Charges'!Q823</f>
        <v>60.85465185762326</v>
      </c>
      <c r="G369" s="365">
        <f>'Public Lighting Charges'!T823</f>
        <v>63.354024526680135</v>
      </c>
      <c r="H369" s="365">
        <f>'Public Lighting Charges'!W823</f>
        <v>65.660282518935418</v>
      </c>
      <c r="I369" s="365">
        <f>'Public Lighting Charges'!Z823</f>
        <v>67.556919782296987</v>
      </c>
    </row>
    <row r="370" spans="1:9" x14ac:dyDescent="0.2">
      <c r="A370" t="str">
        <f>'Public Lighting Charges'!A824</f>
        <v>MVA0260-ST-0700-001-B</v>
      </c>
      <c r="B370" s="365" t="e">
        <f>'Public Lighting Charges'!J824</f>
        <v>#N/A</v>
      </c>
      <c r="C370" s="365">
        <f>'Public Lighting Charges'!L824*(1+'Public Lighting Charges'!$M$12)+(('Public Lighting Charges'!L824*'Public Lighting Charges'!$M$10)*'Public Lighting Charges'!$M$14)</f>
        <v>66.776977081023418</v>
      </c>
      <c r="D370" s="365" t="e">
        <f t="shared" si="5"/>
        <v>#N/A</v>
      </c>
      <c r="E370" s="365" t="e">
        <f>'Public Lighting Charges'!O824</f>
        <v>#N/A</v>
      </c>
      <c r="F370" s="365" t="e">
        <f>'Public Lighting Charges'!Q824</f>
        <v>#N/A</v>
      </c>
      <c r="G370" s="365" t="e">
        <f>'Public Lighting Charges'!T824</f>
        <v>#N/A</v>
      </c>
      <c r="H370" s="365" t="e">
        <f>'Public Lighting Charges'!W824</f>
        <v>#N/A</v>
      </c>
      <c r="I370" s="365" t="e">
        <f>'Public Lighting Charges'!Z824</f>
        <v>#N/A</v>
      </c>
    </row>
    <row r="371" spans="1:9" x14ac:dyDescent="0.2">
      <c r="A371" t="str">
        <f>'Public Lighting Charges'!A825</f>
        <v>MVA0290-ST-0120-002-B</v>
      </c>
      <c r="B371" s="365">
        <f>'Public Lighting Charges'!J825</f>
        <v>0</v>
      </c>
      <c r="C371" s="365">
        <f>'Public Lighting Charges'!L825*(1+'Public Lighting Charges'!$M$12)+(('Public Lighting Charges'!L825*'Public Lighting Charges'!$M$10)*'Public Lighting Charges'!$M$14)</f>
        <v>95.537111206279334</v>
      </c>
      <c r="D371" s="365">
        <f t="shared" si="5"/>
        <v>95.537111206279334</v>
      </c>
      <c r="E371" s="365">
        <f>'Public Lighting Charges'!O825</f>
        <v>88.449047530508594</v>
      </c>
      <c r="F371" s="365">
        <f>'Public Lighting Charges'!Q825</f>
        <v>92.77764328759838</v>
      </c>
      <c r="G371" s="365">
        <f>'Public Lighting Charges'!T825</f>
        <v>96.588131045790746</v>
      </c>
      <c r="H371" s="365">
        <f>'Public Lighting Charges'!W825</f>
        <v>100.10420048014132</v>
      </c>
      <c r="I371" s="365">
        <f>'Public Lighting Charges'!Z825</f>
        <v>102.99577129838899</v>
      </c>
    </row>
    <row r="372" spans="1:9" x14ac:dyDescent="0.2">
      <c r="A372" t="str">
        <f>'Public Lighting Charges'!A826</f>
        <v>FLU0350-ST-1620-001-B</v>
      </c>
      <c r="B372" s="365">
        <f>'Public Lighting Charges'!J826</f>
        <v>19.218771251383032</v>
      </c>
      <c r="C372" s="365">
        <f>'Public Lighting Charges'!L826*(1+'Public Lighting Charges'!$M$12)+(('Public Lighting Charges'!L826*'Public Lighting Charges'!$M$10)*'Public Lighting Charges'!$M$14)</f>
        <v>57.561219439394101</v>
      </c>
      <c r="D372" s="365">
        <f t="shared" si="5"/>
        <v>76.77999069077714</v>
      </c>
      <c r="E372" s="365">
        <f>'Public Lighting Charges'!O826</f>
        <v>59.681733898772414</v>
      </c>
      <c r="F372" s="365" t="e">
        <f>'Public Lighting Charges'!Q826</f>
        <v>#N/A</v>
      </c>
      <c r="G372" s="365" t="e">
        <f>'Public Lighting Charges'!T826</f>
        <v>#N/A</v>
      </c>
      <c r="H372" s="365" t="e">
        <f>'Public Lighting Charges'!W826</f>
        <v>#N/A</v>
      </c>
      <c r="I372" s="365" t="e">
        <f>'Public Lighting Charges'!Z826</f>
        <v>#N/A</v>
      </c>
    </row>
    <row r="373" spans="1:9" x14ac:dyDescent="0.2">
      <c r="A373" t="str">
        <f>'Public Lighting Charges'!A827</f>
        <v>FLU0350-ST-1620-002-B</v>
      </c>
      <c r="B373" s="365">
        <f>'Public Lighting Charges'!J827</f>
        <v>0</v>
      </c>
      <c r="C373" s="365">
        <f>'Public Lighting Charges'!L827*(1+'Public Lighting Charges'!$M$12)+(('Public Lighting Charges'!L827*'Public Lighting Charges'!$M$10)*'Public Lighting Charges'!$M$14)</f>
        <v>57.561219439394101</v>
      </c>
      <c r="D373" s="365">
        <f t="shared" si="5"/>
        <v>57.561219439394101</v>
      </c>
      <c r="E373" s="365">
        <f>'Public Lighting Charges'!O827</f>
        <v>33.593955232512172</v>
      </c>
      <c r="F373" s="365">
        <f>'Public Lighting Charges'!Q827</f>
        <v>35.238005181531229</v>
      </c>
      <c r="G373" s="365">
        <f>'Public Lighting Charges'!T827</f>
        <v>36.685271813979654</v>
      </c>
      <c r="H373" s="365">
        <f>'Public Lighting Charges'!W827</f>
        <v>38.020715015120231</v>
      </c>
      <c r="I373" s="365">
        <f>'Public Lighting Charges'!Z827</f>
        <v>39.118966532032779</v>
      </c>
    </row>
    <row r="374" spans="1:9" x14ac:dyDescent="0.2">
      <c r="A374" t="str">
        <f>'Public Lighting Charges'!A828</f>
        <v>FLU0350-ST-1630-001-B</v>
      </c>
      <c r="B374" s="365" t="e">
        <f>'Public Lighting Charges'!J828</f>
        <v>#N/A</v>
      </c>
      <c r="C374" s="365">
        <f>'Public Lighting Charges'!L828*(1+'Public Lighting Charges'!$M$12)+(('Public Lighting Charges'!L828*'Public Lighting Charges'!$M$10)*'Public Lighting Charges'!$M$14)</f>
        <v>57.561219439394101</v>
      </c>
      <c r="D374" s="365" t="e">
        <f t="shared" si="5"/>
        <v>#N/A</v>
      </c>
      <c r="E374" s="365" t="e">
        <f>'Public Lighting Charges'!O828</f>
        <v>#N/A</v>
      </c>
      <c r="F374" s="365" t="e">
        <f>'Public Lighting Charges'!Q828</f>
        <v>#N/A</v>
      </c>
      <c r="G374" s="365" t="e">
        <f>'Public Lighting Charges'!T828</f>
        <v>#N/A</v>
      </c>
      <c r="H374" s="365" t="e">
        <f>'Public Lighting Charges'!W828</f>
        <v>#N/A</v>
      </c>
      <c r="I374" s="365" t="e">
        <f>'Public Lighting Charges'!Z828</f>
        <v>#N/A</v>
      </c>
    </row>
    <row r="375" spans="1:9" x14ac:dyDescent="0.2">
      <c r="A375" t="str">
        <f>'Public Lighting Charges'!A829</f>
        <v>FLU0350-ST-1630-002-B</v>
      </c>
      <c r="B375" s="365">
        <f>'Public Lighting Charges'!J829</f>
        <v>0</v>
      </c>
      <c r="C375" s="365">
        <f>'Public Lighting Charges'!L829*(1+'Public Lighting Charges'!$M$12)+(('Public Lighting Charges'!L829*'Public Lighting Charges'!$M$10)*'Public Lighting Charges'!$M$14)</f>
        <v>57.561219439394101</v>
      </c>
      <c r="D375" s="365">
        <f t="shared" si="5"/>
        <v>57.561219439394101</v>
      </c>
      <c r="E375" s="365">
        <f>'Public Lighting Charges'!O829</f>
        <v>33.593955232512172</v>
      </c>
      <c r="F375" s="365">
        <f>'Public Lighting Charges'!Q829</f>
        <v>35.238005181531229</v>
      </c>
      <c r="G375" s="365">
        <f>'Public Lighting Charges'!T829</f>
        <v>36.685271813979654</v>
      </c>
      <c r="H375" s="365">
        <f>'Public Lighting Charges'!W829</f>
        <v>38.020715015120231</v>
      </c>
      <c r="I375" s="365">
        <f>'Public Lighting Charges'!Z829</f>
        <v>39.118966532032779</v>
      </c>
    </row>
    <row r="376" spans="1:9" x14ac:dyDescent="0.2">
      <c r="A376" t="str">
        <f>'Public Lighting Charges'!A830</f>
        <v>FLU0350-ST-1640-001-B</v>
      </c>
      <c r="B376" s="365" t="e">
        <f>'Public Lighting Charges'!J830</f>
        <v>#N/A</v>
      </c>
      <c r="C376" s="365">
        <f>'Public Lighting Charges'!L830*(1+'Public Lighting Charges'!$M$12)+(('Public Lighting Charges'!L830*'Public Lighting Charges'!$M$10)*'Public Lighting Charges'!$M$14)</f>
        <v>57.561219439394101</v>
      </c>
      <c r="D376" s="365" t="e">
        <f t="shared" si="5"/>
        <v>#N/A</v>
      </c>
      <c r="E376" s="365" t="e">
        <f>'Public Lighting Charges'!O830</f>
        <v>#N/A</v>
      </c>
      <c r="F376" s="365" t="e">
        <f>'Public Lighting Charges'!Q830</f>
        <v>#N/A</v>
      </c>
      <c r="G376" s="365" t="e">
        <f>'Public Lighting Charges'!T830</f>
        <v>#N/A</v>
      </c>
      <c r="H376" s="365" t="e">
        <f>'Public Lighting Charges'!W830</f>
        <v>#N/A</v>
      </c>
      <c r="I376" s="365" t="e">
        <f>'Public Lighting Charges'!Z830</f>
        <v>#N/A</v>
      </c>
    </row>
    <row r="377" spans="1:9" x14ac:dyDescent="0.2">
      <c r="A377" t="str">
        <f>'Public Lighting Charges'!A831</f>
        <v>FLU0350-ST-1640-002-B</v>
      </c>
      <c r="B377" s="365">
        <f>'Public Lighting Charges'!J831</f>
        <v>0</v>
      </c>
      <c r="C377" s="365">
        <f>'Public Lighting Charges'!L831*(1+'Public Lighting Charges'!$M$12)+(('Public Lighting Charges'!L831*'Public Lighting Charges'!$M$10)*'Public Lighting Charges'!$M$14)</f>
        <v>57.561219439394101</v>
      </c>
      <c r="D377" s="365">
        <f t="shared" si="5"/>
        <v>57.561219439394101</v>
      </c>
      <c r="E377" s="365">
        <f>'Public Lighting Charges'!O831</f>
        <v>33.593955232512172</v>
      </c>
      <c r="F377" s="365">
        <f>'Public Lighting Charges'!Q831</f>
        <v>35.238005181531229</v>
      </c>
      <c r="G377" s="365">
        <f>'Public Lighting Charges'!T831</f>
        <v>36.685271813979654</v>
      </c>
      <c r="H377" s="365">
        <f>'Public Lighting Charges'!W831</f>
        <v>38.020715015120231</v>
      </c>
      <c r="I377" s="365">
        <f>'Public Lighting Charges'!Z831</f>
        <v>39.118966532032779</v>
      </c>
    </row>
    <row r="378" spans="1:9" x14ac:dyDescent="0.2">
      <c r="A378" t="str">
        <f>'Public Lighting Charges'!A832</f>
        <v>FLU0350-ST-1650-001-B</v>
      </c>
      <c r="B378" s="365" t="e">
        <f>'Public Lighting Charges'!J832</f>
        <v>#N/A</v>
      </c>
      <c r="C378" s="365">
        <f>'Public Lighting Charges'!L832*(1+'Public Lighting Charges'!$M$12)+(('Public Lighting Charges'!L832*'Public Lighting Charges'!$M$10)*'Public Lighting Charges'!$M$14)</f>
        <v>57.561219439394101</v>
      </c>
      <c r="D378" s="365" t="e">
        <f t="shared" si="5"/>
        <v>#N/A</v>
      </c>
      <c r="E378" s="365" t="e">
        <f>'Public Lighting Charges'!O832</f>
        <v>#N/A</v>
      </c>
      <c r="F378" s="365" t="e">
        <f>'Public Lighting Charges'!Q832</f>
        <v>#N/A</v>
      </c>
      <c r="G378" s="365" t="e">
        <f>'Public Lighting Charges'!T832</f>
        <v>#N/A</v>
      </c>
      <c r="H378" s="365" t="e">
        <f>'Public Lighting Charges'!W832</f>
        <v>#N/A</v>
      </c>
      <c r="I378" s="365" t="e">
        <f>'Public Lighting Charges'!Z832</f>
        <v>#N/A</v>
      </c>
    </row>
    <row r="379" spans="1:9" x14ac:dyDescent="0.2">
      <c r="A379" t="str">
        <f>'Public Lighting Charges'!A833</f>
        <v>FLU0350-ST-1650-002-B</v>
      </c>
      <c r="B379" s="365">
        <f>'Public Lighting Charges'!J833</f>
        <v>0</v>
      </c>
      <c r="C379" s="365">
        <f>'Public Lighting Charges'!L833*(1+'Public Lighting Charges'!$M$12)+(('Public Lighting Charges'!L833*'Public Lighting Charges'!$M$10)*'Public Lighting Charges'!$M$14)</f>
        <v>57.561219439394101</v>
      </c>
      <c r="D379" s="365">
        <f t="shared" si="5"/>
        <v>57.561219439394101</v>
      </c>
      <c r="E379" s="365">
        <f>'Public Lighting Charges'!O833</f>
        <v>33.593955232512172</v>
      </c>
      <c r="F379" s="365">
        <f>'Public Lighting Charges'!Q833</f>
        <v>35.238005181531229</v>
      </c>
      <c r="G379" s="365">
        <f>'Public Lighting Charges'!T833</f>
        <v>36.685271813979654</v>
      </c>
      <c r="H379" s="365">
        <f>'Public Lighting Charges'!W833</f>
        <v>38.020715015120231</v>
      </c>
      <c r="I379" s="365">
        <f>'Public Lighting Charges'!Z833</f>
        <v>39.118966532032779</v>
      </c>
    </row>
    <row r="380" spans="1:9" x14ac:dyDescent="0.2">
      <c r="A380" t="str">
        <f>'Public Lighting Charges'!A834</f>
        <v>FLU0350-ST-1660-001-B</v>
      </c>
      <c r="B380" s="365" t="e">
        <f>'Public Lighting Charges'!J834</f>
        <v>#N/A</v>
      </c>
      <c r="C380" s="365">
        <f>'Public Lighting Charges'!L834*(1+'Public Lighting Charges'!$M$12)+(('Public Lighting Charges'!L834*'Public Lighting Charges'!$M$10)*'Public Lighting Charges'!$M$14)</f>
        <v>68.73562423872086</v>
      </c>
      <c r="D380" s="365" t="e">
        <f t="shared" si="5"/>
        <v>#N/A</v>
      </c>
      <c r="E380" s="365" t="e">
        <f>'Public Lighting Charges'!O834</f>
        <v>#N/A</v>
      </c>
      <c r="F380" s="365" t="e">
        <f>'Public Lighting Charges'!Q834</f>
        <v>#N/A</v>
      </c>
      <c r="G380" s="365" t="e">
        <f>'Public Lighting Charges'!T834</f>
        <v>#N/A</v>
      </c>
      <c r="H380" s="365" t="e">
        <f>'Public Lighting Charges'!W834</f>
        <v>#N/A</v>
      </c>
      <c r="I380" s="365" t="e">
        <f>'Public Lighting Charges'!Z834</f>
        <v>#N/A</v>
      </c>
    </row>
    <row r="381" spans="1:9" x14ac:dyDescent="0.2">
      <c r="A381" t="str">
        <f>'Public Lighting Charges'!A835</f>
        <v>FLU0350-ST-1660-002-B</v>
      </c>
      <c r="B381" s="365">
        <f>'Public Lighting Charges'!J835</f>
        <v>0</v>
      </c>
      <c r="C381" s="365">
        <f>'Public Lighting Charges'!L835*(1+'Public Lighting Charges'!$M$12)+(('Public Lighting Charges'!L835*'Public Lighting Charges'!$M$10)*'Public Lighting Charges'!$M$14)</f>
        <v>68.73562423872086</v>
      </c>
      <c r="D381" s="365">
        <f t="shared" si="5"/>
        <v>68.73562423872086</v>
      </c>
      <c r="E381" s="365">
        <f>'Public Lighting Charges'!O835</f>
        <v>43.990155307936348</v>
      </c>
      <c r="F381" s="365">
        <f>'Public Lighting Charges'!Q835</f>
        <v>46.142983460822599</v>
      </c>
      <c r="G381" s="365">
        <f>'Public Lighting Charges'!T835</f>
        <v>48.038130474407509</v>
      </c>
      <c r="H381" s="365">
        <f>'Public Lighting Charges'!W835</f>
        <v>49.786848463001093</v>
      </c>
      <c r="I381" s="365">
        <f>'Public Lighting Charges'!Z835</f>
        <v>51.224971912942564</v>
      </c>
    </row>
    <row r="382" spans="1:9" x14ac:dyDescent="0.2">
      <c r="A382" t="str">
        <f>'Public Lighting Charges'!A836</f>
        <v>FLU0350-ST-1670-001-B</v>
      </c>
      <c r="B382" s="365" t="e">
        <f>'Public Lighting Charges'!J836</f>
        <v>#N/A</v>
      </c>
      <c r="C382" s="365">
        <f>'Public Lighting Charges'!L836*(1+'Public Lighting Charges'!$M$12)+(('Public Lighting Charges'!L836*'Public Lighting Charges'!$M$10)*'Public Lighting Charges'!$M$14)</f>
        <v>68.73562423872086</v>
      </c>
      <c r="D382" s="365" t="e">
        <f t="shared" si="5"/>
        <v>#N/A</v>
      </c>
      <c r="E382" s="365" t="e">
        <f>'Public Lighting Charges'!O836</f>
        <v>#N/A</v>
      </c>
      <c r="F382" s="365" t="e">
        <f>'Public Lighting Charges'!Q836</f>
        <v>#N/A</v>
      </c>
      <c r="G382" s="365" t="e">
        <f>'Public Lighting Charges'!T836</f>
        <v>#N/A</v>
      </c>
      <c r="H382" s="365" t="e">
        <f>'Public Lighting Charges'!W836</f>
        <v>#N/A</v>
      </c>
      <c r="I382" s="365" t="e">
        <f>'Public Lighting Charges'!Z836</f>
        <v>#N/A</v>
      </c>
    </row>
    <row r="383" spans="1:9" x14ac:dyDescent="0.2">
      <c r="A383" t="str">
        <f>'Public Lighting Charges'!A837</f>
        <v>FLU0350-ST-1670-002-B</v>
      </c>
      <c r="B383" s="365">
        <f>'Public Lighting Charges'!J837</f>
        <v>0</v>
      </c>
      <c r="C383" s="365">
        <f>'Public Lighting Charges'!L837*(1+'Public Lighting Charges'!$M$12)+(('Public Lighting Charges'!L837*'Public Lighting Charges'!$M$10)*'Public Lighting Charges'!$M$14)</f>
        <v>68.73562423872086</v>
      </c>
      <c r="D383" s="365">
        <f t="shared" si="5"/>
        <v>68.73562423872086</v>
      </c>
      <c r="E383" s="365">
        <f>'Public Lighting Charges'!O837</f>
        <v>43.990155307936348</v>
      </c>
      <c r="F383" s="365">
        <f>'Public Lighting Charges'!Q837</f>
        <v>46.142983460822599</v>
      </c>
      <c r="G383" s="365">
        <f>'Public Lighting Charges'!T837</f>
        <v>48.038130474407509</v>
      </c>
      <c r="H383" s="365">
        <f>'Public Lighting Charges'!W837</f>
        <v>49.786848463001093</v>
      </c>
      <c r="I383" s="365">
        <f>'Public Lighting Charges'!Z837</f>
        <v>51.224971912942564</v>
      </c>
    </row>
    <row r="384" spans="1:9" x14ac:dyDescent="0.2">
      <c r="A384" t="str">
        <f>'Public Lighting Charges'!A838</f>
        <v>FLU0350-ST-1680-001-B</v>
      </c>
      <c r="B384" s="365" t="e">
        <f>'Public Lighting Charges'!J838</f>
        <v>#N/A</v>
      </c>
      <c r="C384" s="365">
        <f>'Public Lighting Charges'!L838*(1+'Public Lighting Charges'!$M$12)+(('Public Lighting Charges'!L838*'Public Lighting Charges'!$M$10)*'Public Lighting Charges'!$M$14)</f>
        <v>68.73562423872086</v>
      </c>
      <c r="D384" s="365" t="e">
        <f t="shared" si="5"/>
        <v>#N/A</v>
      </c>
      <c r="E384" s="365" t="e">
        <f>'Public Lighting Charges'!O838</f>
        <v>#N/A</v>
      </c>
      <c r="F384" s="365" t="e">
        <f>'Public Lighting Charges'!Q838</f>
        <v>#N/A</v>
      </c>
      <c r="G384" s="365" t="e">
        <f>'Public Lighting Charges'!T838</f>
        <v>#N/A</v>
      </c>
      <c r="H384" s="365" t="e">
        <f>'Public Lighting Charges'!W838</f>
        <v>#N/A</v>
      </c>
      <c r="I384" s="365" t="e">
        <f>'Public Lighting Charges'!Z838</f>
        <v>#N/A</v>
      </c>
    </row>
    <row r="385" spans="1:9" x14ac:dyDescent="0.2">
      <c r="A385" t="str">
        <f>'Public Lighting Charges'!A839</f>
        <v>FLU0350-ST-1680-002-B</v>
      </c>
      <c r="B385" s="365">
        <f>'Public Lighting Charges'!J839</f>
        <v>0</v>
      </c>
      <c r="C385" s="365">
        <f>'Public Lighting Charges'!L839*(1+'Public Lighting Charges'!$M$12)+(('Public Lighting Charges'!L839*'Public Lighting Charges'!$M$10)*'Public Lighting Charges'!$M$14)</f>
        <v>68.73562423872086</v>
      </c>
      <c r="D385" s="365">
        <f t="shared" si="5"/>
        <v>68.73562423872086</v>
      </c>
      <c r="E385" s="365">
        <f>'Public Lighting Charges'!O839</f>
        <v>43.990155307936348</v>
      </c>
      <c r="F385" s="365">
        <f>'Public Lighting Charges'!Q839</f>
        <v>46.142983460822599</v>
      </c>
      <c r="G385" s="365">
        <f>'Public Lighting Charges'!T839</f>
        <v>48.038130474407509</v>
      </c>
      <c r="H385" s="365">
        <f>'Public Lighting Charges'!W839</f>
        <v>49.786848463001093</v>
      </c>
      <c r="I385" s="365">
        <f>'Public Lighting Charges'!Z839</f>
        <v>51.224971912942564</v>
      </c>
    </row>
    <row r="386" spans="1:9" x14ac:dyDescent="0.2">
      <c r="A386" t="str">
        <f>'Public Lighting Charges'!A840</f>
        <v>FLU0350-ST-1690-001-B</v>
      </c>
      <c r="B386" s="365" t="e">
        <f>'Public Lighting Charges'!J840</f>
        <v>#N/A</v>
      </c>
      <c r="C386" s="365">
        <f>'Public Lighting Charges'!L840*(1+'Public Lighting Charges'!$M$12)+(('Public Lighting Charges'!L840*'Public Lighting Charges'!$M$10)*'Public Lighting Charges'!$M$14)</f>
        <v>68.73562423872086</v>
      </c>
      <c r="D386" s="365" t="e">
        <f t="shared" si="5"/>
        <v>#N/A</v>
      </c>
      <c r="E386" s="365" t="e">
        <f>'Public Lighting Charges'!O840</f>
        <v>#N/A</v>
      </c>
      <c r="F386" s="365" t="e">
        <f>'Public Lighting Charges'!Q840</f>
        <v>#N/A</v>
      </c>
      <c r="G386" s="365" t="e">
        <f>'Public Lighting Charges'!T840</f>
        <v>#N/A</v>
      </c>
      <c r="H386" s="365" t="e">
        <f>'Public Lighting Charges'!W840</f>
        <v>#N/A</v>
      </c>
      <c r="I386" s="365" t="e">
        <f>'Public Lighting Charges'!Z840</f>
        <v>#N/A</v>
      </c>
    </row>
    <row r="387" spans="1:9" x14ac:dyDescent="0.2">
      <c r="A387" t="str">
        <f>'Public Lighting Charges'!A841</f>
        <v>FLU0350-ST-1690-002-B</v>
      </c>
      <c r="B387" s="365">
        <f>'Public Lighting Charges'!J841</f>
        <v>0</v>
      </c>
      <c r="C387" s="365">
        <f>'Public Lighting Charges'!L841*(1+'Public Lighting Charges'!$M$12)+(('Public Lighting Charges'!L841*'Public Lighting Charges'!$M$10)*'Public Lighting Charges'!$M$14)</f>
        <v>68.73562423872086</v>
      </c>
      <c r="D387" s="365">
        <f t="shared" si="5"/>
        <v>68.73562423872086</v>
      </c>
      <c r="E387" s="365">
        <f>'Public Lighting Charges'!O841</f>
        <v>43.990155307936348</v>
      </c>
      <c r="F387" s="365">
        <f>'Public Lighting Charges'!Q841</f>
        <v>46.142983460822599</v>
      </c>
      <c r="G387" s="365">
        <f>'Public Lighting Charges'!T841</f>
        <v>48.038130474407509</v>
      </c>
      <c r="H387" s="365">
        <f>'Public Lighting Charges'!W841</f>
        <v>49.786848463001093</v>
      </c>
      <c r="I387" s="365">
        <f>'Public Lighting Charges'!Z841</f>
        <v>51.224971912942564</v>
      </c>
    </row>
    <row r="388" spans="1:9" x14ac:dyDescent="0.2">
      <c r="A388" t="str">
        <f>'Public Lighting Charges'!A842</f>
        <v>FLU0350-ST-1700-001-B</v>
      </c>
      <c r="B388" s="365">
        <f>'Public Lighting Charges'!J842</f>
        <v>88.217405270904322</v>
      </c>
      <c r="C388" s="365">
        <f>'Public Lighting Charges'!L842*(1+'Public Lighting Charges'!$M$12)+(('Public Lighting Charges'!L842*'Public Lighting Charges'!$M$10)*'Public Lighting Charges'!$M$14)</f>
        <v>67.933854038720867</v>
      </c>
      <c r="D388" s="365">
        <f t="shared" ref="D388:D451" si="6">B388+C388</f>
        <v>156.15125930962517</v>
      </c>
      <c r="E388" s="365">
        <f>'Public Lighting Charges'!O842</f>
        <v>162.93537965485891</v>
      </c>
      <c r="F388" s="365" t="e">
        <f>'Public Lighting Charges'!Q842</f>
        <v>#N/A</v>
      </c>
      <c r="G388" s="365" t="e">
        <f>'Public Lighting Charges'!T842</f>
        <v>#N/A</v>
      </c>
      <c r="H388" s="365" t="e">
        <f>'Public Lighting Charges'!W842</f>
        <v>#N/A</v>
      </c>
      <c r="I388" s="365" t="e">
        <f>'Public Lighting Charges'!Z842</f>
        <v>#N/A</v>
      </c>
    </row>
    <row r="389" spans="1:9" x14ac:dyDescent="0.2">
      <c r="A389" t="str">
        <f>'Public Lighting Charges'!A843</f>
        <v>FLU0350-ST-1700-002-B</v>
      </c>
      <c r="B389" s="365">
        <f>'Public Lighting Charges'!J843</f>
        <v>0</v>
      </c>
      <c r="C389" s="365">
        <f>'Public Lighting Charges'!L843*(1+'Public Lighting Charges'!$M$12)+(('Public Lighting Charges'!L843*'Public Lighting Charges'!$M$10)*'Public Lighting Charges'!$M$14)</f>
        <v>67.933854038720867</v>
      </c>
      <c r="D389" s="365">
        <f t="shared" si="6"/>
        <v>67.933854038720867</v>
      </c>
      <c r="E389" s="365">
        <f>'Public Lighting Charges'!O843</f>
        <v>43.188070468611343</v>
      </c>
      <c r="F389" s="365">
        <f>'Public Lighting Charges'!Q843</f>
        <v>45.301645501998145</v>
      </c>
      <c r="G389" s="365">
        <f>'Public Lighting Charges'!T843</f>
        <v>47.162237768566406</v>
      </c>
      <c r="H389" s="365">
        <f>'Public Lighting Charges'!W843</f>
        <v>48.87907089162389</v>
      </c>
      <c r="I389" s="365">
        <f>'Public Lighting Charges'!Z843</f>
        <v>50.290972633362664</v>
      </c>
    </row>
    <row r="390" spans="1:9" x14ac:dyDescent="0.2">
      <c r="A390" t="str">
        <f>'Public Lighting Charges'!A844</f>
        <v>FLU0350-ST-1710-001-B</v>
      </c>
      <c r="B390" s="365" t="e">
        <f>'Public Lighting Charges'!J844</f>
        <v>#N/A</v>
      </c>
      <c r="C390" s="365">
        <f>'Public Lighting Charges'!L844*(1+'Public Lighting Charges'!$M$12)+(('Public Lighting Charges'!L844*'Public Lighting Charges'!$M$10)*'Public Lighting Charges'!$M$14)</f>
        <v>67.933854038720867</v>
      </c>
      <c r="D390" s="365" t="e">
        <f t="shared" si="6"/>
        <v>#N/A</v>
      </c>
      <c r="E390" s="365" t="e">
        <f>'Public Lighting Charges'!O844</f>
        <v>#N/A</v>
      </c>
      <c r="F390" s="365" t="e">
        <f>'Public Lighting Charges'!Q844</f>
        <v>#N/A</v>
      </c>
      <c r="G390" s="365" t="e">
        <f>'Public Lighting Charges'!T844</f>
        <v>#N/A</v>
      </c>
      <c r="H390" s="365" t="e">
        <f>'Public Lighting Charges'!W844</f>
        <v>#N/A</v>
      </c>
      <c r="I390" s="365" t="e">
        <f>'Public Lighting Charges'!Z844</f>
        <v>#N/A</v>
      </c>
    </row>
    <row r="391" spans="1:9" x14ac:dyDescent="0.2">
      <c r="A391" t="str">
        <f>'Public Lighting Charges'!A845</f>
        <v>FLU0350-ST-1710-002-B</v>
      </c>
      <c r="B391" s="365">
        <f>'Public Lighting Charges'!J845</f>
        <v>0</v>
      </c>
      <c r="C391" s="365">
        <f>'Public Lighting Charges'!L845*(1+'Public Lighting Charges'!$M$12)+(('Public Lighting Charges'!L845*'Public Lighting Charges'!$M$10)*'Public Lighting Charges'!$M$14)</f>
        <v>67.933854038720867</v>
      </c>
      <c r="D391" s="365">
        <f t="shared" si="6"/>
        <v>67.933854038720867</v>
      </c>
      <c r="E391" s="365">
        <f>'Public Lighting Charges'!O845</f>
        <v>43.188070468611343</v>
      </c>
      <c r="F391" s="365">
        <f>'Public Lighting Charges'!Q845</f>
        <v>45.301645501998145</v>
      </c>
      <c r="G391" s="365">
        <f>'Public Lighting Charges'!T845</f>
        <v>47.162237768566406</v>
      </c>
      <c r="H391" s="365">
        <f>'Public Lighting Charges'!W845</f>
        <v>48.87907089162389</v>
      </c>
      <c r="I391" s="365">
        <f>'Public Lighting Charges'!Z845</f>
        <v>50.290972633362664</v>
      </c>
    </row>
    <row r="392" spans="1:9" x14ac:dyDescent="0.2">
      <c r="A392" t="str">
        <f>'Public Lighting Charges'!A846</f>
        <v>FLU0350-ST-1720-001-B</v>
      </c>
      <c r="B392" s="365" t="e">
        <f>'Public Lighting Charges'!J846</f>
        <v>#N/A</v>
      </c>
      <c r="C392" s="365">
        <f>'Public Lighting Charges'!L846*(1+'Public Lighting Charges'!$M$12)+(('Public Lighting Charges'!L846*'Public Lighting Charges'!$M$10)*'Public Lighting Charges'!$M$14)</f>
        <v>67.933854038720867</v>
      </c>
      <c r="D392" s="365" t="e">
        <f t="shared" si="6"/>
        <v>#N/A</v>
      </c>
      <c r="E392" s="365" t="e">
        <f>'Public Lighting Charges'!O846</f>
        <v>#N/A</v>
      </c>
      <c r="F392" s="365" t="e">
        <f>'Public Lighting Charges'!Q846</f>
        <v>#N/A</v>
      </c>
      <c r="G392" s="365" t="e">
        <f>'Public Lighting Charges'!T846</f>
        <v>#N/A</v>
      </c>
      <c r="H392" s="365" t="e">
        <f>'Public Lighting Charges'!W846</f>
        <v>#N/A</v>
      </c>
      <c r="I392" s="365" t="e">
        <f>'Public Lighting Charges'!Z846</f>
        <v>#N/A</v>
      </c>
    </row>
    <row r="393" spans="1:9" x14ac:dyDescent="0.2">
      <c r="A393" t="str">
        <f>'Public Lighting Charges'!A847</f>
        <v>FLU0350-ST-1720-002-B</v>
      </c>
      <c r="B393" s="365">
        <f>'Public Lighting Charges'!J847</f>
        <v>0</v>
      </c>
      <c r="C393" s="365">
        <f>'Public Lighting Charges'!L847*(1+'Public Lighting Charges'!$M$12)+(('Public Lighting Charges'!L847*'Public Lighting Charges'!$M$10)*'Public Lighting Charges'!$M$14)</f>
        <v>67.933854038720867</v>
      </c>
      <c r="D393" s="365">
        <f t="shared" si="6"/>
        <v>67.933854038720867</v>
      </c>
      <c r="E393" s="365">
        <f>'Public Lighting Charges'!O847</f>
        <v>43.188070468611343</v>
      </c>
      <c r="F393" s="365">
        <f>'Public Lighting Charges'!Q847</f>
        <v>45.301645501998145</v>
      </c>
      <c r="G393" s="365">
        <f>'Public Lighting Charges'!T847</f>
        <v>47.162237768566406</v>
      </c>
      <c r="H393" s="365">
        <f>'Public Lighting Charges'!W847</f>
        <v>48.87907089162389</v>
      </c>
      <c r="I393" s="365">
        <f>'Public Lighting Charges'!Z847</f>
        <v>50.290972633362664</v>
      </c>
    </row>
    <row r="394" spans="1:9" x14ac:dyDescent="0.2">
      <c r="A394" t="str">
        <f>'Public Lighting Charges'!A848</f>
        <v>FLU0350-ST-1730-001-B</v>
      </c>
      <c r="B394" s="365" t="e">
        <f>'Public Lighting Charges'!J848</f>
        <v>#N/A</v>
      </c>
      <c r="C394" s="365">
        <f>'Public Lighting Charges'!L848*(1+'Public Lighting Charges'!$M$12)+(('Public Lighting Charges'!L848*'Public Lighting Charges'!$M$10)*'Public Lighting Charges'!$M$14)</f>
        <v>67.933854038720867</v>
      </c>
      <c r="D394" s="365" t="e">
        <f t="shared" si="6"/>
        <v>#N/A</v>
      </c>
      <c r="E394" s="365" t="e">
        <f>'Public Lighting Charges'!O848</f>
        <v>#N/A</v>
      </c>
      <c r="F394" s="365" t="e">
        <f>'Public Lighting Charges'!Q848</f>
        <v>#N/A</v>
      </c>
      <c r="G394" s="365" t="e">
        <f>'Public Lighting Charges'!T848</f>
        <v>#N/A</v>
      </c>
      <c r="H394" s="365" t="e">
        <f>'Public Lighting Charges'!W848</f>
        <v>#N/A</v>
      </c>
      <c r="I394" s="365" t="e">
        <f>'Public Lighting Charges'!Z848</f>
        <v>#N/A</v>
      </c>
    </row>
    <row r="395" spans="1:9" x14ac:dyDescent="0.2">
      <c r="A395" t="str">
        <f>'Public Lighting Charges'!A849</f>
        <v>FLU0350-ST-1730-002-B</v>
      </c>
      <c r="B395" s="365">
        <f>'Public Lighting Charges'!J849</f>
        <v>0</v>
      </c>
      <c r="C395" s="365">
        <f>'Public Lighting Charges'!L849*(1+'Public Lighting Charges'!$M$12)+(('Public Lighting Charges'!L849*'Public Lighting Charges'!$M$10)*'Public Lighting Charges'!$M$14)</f>
        <v>67.933854038720867</v>
      </c>
      <c r="D395" s="365">
        <f t="shared" si="6"/>
        <v>67.933854038720867</v>
      </c>
      <c r="E395" s="365">
        <f>'Public Lighting Charges'!O849</f>
        <v>43.188070468611343</v>
      </c>
      <c r="F395" s="365">
        <f>'Public Lighting Charges'!Q849</f>
        <v>45.301645501998145</v>
      </c>
      <c r="G395" s="365">
        <f>'Public Lighting Charges'!T849</f>
        <v>47.162237768566406</v>
      </c>
      <c r="H395" s="365">
        <f>'Public Lighting Charges'!W849</f>
        <v>48.87907089162389</v>
      </c>
      <c r="I395" s="365">
        <f>'Public Lighting Charges'!Z849</f>
        <v>50.290972633362664</v>
      </c>
    </row>
    <row r="396" spans="1:9" x14ac:dyDescent="0.2">
      <c r="A396" t="str">
        <f>'Public Lighting Charges'!A850</f>
        <v>FLU0360-ST-1740-001-B</v>
      </c>
      <c r="B396" s="365" t="e">
        <f>'Public Lighting Charges'!J850</f>
        <v>#N/A</v>
      </c>
      <c r="C396" s="365">
        <f>'Public Lighting Charges'!L850*(1+'Public Lighting Charges'!$M$12)+(('Public Lighting Charges'!L850*'Public Lighting Charges'!$M$10)*'Public Lighting Charges'!$M$14)</f>
        <v>59.343966704119865</v>
      </c>
      <c r="D396" s="365" t="e">
        <f t="shared" si="6"/>
        <v>#N/A</v>
      </c>
      <c r="E396" s="365" t="e">
        <f>'Public Lighting Charges'!O850</f>
        <v>#N/A</v>
      </c>
      <c r="F396" s="365" t="e">
        <f>'Public Lighting Charges'!Q850</f>
        <v>#N/A</v>
      </c>
      <c r="G396" s="365" t="e">
        <f>'Public Lighting Charges'!T850</f>
        <v>#N/A</v>
      </c>
      <c r="H396" s="365" t="e">
        <f>'Public Lighting Charges'!W850</f>
        <v>#N/A</v>
      </c>
      <c r="I396" s="365" t="e">
        <f>'Public Lighting Charges'!Z850</f>
        <v>#N/A</v>
      </c>
    </row>
    <row r="397" spans="1:9" x14ac:dyDescent="0.2">
      <c r="A397" t="str">
        <f>'Public Lighting Charges'!A851</f>
        <v>FLU0360-ST-1740-002-B</v>
      </c>
      <c r="B397" s="365">
        <f>'Public Lighting Charges'!J851</f>
        <v>0</v>
      </c>
      <c r="C397" s="365">
        <f>'Public Lighting Charges'!L851*(1+'Public Lighting Charges'!$M$12)+(('Public Lighting Charges'!L851*'Public Lighting Charges'!$M$10)*'Public Lighting Charges'!$M$14)</f>
        <v>59.343966704119865</v>
      </c>
      <c r="D397" s="365">
        <f t="shared" si="6"/>
        <v>59.343966704119865</v>
      </c>
      <c r="E397" s="365">
        <f>'Public Lighting Charges'!O851</f>
        <v>33.95570257839438</v>
      </c>
      <c r="F397" s="365">
        <f>'Public Lighting Charges'!Q851</f>
        <v>35.617456030958607</v>
      </c>
      <c r="G397" s="365">
        <f>'Public Lighting Charges'!T851</f>
        <v>37.080307159470351</v>
      </c>
      <c r="H397" s="365">
        <f>'Public Lighting Charges'!W851</f>
        <v>38.430130716548341</v>
      </c>
      <c r="I397" s="365">
        <f>'Public Lighting Charges'!Z851</f>
        <v>39.540208455428633</v>
      </c>
    </row>
    <row r="398" spans="1:9" x14ac:dyDescent="0.2">
      <c r="A398" t="str">
        <f>'Public Lighting Charges'!A852</f>
        <v>FLU0360-ST-1750-001-B</v>
      </c>
      <c r="B398" s="365" t="e">
        <f>'Public Lighting Charges'!J852</f>
        <v>#N/A</v>
      </c>
      <c r="C398" s="365">
        <f>'Public Lighting Charges'!L852*(1+'Public Lighting Charges'!$M$12)+(('Public Lighting Charges'!L852*'Public Lighting Charges'!$M$10)*'Public Lighting Charges'!$M$14)</f>
        <v>59.343966704119865</v>
      </c>
      <c r="D398" s="365" t="e">
        <f t="shared" si="6"/>
        <v>#N/A</v>
      </c>
      <c r="E398" s="365" t="e">
        <f>'Public Lighting Charges'!O852</f>
        <v>#N/A</v>
      </c>
      <c r="F398" s="365" t="e">
        <f>'Public Lighting Charges'!Q852</f>
        <v>#N/A</v>
      </c>
      <c r="G398" s="365" t="e">
        <f>'Public Lighting Charges'!T852</f>
        <v>#N/A</v>
      </c>
      <c r="H398" s="365" t="e">
        <f>'Public Lighting Charges'!W852</f>
        <v>#N/A</v>
      </c>
      <c r="I398" s="365" t="e">
        <f>'Public Lighting Charges'!Z852</f>
        <v>#N/A</v>
      </c>
    </row>
    <row r="399" spans="1:9" x14ac:dyDescent="0.2">
      <c r="A399" t="str">
        <f>'Public Lighting Charges'!A853</f>
        <v>FLU0360-ST-1750-002-B</v>
      </c>
      <c r="B399" s="365">
        <f>'Public Lighting Charges'!J853</f>
        <v>0</v>
      </c>
      <c r="C399" s="365">
        <f>'Public Lighting Charges'!L853*(1+'Public Lighting Charges'!$M$12)+(('Public Lighting Charges'!L853*'Public Lighting Charges'!$M$10)*'Public Lighting Charges'!$M$14)</f>
        <v>59.343966704119865</v>
      </c>
      <c r="D399" s="365">
        <f t="shared" si="6"/>
        <v>59.343966704119865</v>
      </c>
      <c r="E399" s="365">
        <f>'Public Lighting Charges'!O853</f>
        <v>33.95570257839438</v>
      </c>
      <c r="F399" s="365">
        <f>'Public Lighting Charges'!Q853</f>
        <v>35.617456030958607</v>
      </c>
      <c r="G399" s="365">
        <f>'Public Lighting Charges'!T853</f>
        <v>37.080307159470351</v>
      </c>
      <c r="H399" s="365">
        <f>'Public Lighting Charges'!W853</f>
        <v>38.430130716548341</v>
      </c>
      <c r="I399" s="365">
        <f>'Public Lighting Charges'!Z853</f>
        <v>39.540208455428633</v>
      </c>
    </row>
    <row r="400" spans="1:9" x14ac:dyDescent="0.2">
      <c r="A400" t="str">
        <f>'Public Lighting Charges'!A854</f>
        <v>FLU0360-ST-1760-001-B</v>
      </c>
      <c r="B400" s="365" t="e">
        <f>'Public Lighting Charges'!J854</f>
        <v>#N/A</v>
      </c>
      <c r="C400" s="365">
        <f>'Public Lighting Charges'!L854*(1+'Public Lighting Charges'!$M$12)+(('Public Lighting Charges'!L854*'Public Lighting Charges'!$M$10)*'Public Lighting Charges'!$M$14)</f>
        <v>59.343966704119865</v>
      </c>
      <c r="D400" s="365" t="e">
        <f t="shared" si="6"/>
        <v>#N/A</v>
      </c>
      <c r="E400" s="365" t="e">
        <f>'Public Lighting Charges'!O854</f>
        <v>#N/A</v>
      </c>
      <c r="F400" s="365" t="e">
        <f>'Public Lighting Charges'!Q854</f>
        <v>#N/A</v>
      </c>
      <c r="G400" s="365" t="e">
        <f>'Public Lighting Charges'!T854</f>
        <v>#N/A</v>
      </c>
      <c r="H400" s="365" t="e">
        <f>'Public Lighting Charges'!W854</f>
        <v>#N/A</v>
      </c>
      <c r="I400" s="365" t="e">
        <f>'Public Lighting Charges'!Z854</f>
        <v>#N/A</v>
      </c>
    </row>
    <row r="401" spans="1:9" x14ac:dyDescent="0.2">
      <c r="A401" t="str">
        <f>'Public Lighting Charges'!A855</f>
        <v>FLU0360-ST-1760-002-B</v>
      </c>
      <c r="B401" s="365">
        <f>'Public Lighting Charges'!J855</f>
        <v>0</v>
      </c>
      <c r="C401" s="365">
        <f>'Public Lighting Charges'!L855*(1+'Public Lighting Charges'!$M$12)+(('Public Lighting Charges'!L855*'Public Lighting Charges'!$M$10)*'Public Lighting Charges'!$M$14)</f>
        <v>59.343966704119865</v>
      </c>
      <c r="D401" s="365">
        <f t="shared" si="6"/>
        <v>59.343966704119865</v>
      </c>
      <c r="E401" s="365">
        <f>'Public Lighting Charges'!O855</f>
        <v>33.95570257839438</v>
      </c>
      <c r="F401" s="365">
        <f>'Public Lighting Charges'!Q855</f>
        <v>35.617456030958607</v>
      </c>
      <c r="G401" s="365">
        <f>'Public Lighting Charges'!T855</f>
        <v>37.080307159470351</v>
      </c>
      <c r="H401" s="365">
        <f>'Public Lighting Charges'!W855</f>
        <v>38.430130716548341</v>
      </c>
      <c r="I401" s="365">
        <f>'Public Lighting Charges'!Z855</f>
        <v>39.540208455428633</v>
      </c>
    </row>
    <row r="402" spans="1:9" x14ac:dyDescent="0.2">
      <c r="A402" t="str">
        <f>'Public Lighting Charges'!A856</f>
        <v>FLU0360-ST-1770-001-B</v>
      </c>
      <c r="B402" s="365" t="e">
        <f>'Public Lighting Charges'!J856</f>
        <v>#N/A</v>
      </c>
      <c r="C402" s="365">
        <f>'Public Lighting Charges'!L856*(1+'Public Lighting Charges'!$M$12)+(('Public Lighting Charges'!L856*'Public Lighting Charges'!$M$10)*'Public Lighting Charges'!$M$14)</f>
        <v>59.343966704119865</v>
      </c>
      <c r="D402" s="365" t="e">
        <f t="shared" si="6"/>
        <v>#N/A</v>
      </c>
      <c r="E402" s="365" t="e">
        <f>'Public Lighting Charges'!O856</f>
        <v>#N/A</v>
      </c>
      <c r="F402" s="365" t="e">
        <f>'Public Lighting Charges'!Q856</f>
        <v>#N/A</v>
      </c>
      <c r="G402" s="365" t="e">
        <f>'Public Lighting Charges'!T856</f>
        <v>#N/A</v>
      </c>
      <c r="H402" s="365" t="e">
        <f>'Public Lighting Charges'!W856</f>
        <v>#N/A</v>
      </c>
      <c r="I402" s="365" t="e">
        <f>'Public Lighting Charges'!Z856</f>
        <v>#N/A</v>
      </c>
    </row>
    <row r="403" spans="1:9" x14ac:dyDescent="0.2">
      <c r="A403" t="str">
        <f>'Public Lighting Charges'!A857</f>
        <v>FLU0360-ST-1770-002-B</v>
      </c>
      <c r="B403" s="365">
        <f>'Public Lighting Charges'!J857</f>
        <v>0</v>
      </c>
      <c r="C403" s="365">
        <f>'Public Lighting Charges'!L857*(1+'Public Lighting Charges'!$M$12)+(('Public Lighting Charges'!L857*'Public Lighting Charges'!$M$10)*'Public Lighting Charges'!$M$14)</f>
        <v>59.343966704119865</v>
      </c>
      <c r="D403" s="365">
        <f t="shared" si="6"/>
        <v>59.343966704119865</v>
      </c>
      <c r="E403" s="365">
        <f>'Public Lighting Charges'!O857</f>
        <v>33.95570257839438</v>
      </c>
      <c r="F403" s="365">
        <f>'Public Lighting Charges'!Q857</f>
        <v>35.617456030958607</v>
      </c>
      <c r="G403" s="365">
        <f>'Public Lighting Charges'!T857</f>
        <v>37.080307159470351</v>
      </c>
      <c r="H403" s="365">
        <f>'Public Lighting Charges'!W857</f>
        <v>38.430130716548341</v>
      </c>
      <c r="I403" s="365">
        <f>'Public Lighting Charges'!Z857</f>
        <v>39.540208455428633</v>
      </c>
    </row>
    <row r="404" spans="1:9" x14ac:dyDescent="0.2">
      <c r="A404" t="str">
        <f>'Public Lighting Charges'!A858</f>
        <v>FLU0360-ST-1780-001-B</v>
      </c>
      <c r="B404" s="365" t="e">
        <f>'Public Lighting Charges'!J858</f>
        <v>#N/A</v>
      </c>
      <c r="C404" s="365">
        <f>'Public Lighting Charges'!L858*(1+'Public Lighting Charges'!$M$12)+(('Public Lighting Charges'!L858*'Public Lighting Charges'!$M$10)*'Public Lighting Charges'!$M$14)</f>
        <v>70.518371503446616</v>
      </c>
      <c r="D404" s="365" t="e">
        <f t="shared" si="6"/>
        <v>#N/A</v>
      </c>
      <c r="E404" s="365" t="e">
        <f>'Public Lighting Charges'!O858</f>
        <v>#N/A</v>
      </c>
      <c r="F404" s="365" t="e">
        <f>'Public Lighting Charges'!Q858</f>
        <v>#N/A</v>
      </c>
      <c r="G404" s="365" t="e">
        <f>'Public Lighting Charges'!T858</f>
        <v>#N/A</v>
      </c>
      <c r="H404" s="365" t="e">
        <f>'Public Lighting Charges'!W858</f>
        <v>#N/A</v>
      </c>
      <c r="I404" s="365" t="e">
        <f>'Public Lighting Charges'!Z858</f>
        <v>#N/A</v>
      </c>
    </row>
    <row r="405" spans="1:9" x14ac:dyDescent="0.2">
      <c r="A405" t="str">
        <f>'Public Lighting Charges'!A859</f>
        <v>FLU0360-ST-1780-002-B</v>
      </c>
      <c r="B405" s="365">
        <f>'Public Lighting Charges'!J859</f>
        <v>0</v>
      </c>
      <c r="C405" s="365">
        <f>'Public Lighting Charges'!L859*(1+'Public Lighting Charges'!$M$12)+(('Public Lighting Charges'!L859*'Public Lighting Charges'!$M$10)*'Public Lighting Charges'!$M$14)</f>
        <v>70.518371503446616</v>
      </c>
      <c r="D405" s="365">
        <f t="shared" si="6"/>
        <v>70.518371503446616</v>
      </c>
      <c r="E405" s="365">
        <f>'Public Lighting Charges'!O859</f>
        <v>44.351902653818549</v>
      </c>
      <c r="F405" s="365">
        <f>'Public Lighting Charges'!Q859</f>
        <v>46.522434310249992</v>
      </c>
      <c r="G405" s="365">
        <f>'Public Lighting Charges'!T859</f>
        <v>48.433165819898207</v>
      </c>
      <c r="H405" s="365">
        <f>'Public Lighting Charges'!W859</f>
        <v>50.196264164429202</v>
      </c>
      <c r="I405" s="365">
        <f>'Public Lighting Charges'!Z859</f>
        <v>51.646213836338418</v>
      </c>
    </row>
    <row r="406" spans="1:9" x14ac:dyDescent="0.2">
      <c r="A406" t="str">
        <f>'Public Lighting Charges'!A860</f>
        <v>FLU0360-ST-1790-001-B</v>
      </c>
      <c r="B406" s="365" t="e">
        <f>'Public Lighting Charges'!J860</f>
        <v>#N/A</v>
      </c>
      <c r="C406" s="365">
        <f>'Public Lighting Charges'!L860*(1+'Public Lighting Charges'!$M$12)+(('Public Lighting Charges'!L860*'Public Lighting Charges'!$M$10)*'Public Lighting Charges'!$M$14)</f>
        <v>70.518371503446616</v>
      </c>
      <c r="D406" s="365" t="e">
        <f t="shared" si="6"/>
        <v>#N/A</v>
      </c>
      <c r="E406" s="365" t="e">
        <f>'Public Lighting Charges'!O860</f>
        <v>#N/A</v>
      </c>
      <c r="F406" s="365" t="e">
        <f>'Public Lighting Charges'!Q860</f>
        <v>#N/A</v>
      </c>
      <c r="G406" s="365" t="e">
        <f>'Public Lighting Charges'!T860</f>
        <v>#N/A</v>
      </c>
      <c r="H406" s="365" t="e">
        <f>'Public Lighting Charges'!W860</f>
        <v>#N/A</v>
      </c>
      <c r="I406" s="365" t="e">
        <f>'Public Lighting Charges'!Z860</f>
        <v>#N/A</v>
      </c>
    </row>
    <row r="407" spans="1:9" x14ac:dyDescent="0.2">
      <c r="A407" t="str">
        <f>'Public Lighting Charges'!A861</f>
        <v>FLU0360-ST-1790-002-B</v>
      </c>
      <c r="B407" s="365">
        <f>'Public Lighting Charges'!J861</f>
        <v>0</v>
      </c>
      <c r="C407" s="365">
        <f>'Public Lighting Charges'!L861*(1+'Public Lighting Charges'!$M$12)+(('Public Lighting Charges'!L861*'Public Lighting Charges'!$M$10)*'Public Lighting Charges'!$M$14)</f>
        <v>70.518371503446616</v>
      </c>
      <c r="D407" s="365">
        <f t="shared" si="6"/>
        <v>70.518371503446616</v>
      </c>
      <c r="E407" s="365">
        <f>'Public Lighting Charges'!O861</f>
        <v>44.351902653818549</v>
      </c>
      <c r="F407" s="365">
        <f>'Public Lighting Charges'!Q861</f>
        <v>46.522434310249992</v>
      </c>
      <c r="G407" s="365">
        <f>'Public Lighting Charges'!T861</f>
        <v>48.433165819898207</v>
      </c>
      <c r="H407" s="365">
        <f>'Public Lighting Charges'!W861</f>
        <v>50.196264164429202</v>
      </c>
      <c r="I407" s="365">
        <f>'Public Lighting Charges'!Z861</f>
        <v>51.646213836338418</v>
      </c>
    </row>
    <row r="408" spans="1:9" x14ac:dyDescent="0.2">
      <c r="A408" t="str">
        <f>'Public Lighting Charges'!A862</f>
        <v>FLU0360-ST-1800-001-B</v>
      </c>
      <c r="B408" s="365" t="e">
        <f>'Public Lighting Charges'!J862</f>
        <v>#N/A</v>
      </c>
      <c r="C408" s="365">
        <f>'Public Lighting Charges'!L862*(1+'Public Lighting Charges'!$M$12)+(('Public Lighting Charges'!L862*'Public Lighting Charges'!$M$10)*'Public Lighting Charges'!$M$14)</f>
        <v>70.518371503446616</v>
      </c>
      <c r="D408" s="365" t="e">
        <f t="shared" si="6"/>
        <v>#N/A</v>
      </c>
      <c r="E408" s="365" t="e">
        <f>'Public Lighting Charges'!O862</f>
        <v>#N/A</v>
      </c>
      <c r="F408" s="365" t="e">
        <f>'Public Lighting Charges'!Q862</f>
        <v>#N/A</v>
      </c>
      <c r="G408" s="365" t="e">
        <f>'Public Lighting Charges'!T862</f>
        <v>#N/A</v>
      </c>
      <c r="H408" s="365" t="e">
        <f>'Public Lighting Charges'!W862</f>
        <v>#N/A</v>
      </c>
      <c r="I408" s="365" t="e">
        <f>'Public Lighting Charges'!Z862</f>
        <v>#N/A</v>
      </c>
    </row>
    <row r="409" spans="1:9" x14ac:dyDescent="0.2">
      <c r="A409" t="str">
        <f>'Public Lighting Charges'!A863</f>
        <v>FLU0360-ST-1800-002-B</v>
      </c>
      <c r="B409" s="365">
        <f>'Public Lighting Charges'!J863</f>
        <v>0</v>
      </c>
      <c r="C409" s="365">
        <f>'Public Lighting Charges'!L863*(1+'Public Lighting Charges'!$M$12)+(('Public Lighting Charges'!L863*'Public Lighting Charges'!$M$10)*'Public Lighting Charges'!$M$14)</f>
        <v>70.518371503446616</v>
      </c>
      <c r="D409" s="365">
        <f t="shared" si="6"/>
        <v>70.518371503446616</v>
      </c>
      <c r="E409" s="365">
        <f>'Public Lighting Charges'!O863</f>
        <v>44.351902653818549</v>
      </c>
      <c r="F409" s="365">
        <f>'Public Lighting Charges'!Q863</f>
        <v>46.522434310249992</v>
      </c>
      <c r="G409" s="365">
        <f>'Public Lighting Charges'!T863</f>
        <v>48.433165819898207</v>
      </c>
      <c r="H409" s="365">
        <f>'Public Lighting Charges'!W863</f>
        <v>50.196264164429202</v>
      </c>
      <c r="I409" s="365">
        <f>'Public Lighting Charges'!Z863</f>
        <v>51.646213836338418</v>
      </c>
    </row>
    <row r="410" spans="1:9" x14ac:dyDescent="0.2">
      <c r="A410" t="str">
        <f>'Public Lighting Charges'!A864</f>
        <v>FLU0360-ST-1810-001-B</v>
      </c>
      <c r="B410" s="365" t="e">
        <f>'Public Lighting Charges'!J864</f>
        <v>#N/A</v>
      </c>
      <c r="C410" s="365">
        <f>'Public Lighting Charges'!L864*(1+'Public Lighting Charges'!$M$12)+(('Public Lighting Charges'!L864*'Public Lighting Charges'!$M$10)*'Public Lighting Charges'!$M$14)</f>
        <v>70.518371503446616</v>
      </c>
      <c r="D410" s="365" t="e">
        <f t="shared" si="6"/>
        <v>#N/A</v>
      </c>
      <c r="E410" s="365" t="e">
        <f>'Public Lighting Charges'!O864</f>
        <v>#N/A</v>
      </c>
      <c r="F410" s="365" t="e">
        <f>'Public Lighting Charges'!Q864</f>
        <v>#N/A</v>
      </c>
      <c r="G410" s="365" t="e">
        <f>'Public Lighting Charges'!T864</f>
        <v>#N/A</v>
      </c>
      <c r="H410" s="365" t="e">
        <f>'Public Lighting Charges'!W864</f>
        <v>#N/A</v>
      </c>
      <c r="I410" s="365" t="e">
        <f>'Public Lighting Charges'!Z864</f>
        <v>#N/A</v>
      </c>
    </row>
    <row r="411" spans="1:9" x14ac:dyDescent="0.2">
      <c r="A411" t="str">
        <f>'Public Lighting Charges'!A865</f>
        <v>FLU0360-ST-1810-002-B</v>
      </c>
      <c r="B411" s="365">
        <f>'Public Lighting Charges'!J865</f>
        <v>0</v>
      </c>
      <c r="C411" s="365">
        <f>'Public Lighting Charges'!L865*(1+'Public Lighting Charges'!$M$12)+(('Public Lighting Charges'!L865*'Public Lighting Charges'!$M$10)*'Public Lighting Charges'!$M$14)</f>
        <v>70.518371503446616</v>
      </c>
      <c r="D411" s="365">
        <f t="shared" si="6"/>
        <v>70.518371503446616</v>
      </c>
      <c r="E411" s="365">
        <f>'Public Lighting Charges'!O865</f>
        <v>44.351902653818549</v>
      </c>
      <c r="F411" s="365">
        <f>'Public Lighting Charges'!Q865</f>
        <v>46.522434310249992</v>
      </c>
      <c r="G411" s="365">
        <f>'Public Lighting Charges'!T865</f>
        <v>48.433165819898207</v>
      </c>
      <c r="H411" s="365">
        <f>'Public Lighting Charges'!W865</f>
        <v>50.196264164429202</v>
      </c>
      <c r="I411" s="365">
        <f>'Public Lighting Charges'!Z865</f>
        <v>51.646213836338418</v>
      </c>
    </row>
    <row r="412" spans="1:9" x14ac:dyDescent="0.2">
      <c r="A412" t="str">
        <f>'Public Lighting Charges'!A866</f>
        <v>FLU0360-ST-1820-001-B</v>
      </c>
      <c r="B412" s="365" t="e">
        <f>'Public Lighting Charges'!J866</f>
        <v>#N/A</v>
      </c>
      <c r="C412" s="365">
        <f>'Public Lighting Charges'!L866*(1+'Public Lighting Charges'!$M$12)+(('Public Lighting Charges'!L866*'Public Lighting Charges'!$M$10)*'Public Lighting Charges'!$M$14)</f>
        <v>69.716601303446609</v>
      </c>
      <c r="D412" s="365" t="e">
        <f t="shared" si="6"/>
        <v>#N/A</v>
      </c>
      <c r="E412" s="365" t="e">
        <f>'Public Lighting Charges'!O866</f>
        <v>#N/A</v>
      </c>
      <c r="F412" s="365" t="e">
        <f>'Public Lighting Charges'!Q866</f>
        <v>#N/A</v>
      </c>
      <c r="G412" s="365" t="e">
        <f>'Public Lighting Charges'!T866</f>
        <v>#N/A</v>
      </c>
      <c r="H412" s="365" t="e">
        <f>'Public Lighting Charges'!W866</f>
        <v>#N/A</v>
      </c>
      <c r="I412" s="365" t="e">
        <f>'Public Lighting Charges'!Z866</f>
        <v>#N/A</v>
      </c>
    </row>
    <row r="413" spans="1:9" x14ac:dyDescent="0.2">
      <c r="A413" t="str">
        <f>'Public Lighting Charges'!A867</f>
        <v>FLU0360-ST-1820-002-B</v>
      </c>
      <c r="B413" s="365">
        <f>'Public Lighting Charges'!J867</f>
        <v>0</v>
      </c>
      <c r="C413" s="365">
        <f>'Public Lighting Charges'!L867*(1+'Public Lighting Charges'!$M$12)+(('Public Lighting Charges'!L867*'Public Lighting Charges'!$M$10)*'Public Lighting Charges'!$M$14)</f>
        <v>69.716601303446609</v>
      </c>
      <c r="D413" s="365">
        <f t="shared" si="6"/>
        <v>69.716601303446609</v>
      </c>
      <c r="E413" s="365">
        <f>'Public Lighting Charges'!O867</f>
        <v>43.549817814493544</v>
      </c>
      <c r="F413" s="365">
        <f>'Public Lighting Charges'!Q867</f>
        <v>45.681096351425523</v>
      </c>
      <c r="G413" s="365">
        <f>'Public Lighting Charges'!T867</f>
        <v>47.557273114057104</v>
      </c>
      <c r="H413" s="365">
        <f>'Public Lighting Charges'!W867</f>
        <v>49.288486593051992</v>
      </c>
      <c r="I413" s="365">
        <f>'Public Lighting Charges'!Z867</f>
        <v>50.712214556758518</v>
      </c>
    </row>
    <row r="414" spans="1:9" x14ac:dyDescent="0.2">
      <c r="A414" t="str">
        <f>'Public Lighting Charges'!A868</f>
        <v>FLU0360-ST-1830-001-B</v>
      </c>
      <c r="B414" s="365" t="e">
        <f>'Public Lighting Charges'!J868</f>
        <v>#N/A</v>
      </c>
      <c r="C414" s="365">
        <f>'Public Lighting Charges'!L868*(1+'Public Lighting Charges'!$M$12)+(('Public Lighting Charges'!L868*'Public Lighting Charges'!$M$10)*'Public Lighting Charges'!$M$14)</f>
        <v>69.716601303446609</v>
      </c>
      <c r="D414" s="365" t="e">
        <f t="shared" si="6"/>
        <v>#N/A</v>
      </c>
      <c r="E414" s="365" t="e">
        <f>'Public Lighting Charges'!O868</f>
        <v>#N/A</v>
      </c>
      <c r="F414" s="365" t="e">
        <f>'Public Lighting Charges'!Q868</f>
        <v>#N/A</v>
      </c>
      <c r="G414" s="365" t="e">
        <f>'Public Lighting Charges'!T868</f>
        <v>#N/A</v>
      </c>
      <c r="H414" s="365" t="e">
        <f>'Public Lighting Charges'!W868</f>
        <v>#N/A</v>
      </c>
      <c r="I414" s="365" t="e">
        <f>'Public Lighting Charges'!Z868</f>
        <v>#N/A</v>
      </c>
    </row>
    <row r="415" spans="1:9" x14ac:dyDescent="0.2">
      <c r="A415" t="str">
        <f>'Public Lighting Charges'!A869</f>
        <v>FLU0360-ST-1830-002-B</v>
      </c>
      <c r="B415" s="365">
        <f>'Public Lighting Charges'!J869</f>
        <v>0</v>
      </c>
      <c r="C415" s="365">
        <f>'Public Lighting Charges'!L869*(1+'Public Lighting Charges'!$M$12)+(('Public Lighting Charges'!L869*'Public Lighting Charges'!$M$10)*'Public Lighting Charges'!$M$14)</f>
        <v>69.716601303446609</v>
      </c>
      <c r="D415" s="365">
        <f t="shared" si="6"/>
        <v>69.716601303446609</v>
      </c>
      <c r="E415" s="365">
        <f>'Public Lighting Charges'!O869</f>
        <v>43.549817814493544</v>
      </c>
      <c r="F415" s="365">
        <f>'Public Lighting Charges'!Q869</f>
        <v>45.681096351425523</v>
      </c>
      <c r="G415" s="365">
        <f>'Public Lighting Charges'!T869</f>
        <v>47.557273114057104</v>
      </c>
      <c r="H415" s="365">
        <f>'Public Lighting Charges'!W869</f>
        <v>49.288486593051992</v>
      </c>
      <c r="I415" s="365">
        <f>'Public Lighting Charges'!Z869</f>
        <v>50.712214556758518</v>
      </c>
    </row>
    <row r="416" spans="1:9" x14ac:dyDescent="0.2">
      <c r="A416" t="str">
        <f>'Public Lighting Charges'!A870</f>
        <v>FLU0360-ST-1840-001-B</v>
      </c>
      <c r="B416" s="365" t="e">
        <f>'Public Lighting Charges'!J870</f>
        <v>#N/A</v>
      </c>
      <c r="C416" s="365">
        <f>'Public Lighting Charges'!L870*(1+'Public Lighting Charges'!$M$12)+(('Public Lighting Charges'!L870*'Public Lighting Charges'!$M$10)*'Public Lighting Charges'!$M$14)</f>
        <v>69.716601303446609</v>
      </c>
      <c r="D416" s="365" t="e">
        <f t="shared" si="6"/>
        <v>#N/A</v>
      </c>
      <c r="E416" s="365" t="e">
        <f>'Public Lighting Charges'!O870</f>
        <v>#N/A</v>
      </c>
      <c r="F416" s="365" t="e">
        <f>'Public Lighting Charges'!Q870</f>
        <v>#N/A</v>
      </c>
      <c r="G416" s="365" t="e">
        <f>'Public Lighting Charges'!T870</f>
        <v>#N/A</v>
      </c>
      <c r="H416" s="365" t="e">
        <f>'Public Lighting Charges'!W870</f>
        <v>#N/A</v>
      </c>
      <c r="I416" s="365" t="e">
        <f>'Public Lighting Charges'!Z870</f>
        <v>#N/A</v>
      </c>
    </row>
    <row r="417" spans="1:9" x14ac:dyDescent="0.2">
      <c r="A417" t="str">
        <f>'Public Lighting Charges'!A871</f>
        <v>FLU0360-ST-1840-002-B</v>
      </c>
      <c r="B417" s="365">
        <f>'Public Lighting Charges'!J871</f>
        <v>0</v>
      </c>
      <c r="C417" s="365">
        <f>'Public Lighting Charges'!L871*(1+'Public Lighting Charges'!$M$12)+(('Public Lighting Charges'!L871*'Public Lighting Charges'!$M$10)*'Public Lighting Charges'!$M$14)</f>
        <v>69.716601303446609</v>
      </c>
      <c r="D417" s="365">
        <f t="shared" si="6"/>
        <v>69.716601303446609</v>
      </c>
      <c r="E417" s="365">
        <f>'Public Lighting Charges'!O871</f>
        <v>43.549817814493544</v>
      </c>
      <c r="F417" s="365">
        <f>'Public Lighting Charges'!Q871</f>
        <v>45.681096351425523</v>
      </c>
      <c r="G417" s="365">
        <f>'Public Lighting Charges'!T871</f>
        <v>47.557273114057104</v>
      </c>
      <c r="H417" s="365">
        <f>'Public Lighting Charges'!W871</f>
        <v>49.288486593051992</v>
      </c>
      <c r="I417" s="365">
        <f>'Public Lighting Charges'!Z871</f>
        <v>50.712214556758518</v>
      </c>
    </row>
    <row r="418" spans="1:9" x14ac:dyDescent="0.2">
      <c r="A418" t="str">
        <f>'Public Lighting Charges'!A872</f>
        <v>FLU0360-ST-1850-001-B</v>
      </c>
      <c r="B418" s="365" t="e">
        <f>'Public Lighting Charges'!J872</f>
        <v>#N/A</v>
      </c>
      <c r="C418" s="365">
        <f>'Public Lighting Charges'!L872*(1+'Public Lighting Charges'!$M$12)+(('Public Lighting Charges'!L872*'Public Lighting Charges'!$M$10)*'Public Lighting Charges'!$M$14)</f>
        <v>69.716601303446609</v>
      </c>
      <c r="D418" s="365" t="e">
        <f t="shared" si="6"/>
        <v>#N/A</v>
      </c>
      <c r="E418" s="365" t="e">
        <f>'Public Lighting Charges'!O872</f>
        <v>#N/A</v>
      </c>
      <c r="F418" s="365" t="e">
        <f>'Public Lighting Charges'!Q872</f>
        <v>#N/A</v>
      </c>
      <c r="G418" s="365" t="e">
        <f>'Public Lighting Charges'!T872</f>
        <v>#N/A</v>
      </c>
      <c r="H418" s="365" t="e">
        <f>'Public Lighting Charges'!W872</f>
        <v>#N/A</v>
      </c>
      <c r="I418" s="365" t="e">
        <f>'Public Lighting Charges'!Z872</f>
        <v>#N/A</v>
      </c>
    </row>
    <row r="419" spans="1:9" x14ac:dyDescent="0.2">
      <c r="A419" t="str">
        <f>'Public Lighting Charges'!A873</f>
        <v>FLU0360-ST-1850-002-B</v>
      </c>
      <c r="B419" s="365">
        <f>'Public Lighting Charges'!J873</f>
        <v>0</v>
      </c>
      <c r="C419" s="365">
        <f>'Public Lighting Charges'!L873*(1+'Public Lighting Charges'!$M$12)+(('Public Lighting Charges'!L873*'Public Lighting Charges'!$M$10)*'Public Lighting Charges'!$M$14)</f>
        <v>69.716601303446609</v>
      </c>
      <c r="D419" s="365">
        <f t="shared" si="6"/>
        <v>69.716601303446609</v>
      </c>
      <c r="E419" s="365">
        <f>'Public Lighting Charges'!O873</f>
        <v>43.549817814493544</v>
      </c>
      <c r="F419" s="365">
        <f>'Public Lighting Charges'!Q873</f>
        <v>45.681096351425523</v>
      </c>
      <c r="G419" s="365">
        <f>'Public Lighting Charges'!T873</f>
        <v>47.557273114057104</v>
      </c>
      <c r="H419" s="365">
        <f>'Public Lighting Charges'!W873</f>
        <v>49.288486593051992</v>
      </c>
      <c r="I419" s="365">
        <f>'Public Lighting Charges'!Z873</f>
        <v>50.712214556758518</v>
      </c>
    </row>
    <row r="420" spans="1:9" x14ac:dyDescent="0.2">
      <c r="A420" t="str">
        <f>'Public Lighting Charges'!A874</f>
        <v>FLU0370-ST-1860-001-B</v>
      </c>
      <c r="B420" s="365" t="e">
        <f>'Public Lighting Charges'!J874</f>
        <v>#N/A</v>
      </c>
      <c r="C420" s="365">
        <f>'Public Lighting Charges'!L874*(1+'Public Lighting Charges'!$M$12)+(('Public Lighting Charges'!L874*'Public Lighting Charges'!$M$10)*'Public Lighting Charges'!$M$14)</f>
        <v>68.302419254340847</v>
      </c>
      <c r="D420" s="365" t="e">
        <f t="shared" si="6"/>
        <v>#N/A</v>
      </c>
      <c r="E420" s="365" t="e">
        <f>'Public Lighting Charges'!O874</f>
        <v>#N/A</v>
      </c>
      <c r="F420" s="365" t="e">
        <f>'Public Lighting Charges'!Q874</f>
        <v>#N/A</v>
      </c>
      <c r="G420" s="365" t="e">
        <f>'Public Lighting Charges'!T874</f>
        <v>#N/A</v>
      </c>
      <c r="H420" s="365" t="e">
        <f>'Public Lighting Charges'!W874</f>
        <v>#N/A</v>
      </c>
      <c r="I420" s="365" t="e">
        <f>'Public Lighting Charges'!Z874</f>
        <v>#N/A</v>
      </c>
    </row>
    <row r="421" spans="1:9" x14ac:dyDescent="0.2">
      <c r="A421" t="str">
        <f>'Public Lighting Charges'!A875</f>
        <v>FLU0370-ST-1860-002-B</v>
      </c>
      <c r="B421" s="365">
        <f>'Public Lighting Charges'!J875</f>
        <v>0</v>
      </c>
      <c r="C421" s="365">
        <f>'Public Lighting Charges'!L875*(1+'Public Lighting Charges'!$M$12)+(('Public Lighting Charges'!L875*'Public Lighting Charges'!$M$10)*'Public Lighting Charges'!$M$14)</f>
        <v>68.302419254340847</v>
      </c>
      <c r="D421" s="365">
        <f t="shared" si="6"/>
        <v>68.302419254340847</v>
      </c>
      <c r="E421" s="365">
        <f>'Public Lighting Charges'!O875</f>
        <v>48.862376035352646</v>
      </c>
      <c r="F421" s="365">
        <f>'Public Lighting Charges'!Q875</f>
        <v>51.253645127481633</v>
      </c>
      <c r="G421" s="365">
        <f>'Public Lighting Charges'!T875</f>
        <v>53.358693072228377</v>
      </c>
      <c r="H421" s="365">
        <f>'Public Lighting Charges'!W875</f>
        <v>55.301093942157316</v>
      </c>
      <c r="I421" s="365">
        <f>'Public Lighting Charges'!Z875</f>
        <v>56.898499732257385</v>
      </c>
    </row>
    <row r="422" spans="1:9" x14ac:dyDescent="0.2">
      <c r="A422" t="str">
        <f>'Public Lighting Charges'!A876</f>
        <v>FLU0370-ST-1870-001-B</v>
      </c>
      <c r="B422" s="365" t="e">
        <f>'Public Lighting Charges'!J876</f>
        <v>#N/A</v>
      </c>
      <c r="C422" s="365">
        <f>'Public Lighting Charges'!L876*(1+'Public Lighting Charges'!$M$12)+(('Public Lighting Charges'!L876*'Public Lighting Charges'!$M$10)*'Public Lighting Charges'!$M$14)</f>
        <v>68.302419254340847</v>
      </c>
      <c r="D422" s="365" t="e">
        <f t="shared" si="6"/>
        <v>#N/A</v>
      </c>
      <c r="E422" s="365" t="e">
        <f>'Public Lighting Charges'!O876</f>
        <v>#N/A</v>
      </c>
      <c r="F422" s="365" t="e">
        <f>'Public Lighting Charges'!Q876</f>
        <v>#N/A</v>
      </c>
      <c r="G422" s="365" t="e">
        <f>'Public Lighting Charges'!T876</f>
        <v>#N/A</v>
      </c>
      <c r="H422" s="365" t="e">
        <f>'Public Lighting Charges'!W876</f>
        <v>#N/A</v>
      </c>
      <c r="I422" s="365" t="e">
        <f>'Public Lighting Charges'!Z876</f>
        <v>#N/A</v>
      </c>
    </row>
    <row r="423" spans="1:9" x14ac:dyDescent="0.2">
      <c r="A423" t="str">
        <f>'Public Lighting Charges'!A877</f>
        <v>FLU0370-ST-1870-002-B</v>
      </c>
      <c r="B423" s="365">
        <f>'Public Lighting Charges'!J877</f>
        <v>0</v>
      </c>
      <c r="C423" s="365">
        <f>'Public Lighting Charges'!L877*(1+'Public Lighting Charges'!$M$12)+(('Public Lighting Charges'!L877*'Public Lighting Charges'!$M$10)*'Public Lighting Charges'!$M$14)</f>
        <v>68.302419254340847</v>
      </c>
      <c r="D423" s="365">
        <f t="shared" si="6"/>
        <v>68.302419254340847</v>
      </c>
      <c r="E423" s="365">
        <f>'Public Lighting Charges'!O877</f>
        <v>48.862376035352646</v>
      </c>
      <c r="F423" s="365">
        <f>'Public Lighting Charges'!Q877</f>
        <v>51.253645127481633</v>
      </c>
      <c r="G423" s="365">
        <f>'Public Lighting Charges'!T877</f>
        <v>53.358693072228377</v>
      </c>
      <c r="H423" s="365">
        <f>'Public Lighting Charges'!W877</f>
        <v>55.301093942157316</v>
      </c>
      <c r="I423" s="365">
        <f>'Public Lighting Charges'!Z877</f>
        <v>56.898499732257385</v>
      </c>
    </row>
    <row r="424" spans="1:9" x14ac:dyDescent="0.2">
      <c r="A424" t="str">
        <f>'Public Lighting Charges'!A878</f>
        <v>FLU0370-ST-1880-001-B</v>
      </c>
      <c r="B424" s="365" t="e">
        <f>'Public Lighting Charges'!J878</f>
        <v>#N/A</v>
      </c>
      <c r="C424" s="365">
        <f>'Public Lighting Charges'!L878*(1+'Public Lighting Charges'!$M$12)+(('Public Lighting Charges'!L878*'Public Lighting Charges'!$M$10)*'Public Lighting Charges'!$M$14)</f>
        <v>68.302419254340847</v>
      </c>
      <c r="D424" s="365" t="e">
        <f t="shared" si="6"/>
        <v>#N/A</v>
      </c>
      <c r="E424" s="365" t="e">
        <f>'Public Lighting Charges'!O878</f>
        <v>#N/A</v>
      </c>
      <c r="F424" s="365" t="e">
        <f>'Public Lighting Charges'!Q878</f>
        <v>#N/A</v>
      </c>
      <c r="G424" s="365" t="e">
        <f>'Public Lighting Charges'!T878</f>
        <v>#N/A</v>
      </c>
      <c r="H424" s="365" t="e">
        <f>'Public Lighting Charges'!W878</f>
        <v>#N/A</v>
      </c>
      <c r="I424" s="365" t="e">
        <f>'Public Lighting Charges'!Z878</f>
        <v>#N/A</v>
      </c>
    </row>
    <row r="425" spans="1:9" x14ac:dyDescent="0.2">
      <c r="A425" t="str">
        <f>'Public Lighting Charges'!A879</f>
        <v>FLU0370-ST-1880-002-B</v>
      </c>
      <c r="B425" s="365">
        <f>'Public Lighting Charges'!J879</f>
        <v>0</v>
      </c>
      <c r="C425" s="365">
        <f>'Public Lighting Charges'!L879*(1+'Public Lighting Charges'!$M$12)+(('Public Lighting Charges'!L879*'Public Lighting Charges'!$M$10)*'Public Lighting Charges'!$M$14)</f>
        <v>68.302419254340847</v>
      </c>
      <c r="D425" s="365">
        <f t="shared" si="6"/>
        <v>68.302419254340847</v>
      </c>
      <c r="E425" s="365">
        <f>'Public Lighting Charges'!O879</f>
        <v>48.862376035352646</v>
      </c>
      <c r="F425" s="365">
        <f>'Public Lighting Charges'!Q879</f>
        <v>51.253645127481633</v>
      </c>
      <c r="G425" s="365">
        <f>'Public Lighting Charges'!T879</f>
        <v>53.358693072228377</v>
      </c>
      <c r="H425" s="365">
        <f>'Public Lighting Charges'!W879</f>
        <v>55.301093942157316</v>
      </c>
      <c r="I425" s="365">
        <f>'Public Lighting Charges'!Z879</f>
        <v>56.898499732257385</v>
      </c>
    </row>
    <row r="426" spans="1:9" x14ac:dyDescent="0.2">
      <c r="A426" t="str">
        <f>'Public Lighting Charges'!A880</f>
        <v>FLU0370-ST-1890-001-B</v>
      </c>
      <c r="B426" s="365" t="e">
        <f>'Public Lighting Charges'!J880</f>
        <v>#N/A</v>
      </c>
      <c r="C426" s="365">
        <f>'Public Lighting Charges'!L880*(1+'Public Lighting Charges'!$M$12)+(('Public Lighting Charges'!L880*'Public Lighting Charges'!$M$10)*'Public Lighting Charges'!$M$14)</f>
        <v>68.302419254340847</v>
      </c>
      <c r="D426" s="365" t="e">
        <f t="shared" si="6"/>
        <v>#N/A</v>
      </c>
      <c r="E426" s="365" t="e">
        <f>'Public Lighting Charges'!O880</f>
        <v>#N/A</v>
      </c>
      <c r="F426" s="365" t="e">
        <f>'Public Lighting Charges'!Q880</f>
        <v>#N/A</v>
      </c>
      <c r="G426" s="365" t="e">
        <f>'Public Lighting Charges'!T880</f>
        <v>#N/A</v>
      </c>
      <c r="H426" s="365" t="e">
        <f>'Public Lighting Charges'!W880</f>
        <v>#N/A</v>
      </c>
      <c r="I426" s="365" t="e">
        <f>'Public Lighting Charges'!Z880</f>
        <v>#N/A</v>
      </c>
    </row>
    <row r="427" spans="1:9" x14ac:dyDescent="0.2">
      <c r="A427" t="str">
        <f>'Public Lighting Charges'!A881</f>
        <v>FLU0370-ST-1900-002-B</v>
      </c>
      <c r="B427" s="365">
        <f>'Public Lighting Charges'!J881</f>
        <v>0</v>
      </c>
      <c r="C427" s="365">
        <f>'Public Lighting Charges'!L881*(1+'Public Lighting Charges'!$M$12)+(('Public Lighting Charges'!L881*'Public Lighting Charges'!$M$10)*'Public Lighting Charges'!$M$14)</f>
        <v>79.476824053667613</v>
      </c>
      <c r="D427" s="365">
        <f t="shared" si="6"/>
        <v>79.476824053667613</v>
      </c>
      <c r="E427" s="365">
        <f>'Public Lighting Charges'!O881</f>
        <v>59.258576110776815</v>
      </c>
      <c r="F427" s="365">
        <f>'Public Lighting Charges'!Q881</f>
        <v>62.15862340677301</v>
      </c>
      <c r="G427" s="365">
        <f>'Public Lighting Charges'!T881</f>
        <v>64.711551732656233</v>
      </c>
      <c r="H427" s="365">
        <f>'Public Lighting Charges'!W881</f>
        <v>67.067227390038184</v>
      </c>
      <c r="I427" s="365">
        <f>'Public Lighting Charges'!Z881</f>
        <v>69.00450511316717</v>
      </c>
    </row>
    <row r="428" spans="1:9" x14ac:dyDescent="0.2">
      <c r="A428" t="str">
        <f>'Public Lighting Charges'!A882</f>
        <v>FLU0370-ST-1910-001-B</v>
      </c>
      <c r="B428" s="365" t="e">
        <f>'Public Lighting Charges'!J882</f>
        <v>#N/A</v>
      </c>
      <c r="C428" s="365">
        <f>'Public Lighting Charges'!L882*(1+'Public Lighting Charges'!$M$12)+(('Public Lighting Charges'!L882*'Public Lighting Charges'!$M$10)*'Public Lighting Charges'!$M$14)</f>
        <v>79.476824053667613</v>
      </c>
      <c r="D428" s="365" t="e">
        <f t="shared" si="6"/>
        <v>#N/A</v>
      </c>
      <c r="E428" s="365" t="e">
        <f>'Public Lighting Charges'!O882</f>
        <v>#N/A</v>
      </c>
      <c r="F428" s="365" t="e">
        <f>'Public Lighting Charges'!Q882</f>
        <v>#N/A</v>
      </c>
      <c r="G428" s="365" t="e">
        <f>'Public Lighting Charges'!T882</f>
        <v>#N/A</v>
      </c>
      <c r="H428" s="365" t="e">
        <f>'Public Lighting Charges'!W882</f>
        <v>#N/A</v>
      </c>
      <c r="I428" s="365" t="e">
        <f>'Public Lighting Charges'!Z882</f>
        <v>#N/A</v>
      </c>
    </row>
    <row r="429" spans="1:9" x14ac:dyDescent="0.2">
      <c r="A429" t="str">
        <f>'Public Lighting Charges'!A883</f>
        <v>FLU0370-ST-1910-002-B</v>
      </c>
      <c r="B429" s="365">
        <f>'Public Lighting Charges'!J883</f>
        <v>0</v>
      </c>
      <c r="C429" s="365">
        <f>'Public Lighting Charges'!L883*(1+'Public Lighting Charges'!$M$12)+(('Public Lighting Charges'!L883*'Public Lighting Charges'!$M$10)*'Public Lighting Charges'!$M$14)</f>
        <v>79.476824053667613</v>
      </c>
      <c r="D429" s="365">
        <f t="shared" si="6"/>
        <v>79.476824053667613</v>
      </c>
      <c r="E429" s="365">
        <f>'Public Lighting Charges'!O883</f>
        <v>59.258576110776815</v>
      </c>
      <c r="F429" s="365">
        <f>'Public Lighting Charges'!Q883</f>
        <v>62.15862340677301</v>
      </c>
      <c r="G429" s="365">
        <f>'Public Lighting Charges'!T883</f>
        <v>64.711551732656233</v>
      </c>
      <c r="H429" s="365">
        <f>'Public Lighting Charges'!W883</f>
        <v>67.067227390038184</v>
      </c>
      <c r="I429" s="365">
        <f>'Public Lighting Charges'!Z883</f>
        <v>69.00450511316717</v>
      </c>
    </row>
    <row r="430" spans="1:9" x14ac:dyDescent="0.2">
      <c r="A430" t="str">
        <f>'Public Lighting Charges'!A884</f>
        <v>FLU0370-ST-1920-001-B</v>
      </c>
      <c r="B430" s="365" t="e">
        <f>'Public Lighting Charges'!J884</f>
        <v>#N/A</v>
      </c>
      <c r="C430" s="365">
        <f>'Public Lighting Charges'!L884*(1+'Public Lighting Charges'!$M$12)+(('Public Lighting Charges'!L884*'Public Lighting Charges'!$M$10)*'Public Lighting Charges'!$M$14)</f>
        <v>79.476824053667613</v>
      </c>
      <c r="D430" s="365" t="e">
        <f t="shared" si="6"/>
        <v>#N/A</v>
      </c>
      <c r="E430" s="365" t="e">
        <f>'Public Lighting Charges'!O884</f>
        <v>#N/A</v>
      </c>
      <c r="F430" s="365" t="e">
        <f>'Public Lighting Charges'!Q884</f>
        <v>#N/A</v>
      </c>
      <c r="G430" s="365" t="e">
        <f>'Public Lighting Charges'!T884</f>
        <v>#N/A</v>
      </c>
      <c r="H430" s="365" t="e">
        <f>'Public Lighting Charges'!W884</f>
        <v>#N/A</v>
      </c>
      <c r="I430" s="365" t="e">
        <f>'Public Lighting Charges'!Z884</f>
        <v>#N/A</v>
      </c>
    </row>
    <row r="431" spans="1:9" x14ac:dyDescent="0.2">
      <c r="A431" t="str">
        <f>'Public Lighting Charges'!A885</f>
        <v>FLU0370-ST-1920-002-B</v>
      </c>
      <c r="B431" s="365">
        <f>'Public Lighting Charges'!J885</f>
        <v>0</v>
      </c>
      <c r="C431" s="365">
        <f>'Public Lighting Charges'!L885*(1+'Public Lighting Charges'!$M$12)+(('Public Lighting Charges'!L885*'Public Lighting Charges'!$M$10)*'Public Lighting Charges'!$M$14)</f>
        <v>79.476824053667613</v>
      </c>
      <c r="D431" s="365">
        <f t="shared" si="6"/>
        <v>79.476824053667613</v>
      </c>
      <c r="E431" s="365">
        <f>'Public Lighting Charges'!O885</f>
        <v>59.258576110776815</v>
      </c>
      <c r="F431" s="365">
        <f>'Public Lighting Charges'!Q885</f>
        <v>62.15862340677301</v>
      </c>
      <c r="G431" s="365">
        <f>'Public Lighting Charges'!T885</f>
        <v>64.711551732656233</v>
      </c>
      <c r="H431" s="365">
        <f>'Public Lighting Charges'!W885</f>
        <v>67.067227390038184</v>
      </c>
      <c r="I431" s="365">
        <f>'Public Lighting Charges'!Z885</f>
        <v>69.00450511316717</v>
      </c>
    </row>
    <row r="432" spans="1:9" x14ac:dyDescent="0.2">
      <c r="A432" t="str">
        <f>'Public Lighting Charges'!A886</f>
        <v>FLU0370-ST-1930-001-B</v>
      </c>
      <c r="B432" s="365" t="e">
        <f>'Public Lighting Charges'!J886</f>
        <v>#N/A</v>
      </c>
      <c r="C432" s="365">
        <f>'Public Lighting Charges'!L886*(1+'Public Lighting Charges'!$M$12)+(('Public Lighting Charges'!L886*'Public Lighting Charges'!$M$10)*'Public Lighting Charges'!$M$14)</f>
        <v>79.476824053667613</v>
      </c>
      <c r="D432" s="365" t="e">
        <f t="shared" si="6"/>
        <v>#N/A</v>
      </c>
      <c r="E432" s="365" t="e">
        <f>'Public Lighting Charges'!O886</f>
        <v>#N/A</v>
      </c>
      <c r="F432" s="365" t="e">
        <f>'Public Lighting Charges'!Q886</f>
        <v>#N/A</v>
      </c>
      <c r="G432" s="365" t="e">
        <f>'Public Lighting Charges'!T886</f>
        <v>#N/A</v>
      </c>
      <c r="H432" s="365" t="e">
        <f>'Public Lighting Charges'!W886</f>
        <v>#N/A</v>
      </c>
      <c r="I432" s="365" t="e">
        <f>'Public Lighting Charges'!Z886</f>
        <v>#N/A</v>
      </c>
    </row>
    <row r="433" spans="1:9" x14ac:dyDescent="0.2">
      <c r="A433" t="str">
        <f>'Public Lighting Charges'!A887</f>
        <v>FLU0370-ST-1930-002-B</v>
      </c>
      <c r="B433" s="365">
        <f>'Public Lighting Charges'!J887</f>
        <v>0</v>
      </c>
      <c r="C433" s="365">
        <f>'Public Lighting Charges'!L887*(1+'Public Lighting Charges'!$M$12)+(('Public Lighting Charges'!L887*'Public Lighting Charges'!$M$10)*'Public Lighting Charges'!$M$14)</f>
        <v>79.476824053667613</v>
      </c>
      <c r="D433" s="365">
        <f t="shared" si="6"/>
        <v>79.476824053667613</v>
      </c>
      <c r="E433" s="365">
        <f>'Public Lighting Charges'!O887</f>
        <v>59.258576110776815</v>
      </c>
      <c r="F433" s="365">
        <f>'Public Lighting Charges'!Q887</f>
        <v>62.15862340677301</v>
      </c>
      <c r="G433" s="365">
        <f>'Public Lighting Charges'!T887</f>
        <v>64.711551732656233</v>
      </c>
      <c r="H433" s="365">
        <f>'Public Lighting Charges'!W887</f>
        <v>67.067227390038184</v>
      </c>
      <c r="I433" s="365">
        <f>'Public Lighting Charges'!Z887</f>
        <v>69.00450511316717</v>
      </c>
    </row>
    <row r="434" spans="1:9" x14ac:dyDescent="0.2">
      <c r="A434" t="str">
        <f>'Public Lighting Charges'!A888</f>
        <v>FLU0370-ST-1940-001-B</v>
      </c>
      <c r="B434" s="365" t="e">
        <f>'Public Lighting Charges'!J888</f>
        <v>#N/A</v>
      </c>
      <c r="C434" s="365">
        <f>'Public Lighting Charges'!L888*(1+'Public Lighting Charges'!$M$12)+(('Public Lighting Charges'!L888*'Public Lighting Charges'!$M$10)*'Public Lighting Charges'!$M$14)</f>
        <v>78.675053853667606</v>
      </c>
      <c r="D434" s="365" t="e">
        <f t="shared" si="6"/>
        <v>#N/A</v>
      </c>
      <c r="E434" s="365" t="e">
        <f>'Public Lighting Charges'!O888</f>
        <v>#N/A</v>
      </c>
      <c r="F434" s="365" t="e">
        <f>'Public Lighting Charges'!Q888</f>
        <v>#N/A</v>
      </c>
      <c r="G434" s="365" t="e">
        <f>'Public Lighting Charges'!T888</f>
        <v>#N/A</v>
      </c>
      <c r="H434" s="365" t="e">
        <f>'Public Lighting Charges'!W888</f>
        <v>#N/A</v>
      </c>
      <c r="I434" s="365" t="e">
        <f>'Public Lighting Charges'!Z888</f>
        <v>#N/A</v>
      </c>
    </row>
    <row r="435" spans="1:9" x14ac:dyDescent="0.2">
      <c r="A435" t="str">
        <f>'Public Lighting Charges'!A889</f>
        <v>FLU0370-ST-1940-002-B</v>
      </c>
      <c r="B435" s="365">
        <f>'Public Lighting Charges'!J889</f>
        <v>0</v>
      </c>
      <c r="C435" s="365">
        <f>'Public Lighting Charges'!L889*(1+'Public Lighting Charges'!$M$12)+(('Public Lighting Charges'!L889*'Public Lighting Charges'!$M$10)*'Public Lighting Charges'!$M$14)</f>
        <v>78.675053853667606</v>
      </c>
      <c r="D435" s="365">
        <f t="shared" si="6"/>
        <v>78.675053853667606</v>
      </c>
      <c r="E435" s="365">
        <f>'Public Lighting Charges'!O889</f>
        <v>58.45649127145181</v>
      </c>
      <c r="F435" s="365">
        <f>'Public Lighting Charges'!Q889</f>
        <v>61.317285447948549</v>
      </c>
      <c r="G435" s="365">
        <f>'Public Lighting Charges'!T889</f>
        <v>63.835659026815122</v>
      </c>
      <c r="H435" s="365">
        <f>'Public Lighting Charges'!W889</f>
        <v>66.159449818660974</v>
      </c>
      <c r="I435" s="365">
        <f>'Public Lighting Charges'!Z889</f>
        <v>68.070505833587276</v>
      </c>
    </row>
    <row r="436" spans="1:9" x14ac:dyDescent="0.2">
      <c r="A436" t="str">
        <f>'Public Lighting Charges'!A890</f>
        <v>FLU0370-ST-1950-001-B</v>
      </c>
      <c r="B436" s="365" t="e">
        <f>'Public Lighting Charges'!J890</f>
        <v>#N/A</v>
      </c>
      <c r="C436" s="365">
        <f>'Public Lighting Charges'!L890*(1+'Public Lighting Charges'!$M$12)+(('Public Lighting Charges'!L890*'Public Lighting Charges'!$M$10)*'Public Lighting Charges'!$M$14)</f>
        <v>78.675053853667606</v>
      </c>
      <c r="D436" s="365" t="e">
        <f t="shared" si="6"/>
        <v>#N/A</v>
      </c>
      <c r="E436" s="365" t="e">
        <f>'Public Lighting Charges'!O890</f>
        <v>#N/A</v>
      </c>
      <c r="F436" s="365" t="e">
        <f>'Public Lighting Charges'!Q890</f>
        <v>#N/A</v>
      </c>
      <c r="G436" s="365" t="e">
        <f>'Public Lighting Charges'!T890</f>
        <v>#N/A</v>
      </c>
      <c r="H436" s="365" t="e">
        <f>'Public Lighting Charges'!W890</f>
        <v>#N/A</v>
      </c>
      <c r="I436" s="365" t="e">
        <f>'Public Lighting Charges'!Z890</f>
        <v>#N/A</v>
      </c>
    </row>
    <row r="437" spans="1:9" x14ac:dyDescent="0.2">
      <c r="A437" t="str">
        <f>'Public Lighting Charges'!A891</f>
        <v>FLU0370-ST-1950-002-B</v>
      </c>
      <c r="B437" s="365">
        <f>'Public Lighting Charges'!J891</f>
        <v>0</v>
      </c>
      <c r="C437" s="365">
        <f>'Public Lighting Charges'!L891*(1+'Public Lighting Charges'!$M$12)+(('Public Lighting Charges'!L891*'Public Lighting Charges'!$M$10)*'Public Lighting Charges'!$M$14)</f>
        <v>78.675053853667606</v>
      </c>
      <c r="D437" s="365">
        <f t="shared" si="6"/>
        <v>78.675053853667606</v>
      </c>
      <c r="E437" s="365">
        <f>'Public Lighting Charges'!O891</f>
        <v>58.45649127145181</v>
      </c>
      <c r="F437" s="365">
        <f>'Public Lighting Charges'!Q891</f>
        <v>61.317285447948549</v>
      </c>
      <c r="G437" s="365">
        <f>'Public Lighting Charges'!T891</f>
        <v>63.835659026815122</v>
      </c>
      <c r="H437" s="365">
        <f>'Public Lighting Charges'!W891</f>
        <v>66.159449818660974</v>
      </c>
      <c r="I437" s="365">
        <f>'Public Lighting Charges'!Z891</f>
        <v>68.070505833587276</v>
      </c>
    </row>
    <row r="438" spans="1:9" x14ac:dyDescent="0.2">
      <c r="A438" t="str">
        <f>'Public Lighting Charges'!A892</f>
        <v>FLU0370-ST-1960-001-B</v>
      </c>
      <c r="B438" s="365" t="e">
        <f>'Public Lighting Charges'!J892</f>
        <v>#N/A</v>
      </c>
      <c r="C438" s="365">
        <f>'Public Lighting Charges'!L892*(1+'Public Lighting Charges'!$M$12)+(('Public Lighting Charges'!L892*'Public Lighting Charges'!$M$10)*'Public Lighting Charges'!$M$14)</f>
        <v>78.675053853667606</v>
      </c>
      <c r="D438" s="365" t="e">
        <f t="shared" si="6"/>
        <v>#N/A</v>
      </c>
      <c r="E438" s="365" t="e">
        <f>'Public Lighting Charges'!O892</f>
        <v>#N/A</v>
      </c>
      <c r="F438" s="365" t="e">
        <f>'Public Lighting Charges'!Q892</f>
        <v>#N/A</v>
      </c>
      <c r="G438" s="365" t="e">
        <f>'Public Lighting Charges'!T892</f>
        <v>#N/A</v>
      </c>
      <c r="H438" s="365" t="e">
        <f>'Public Lighting Charges'!W892</f>
        <v>#N/A</v>
      </c>
      <c r="I438" s="365" t="e">
        <f>'Public Lighting Charges'!Z892</f>
        <v>#N/A</v>
      </c>
    </row>
    <row r="439" spans="1:9" x14ac:dyDescent="0.2">
      <c r="A439" t="str">
        <f>'Public Lighting Charges'!A893</f>
        <v>FLU0370-ST-1960-002-B</v>
      </c>
      <c r="B439" s="365">
        <f>'Public Lighting Charges'!J893</f>
        <v>0</v>
      </c>
      <c r="C439" s="365">
        <f>'Public Lighting Charges'!L893*(1+'Public Lighting Charges'!$M$12)+(('Public Lighting Charges'!L893*'Public Lighting Charges'!$M$10)*'Public Lighting Charges'!$M$14)</f>
        <v>78.675053853667606</v>
      </c>
      <c r="D439" s="365">
        <f t="shared" si="6"/>
        <v>78.675053853667606</v>
      </c>
      <c r="E439" s="365">
        <f>'Public Lighting Charges'!O893</f>
        <v>58.45649127145181</v>
      </c>
      <c r="F439" s="365">
        <f>'Public Lighting Charges'!Q893</f>
        <v>61.317285447948549</v>
      </c>
      <c r="G439" s="365">
        <f>'Public Lighting Charges'!T893</f>
        <v>63.835659026815122</v>
      </c>
      <c r="H439" s="365">
        <f>'Public Lighting Charges'!W893</f>
        <v>66.159449818660974</v>
      </c>
      <c r="I439" s="365">
        <f>'Public Lighting Charges'!Z893</f>
        <v>68.070505833587276</v>
      </c>
    </row>
    <row r="440" spans="1:9" x14ac:dyDescent="0.2">
      <c r="A440" t="str">
        <f>'Public Lighting Charges'!A894</f>
        <v>FLU0370-ST-1970-001-B</v>
      </c>
      <c r="B440" s="365" t="e">
        <f>'Public Lighting Charges'!J894</f>
        <v>#N/A</v>
      </c>
      <c r="C440" s="365">
        <f>'Public Lighting Charges'!L894*(1+'Public Lighting Charges'!$M$12)+(('Public Lighting Charges'!L894*'Public Lighting Charges'!$M$10)*'Public Lighting Charges'!$M$14)</f>
        <v>78.675053853667606</v>
      </c>
      <c r="D440" s="365" t="e">
        <f t="shared" si="6"/>
        <v>#N/A</v>
      </c>
      <c r="E440" s="365" t="e">
        <f>'Public Lighting Charges'!O894</f>
        <v>#N/A</v>
      </c>
      <c r="F440" s="365" t="e">
        <f>'Public Lighting Charges'!Q894</f>
        <v>#N/A</v>
      </c>
      <c r="G440" s="365" t="e">
        <f>'Public Lighting Charges'!T894</f>
        <v>#N/A</v>
      </c>
      <c r="H440" s="365" t="e">
        <f>'Public Lighting Charges'!W894</f>
        <v>#N/A</v>
      </c>
      <c r="I440" s="365" t="e">
        <f>'Public Lighting Charges'!Z894</f>
        <v>#N/A</v>
      </c>
    </row>
    <row r="441" spans="1:9" x14ac:dyDescent="0.2">
      <c r="A441" t="str">
        <f>'Public Lighting Charges'!A895</f>
        <v>FLU0370-ST-1970-002-B</v>
      </c>
      <c r="B441" s="365">
        <f>'Public Lighting Charges'!J895</f>
        <v>0</v>
      </c>
      <c r="C441" s="365">
        <f>'Public Lighting Charges'!L895*(1+'Public Lighting Charges'!$M$12)+(('Public Lighting Charges'!L895*'Public Lighting Charges'!$M$10)*'Public Lighting Charges'!$M$14)</f>
        <v>78.675053853667606</v>
      </c>
      <c r="D441" s="365">
        <f t="shared" si="6"/>
        <v>78.675053853667606</v>
      </c>
      <c r="E441" s="365">
        <f>'Public Lighting Charges'!O895</f>
        <v>58.45649127145181</v>
      </c>
      <c r="F441" s="365">
        <f>'Public Lighting Charges'!Q895</f>
        <v>61.317285447948549</v>
      </c>
      <c r="G441" s="365">
        <f>'Public Lighting Charges'!T895</f>
        <v>63.835659026815122</v>
      </c>
      <c r="H441" s="365">
        <f>'Public Lighting Charges'!W895</f>
        <v>66.159449818660974</v>
      </c>
      <c r="I441" s="365">
        <f>'Public Lighting Charges'!Z895</f>
        <v>68.070505833587276</v>
      </c>
    </row>
    <row r="442" spans="1:9" x14ac:dyDescent="0.2">
      <c r="A442" t="str">
        <f>'Public Lighting Charges'!A896</f>
        <v>HPS0020-ST-0005-001-B</v>
      </c>
      <c r="B442" s="365">
        <f>'Public Lighting Charges'!J896</f>
        <v>0</v>
      </c>
      <c r="C442" s="365">
        <f>'Public Lighting Charges'!L896*(1+'Public Lighting Charges'!$M$12)+(('Public Lighting Charges'!L896*'Public Lighting Charges'!$M$10)*'Public Lighting Charges'!$M$14)</f>
        <v>54.286642881043264</v>
      </c>
      <c r="D442" s="365">
        <f t="shared" si="6"/>
        <v>54.286642881043264</v>
      </c>
      <c r="E442" s="365">
        <f>'Public Lighting Charges'!O896</f>
        <v>32.871577674698983</v>
      </c>
      <c r="F442" s="365">
        <f>'Public Lighting Charges'!Q896</f>
        <v>34.480275287892276</v>
      </c>
      <c r="G442" s="365">
        <f>'Public Lighting Charges'!T896</f>
        <v>35.896421055642975</v>
      </c>
      <c r="H442" s="365">
        <f>'Public Lighting Charges'!W896</f>
        <v>37.203147953759348</v>
      </c>
      <c r="I442" s="365">
        <f>'Public Lighting Charges'!Z896</f>
        <v>38.277783548010788</v>
      </c>
    </row>
    <row r="443" spans="1:9" x14ac:dyDescent="0.2">
      <c r="A443" t="str">
        <f>'Public Lighting Charges'!A897</f>
        <v>HPS0090-ST-0005-001-B</v>
      </c>
      <c r="B443" s="365">
        <f>'Public Lighting Charges'!J897</f>
        <v>0</v>
      </c>
      <c r="C443" s="365">
        <f>'Public Lighting Charges'!L897*(1+'Public Lighting Charges'!$M$12)+(('Public Lighting Charges'!L897*'Public Lighting Charges'!$M$10)*'Public Lighting Charges'!$M$14)</f>
        <v>67.364406876430564</v>
      </c>
      <c r="D443" s="365">
        <f t="shared" si="6"/>
        <v>67.364406876430564</v>
      </c>
      <c r="E443" s="365">
        <f>'Public Lighting Charges'!O897</f>
        <v>35.021392674980348</v>
      </c>
      <c r="F443" s="365">
        <f>'Public Lighting Charges'!Q897</f>
        <v>36.735299788428989</v>
      </c>
      <c r="G443" s="365">
        <f>'Public Lighting Charges'!T897</f>
        <v>38.244062084787579</v>
      </c>
      <c r="H443" s="365">
        <f>'Public Lighting Charges'!W897</f>
        <v>39.636249471434269</v>
      </c>
      <c r="I443" s="365">
        <f>'Public Lighting Charges'!Z897</f>
        <v>40.781166685363978</v>
      </c>
    </row>
    <row r="444" spans="1:9" x14ac:dyDescent="0.2">
      <c r="A444" t="str">
        <f>'Public Lighting Charges'!A898</f>
        <v>HPS0140-ST-0330-001-B</v>
      </c>
      <c r="B444" s="365">
        <f>'Public Lighting Charges'!J898</f>
        <v>95.968430970589921</v>
      </c>
      <c r="C444" s="365">
        <f>'Public Lighting Charges'!L898*(1+'Public Lighting Charges'!$M$12)+(('Public Lighting Charges'!L898*'Public Lighting Charges'!$M$10)*'Public Lighting Charges'!$M$14)</f>
        <v>78.91430410053357</v>
      </c>
      <c r="D444" s="365">
        <f t="shared" si="6"/>
        <v>174.88273507112348</v>
      </c>
      <c r="E444" s="365">
        <f>'Public Lighting Charges'!O898</f>
        <v>182.3223963054559</v>
      </c>
      <c r="F444" s="365">
        <f>'Public Lighting Charges'!Q898</f>
        <v>182.43471861077276</v>
      </c>
      <c r="G444" s="365">
        <f>'Public Lighting Charges'!T898</f>
        <v>187.84113432255262</v>
      </c>
      <c r="H444" s="365">
        <f>'Public Lighting Charges'!W898</f>
        <v>193.1525858983087</v>
      </c>
      <c r="I444" s="365">
        <f>'Public Lighting Charges'!Z898</f>
        <v>198.17675359116564</v>
      </c>
    </row>
    <row r="445" spans="1:9" x14ac:dyDescent="0.2">
      <c r="A445" t="str">
        <f>'Public Lighting Charges'!A899</f>
        <v>FLU0130-ST-0001-001-B</v>
      </c>
      <c r="B445" s="365">
        <f>'Public Lighting Charges'!J899</f>
        <v>0</v>
      </c>
      <c r="C445" s="365">
        <f>'Public Lighting Charges'!L899*(1+'Public Lighting Charges'!$M$12)+(('Public Lighting Charges'!L899*'Public Lighting Charges'!$M$10)*'Public Lighting Charges'!$M$14)</f>
        <v>27.010735270162279</v>
      </c>
      <c r="D445" s="365">
        <f t="shared" si="6"/>
        <v>27.010735270162279</v>
      </c>
      <c r="E445" s="365">
        <f>'Public Lighting Charges'!O899</f>
        <v>35.168294703877628</v>
      </c>
      <c r="F445" s="365">
        <f>'Public Lighting Charges'!Q899</f>
        <v>36.889391035489098</v>
      </c>
      <c r="G445" s="365">
        <f>'Public Lighting Charges'!T899</f>
        <v>38.404482041973985</v>
      </c>
      <c r="H445" s="365">
        <f>'Public Lighting Charges'!W899</f>
        <v>39.802509149319427</v>
      </c>
      <c r="I445" s="365">
        <f>'Public Lighting Charges'!Z899</f>
        <v>40.952228875336722</v>
      </c>
    </row>
    <row r="446" spans="1:9" x14ac:dyDescent="0.2">
      <c r="A446" t="str">
        <f>'Public Lighting Charges'!A900</f>
        <v>HPS0090-ST-0005-001-B</v>
      </c>
      <c r="B446" s="365">
        <f>'Public Lighting Charges'!J900</f>
        <v>0</v>
      </c>
      <c r="C446" s="365">
        <f>'Public Lighting Charges'!L900*(1+'Public Lighting Charges'!$M$12)+(('Public Lighting Charges'!L900*'Public Lighting Charges'!$M$10)*'Public Lighting Charges'!$M$14)</f>
        <v>67.364406876430564</v>
      </c>
      <c r="D446" s="365">
        <f t="shared" si="6"/>
        <v>67.364406876430564</v>
      </c>
      <c r="E446" s="365">
        <f>'Public Lighting Charges'!O900</f>
        <v>35.021392674980348</v>
      </c>
      <c r="F446" s="365">
        <f>'Public Lighting Charges'!Q900</f>
        <v>36.735299788428989</v>
      </c>
      <c r="G446" s="365">
        <f>'Public Lighting Charges'!T900</f>
        <v>38.244062084787579</v>
      </c>
      <c r="H446" s="365">
        <f>'Public Lighting Charges'!W900</f>
        <v>39.636249471434269</v>
      </c>
      <c r="I446" s="365">
        <f>'Public Lighting Charges'!Z900</f>
        <v>40.781166685363978</v>
      </c>
    </row>
    <row r="447" spans="1:9" x14ac:dyDescent="0.2">
      <c r="A447" t="str">
        <f>'Public Lighting Charges'!A901</f>
        <v>HPS0110-TA-0390-001-B</v>
      </c>
      <c r="B447" s="365">
        <f>'Public Lighting Charges'!J901</f>
        <v>105.05612002630808</v>
      </c>
      <c r="C447" s="365">
        <f>'Public Lighting Charges'!L901*(1+'Public Lighting Charges'!$M$12)+(('Public Lighting Charges'!L901*'Public Lighting Charges'!$M$10)*'Public Lighting Charges'!$M$14)</f>
        <v>82.078978659233144</v>
      </c>
      <c r="D447" s="365">
        <f t="shared" si="6"/>
        <v>187.13509868554121</v>
      </c>
      <c r="E447" s="365">
        <f>'Public Lighting Charges'!O901</f>
        <v>186.45355983051161</v>
      </c>
      <c r="F447" s="365">
        <f>'Public Lighting Charges'!Q901</f>
        <v>185.93376634775461</v>
      </c>
      <c r="G447" s="365">
        <f>'Public Lighting Charges'!T901</f>
        <v>191.28632188344409</v>
      </c>
      <c r="H447" s="365">
        <f>'Public Lighting Charges'!W901</f>
        <v>196.5786387985211</v>
      </c>
      <c r="I447" s="365">
        <f>'Public Lighting Charges'!Z901</f>
        <v>201.64919925082873</v>
      </c>
    </row>
    <row r="448" spans="1:9" x14ac:dyDescent="0.2">
      <c r="A448" t="str">
        <f>'Public Lighting Charges'!A902</f>
        <v>MVA0220-ST-0580-001-B</v>
      </c>
      <c r="B448" s="365">
        <f>'Public Lighting Charges'!J902</f>
        <v>192.53948994210435</v>
      </c>
      <c r="C448" s="365">
        <f>'Public Lighting Charges'!L902*(1+'Public Lighting Charges'!$M$12)+(('Public Lighting Charges'!L902*'Public Lighting Charges'!$M$10)*'Public Lighting Charges'!$M$14)</f>
        <v>71.779201750137887</v>
      </c>
      <c r="D448" s="365">
        <f t="shared" si="6"/>
        <v>264.31869169224223</v>
      </c>
      <c r="E448" s="365">
        <f>'Public Lighting Charges'!O902</f>
        <v>325.26947812778764</v>
      </c>
      <c r="F448" s="365">
        <f>'Public Lighting Charges'!Q902</f>
        <v>323.51181571727102</v>
      </c>
      <c r="G448" s="365">
        <f>'Public Lighting Charges'!T902</f>
        <v>332.61293922555302</v>
      </c>
      <c r="H448" s="365">
        <f>'Public Lighting Charges'!W902</f>
        <v>341.65841679432521</v>
      </c>
      <c r="I448" s="365">
        <f>'Public Lighting Charges'!Z902</f>
        <v>350.41361735212428</v>
      </c>
    </row>
    <row r="449" spans="1:9" x14ac:dyDescent="0.2">
      <c r="A449" t="str">
        <f>'Public Lighting Charges'!A903</f>
        <v>MVA0220-ST-0460-001-B</v>
      </c>
      <c r="B449" s="365">
        <f>'Public Lighting Charges'!J903</f>
        <v>132.53929434697199</v>
      </c>
      <c r="C449" s="365">
        <f>'Public Lighting Charges'!L903*(1+'Public Lighting Charges'!$M$12)+(('Public Lighting Charges'!L903*'Public Lighting Charges'!$M$10)*'Public Lighting Charges'!$M$14)</f>
        <v>71.779201750137887</v>
      </c>
      <c r="D449" s="365">
        <f t="shared" si="6"/>
        <v>204.31849609710986</v>
      </c>
      <c r="E449" s="365">
        <f>'Public Lighting Charges'!O903</f>
        <v>243.82453026175307</v>
      </c>
      <c r="F449" s="365">
        <f>'Public Lighting Charges'!Q903</f>
        <v>243.58932929315654</v>
      </c>
      <c r="G449" s="365">
        <f>'Public Lighting Charges'!T903</f>
        <v>250.71237126244171</v>
      </c>
      <c r="H449" s="365">
        <f>'Public Lighting Charges'!W903</f>
        <v>257.73080977412695</v>
      </c>
      <c r="I449" s="365">
        <f>'Public Lighting Charges'!Z903</f>
        <v>264.40880205817609</v>
      </c>
    </row>
    <row r="450" spans="1:9" x14ac:dyDescent="0.2">
      <c r="A450" t="str">
        <f>'Public Lighting Charges'!A904</f>
        <v>MVA0020-ST-0005-001-B</v>
      </c>
      <c r="B450" s="365">
        <f>'Public Lighting Charges'!J904</f>
        <v>0</v>
      </c>
      <c r="C450" s="365">
        <f>'Public Lighting Charges'!L904*(1+'Public Lighting Charges'!$M$12)+(('Public Lighting Charges'!L904*'Public Lighting Charges'!$M$10)*'Public Lighting Charges'!$M$14)</f>
        <v>35.815297395348722</v>
      </c>
      <c r="D450" s="365">
        <f t="shared" si="6"/>
        <v>35.815297395348722</v>
      </c>
      <c r="E450" s="365">
        <f>'Public Lighting Charges'!O904</f>
        <v>29.84449639805074</v>
      </c>
      <c r="F450" s="365">
        <f>'Public Lighting Charges'!Q904</f>
        <v>31.305052097494812</v>
      </c>
      <c r="G450" s="365">
        <f>'Public Lighting Charges'!T904</f>
        <v>32.590787685941514</v>
      </c>
      <c r="H450" s="365">
        <f>'Public Lighting Charges'!W904</f>
        <v>33.777180581043936</v>
      </c>
      <c r="I450" s="365">
        <f>'Public Lighting Charges'!Z904</f>
        <v>34.752855020501691</v>
      </c>
    </row>
    <row r="451" spans="1:9" x14ac:dyDescent="0.2">
      <c r="A451" t="str">
        <f>'Public Lighting Charges'!A905</f>
        <v>MVA0080-ST-0005-001-B</v>
      </c>
      <c r="B451" s="365">
        <f>'Public Lighting Charges'!J905</f>
        <v>0</v>
      </c>
      <c r="C451" s="365">
        <f>'Public Lighting Charges'!L905*(1+'Public Lighting Charges'!$M$12)+(('Public Lighting Charges'!L905*'Public Lighting Charges'!$M$10)*'Public Lighting Charges'!$M$14)</f>
        <v>36.198428253636699</v>
      </c>
      <c r="D451" s="365">
        <f t="shared" si="6"/>
        <v>36.198428253636699</v>
      </c>
      <c r="E451" s="365">
        <f>'Public Lighting Charges'!O905</f>
        <v>30.237444452515287</v>
      </c>
      <c r="F451" s="365">
        <f>'Public Lighting Charges'!Q905</f>
        <v>31.71723058268531</v>
      </c>
      <c r="G451" s="365">
        <f>'Public Lighting Charges'!T905</f>
        <v>33.019894829980778</v>
      </c>
      <c r="H451" s="365">
        <f>'Public Lighting Charges'!W905</f>
        <v>34.221908386720216</v>
      </c>
      <c r="I451" s="365">
        <f>'Public Lighting Charges'!Z905</f>
        <v>35.210429059790435</v>
      </c>
    </row>
    <row r="452" spans="1:9" x14ac:dyDescent="0.2">
      <c r="A452" t="str">
        <f>'Public Lighting Charges'!A906</f>
        <v>FLU0050-ST-0990-001-B</v>
      </c>
      <c r="B452" s="365">
        <f>'Public Lighting Charges'!J906</f>
        <v>86.253661186307269</v>
      </c>
      <c r="C452" s="365">
        <f>'Public Lighting Charges'!L906*(1+'Public Lighting Charges'!$M$12)+(('Public Lighting Charges'!L906*'Public Lighting Charges'!$M$10)*'Public Lighting Charges'!$M$14)</f>
        <v>38.358436490372</v>
      </c>
      <c r="D452" s="365">
        <f t="shared" ref="D452:D471" si="7">B452+C452</f>
        <v>124.61209767667927</v>
      </c>
      <c r="E452" s="365">
        <f>'Public Lighting Charges'!O906</f>
        <v>163.04795675316424</v>
      </c>
      <c r="F452" s="365">
        <f>'Public Lighting Charges'!Q906</f>
        <v>163.10886894331944</v>
      </c>
      <c r="G452" s="365">
        <f>'Public Lighting Charges'!T906</f>
        <v>167.93275232089721</v>
      </c>
      <c r="H452" s="365">
        <f>'Public Lighting Charges'!W906</f>
        <v>172.67400806205498</v>
      </c>
      <c r="I452" s="365">
        <f>'Public Lighting Charges'!Z906</f>
        <v>177.16283798797343</v>
      </c>
    </row>
    <row r="453" spans="1:9" x14ac:dyDescent="0.2">
      <c r="A453" t="str">
        <f>'Public Lighting Charges'!A907</f>
        <v>FLU0070-ST-0990-001-B</v>
      </c>
      <c r="B453" s="365">
        <f>'Public Lighting Charges'!J907</f>
        <v>86.253661186307269</v>
      </c>
      <c r="C453" s="365">
        <f>'Public Lighting Charges'!L907*(1+'Public Lighting Charges'!$M$12)+(('Public Lighting Charges'!L907*'Public Lighting Charges'!$M$10)*'Public Lighting Charges'!$M$14)</f>
        <v>48.744776132044855</v>
      </c>
      <c r="D453" s="365">
        <f t="shared" si="7"/>
        <v>134.99843731835213</v>
      </c>
      <c r="E453" s="365">
        <f>'Public Lighting Charges'!O907</f>
        <v>174.41391705322624</v>
      </c>
      <c r="F453" s="365">
        <f>'Public Lighting Charges'!Q907</f>
        <v>175.03106640933993</v>
      </c>
      <c r="G453" s="365">
        <f>'Public Lighting Charges'!T907</f>
        <v>180.34460856553312</v>
      </c>
      <c r="H453" s="365">
        <f>'Public Lighting Charges'!W907</f>
        <v>185.53768947291792</v>
      </c>
      <c r="I453" s="365">
        <f>'Public Lighting Charges'!Z907</f>
        <v>190.39809467344497</v>
      </c>
    </row>
    <row r="454" spans="1:9" x14ac:dyDescent="0.2">
      <c r="A454" t="str">
        <f>'Public Lighting Charges'!A908</f>
        <v>HPS0170-ST-0660-001-B</v>
      </c>
      <c r="B454" s="365">
        <f>'Public Lighting Charges'!J908</f>
        <v>49.505888035288052</v>
      </c>
      <c r="C454" s="365">
        <f>'Public Lighting Charges'!L908*(1+'Public Lighting Charges'!$M$12)+(('Public Lighting Charges'!L908*'Public Lighting Charges'!$M$10)*'Public Lighting Charges'!$M$14)</f>
        <v>73.32263047207914</v>
      </c>
      <c r="D454" s="365">
        <f t="shared" si="7"/>
        <v>122.82851850736719</v>
      </c>
      <c r="E454" s="365">
        <f>'Public Lighting Charges'!O908</f>
        <v>106.99747179811214</v>
      </c>
      <c r="F454" s="365">
        <f>'Public Lighting Charges'!Q908</f>
        <v>107.68894586522813</v>
      </c>
      <c r="G454" s="365">
        <f>'Public Lighting Charges'!T908</f>
        <v>111.0355794947488</v>
      </c>
      <c r="H454" s="365">
        <f>'Public Lighting Charges'!W908</f>
        <v>114.29013433301881</v>
      </c>
      <c r="I454" s="365">
        <f>'Public Lighting Charges'!Z908</f>
        <v>117.30509064106836</v>
      </c>
    </row>
    <row r="455" spans="1:9" x14ac:dyDescent="0.2">
      <c r="A455" t="str">
        <f>'Public Lighting Charges'!A909</f>
        <v>LPS0010-ST-0360-001-B</v>
      </c>
      <c r="B455" s="365">
        <f>'Public Lighting Charges'!J909</f>
        <v>87.482155888651974</v>
      </c>
      <c r="C455" s="365">
        <f>'Public Lighting Charges'!L909*(1+'Public Lighting Charges'!$M$12)+(('Public Lighting Charges'!L909*'Public Lighting Charges'!$M$10)*'Public Lighting Charges'!$M$14)</f>
        <v>64.85523815650177</v>
      </c>
      <c r="D455" s="365">
        <f t="shared" si="7"/>
        <v>152.33739404515376</v>
      </c>
      <c r="E455" s="365">
        <f>'Public Lighting Charges'!O909</f>
        <v>175.1474321458316</v>
      </c>
      <c r="F455" s="365">
        <f>'Public Lighting Charges'!Q909</f>
        <v>175.68769762430762</v>
      </c>
      <c r="G455" s="365">
        <f>'Public Lighting Charges'!T909</f>
        <v>181.00150040694172</v>
      </c>
      <c r="H455" s="365">
        <f>'Public Lighting Charges'!W909</f>
        <v>186.19895351451285</v>
      </c>
      <c r="I455" s="365">
        <f>'Public Lighting Charges'!Z909</f>
        <v>191.07135307922377</v>
      </c>
    </row>
    <row r="456" spans="1:9" x14ac:dyDescent="0.2">
      <c r="A456" t="str">
        <f>'Public Lighting Charges'!A910</f>
        <v>MVA0020-ST-0820-001-B</v>
      </c>
      <c r="B456" s="365">
        <f>'Public Lighting Charges'!J910</f>
        <v>30.584534903875124</v>
      </c>
      <c r="C456" s="365">
        <f>'Public Lighting Charges'!L910*(1+'Public Lighting Charges'!$M$12)+(('Public Lighting Charges'!L910*'Public Lighting Charges'!$M$10)*'Public Lighting Charges'!$M$14)</f>
        <v>35.815297395348722</v>
      </c>
      <c r="D456" s="365">
        <f t="shared" si="7"/>
        <v>66.399832299223846</v>
      </c>
      <c r="E456" s="365">
        <f>'Public Lighting Charges'!O910</f>
        <v>71.360291905809191</v>
      </c>
      <c r="F456" s="365">
        <f>'Public Lighting Charges'!Q910</f>
        <v>72.04478721664367</v>
      </c>
      <c r="G456" s="365">
        <f>'Public Lighting Charges'!T910</f>
        <v>74.338831249289314</v>
      </c>
      <c r="H456" s="365">
        <f>'Public Lighting Charges'!W910</f>
        <v>76.558488222584586</v>
      </c>
      <c r="I456" s="365">
        <f>'Public Lighting Charges'!Z910</f>
        <v>78.593000026170458</v>
      </c>
    </row>
    <row r="457" spans="1:9" x14ac:dyDescent="0.2">
      <c r="A457" t="str">
        <f>'Public Lighting Charges'!A911</f>
        <v>INC0110-ST-0990-001-B</v>
      </c>
      <c r="B457" s="365">
        <f>'Public Lighting Charges'!J911</f>
        <v>86.253661186307269</v>
      </c>
      <c r="C457" s="365">
        <f>'Public Lighting Charges'!L911*(1+'Public Lighting Charges'!$M$12)+(('Public Lighting Charges'!L911*'Public Lighting Charges'!$M$10)*'Public Lighting Charges'!$M$14)</f>
        <v>32.138329198891505</v>
      </c>
      <c r="D457" s="365">
        <f t="shared" si="7"/>
        <v>118.39199038519877</v>
      </c>
      <c r="E457" s="365">
        <f>'Public Lighting Charges'!O911</f>
        <v>192.82912617325474</v>
      </c>
      <c r="F457" s="365">
        <f>'Public Lighting Charges'!Q911</f>
        <v>194.34749491260013</v>
      </c>
      <c r="G457" s="365">
        <f>'Public Lighting Charges'!T911</f>
        <v>200.45438567881897</v>
      </c>
      <c r="H457" s="365">
        <f>'Public Lighting Charges'!W911</f>
        <v>206.37951691033831</v>
      </c>
      <c r="I457" s="365">
        <f>'Public Lighting Charges'!Z911</f>
        <v>211.84195099404852</v>
      </c>
    </row>
    <row r="458" spans="1:9" x14ac:dyDescent="0.2">
      <c r="A458" t="str">
        <f>'Public Lighting Charges'!A912</f>
        <v>MVA0190-ST-0450-001-B</v>
      </c>
      <c r="B458" s="365">
        <f>'Public Lighting Charges'!J912</f>
        <v>131.9734324216279</v>
      </c>
      <c r="C458" s="365">
        <f>'Public Lighting Charges'!L912*(1+'Public Lighting Charges'!$M$12)+(('Public Lighting Charges'!L912*'Public Lighting Charges'!$M$10)*'Public Lighting Charges'!$M$14)</f>
        <v>56.93547759728439</v>
      </c>
      <c r="D458" s="365">
        <f t="shared" si="7"/>
        <v>188.90891001891231</v>
      </c>
      <c r="E458" s="365">
        <f>'Public Lighting Charges'!O912</f>
        <v>228.06397366788411</v>
      </c>
      <c r="F458" s="365">
        <f>'Public Lighting Charges'!Q912</f>
        <v>227.10941762928093</v>
      </c>
      <c r="G458" s="365">
        <f>'Public Lighting Charges'!T912</f>
        <v>233.56791217480043</v>
      </c>
      <c r="H458" s="365">
        <f>'Public Lighting Charges'!W912</f>
        <v>239.97124656737813</v>
      </c>
      <c r="I458" s="365">
        <f>'Public Lighting Charges'!Z912</f>
        <v>246.13951647149244</v>
      </c>
    </row>
    <row r="459" spans="1:9" x14ac:dyDescent="0.2">
      <c r="A459" t="str">
        <f>'Public Lighting Charges'!A913</f>
        <v>HPS0140-ST-0330-001-B</v>
      </c>
      <c r="B459" s="365">
        <f>'Public Lighting Charges'!J913</f>
        <v>95.968430970589921</v>
      </c>
      <c r="C459" s="365">
        <f>'Public Lighting Charges'!L913*(1+'Public Lighting Charges'!$M$12)+(('Public Lighting Charges'!L913*'Public Lighting Charges'!$M$10)*'Public Lighting Charges'!$M$14)</f>
        <v>78.91430410053357</v>
      </c>
      <c r="D459" s="365">
        <f t="shared" si="7"/>
        <v>174.88273507112348</v>
      </c>
      <c r="E459" s="365">
        <f>'Public Lighting Charges'!O913</f>
        <v>182.3223963054559</v>
      </c>
      <c r="F459" s="365">
        <f>'Public Lighting Charges'!Q913</f>
        <v>182.43471861077276</v>
      </c>
      <c r="G459" s="365">
        <f>'Public Lighting Charges'!T913</f>
        <v>187.84113432255262</v>
      </c>
      <c r="H459" s="365">
        <f>'Public Lighting Charges'!W913</f>
        <v>193.1525858983087</v>
      </c>
      <c r="I459" s="365">
        <f>'Public Lighting Charges'!Z913</f>
        <v>198.17675359116564</v>
      </c>
    </row>
    <row r="460" spans="1:9" x14ac:dyDescent="0.2">
      <c r="A460" t="str">
        <f>'Public Lighting Charges'!A914</f>
        <v>HPS0140-ST-0330-001-B</v>
      </c>
      <c r="B460" s="365">
        <f>'Public Lighting Charges'!J914</f>
        <v>95.968430970589921</v>
      </c>
      <c r="C460" s="365">
        <f>'Public Lighting Charges'!L914*(1+'Public Lighting Charges'!$M$12)+(('Public Lighting Charges'!L914*'Public Lighting Charges'!$M$10)*'Public Lighting Charges'!$M$14)</f>
        <v>78.91430410053357</v>
      </c>
      <c r="D460" s="365">
        <f t="shared" si="7"/>
        <v>174.88273507112348</v>
      </c>
      <c r="E460" s="365">
        <f>'Public Lighting Charges'!O914</f>
        <v>182.3223963054559</v>
      </c>
      <c r="F460" s="365">
        <f>'Public Lighting Charges'!Q914</f>
        <v>182.43471861077276</v>
      </c>
      <c r="G460" s="365">
        <f>'Public Lighting Charges'!T914</f>
        <v>187.84113432255262</v>
      </c>
      <c r="H460" s="365">
        <f>'Public Lighting Charges'!W914</f>
        <v>193.1525858983087</v>
      </c>
      <c r="I460" s="365">
        <f>'Public Lighting Charges'!Z914</f>
        <v>198.17675359116564</v>
      </c>
    </row>
    <row r="461" spans="1:9" x14ac:dyDescent="0.2">
      <c r="A461" t="str">
        <f>'Public Lighting Charges'!A915</f>
        <v>LPS0050-ST-0320-001-B</v>
      </c>
      <c r="B461" s="365">
        <f>'Public Lighting Charges'!J915</f>
        <v>92.322513672035399</v>
      </c>
      <c r="C461" s="365">
        <f>'Public Lighting Charges'!L915*(1+'Public Lighting Charges'!$M$12)+(('Public Lighting Charges'!L915*'Public Lighting Charges'!$M$10)*'Public Lighting Charges'!$M$14)</f>
        <v>69.843474857460805</v>
      </c>
      <c r="D461" s="365">
        <f t="shared" si="7"/>
        <v>162.16598852949619</v>
      </c>
      <c r="E461" s="365">
        <f>'Public Lighting Charges'!O915</f>
        <v>186.61786390007015</v>
      </c>
      <c r="F461" s="365">
        <f>'Public Lighting Charges'!Q915</f>
        <v>187.27511290891135</v>
      </c>
      <c r="G461" s="365">
        <f>'Public Lighting Charges'!T915</f>
        <v>192.9595931386915</v>
      </c>
      <c r="H461" s="365">
        <f>'Public Lighting Charges'!W915</f>
        <v>198.51536244438543</v>
      </c>
      <c r="I461" s="365">
        <f>'Public Lighting Charges'!Z915</f>
        <v>203.71552826873963</v>
      </c>
    </row>
    <row r="462" spans="1:9" x14ac:dyDescent="0.2">
      <c r="A462" t="str">
        <f>'Public Lighting Charges'!A916</f>
        <v>FLU0050-ST-0990-001-B</v>
      </c>
      <c r="B462" s="365">
        <f>'Public Lighting Charges'!J916</f>
        <v>86.253661186307269</v>
      </c>
      <c r="C462" s="365">
        <f>'Public Lighting Charges'!L916*(1+'Public Lighting Charges'!$M$12)+(('Public Lighting Charges'!L916*'Public Lighting Charges'!$M$10)*'Public Lighting Charges'!$M$14)</f>
        <v>38.358436490372</v>
      </c>
      <c r="D462" s="365">
        <f t="shared" si="7"/>
        <v>124.61209767667927</v>
      </c>
      <c r="E462" s="365">
        <f>'Public Lighting Charges'!O916</f>
        <v>163.04795675316424</v>
      </c>
      <c r="F462" s="365">
        <f>'Public Lighting Charges'!Q916</f>
        <v>163.10886894331944</v>
      </c>
      <c r="G462" s="365">
        <f>'Public Lighting Charges'!T916</f>
        <v>167.93275232089721</v>
      </c>
      <c r="H462" s="365">
        <f>'Public Lighting Charges'!W916</f>
        <v>172.67400806205498</v>
      </c>
      <c r="I462" s="365">
        <f>'Public Lighting Charges'!Z916</f>
        <v>177.16283798797343</v>
      </c>
    </row>
    <row r="463" spans="1:9" x14ac:dyDescent="0.2">
      <c r="A463" t="str">
        <f>'Public Lighting Charges'!A917</f>
        <v>FLU0070-ST-0990-001-B</v>
      </c>
      <c r="B463" s="365">
        <f>'Public Lighting Charges'!J917</f>
        <v>86.253661186307269</v>
      </c>
      <c r="C463" s="365">
        <f>'Public Lighting Charges'!L917*(1+'Public Lighting Charges'!$M$12)+(('Public Lighting Charges'!L917*'Public Lighting Charges'!$M$10)*'Public Lighting Charges'!$M$14)</f>
        <v>48.744776132044855</v>
      </c>
      <c r="D463" s="365">
        <f t="shared" si="7"/>
        <v>134.99843731835213</v>
      </c>
      <c r="E463" s="365">
        <f>'Public Lighting Charges'!O917</f>
        <v>174.41391705322624</v>
      </c>
      <c r="F463" s="365">
        <f>'Public Lighting Charges'!Q917</f>
        <v>175.03106640933993</v>
      </c>
      <c r="G463" s="365">
        <f>'Public Lighting Charges'!T917</f>
        <v>180.34460856553312</v>
      </c>
      <c r="H463" s="365">
        <f>'Public Lighting Charges'!W917</f>
        <v>185.53768947291792</v>
      </c>
      <c r="I463" s="365">
        <f>'Public Lighting Charges'!Z917</f>
        <v>190.39809467344497</v>
      </c>
    </row>
    <row r="464" spans="1:9" x14ac:dyDescent="0.2">
      <c r="A464" t="str">
        <f>'Public Lighting Charges'!A918</f>
        <v>LPS0010-ST-0360-001-B</v>
      </c>
      <c r="B464" s="365">
        <f>'Public Lighting Charges'!J918</f>
        <v>87.482155888651974</v>
      </c>
      <c r="C464" s="365">
        <f>'Public Lighting Charges'!L918*(1+'Public Lighting Charges'!$M$12)+(('Public Lighting Charges'!L918*'Public Lighting Charges'!$M$10)*'Public Lighting Charges'!$M$14)</f>
        <v>64.85523815650177</v>
      </c>
      <c r="D464" s="365">
        <f t="shared" si="7"/>
        <v>152.33739404515376</v>
      </c>
      <c r="E464" s="365">
        <f>'Public Lighting Charges'!O918</f>
        <v>175.1474321458316</v>
      </c>
      <c r="F464" s="365">
        <f>'Public Lighting Charges'!Q918</f>
        <v>175.68769762430762</v>
      </c>
      <c r="G464" s="365">
        <f>'Public Lighting Charges'!T918</f>
        <v>181.00150040694172</v>
      </c>
      <c r="H464" s="365">
        <f>'Public Lighting Charges'!W918</f>
        <v>186.19895351451285</v>
      </c>
      <c r="I464" s="365">
        <f>'Public Lighting Charges'!Z918</f>
        <v>191.07135307922377</v>
      </c>
    </row>
    <row r="465" spans="1:9" x14ac:dyDescent="0.2">
      <c r="A465" t="str">
        <f>'Public Lighting Charges'!A919</f>
        <v>LPS0020-ST-0360-001-B</v>
      </c>
      <c r="B465" s="365">
        <f>'Public Lighting Charges'!J919</f>
        <v>87.482155888651974</v>
      </c>
      <c r="C465" s="365">
        <f>'Public Lighting Charges'!L919*(1+'Public Lighting Charges'!$M$12)+(('Public Lighting Charges'!L919*'Public Lighting Charges'!$M$10)*'Public Lighting Charges'!$M$14)</f>
        <v>64.85523815650177</v>
      </c>
      <c r="D465" s="365">
        <f t="shared" si="7"/>
        <v>152.33739404515376</v>
      </c>
      <c r="E465" s="365">
        <f>'Public Lighting Charges'!O919</f>
        <v>175.1474321458316</v>
      </c>
      <c r="F465" s="365">
        <f>'Public Lighting Charges'!Q919</f>
        <v>175.68769762430762</v>
      </c>
      <c r="G465" s="365">
        <f>'Public Lighting Charges'!T919</f>
        <v>181.00150040694172</v>
      </c>
      <c r="H465" s="365">
        <f>'Public Lighting Charges'!W919</f>
        <v>186.19895351451285</v>
      </c>
      <c r="I465" s="365">
        <f>'Public Lighting Charges'!Z919</f>
        <v>191.07135307922377</v>
      </c>
    </row>
    <row r="466" spans="1:9" x14ac:dyDescent="0.2">
      <c r="A466" t="str">
        <f>'Public Lighting Charges'!A920</f>
        <v>HPS0090-ST-0005-001-B</v>
      </c>
      <c r="B466" s="365">
        <f>'Public Lighting Charges'!J920</f>
        <v>0</v>
      </c>
      <c r="C466" s="365">
        <f>'Public Lighting Charges'!L920*(1+'Public Lighting Charges'!$M$12)+(('Public Lighting Charges'!L920*'Public Lighting Charges'!$M$10)*'Public Lighting Charges'!$M$14)</f>
        <v>67.364406876430564</v>
      </c>
      <c r="D466" s="365">
        <f t="shared" si="7"/>
        <v>67.364406876430564</v>
      </c>
      <c r="E466" s="365">
        <f>'Public Lighting Charges'!O920</f>
        <v>35.021392674980348</v>
      </c>
      <c r="F466" s="365">
        <f>'Public Lighting Charges'!Q920</f>
        <v>36.735299788428989</v>
      </c>
      <c r="G466" s="365">
        <f>'Public Lighting Charges'!T920</f>
        <v>38.244062084787579</v>
      </c>
      <c r="H466" s="365">
        <f>'Public Lighting Charges'!W920</f>
        <v>39.636249471434269</v>
      </c>
      <c r="I466" s="365">
        <f>'Public Lighting Charges'!Z920</f>
        <v>40.781166685363978</v>
      </c>
    </row>
    <row r="467" spans="1:9" x14ac:dyDescent="0.2">
      <c r="A467" t="str">
        <f>'Public Lighting Charges'!A921</f>
        <v>MHR0070-ST-0330-001-B</v>
      </c>
      <c r="B467" s="365">
        <f>'Public Lighting Charges'!J921</f>
        <v>95.968430970589921</v>
      </c>
      <c r="C467" s="365">
        <f>'Public Lighting Charges'!L921*(1+'Public Lighting Charges'!$M$12)+(('Public Lighting Charges'!L921*'Public Lighting Charges'!$M$10)*'Public Lighting Charges'!$M$14)</f>
        <v>88.065122044343227</v>
      </c>
      <c r="D467" s="365">
        <f t="shared" si="7"/>
        <v>184.03355301493315</v>
      </c>
      <c r="E467" s="365">
        <f>'Public Lighting Charges'!O921</f>
        <v>203.24906230852912</v>
      </c>
      <c r="F467" s="365">
        <f>'Public Lighting Charges'!Q921</f>
        <v>204.38551183963312</v>
      </c>
      <c r="G467" s="365">
        <f>'Public Lighting Charges'!T921</f>
        <v>210.69347264263612</v>
      </c>
      <c r="H467" s="365">
        <f>'Public Lighting Charges'!W921</f>
        <v>216.8368111945735</v>
      </c>
      <c r="I467" s="365">
        <f>'Public Lighting Charges'!Z921</f>
        <v>222.54511216446576</v>
      </c>
    </row>
    <row r="468" spans="1:9" x14ac:dyDescent="0.2">
      <c r="A468" t="str">
        <f>'Public Lighting Charges'!A922</f>
        <v>MVA0220-ST-0380-001-B</v>
      </c>
      <c r="B468" s="365">
        <f>'Public Lighting Charges'!J922</f>
        <v>106.06410083236733</v>
      </c>
      <c r="C468" s="365">
        <f>'Public Lighting Charges'!L922*(1+'Public Lighting Charges'!$M$12)+(('Public Lighting Charges'!L922*'Public Lighting Charges'!$M$10)*'Public Lighting Charges'!$M$14)</f>
        <v>71.779201750137887</v>
      </c>
      <c r="D468" s="365">
        <f t="shared" si="7"/>
        <v>177.8433025825052</v>
      </c>
      <c r="E468" s="365">
        <f>'Public Lighting Charges'!O922</f>
        <v>207.88680149016412</v>
      </c>
      <c r="F468" s="365">
        <f>'Public Lighting Charges'!Q922</f>
        <v>208.3233893531465</v>
      </c>
      <c r="G468" s="365">
        <f>'Public Lighting Charges'!T922</f>
        <v>214.57359930891641</v>
      </c>
      <c r="H468" s="365">
        <f>'Public Lighting Charges'!W922</f>
        <v>220.69760321475189</v>
      </c>
      <c r="I468" s="365">
        <f>'Public Lighting Charges'!Z922</f>
        <v>226.45902363645652</v>
      </c>
    </row>
    <row r="469" spans="1:9" x14ac:dyDescent="0.2">
      <c r="A469" t="str">
        <f>'Public Lighting Charges'!A923</f>
        <v>HPS0110-ST-0005-001-B</v>
      </c>
      <c r="B469" s="365">
        <f>'Public Lighting Charges'!J923</f>
        <v>0</v>
      </c>
      <c r="C469" s="365">
        <f>'Public Lighting Charges'!L923*(1+'Public Lighting Charges'!$M$12)+(('Public Lighting Charges'!L923*'Public Lighting Charges'!$M$10)*'Public Lighting Charges'!$M$14)</f>
        <v>68.541669501206812</v>
      </c>
      <c r="D469" s="365">
        <f t="shared" si="7"/>
        <v>68.541669501206812</v>
      </c>
      <c r="E469" s="365">
        <f>'Public Lighting Charges'!O923</f>
        <v>36.128452599425493</v>
      </c>
      <c r="F469" s="365">
        <f>'Public Lighting Charges'!Q923</f>
        <v>37.896537966067243</v>
      </c>
      <c r="G469" s="365">
        <f>'Public Lighting Charges'!T923</f>
        <v>39.452993690534583</v>
      </c>
      <c r="H469" s="365">
        <f>'Public Lighting Charges'!W923</f>
        <v>40.889189460210986</v>
      </c>
      <c r="I469" s="365">
        <f>'Public Lighting Charges'!Z923</f>
        <v>42.070298609056358</v>
      </c>
    </row>
    <row r="470" spans="1:9" x14ac:dyDescent="0.2">
      <c r="A470" t="str">
        <f>'Public Lighting Charges'!A924</f>
        <v>HPS0250-ST-0840-001-B</v>
      </c>
      <c r="B470" s="365">
        <f>'Public Lighting Charges'!J924</f>
        <v>200.25475215839111</v>
      </c>
      <c r="C470" s="365">
        <f>'Public Lighting Charges'!L924*(1+'Public Lighting Charges'!$M$12)+(('Public Lighting Charges'!L924*'Public Lighting Charges'!$M$10)*'Public Lighting Charges'!$M$14)</f>
        <v>209.70449715182357</v>
      </c>
      <c r="D470" s="365">
        <f t="shared" si="7"/>
        <v>409.95924931021466</v>
      </c>
      <c r="E470" s="365">
        <f>'Public Lighting Charges'!O924</f>
        <v>438.56578183802941</v>
      </c>
      <c r="F470" s="365">
        <f>'Public Lighting Charges'!Q924</f>
        <v>441.6444162836205</v>
      </c>
      <c r="G470" s="365">
        <f>'Public Lighting Charges'!T924</f>
        <v>455.42965262115695</v>
      </c>
      <c r="H470" s="365">
        <f>'Public Lighting Charges'!W924</f>
        <v>468.82327203474375</v>
      </c>
      <c r="I470" s="365">
        <f>'Public Lighting Charges'!Z924</f>
        <v>481.20707531961159</v>
      </c>
    </row>
    <row r="471" spans="1:9" x14ac:dyDescent="0.2">
      <c r="A471" t="str">
        <f>'Public Lighting Charges'!A925</f>
        <v>MVA0020-ST-0005-001-B</v>
      </c>
      <c r="B471" s="365">
        <f>'Public Lighting Charges'!J925</f>
        <v>0</v>
      </c>
      <c r="C471" s="365">
        <f>'Public Lighting Charges'!L925*(1+'Public Lighting Charges'!$M$12)+(('Public Lighting Charges'!L925*'Public Lighting Charges'!$M$10)*'Public Lighting Charges'!$M$14)</f>
        <v>35.815297395348722</v>
      </c>
      <c r="D471" s="365">
        <f t="shared" si="7"/>
        <v>35.815297395348722</v>
      </c>
      <c r="E471" s="365">
        <f>'Public Lighting Charges'!O925</f>
        <v>29.84449639805074</v>
      </c>
      <c r="F471" s="365">
        <f>'Public Lighting Charges'!Q925</f>
        <v>31.305052097494812</v>
      </c>
      <c r="G471" s="365">
        <f>'Public Lighting Charges'!T925</f>
        <v>32.590787685941514</v>
      </c>
      <c r="H471" s="365">
        <f>'Public Lighting Charges'!W925</f>
        <v>33.777180581043936</v>
      </c>
      <c r="I471" s="365">
        <f>'Public Lighting Charges'!Z925</f>
        <v>34.752855020501691</v>
      </c>
    </row>
  </sheetData>
  <phoneticPr fontId="2"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P190"/>
  <sheetViews>
    <sheetView zoomScale="85" workbookViewId="0">
      <selection activeCell="D5" sqref="D5"/>
    </sheetView>
  </sheetViews>
  <sheetFormatPr defaultRowHeight="12.75" x14ac:dyDescent="0.2"/>
  <cols>
    <col min="1" max="1" width="51.7109375" bestFit="1" customWidth="1"/>
    <col min="2" max="2" width="13.85546875" customWidth="1"/>
    <col min="3" max="3" width="17.85546875" customWidth="1"/>
    <col min="4" max="4" width="37.28515625" bestFit="1" customWidth="1"/>
    <col min="5" max="5" width="18" bestFit="1" customWidth="1"/>
    <col min="6" max="6" width="11.28515625" customWidth="1"/>
    <col min="7" max="7" width="21.28515625" customWidth="1"/>
    <col min="8" max="8" width="19.42578125" customWidth="1"/>
  </cols>
  <sheetData>
    <row r="1" spans="1:29" ht="36" customHeight="1" x14ac:dyDescent="0.35">
      <c r="A1" s="5" t="s">
        <v>969</v>
      </c>
      <c r="B1" s="5"/>
      <c r="D1" s="68"/>
    </row>
    <row r="2" spans="1:29" ht="12.75" customHeight="1" x14ac:dyDescent="0.35">
      <c r="A2" s="5"/>
      <c r="B2" s="5"/>
    </row>
    <row r="3" spans="1:29" ht="12.75" customHeight="1" x14ac:dyDescent="0.2">
      <c r="A3" s="8" t="s">
        <v>965</v>
      </c>
      <c r="B3" s="26"/>
      <c r="C3" s="6"/>
      <c r="D3" s="6"/>
      <c r="E3" s="6"/>
      <c r="F3" s="6"/>
      <c r="G3" s="6"/>
      <c r="H3" s="6"/>
      <c r="I3" s="6"/>
      <c r="J3" s="6"/>
      <c r="K3" s="6"/>
      <c r="L3" s="6"/>
      <c r="M3" s="6"/>
      <c r="N3" s="6"/>
      <c r="O3" s="6"/>
      <c r="P3" s="6"/>
      <c r="Q3" s="6"/>
      <c r="R3" s="6"/>
      <c r="S3" s="6"/>
      <c r="T3" s="6"/>
      <c r="U3" s="6"/>
      <c r="V3" s="6"/>
      <c r="W3" s="6"/>
      <c r="X3" s="6"/>
      <c r="Y3" s="6"/>
      <c r="Z3" s="6"/>
      <c r="AA3" s="6"/>
      <c r="AB3" s="6"/>
      <c r="AC3" s="6"/>
    </row>
    <row r="4" spans="1:29" ht="14.25" customHeight="1" x14ac:dyDescent="0.2">
      <c r="A4" s="6"/>
      <c r="B4" s="6"/>
      <c r="C4" s="6"/>
      <c r="D4" s="6"/>
      <c r="E4" s="6"/>
      <c r="F4" s="6"/>
      <c r="G4" s="6"/>
      <c r="H4" s="6"/>
      <c r="I4" s="6"/>
      <c r="J4" s="6"/>
      <c r="K4" s="6"/>
      <c r="L4" s="6"/>
      <c r="M4" s="6"/>
      <c r="N4" s="6"/>
      <c r="O4" s="6"/>
      <c r="P4" s="6"/>
      <c r="Q4" s="6"/>
      <c r="R4" s="6"/>
      <c r="S4" s="6"/>
      <c r="T4" s="6"/>
      <c r="U4" s="6"/>
      <c r="V4" s="6"/>
      <c r="W4" s="6"/>
      <c r="X4" s="6"/>
      <c r="Y4" s="6"/>
      <c r="Z4" s="6"/>
      <c r="AA4" s="6"/>
      <c r="AB4" s="6"/>
      <c r="AC4" s="6"/>
    </row>
    <row r="5" spans="1:29" ht="18.75" customHeight="1" x14ac:dyDescent="0.2">
      <c r="A5" s="6" t="s">
        <v>171</v>
      </c>
      <c r="B5" s="6"/>
      <c r="C5" s="6"/>
      <c r="D5" s="6"/>
      <c r="E5" s="6"/>
      <c r="F5" s="6"/>
      <c r="G5" s="6"/>
      <c r="H5" s="6"/>
      <c r="I5" s="6"/>
      <c r="J5" s="6"/>
      <c r="K5" s="6"/>
      <c r="L5" s="6"/>
      <c r="M5" s="6"/>
      <c r="N5" s="6"/>
      <c r="O5" s="6"/>
      <c r="P5" s="6"/>
      <c r="Q5" s="6"/>
      <c r="R5" s="6"/>
      <c r="S5" s="6"/>
      <c r="T5" s="6"/>
      <c r="U5" s="6"/>
      <c r="V5" s="6"/>
      <c r="W5" s="6"/>
      <c r="X5" s="6"/>
      <c r="Y5" s="6"/>
      <c r="Z5" s="6"/>
      <c r="AA5" s="6"/>
      <c r="AB5" s="6"/>
      <c r="AC5" s="6"/>
    </row>
    <row r="6" spans="1:29" ht="18.75" customHeight="1" x14ac:dyDescent="0.2">
      <c r="A6" s="6"/>
      <c r="B6" s="6"/>
      <c r="C6" s="6"/>
      <c r="D6" s="6"/>
      <c r="E6" s="6"/>
      <c r="F6" s="6"/>
      <c r="G6" s="6"/>
      <c r="H6" s="6"/>
      <c r="I6" s="6"/>
      <c r="J6" s="6"/>
      <c r="K6" s="6"/>
      <c r="L6" s="6"/>
      <c r="M6" s="6"/>
      <c r="N6" s="6"/>
      <c r="O6" s="6"/>
      <c r="P6" s="6"/>
      <c r="Q6" s="6"/>
      <c r="R6" s="6"/>
      <c r="S6" s="6"/>
      <c r="T6" s="6"/>
      <c r="U6" s="6"/>
      <c r="V6" s="6"/>
      <c r="W6" s="6"/>
      <c r="X6" s="6"/>
      <c r="Y6" s="6"/>
      <c r="Z6" s="6"/>
      <c r="AA6" s="6"/>
      <c r="AB6" s="6"/>
      <c r="AC6" s="6"/>
    </row>
    <row r="7" spans="1:29" ht="24" customHeight="1" x14ac:dyDescent="0.2">
      <c r="A7" s="495"/>
      <c r="B7" s="495" t="s">
        <v>977</v>
      </c>
      <c r="C7" s="495" t="s">
        <v>978</v>
      </c>
      <c r="D7" s="495" t="s">
        <v>979</v>
      </c>
      <c r="E7" s="495" t="s">
        <v>980</v>
      </c>
      <c r="F7" s="500" t="s">
        <v>981</v>
      </c>
      <c r="G7" s="503" t="s">
        <v>469</v>
      </c>
      <c r="H7" s="504"/>
      <c r="I7" s="505" t="s">
        <v>982</v>
      </c>
      <c r="J7" s="506"/>
      <c r="K7" s="506"/>
      <c r="L7" s="506"/>
      <c r="M7" s="506"/>
      <c r="N7" s="506"/>
      <c r="O7" s="506"/>
      <c r="P7" s="506"/>
      <c r="Q7" s="506"/>
      <c r="R7" s="506"/>
      <c r="S7" s="506"/>
      <c r="T7" s="506"/>
      <c r="U7" s="506"/>
      <c r="V7" s="506"/>
      <c r="W7" s="506"/>
      <c r="X7" s="507"/>
      <c r="Y7" s="6"/>
      <c r="Z7" s="6"/>
      <c r="AA7" s="6"/>
      <c r="AB7" s="6"/>
      <c r="AC7" s="6"/>
    </row>
    <row r="8" spans="1:29" ht="27" customHeight="1" x14ac:dyDescent="0.2">
      <c r="A8" s="496"/>
      <c r="B8" s="496"/>
      <c r="C8" s="496"/>
      <c r="D8" s="496"/>
      <c r="E8" s="496"/>
      <c r="F8" s="501"/>
      <c r="G8" s="27" t="s">
        <v>984</v>
      </c>
      <c r="H8" s="27" t="s">
        <v>984</v>
      </c>
      <c r="I8" s="508" t="s">
        <v>985</v>
      </c>
      <c r="J8" s="508"/>
      <c r="K8" s="508"/>
      <c r="L8" s="508"/>
      <c r="M8" s="508" t="s">
        <v>986</v>
      </c>
      <c r="N8" s="508"/>
      <c r="O8" s="508"/>
      <c r="P8" s="508"/>
      <c r="Q8" s="508" t="s">
        <v>987</v>
      </c>
      <c r="R8" s="508"/>
      <c r="S8" s="508"/>
      <c r="T8" s="508"/>
      <c r="U8" s="508" t="s">
        <v>313</v>
      </c>
      <c r="V8" s="508"/>
      <c r="W8" s="508"/>
      <c r="X8" s="508"/>
      <c r="Y8" s="6"/>
      <c r="Z8" s="6"/>
      <c r="AA8" s="6"/>
      <c r="AB8" s="6"/>
      <c r="AC8" s="6"/>
    </row>
    <row r="9" spans="1:29" ht="11.25" customHeight="1" x14ac:dyDescent="0.2">
      <c r="A9" s="496"/>
      <c r="B9" s="496"/>
      <c r="C9" s="496"/>
      <c r="D9" s="496"/>
      <c r="E9" s="496"/>
      <c r="F9" s="501"/>
      <c r="G9" s="28" t="s">
        <v>988</v>
      </c>
      <c r="H9" s="28" t="s">
        <v>989</v>
      </c>
      <c r="I9" s="509" t="s">
        <v>990</v>
      </c>
      <c r="J9" s="510"/>
      <c r="K9" s="510"/>
      <c r="L9" s="511"/>
      <c r="M9" s="499" t="s">
        <v>990</v>
      </c>
      <c r="N9" s="499"/>
      <c r="O9" s="499"/>
      <c r="P9" s="499"/>
      <c r="Q9" s="499" t="s">
        <v>990</v>
      </c>
      <c r="R9" s="499"/>
      <c r="S9" s="499"/>
      <c r="T9" s="499"/>
      <c r="U9" s="499" t="s">
        <v>990</v>
      </c>
      <c r="V9" s="499"/>
      <c r="W9" s="499"/>
      <c r="X9" s="499"/>
      <c r="Y9" s="6"/>
      <c r="Z9" s="6"/>
      <c r="AA9" s="6"/>
      <c r="AB9" s="6"/>
      <c r="AC9" s="6"/>
    </row>
    <row r="10" spans="1:29" x14ac:dyDescent="0.2">
      <c r="A10" s="497"/>
      <c r="B10" s="497"/>
      <c r="C10" s="497"/>
      <c r="D10" s="497"/>
      <c r="E10" s="497"/>
      <c r="F10" s="502"/>
      <c r="G10" s="29" t="s">
        <v>991</v>
      </c>
      <c r="H10" s="29" t="s">
        <v>992</v>
      </c>
      <c r="I10" s="30">
        <v>1</v>
      </c>
      <c r="J10" s="30">
        <v>2</v>
      </c>
      <c r="K10" s="30">
        <v>3</v>
      </c>
      <c r="L10" s="30">
        <v>4</v>
      </c>
      <c r="M10" s="30">
        <v>1</v>
      </c>
      <c r="N10" s="30">
        <v>2</v>
      </c>
      <c r="O10" s="30">
        <v>3</v>
      </c>
      <c r="P10" s="30">
        <v>4</v>
      </c>
      <c r="Q10" s="30">
        <v>1</v>
      </c>
      <c r="R10" s="30">
        <v>2</v>
      </c>
      <c r="S10" s="30">
        <v>3</v>
      </c>
      <c r="T10" s="30">
        <v>4</v>
      </c>
      <c r="U10" s="30">
        <v>1</v>
      </c>
      <c r="V10" s="30">
        <v>2</v>
      </c>
      <c r="W10" s="30">
        <v>3</v>
      </c>
      <c r="X10" s="30">
        <v>4</v>
      </c>
      <c r="Y10" s="6"/>
      <c r="Z10" s="6"/>
      <c r="AA10" s="6"/>
      <c r="AB10" s="6"/>
      <c r="AC10" s="6"/>
    </row>
    <row r="11" spans="1:29" x14ac:dyDescent="0.2">
      <c r="A11" s="31" t="s">
        <v>993</v>
      </c>
      <c r="B11" s="32" t="s">
        <v>2058</v>
      </c>
      <c r="C11" s="32">
        <f>VLOOKUP(LEFT(B11,7),'Tariff Schedule Lookup Table'!$A$8:$D$186,3,FALSE)</f>
        <v>9</v>
      </c>
      <c r="D11" s="198" t="str">
        <f>VLOOKUP(LEFT(B11,7),'Tariff Schedule Lookup Table'!$A$8:$D$186,2,FALSE)</f>
        <v>Fluorescent 9</v>
      </c>
      <c r="E11" s="31" t="s">
        <v>996</v>
      </c>
      <c r="F11" s="37">
        <f>VLOOKUP(LEFT(B11,7),'Tariff Schedule Lookup Table'!$A$8:$D$186,4,FALSE)</f>
        <v>9</v>
      </c>
      <c r="G11" s="33">
        <f>VLOOKUP($B11,'Maintenance Costs'!$A$20:$AG$176,32,FALSE)</f>
        <v>95.55017590726581</v>
      </c>
      <c r="H11" s="67">
        <f>IF(VLOOKUP($B11,'Maintenance Costs'!$A$20:$AG$176,33,FALSE)=0,"",VLOOKUP($B11,'Maintenance Costs'!$A$20:$AG$176,33,FALSE))</f>
        <v>26.876862542540042</v>
      </c>
      <c r="I11" s="34" t="str">
        <f>IF(ISERROR(VLOOKUP(CONCATENATE($A11,$I$8,I$10),'Tariff Schedule Lookup Table'!$F$8:$G$286,2,FALSE))=TRUE,"",TEXT(VLOOKUP(CONCATENATE($A11,$I$8,I$10),'Tariff Schedule Lookup Table'!$F$8:$G$286,2,FALSE),"0000"))</f>
        <v>0010</v>
      </c>
      <c r="J11" s="34" t="str">
        <f>IF(ISERROR(VLOOKUP(CONCATENATE($A11,$I$8,J$10),'Tariff Schedule Lookup Table'!$F$8:$G$286,2,FALSE))=TRUE,"",TEXT(VLOOKUP(CONCATENATE($A11,$I$8,J$10),'Tariff Schedule Lookup Table'!$F$8:$G$286,2,FALSE),"0000"))</f>
        <v>0740</v>
      </c>
      <c r="K11" s="34" t="str">
        <f>IF(ISERROR(VLOOKUP(CONCATENATE($A11,$I$8,K$10),'Tariff Schedule Lookup Table'!$F$8:$G$286,2,FALSE))=TRUE,"",TEXT(VLOOKUP(CONCATENATE($A11,$I$8,K$10),'Tariff Schedule Lookup Table'!$F$8:$G$286,2,FALSE),"0000"))</f>
        <v>0820</v>
      </c>
      <c r="L11" s="34" t="str">
        <f>IF(ISERROR(VLOOKUP(CONCATENATE($A11,$I$8,L$10),'Tariff Schedule Lookup Table'!$F$8:$G$286,2,FALSE))=TRUE,"",TEXT(VLOOKUP(CONCATENATE($A11,$I$8,L$10),'Tariff Schedule Lookup Table'!$F$8:$G$286,2,FALSE),"0000"))</f>
        <v>0830</v>
      </c>
      <c r="M11" s="34" t="str">
        <f>IF(ISERROR(VLOOKUP(CONCATENATE($A11,$M$8,M$10),'Tariff Schedule Lookup Table'!$F$8:$G$286,2,FALSE))=TRUE,"",TEXT(VLOOKUP(CONCATENATE($A11,$M$8,M$10),'Tariff Schedule Lookup Table'!$F$8:$G$286,2,FALSE),"0000"))</f>
        <v>0810</v>
      </c>
      <c r="N11" s="34" t="str">
        <f>IF(ISERROR(VLOOKUP(CONCATENATE($A11,$M$8,N$10),'Tariff Schedule Lookup Table'!$F$8:$G$286,2,FALSE))=TRUE,"",TEXT(VLOOKUP(CONCATENATE($A11,$M$8,N$10),'Tariff Schedule Lookup Table'!$F$8:$G$286,2,FALSE),"0000"))</f>
        <v>1260</v>
      </c>
      <c r="O11" s="34" t="str">
        <f>IF(ISERROR(VLOOKUP(CONCATENATE($A11,$M$8,O$10),'Tariff Schedule Lookup Table'!$F$8:$G$286,2,FALSE))=TRUE,"",TEXT(VLOOKUP(CONCATENATE($A11,$M$8,O$10),'Tariff Schedule Lookup Table'!$F$8:$G$286,2,FALSE),"0000"))</f>
        <v/>
      </c>
      <c r="P11" s="34" t="str">
        <f>IF(ISERROR(VLOOKUP(CONCATENATE($A11,$M$8,P$10),'Tariff Schedule Lookup Table'!$F$8:$G$286,2,FALSE))=TRUE,"",TEXT(VLOOKUP(CONCATENATE($A11,$M$8,P$10),'Tariff Schedule Lookup Table'!$F$8:$G$286,2,FALSE),"0000"))</f>
        <v/>
      </c>
      <c r="Q11" s="34" t="str">
        <f>IF(ISERROR(VLOOKUP(CONCATENATE($A11,$Q$8,Q$10),'Tariff Schedule Lookup Table'!$F$8:$G$286,2,FALSE))=TRUE,"",TEXT(VLOOKUP(CONCATENATE($A11,$Q$8,Q$10),'Tariff Schedule Lookup Table'!$F$8:$G$286,2,FALSE),"0000"))</f>
        <v>0990</v>
      </c>
      <c r="R11" s="34" t="str">
        <f>IF(ISERROR(VLOOKUP(CONCATENATE($A11,$Q$8,R$10),'Tariff Schedule Lookup Table'!$F$8:$G$286,2,FALSE))=TRUE,"",TEXT(VLOOKUP(CONCATENATE($A11,$Q$8,R$10),'Tariff Schedule Lookup Table'!$F$8:$G$286,2,FALSE),"0000"))</f>
        <v>1000</v>
      </c>
      <c r="S11" s="34" t="str">
        <f>IF(ISERROR(VLOOKUP(CONCATENATE($A11,$Q$8,S$10),'Tariff Schedule Lookup Table'!$F$8:$G$286,2,FALSE))=TRUE,"",TEXT(VLOOKUP(CONCATENATE($A11,$Q$8,S$10),'Tariff Schedule Lookup Table'!$F$8:$G$286,2,FALSE),"0000"))</f>
        <v>1460</v>
      </c>
      <c r="T11" s="34" t="str">
        <f>IF(ISERROR(VLOOKUP(CONCATENATE($A11,$Q$8,T$10),'Tariff Schedule Lookup Table'!$F$8:$G$286,2,FALSE))=TRUE,"",TEXT(VLOOKUP(CONCATENATE($A11,$Q$8,T$10),'Tariff Schedule Lookup Table'!$F$8:$G$286,2,FALSE),"0000"))</f>
        <v>1500</v>
      </c>
      <c r="U11" s="34" t="str">
        <f>IF(ISERROR(VLOOKUP(CONCATENATE($A11,$U$8,U$10),'Tariff Schedule Lookup Table'!$F$8:$G$286,2,FALSE))=TRUE,"",TEXT(VLOOKUP(CONCATENATE($A11,$U$8,U$10),'Tariff Schedule Lookup Table'!$F$8:$G$286,2,FALSE),"0000"))</f>
        <v/>
      </c>
      <c r="V11" s="34" t="str">
        <f>IF(ISERROR(VLOOKUP(CONCATENATE($A11,$U$8,V$10),'Tariff Schedule Lookup Table'!$F$8:$G$286,2,FALSE))=TRUE,"",TEXT(VLOOKUP(CONCATENATE($A11,$U$8,V$10),'Tariff Schedule Lookup Table'!$F$8:$G$286,2,FALSE),"0000"))</f>
        <v/>
      </c>
      <c r="W11" s="34" t="str">
        <f>IF(ISERROR(VLOOKUP(CONCATENATE($A11,$U$8,W$10),'Tariff Schedule Lookup Table'!$F$8:$G$286,2,FALSE))=TRUE,"",TEXT(VLOOKUP(CONCATENATE($A11,$U$8,W$10),'Tariff Schedule Lookup Table'!$F$8:$G$286,2,FALSE),"0000"))</f>
        <v/>
      </c>
      <c r="X11" s="34" t="str">
        <f>IF(ISERROR(VLOOKUP(CONCATENATE($A11,$U$8,X$10),'Tariff Schedule Lookup Table'!$F$8:$G$286,2,FALSE))=TRUE,"",TEXT(VLOOKUP(CONCATENATE($A11,$U$8,X$10),'Tariff Schedule Lookup Table'!$F$8:$G$186,2,FALSE),"0000"))</f>
        <v/>
      </c>
      <c r="Y11" s="6"/>
      <c r="Z11" s="6"/>
      <c r="AA11" s="6"/>
      <c r="AB11" s="6"/>
      <c r="AC11" s="6"/>
    </row>
    <row r="12" spans="1:29" x14ac:dyDescent="0.2">
      <c r="A12" s="6" t="s">
        <v>993</v>
      </c>
      <c r="B12" s="35" t="s">
        <v>2059</v>
      </c>
      <c r="C12" s="197">
        <f>VLOOKUP(LEFT(B12,7),'Tariff Schedule Lookup Table'!$A$8:$D$186,3,FALSE)</f>
        <v>11</v>
      </c>
      <c r="D12" s="199" t="str">
        <f>VLOOKUP(LEFT(B12,7),'Tariff Schedule Lookup Table'!$A$8:$D$186,2,FALSE)</f>
        <v>Fluorescent 11</v>
      </c>
      <c r="E12" s="6" t="s">
        <v>996</v>
      </c>
      <c r="F12" s="37">
        <f>VLOOKUP(LEFT(B12,7),'Tariff Schedule Lookup Table'!$A$8:$D$186,4,FALSE)</f>
        <v>11</v>
      </c>
      <c r="G12" s="33">
        <f>VLOOKUP($B12,'Maintenance Costs'!$A$20:$AG$176,32,FALSE)</f>
        <v>95.55017590726581</v>
      </c>
      <c r="H12" s="67">
        <f>IF(VLOOKUP($B12,'Maintenance Costs'!$A$20:$AG$176,33,FALSE)=0,"",VLOOKUP($B12,'Maintenance Costs'!$A$20:$AG$176,33,FALSE))</f>
        <v>26.876862542540042</v>
      </c>
      <c r="I12" s="34" t="str">
        <f>IF(ISERROR(VLOOKUP(CONCATENATE($A12,$I$8,I$10),'Tariff Schedule Lookup Table'!$F$8:$G$286,2,FALSE))=TRUE,"",TEXT(VLOOKUP(CONCATENATE($A12,$I$8,I$10),'Tariff Schedule Lookup Table'!$F$8:$G$286,2,FALSE),"0000"))</f>
        <v>0010</v>
      </c>
      <c r="J12" s="34" t="str">
        <f>IF(ISERROR(VLOOKUP(CONCATENATE($A12,$I$8,J$10),'Tariff Schedule Lookup Table'!$F$8:$G$286,2,FALSE))=TRUE,"",TEXT(VLOOKUP(CONCATENATE($A12,$I$8,J$10),'Tariff Schedule Lookup Table'!$F$8:$G$286,2,FALSE),"0000"))</f>
        <v>0740</v>
      </c>
      <c r="K12" s="34" t="str">
        <f>IF(ISERROR(VLOOKUP(CONCATENATE($A12,$I$8,K$10),'Tariff Schedule Lookup Table'!$F$8:$G$286,2,FALSE))=TRUE,"",TEXT(VLOOKUP(CONCATENATE($A12,$I$8,K$10),'Tariff Schedule Lookup Table'!$F$8:$G$286,2,FALSE),"0000"))</f>
        <v>0820</v>
      </c>
      <c r="L12" s="34" t="str">
        <f>IF(ISERROR(VLOOKUP(CONCATENATE($A12,$I$8,L$10),'Tariff Schedule Lookup Table'!$F$8:$G$286,2,FALSE))=TRUE,"",TEXT(VLOOKUP(CONCATENATE($A12,$I$8,L$10),'Tariff Schedule Lookup Table'!$F$8:$G$286,2,FALSE),"0000"))</f>
        <v>0830</v>
      </c>
      <c r="M12" s="34" t="str">
        <f>IF(ISERROR(VLOOKUP(CONCATENATE($A12,$M$8,M$10),'Tariff Schedule Lookup Table'!$F$8:$G$286,2,FALSE))=TRUE,"",TEXT(VLOOKUP(CONCATENATE($A12,$M$8,M$10),'Tariff Schedule Lookup Table'!$F$8:$G$286,2,FALSE),"0000"))</f>
        <v>0810</v>
      </c>
      <c r="N12" s="34" t="str">
        <f>IF(ISERROR(VLOOKUP(CONCATENATE($A12,$M$8,N$10),'Tariff Schedule Lookup Table'!$F$8:$G$286,2,FALSE))=TRUE,"",TEXT(VLOOKUP(CONCATENATE($A12,$M$8,N$10),'Tariff Schedule Lookup Table'!$F$8:$G$286,2,FALSE),"0000"))</f>
        <v>1260</v>
      </c>
      <c r="O12" s="34" t="str">
        <f>IF(ISERROR(VLOOKUP(CONCATENATE($A12,$M$8,O$10),'Tariff Schedule Lookup Table'!$F$8:$G$286,2,FALSE))=TRUE,"",TEXT(VLOOKUP(CONCATENATE($A12,$M$8,O$10),'Tariff Schedule Lookup Table'!$F$8:$G$286,2,FALSE),"0000"))</f>
        <v/>
      </c>
      <c r="P12" s="34" t="str">
        <f>IF(ISERROR(VLOOKUP(CONCATENATE($A12,$M$8,P$10),'Tariff Schedule Lookup Table'!$F$8:$G$286,2,FALSE))=TRUE,"",TEXT(VLOOKUP(CONCATENATE($A12,$M$8,P$10),'Tariff Schedule Lookup Table'!$F$8:$G$286,2,FALSE),"0000"))</f>
        <v/>
      </c>
      <c r="Q12" s="34" t="str">
        <f>IF(ISERROR(VLOOKUP(CONCATENATE($A12,$Q$8,Q$10),'Tariff Schedule Lookup Table'!$F$8:$G$286,2,FALSE))=TRUE,"",TEXT(VLOOKUP(CONCATENATE($A12,$Q$8,Q$10),'Tariff Schedule Lookup Table'!$F$8:$G$286,2,FALSE),"0000"))</f>
        <v>0990</v>
      </c>
      <c r="R12" s="34" t="str">
        <f>IF(ISERROR(VLOOKUP(CONCATENATE($A12,$Q$8,R$10),'Tariff Schedule Lookup Table'!$F$8:$G$286,2,FALSE))=TRUE,"",TEXT(VLOOKUP(CONCATENATE($A12,$Q$8,R$10),'Tariff Schedule Lookup Table'!$F$8:$G$286,2,FALSE),"0000"))</f>
        <v>1000</v>
      </c>
      <c r="S12" s="34" t="str">
        <f>IF(ISERROR(VLOOKUP(CONCATENATE($A12,$Q$8,S$10),'Tariff Schedule Lookup Table'!$F$8:$G$286,2,FALSE))=TRUE,"",TEXT(VLOOKUP(CONCATENATE($A12,$Q$8,S$10),'Tariff Schedule Lookup Table'!$F$8:$G$286,2,FALSE),"0000"))</f>
        <v>1460</v>
      </c>
      <c r="T12" s="34" t="str">
        <f>IF(ISERROR(VLOOKUP(CONCATENATE($A12,$Q$8,T$10),'Tariff Schedule Lookup Table'!$F$8:$G$286,2,FALSE))=TRUE,"",TEXT(VLOOKUP(CONCATENATE($A12,$Q$8,T$10),'Tariff Schedule Lookup Table'!$F$8:$G$286,2,FALSE),"0000"))</f>
        <v>1500</v>
      </c>
      <c r="U12" s="34" t="str">
        <f>IF(ISERROR(VLOOKUP(CONCATENATE($A12,$U$8,U$10),'Tariff Schedule Lookup Table'!$F$8:$G$286,2,FALSE))=TRUE,"",TEXT(VLOOKUP(CONCATENATE($A12,$U$8,U$10),'Tariff Schedule Lookup Table'!$F$8:$G$286,2,FALSE),"0000"))</f>
        <v/>
      </c>
      <c r="V12" s="34" t="str">
        <f>IF(ISERROR(VLOOKUP(CONCATENATE($A12,$U$8,V$10),'Tariff Schedule Lookup Table'!$F$8:$G$286,2,FALSE))=TRUE,"",TEXT(VLOOKUP(CONCATENATE($A12,$U$8,V$10),'Tariff Schedule Lookup Table'!$F$8:$G$286,2,FALSE),"0000"))</f>
        <v/>
      </c>
      <c r="W12" s="34" t="str">
        <f>IF(ISERROR(VLOOKUP(CONCATENATE($A12,$U$8,W$10),'Tariff Schedule Lookup Table'!$F$8:$G$286,2,FALSE))=TRUE,"",TEXT(VLOOKUP(CONCATENATE($A12,$U$8,W$10),'Tariff Schedule Lookup Table'!$F$8:$G$286,2,FALSE),"0000"))</f>
        <v/>
      </c>
      <c r="X12" s="34" t="str">
        <f>IF(ISERROR(VLOOKUP(CONCATENATE($A12,$U$8,X$10),'Tariff Schedule Lookup Table'!$F$8:$G$286,2,FALSE))=TRUE,"",TEXT(VLOOKUP(CONCATENATE($A12,$U$8,X$10),'Tariff Schedule Lookup Table'!$F$8:$G$186,2,FALSE),"0000"))</f>
        <v/>
      </c>
      <c r="Y12" s="6"/>
      <c r="Z12" s="6"/>
      <c r="AA12" s="6"/>
      <c r="AB12" s="6"/>
      <c r="AC12" s="6"/>
    </row>
    <row r="13" spans="1:29" x14ac:dyDescent="0.2">
      <c r="A13" s="6" t="s">
        <v>993</v>
      </c>
      <c r="B13" s="35" t="s">
        <v>2060</v>
      </c>
      <c r="C13" s="197">
        <f>VLOOKUP(LEFT(B13,7),'Tariff Schedule Lookup Table'!$A$8:$D$186,3,FALSE)</f>
        <v>13</v>
      </c>
      <c r="D13" s="199" t="str">
        <f>VLOOKUP(LEFT(B13,7),'Tariff Schedule Lookup Table'!$A$8:$D$186,2,FALSE)</f>
        <v>Fluorescent 13</v>
      </c>
      <c r="E13" s="6" t="s">
        <v>996</v>
      </c>
      <c r="F13" s="37">
        <f>VLOOKUP(LEFT(B13,7),'Tariff Schedule Lookup Table'!$A$8:$D$186,4,FALSE)</f>
        <v>13</v>
      </c>
      <c r="G13" s="33">
        <f>VLOOKUP($B13,'Maintenance Costs'!$A$20:$AG$176,32,FALSE)</f>
        <v>95.55017590726581</v>
      </c>
      <c r="H13" s="67">
        <f>IF(VLOOKUP($B13,'Maintenance Costs'!$A$20:$AG$176,33,FALSE)=0,"",VLOOKUP($B13,'Maintenance Costs'!$A$20:$AG$176,33,FALSE))</f>
        <v>26.876862542540042</v>
      </c>
      <c r="I13" s="34" t="str">
        <f>IF(ISERROR(VLOOKUP(CONCATENATE($A13,$I$8,I$10),'Tariff Schedule Lookup Table'!$F$8:$G$286,2,FALSE))=TRUE,"",TEXT(VLOOKUP(CONCATENATE($A13,$I$8,I$10),'Tariff Schedule Lookup Table'!$F$8:$G$286,2,FALSE),"0000"))</f>
        <v>0010</v>
      </c>
      <c r="J13" s="34" t="str">
        <f>IF(ISERROR(VLOOKUP(CONCATENATE($A13,$I$8,J$10),'Tariff Schedule Lookup Table'!$F$8:$G$286,2,FALSE))=TRUE,"",TEXT(VLOOKUP(CONCATENATE($A13,$I$8,J$10),'Tariff Schedule Lookup Table'!$F$8:$G$286,2,FALSE),"0000"))</f>
        <v>0740</v>
      </c>
      <c r="K13" s="34" t="str">
        <f>IF(ISERROR(VLOOKUP(CONCATENATE($A13,$I$8,K$10),'Tariff Schedule Lookup Table'!$F$8:$G$286,2,FALSE))=TRUE,"",TEXT(VLOOKUP(CONCATENATE($A13,$I$8,K$10),'Tariff Schedule Lookup Table'!$F$8:$G$286,2,FALSE),"0000"))</f>
        <v>0820</v>
      </c>
      <c r="L13" s="34" t="str">
        <f>IF(ISERROR(VLOOKUP(CONCATENATE($A13,$I$8,L$10),'Tariff Schedule Lookup Table'!$F$8:$G$286,2,FALSE))=TRUE,"",TEXT(VLOOKUP(CONCATENATE($A13,$I$8,L$10),'Tariff Schedule Lookup Table'!$F$8:$G$286,2,FALSE),"0000"))</f>
        <v>0830</v>
      </c>
      <c r="M13" s="34" t="str">
        <f>IF(ISERROR(VLOOKUP(CONCATENATE($A13,$M$8,M$10),'Tariff Schedule Lookup Table'!$F$8:$G$286,2,FALSE))=TRUE,"",TEXT(VLOOKUP(CONCATENATE($A13,$M$8,M$10),'Tariff Schedule Lookup Table'!$F$8:$G$286,2,FALSE),"0000"))</f>
        <v>0810</v>
      </c>
      <c r="N13" s="34" t="str">
        <f>IF(ISERROR(VLOOKUP(CONCATENATE($A13,$M$8,N$10),'Tariff Schedule Lookup Table'!$F$8:$G$286,2,FALSE))=TRUE,"",TEXT(VLOOKUP(CONCATENATE($A13,$M$8,N$10),'Tariff Schedule Lookup Table'!$F$8:$G$286,2,FALSE),"0000"))</f>
        <v>1260</v>
      </c>
      <c r="O13" s="34" t="str">
        <f>IF(ISERROR(VLOOKUP(CONCATENATE($A13,$M$8,O$10),'Tariff Schedule Lookup Table'!$F$8:$G$286,2,FALSE))=TRUE,"",TEXT(VLOOKUP(CONCATENATE($A13,$M$8,O$10),'Tariff Schedule Lookup Table'!$F$8:$G$286,2,FALSE),"0000"))</f>
        <v/>
      </c>
      <c r="P13" s="34" t="str">
        <f>IF(ISERROR(VLOOKUP(CONCATENATE($A13,$M$8,P$10),'Tariff Schedule Lookup Table'!$F$8:$G$286,2,FALSE))=TRUE,"",TEXT(VLOOKUP(CONCATENATE($A13,$M$8,P$10),'Tariff Schedule Lookup Table'!$F$8:$G$286,2,FALSE),"0000"))</f>
        <v/>
      </c>
      <c r="Q13" s="34" t="str">
        <f>IF(ISERROR(VLOOKUP(CONCATENATE($A13,$Q$8,Q$10),'Tariff Schedule Lookup Table'!$F$8:$G$286,2,FALSE))=TRUE,"",TEXT(VLOOKUP(CONCATENATE($A13,$Q$8,Q$10),'Tariff Schedule Lookup Table'!$F$8:$G$286,2,FALSE),"0000"))</f>
        <v>0990</v>
      </c>
      <c r="R13" s="34" t="str">
        <f>IF(ISERROR(VLOOKUP(CONCATENATE($A13,$Q$8,R$10),'Tariff Schedule Lookup Table'!$F$8:$G$286,2,FALSE))=TRUE,"",TEXT(VLOOKUP(CONCATENATE($A13,$Q$8,R$10),'Tariff Schedule Lookup Table'!$F$8:$G$286,2,FALSE),"0000"))</f>
        <v>1000</v>
      </c>
      <c r="S13" s="34" t="str">
        <f>IF(ISERROR(VLOOKUP(CONCATENATE($A13,$Q$8,S$10),'Tariff Schedule Lookup Table'!$F$8:$G$286,2,FALSE))=TRUE,"",TEXT(VLOOKUP(CONCATENATE($A13,$Q$8,S$10),'Tariff Schedule Lookup Table'!$F$8:$G$286,2,FALSE),"0000"))</f>
        <v>1460</v>
      </c>
      <c r="T13" s="34" t="str">
        <f>IF(ISERROR(VLOOKUP(CONCATENATE($A13,$Q$8,T$10),'Tariff Schedule Lookup Table'!$F$8:$G$286,2,FALSE))=TRUE,"",TEXT(VLOOKUP(CONCATENATE($A13,$Q$8,T$10),'Tariff Schedule Lookup Table'!$F$8:$G$286,2,FALSE),"0000"))</f>
        <v>1500</v>
      </c>
      <c r="U13" s="34" t="str">
        <f>IF(ISERROR(VLOOKUP(CONCATENATE($A13,$U$8,U$10),'Tariff Schedule Lookup Table'!$F$8:$G$286,2,FALSE))=TRUE,"",TEXT(VLOOKUP(CONCATENATE($A13,$U$8,U$10),'Tariff Schedule Lookup Table'!$F$8:$G$286,2,FALSE),"0000"))</f>
        <v/>
      </c>
      <c r="V13" s="34" t="str">
        <f>IF(ISERROR(VLOOKUP(CONCATENATE($A13,$U$8,V$10),'Tariff Schedule Lookup Table'!$F$8:$G$286,2,FALSE))=TRUE,"",TEXT(VLOOKUP(CONCATENATE($A13,$U$8,V$10),'Tariff Schedule Lookup Table'!$F$8:$G$286,2,FALSE),"0000"))</f>
        <v/>
      </c>
      <c r="W13" s="34" t="str">
        <f>IF(ISERROR(VLOOKUP(CONCATENATE($A13,$U$8,W$10),'Tariff Schedule Lookup Table'!$F$8:$G$286,2,FALSE))=TRUE,"",TEXT(VLOOKUP(CONCATENATE($A13,$U$8,W$10),'Tariff Schedule Lookup Table'!$F$8:$G$286,2,FALSE),"0000"))</f>
        <v/>
      </c>
      <c r="X13" s="34" t="str">
        <f>IF(ISERROR(VLOOKUP(CONCATENATE($A13,$U$8,X$10),'Tariff Schedule Lookup Table'!$F$8:$G$286,2,FALSE))=TRUE,"",TEXT(VLOOKUP(CONCATENATE($A13,$U$8,X$10),'Tariff Schedule Lookup Table'!$F$8:$G$186,2,FALSE),"0000"))</f>
        <v/>
      </c>
      <c r="Y13" s="6"/>
      <c r="Z13" s="6"/>
      <c r="AA13" s="6"/>
      <c r="AB13" s="6"/>
      <c r="AC13" s="6"/>
    </row>
    <row r="14" spans="1:29" x14ac:dyDescent="0.2">
      <c r="A14" s="6" t="s">
        <v>993</v>
      </c>
      <c r="B14" s="35" t="s">
        <v>2065</v>
      </c>
      <c r="C14" s="197">
        <f>VLOOKUP(LEFT(B14,7),'Tariff Schedule Lookup Table'!$A$8:$D$186,3,FALSE)</f>
        <v>15</v>
      </c>
      <c r="D14" s="199" t="str">
        <f>VLOOKUP(LEFT(B14,7),'Tariff Schedule Lookup Table'!$A$8:$D$186,2,FALSE)</f>
        <v>Fluorescent 15</v>
      </c>
      <c r="E14" s="6" t="s">
        <v>996</v>
      </c>
      <c r="F14" s="37">
        <f>VLOOKUP(LEFT(B14,7),'Tariff Schedule Lookup Table'!$A$8:$D$186,4,FALSE)</f>
        <v>15</v>
      </c>
      <c r="G14" s="33">
        <f>VLOOKUP($B14,'Maintenance Costs'!$A$20:$AG$176,32,FALSE)</f>
        <v>95.55017590726581</v>
      </c>
      <c r="H14" s="67">
        <f>IF(VLOOKUP($B14,'Maintenance Costs'!$A$20:$AG$176,33,FALSE)=0,"",VLOOKUP($B14,'Maintenance Costs'!$A$20:$AG$176,33,FALSE))</f>
        <v>26.876862542540042</v>
      </c>
      <c r="I14" s="34" t="str">
        <f>IF(ISERROR(VLOOKUP(CONCATENATE($A14,$I$8,I$10),'Tariff Schedule Lookup Table'!$F$8:$G$286,2,FALSE))=TRUE,"",TEXT(VLOOKUP(CONCATENATE($A14,$I$8,I$10),'Tariff Schedule Lookup Table'!$F$8:$G$286,2,FALSE),"0000"))</f>
        <v>0010</v>
      </c>
      <c r="J14" s="34" t="str">
        <f>IF(ISERROR(VLOOKUP(CONCATENATE($A14,$I$8,J$10),'Tariff Schedule Lookup Table'!$F$8:$G$286,2,FALSE))=TRUE,"",TEXT(VLOOKUP(CONCATENATE($A14,$I$8,J$10),'Tariff Schedule Lookup Table'!$F$8:$G$286,2,FALSE),"0000"))</f>
        <v>0740</v>
      </c>
      <c r="K14" s="34" t="str">
        <f>IF(ISERROR(VLOOKUP(CONCATENATE($A14,$I$8,K$10),'Tariff Schedule Lookup Table'!$F$8:$G$286,2,FALSE))=TRUE,"",TEXT(VLOOKUP(CONCATENATE($A14,$I$8,K$10),'Tariff Schedule Lookup Table'!$F$8:$G$286,2,FALSE),"0000"))</f>
        <v>0820</v>
      </c>
      <c r="L14" s="34" t="str">
        <f>IF(ISERROR(VLOOKUP(CONCATENATE($A14,$I$8,L$10),'Tariff Schedule Lookup Table'!$F$8:$G$286,2,FALSE))=TRUE,"",TEXT(VLOOKUP(CONCATENATE($A14,$I$8,L$10),'Tariff Schedule Lookup Table'!$F$8:$G$286,2,FALSE),"0000"))</f>
        <v>0830</v>
      </c>
      <c r="M14" s="34" t="str">
        <f>IF(ISERROR(VLOOKUP(CONCATENATE($A14,$M$8,M$10),'Tariff Schedule Lookup Table'!$F$8:$G$286,2,FALSE))=TRUE,"",TEXT(VLOOKUP(CONCATENATE($A14,$M$8,M$10),'Tariff Schedule Lookup Table'!$F$8:$G$286,2,FALSE),"0000"))</f>
        <v>0810</v>
      </c>
      <c r="N14" s="34" t="str">
        <f>IF(ISERROR(VLOOKUP(CONCATENATE($A14,$M$8,N$10),'Tariff Schedule Lookup Table'!$F$8:$G$286,2,FALSE))=TRUE,"",TEXT(VLOOKUP(CONCATENATE($A14,$M$8,N$10),'Tariff Schedule Lookup Table'!$F$8:$G$286,2,FALSE),"0000"))</f>
        <v>1260</v>
      </c>
      <c r="O14" s="34" t="str">
        <f>IF(ISERROR(VLOOKUP(CONCATENATE($A14,$M$8,O$10),'Tariff Schedule Lookup Table'!$F$8:$G$286,2,FALSE))=TRUE,"",TEXT(VLOOKUP(CONCATENATE($A14,$M$8,O$10),'Tariff Schedule Lookup Table'!$F$8:$G$286,2,FALSE),"0000"))</f>
        <v/>
      </c>
      <c r="P14" s="34" t="str">
        <f>IF(ISERROR(VLOOKUP(CONCATENATE($A14,$M$8,P$10),'Tariff Schedule Lookup Table'!$F$8:$G$286,2,FALSE))=TRUE,"",TEXT(VLOOKUP(CONCATENATE($A14,$M$8,P$10),'Tariff Schedule Lookup Table'!$F$8:$G$286,2,FALSE),"0000"))</f>
        <v/>
      </c>
      <c r="Q14" s="34" t="str">
        <f>IF(ISERROR(VLOOKUP(CONCATENATE($A14,$Q$8,Q$10),'Tariff Schedule Lookup Table'!$F$8:$G$286,2,FALSE))=TRUE,"",TEXT(VLOOKUP(CONCATENATE($A14,$Q$8,Q$10),'Tariff Schedule Lookup Table'!$F$8:$G$286,2,FALSE),"0000"))</f>
        <v>0990</v>
      </c>
      <c r="R14" s="34" t="str">
        <f>IF(ISERROR(VLOOKUP(CONCATENATE($A14,$Q$8,R$10),'Tariff Schedule Lookup Table'!$F$8:$G$286,2,FALSE))=TRUE,"",TEXT(VLOOKUP(CONCATENATE($A14,$Q$8,R$10),'Tariff Schedule Lookup Table'!$F$8:$G$286,2,FALSE),"0000"))</f>
        <v>1000</v>
      </c>
      <c r="S14" s="34" t="str">
        <f>IF(ISERROR(VLOOKUP(CONCATENATE($A14,$Q$8,S$10),'Tariff Schedule Lookup Table'!$F$8:$G$286,2,FALSE))=TRUE,"",TEXT(VLOOKUP(CONCATENATE($A14,$Q$8,S$10),'Tariff Schedule Lookup Table'!$F$8:$G$286,2,FALSE),"0000"))</f>
        <v>1460</v>
      </c>
      <c r="T14" s="34" t="str">
        <f>IF(ISERROR(VLOOKUP(CONCATENATE($A14,$Q$8,T$10),'Tariff Schedule Lookup Table'!$F$8:$G$286,2,FALSE))=TRUE,"",TEXT(VLOOKUP(CONCATENATE($A14,$Q$8,T$10),'Tariff Schedule Lookup Table'!$F$8:$G$286,2,FALSE),"0000"))</f>
        <v>1500</v>
      </c>
      <c r="U14" s="34" t="str">
        <f>IF(ISERROR(VLOOKUP(CONCATENATE($A14,$U$8,U$10),'Tariff Schedule Lookup Table'!$F$8:$G$286,2,FALSE))=TRUE,"",TEXT(VLOOKUP(CONCATENATE($A14,$U$8,U$10),'Tariff Schedule Lookup Table'!$F$8:$G$286,2,FALSE),"0000"))</f>
        <v/>
      </c>
      <c r="V14" s="34" t="str">
        <f>IF(ISERROR(VLOOKUP(CONCATENATE($A14,$U$8,V$10),'Tariff Schedule Lookup Table'!$F$8:$G$286,2,FALSE))=TRUE,"",TEXT(VLOOKUP(CONCATENATE($A14,$U$8,V$10),'Tariff Schedule Lookup Table'!$F$8:$G$286,2,FALSE),"0000"))</f>
        <v/>
      </c>
      <c r="W14" s="34" t="str">
        <f>IF(ISERROR(VLOOKUP(CONCATENATE($A14,$U$8,W$10),'Tariff Schedule Lookup Table'!$F$8:$G$286,2,FALSE))=TRUE,"",TEXT(VLOOKUP(CONCATENATE($A14,$U$8,W$10),'Tariff Schedule Lookup Table'!$F$8:$G$286,2,FALSE),"0000"))</f>
        <v/>
      </c>
      <c r="X14" s="34" t="str">
        <f>IF(ISERROR(VLOOKUP(CONCATENATE($A14,$U$8,X$10),'Tariff Schedule Lookup Table'!$F$8:$G$286,2,FALSE))=TRUE,"",TEXT(VLOOKUP(CONCATENATE($A14,$U$8,X$10),'Tariff Schedule Lookup Table'!$F$8:$G$186,2,FALSE),"0000"))</f>
        <v/>
      </c>
      <c r="Y14" s="6"/>
      <c r="Z14" s="6"/>
      <c r="AA14" s="6"/>
      <c r="AB14" s="6"/>
      <c r="AC14" s="6"/>
    </row>
    <row r="15" spans="1:29" x14ac:dyDescent="0.2">
      <c r="A15" s="6" t="s">
        <v>993</v>
      </c>
      <c r="B15" s="35" t="s">
        <v>2066</v>
      </c>
      <c r="C15" s="197">
        <f>VLOOKUP(LEFT(B15,7),'Tariff Schedule Lookup Table'!$A$8:$D$186,3,FALSE)</f>
        <v>20</v>
      </c>
      <c r="D15" s="199" t="str">
        <f>VLOOKUP(LEFT(B15,7),'Tariff Schedule Lookup Table'!$A$8:$D$186,2,FALSE)</f>
        <v>Fluorescent 20</v>
      </c>
      <c r="E15" s="6" t="s">
        <v>996</v>
      </c>
      <c r="F15" s="37">
        <f>VLOOKUP(LEFT(B15,7),'Tariff Schedule Lookup Table'!$A$8:$D$186,4,FALSE)</f>
        <v>29</v>
      </c>
      <c r="G15" s="33">
        <f>VLOOKUP($B15,'Maintenance Costs'!$A$20:$AG$176,32,FALSE)</f>
        <v>95.55017590726581</v>
      </c>
      <c r="H15" s="67">
        <f>IF(VLOOKUP($B15,'Maintenance Costs'!$A$20:$AG$176,33,FALSE)=0,"",VLOOKUP($B15,'Maintenance Costs'!$A$20:$AG$176,33,FALSE))</f>
        <v>26.876862542540042</v>
      </c>
      <c r="I15" s="34" t="str">
        <f>IF(ISERROR(VLOOKUP(CONCATENATE($A15,$I$8,I$10),'Tariff Schedule Lookup Table'!$F$8:$G$286,2,FALSE))=TRUE,"",TEXT(VLOOKUP(CONCATENATE($A15,$I$8,I$10),'Tariff Schedule Lookup Table'!$F$8:$G$286,2,FALSE),"0000"))</f>
        <v>0010</v>
      </c>
      <c r="J15" s="34" t="str">
        <f>IF(ISERROR(VLOOKUP(CONCATENATE($A15,$I$8,J$10),'Tariff Schedule Lookup Table'!$F$8:$G$286,2,FALSE))=TRUE,"",TEXT(VLOOKUP(CONCATENATE($A15,$I$8,J$10),'Tariff Schedule Lookup Table'!$F$8:$G$286,2,FALSE),"0000"))</f>
        <v>0740</v>
      </c>
      <c r="K15" s="34" t="str">
        <f>IF(ISERROR(VLOOKUP(CONCATENATE($A15,$I$8,K$10),'Tariff Schedule Lookup Table'!$F$8:$G$286,2,FALSE))=TRUE,"",TEXT(VLOOKUP(CONCATENATE($A15,$I$8,K$10),'Tariff Schedule Lookup Table'!$F$8:$G$286,2,FALSE),"0000"))</f>
        <v>0820</v>
      </c>
      <c r="L15" s="34" t="str">
        <f>IF(ISERROR(VLOOKUP(CONCATENATE($A15,$I$8,L$10),'Tariff Schedule Lookup Table'!$F$8:$G$286,2,FALSE))=TRUE,"",TEXT(VLOOKUP(CONCATENATE($A15,$I$8,L$10),'Tariff Schedule Lookup Table'!$F$8:$G$286,2,FALSE),"0000"))</f>
        <v>0830</v>
      </c>
      <c r="M15" s="34" t="str">
        <f>IF(ISERROR(VLOOKUP(CONCATENATE($A15,$M$8,M$10),'Tariff Schedule Lookup Table'!$F$8:$G$286,2,FALSE))=TRUE,"",TEXT(VLOOKUP(CONCATENATE($A15,$M$8,M$10),'Tariff Schedule Lookup Table'!$F$8:$G$286,2,FALSE),"0000"))</f>
        <v>0810</v>
      </c>
      <c r="N15" s="34" t="str">
        <f>IF(ISERROR(VLOOKUP(CONCATENATE($A15,$M$8,N$10),'Tariff Schedule Lookup Table'!$F$8:$G$286,2,FALSE))=TRUE,"",TEXT(VLOOKUP(CONCATENATE($A15,$M$8,N$10),'Tariff Schedule Lookup Table'!$F$8:$G$286,2,FALSE),"0000"))</f>
        <v>1260</v>
      </c>
      <c r="O15" s="34" t="str">
        <f>IF(ISERROR(VLOOKUP(CONCATENATE($A15,$M$8,O$10),'Tariff Schedule Lookup Table'!$F$8:$G$286,2,FALSE))=TRUE,"",TEXT(VLOOKUP(CONCATENATE($A15,$M$8,O$10),'Tariff Schedule Lookup Table'!$F$8:$G$286,2,FALSE),"0000"))</f>
        <v/>
      </c>
      <c r="P15" s="34" t="str">
        <f>IF(ISERROR(VLOOKUP(CONCATENATE($A15,$M$8,P$10),'Tariff Schedule Lookup Table'!$F$8:$G$286,2,FALSE))=TRUE,"",TEXT(VLOOKUP(CONCATENATE($A15,$M$8,P$10),'Tariff Schedule Lookup Table'!$F$8:$G$286,2,FALSE),"0000"))</f>
        <v/>
      </c>
      <c r="Q15" s="34" t="str">
        <f>IF(ISERROR(VLOOKUP(CONCATENATE($A15,$Q$8,Q$10),'Tariff Schedule Lookup Table'!$F$8:$G$286,2,FALSE))=TRUE,"",TEXT(VLOOKUP(CONCATENATE($A15,$Q$8,Q$10),'Tariff Schedule Lookup Table'!$F$8:$G$286,2,FALSE),"0000"))</f>
        <v>0990</v>
      </c>
      <c r="R15" s="34" t="str">
        <f>IF(ISERROR(VLOOKUP(CONCATENATE($A15,$Q$8,R$10),'Tariff Schedule Lookup Table'!$F$8:$G$286,2,FALSE))=TRUE,"",TEXT(VLOOKUP(CONCATENATE($A15,$Q$8,R$10),'Tariff Schedule Lookup Table'!$F$8:$G$286,2,FALSE),"0000"))</f>
        <v>1000</v>
      </c>
      <c r="S15" s="34" t="str">
        <f>IF(ISERROR(VLOOKUP(CONCATENATE($A15,$Q$8,S$10),'Tariff Schedule Lookup Table'!$F$8:$G$286,2,FALSE))=TRUE,"",TEXT(VLOOKUP(CONCATENATE($A15,$Q$8,S$10),'Tariff Schedule Lookup Table'!$F$8:$G$286,2,FALSE),"0000"))</f>
        <v>1460</v>
      </c>
      <c r="T15" s="34" t="str">
        <f>IF(ISERROR(VLOOKUP(CONCATENATE($A15,$Q$8,T$10),'Tariff Schedule Lookup Table'!$F$8:$G$286,2,FALSE))=TRUE,"",TEXT(VLOOKUP(CONCATENATE($A15,$Q$8,T$10),'Tariff Schedule Lookup Table'!$F$8:$G$286,2,FALSE),"0000"))</f>
        <v>1500</v>
      </c>
      <c r="U15" s="34" t="str">
        <f>IF(ISERROR(VLOOKUP(CONCATENATE($A15,$U$8,U$10),'Tariff Schedule Lookup Table'!$F$8:$G$286,2,FALSE))=TRUE,"",TEXT(VLOOKUP(CONCATENATE($A15,$U$8,U$10),'Tariff Schedule Lookup Table'!$F$8:$G$286,2,FALSE),"0000"))</f>
        <v/>
      </c>
      <c r="V15" s="34" t="str">
        <f>IF(ISERROR(VLOOKUP(CONCATENATE($A15,$U$8,V$10),'Tariff Schedule Lookup Table'!$F$8:$G$286,2,FALSE))=TRUE,"",TEXT(VLOOKUP(CONCATENATE($A15,$U$8,V$10),'Tariff Schedule Lookup Table'!$F$8:$G$286,2,FALSE),"0000"))</f>
        <v/>
      </c>
      <c r="W15" s="34" t="str">
        <f>IF(ISERROR(VLOOKUP(CONCATENATE($A15,$U$8,W$10),'Tariff Schedule Lookup Table'!$F$8:$G$286,2,FALSE))=TRUE,"",TEXT(VLOOKUP(CONCATENATE($A15,$U$8,W$10),'Tariff Schedule Lookup Table'!$F$8:$G$286,2,FALSE),"0000"))</f>
        <v/>
      </c>
      <c r="X15" s="34" t="str">
        <f>IF(ISERROR(VLOOKUP(CONCATENATE($A15,$U$8,X$10),'Tariff Schedule Lookup Table'!$F$8:$G$286,2,FALSE))=TRUE,"",TEXT(VLOOKUP(CONCATENATE($A15,$U$8,X$10),'Tariff Schedule Lookup Table'!$F$8:$G$186,2,FALSE),"0000"))</f>
        <v/>
      </c>
      <c r="Y15" s="6"/>
      <c r="Z15" s="6"/>
      <c r="AA15" s="6"/>
      <c r="AB15" s="6"/>
      <c r="AC15" s="6"/>
    </row>
    <row r="16" spans="1:29" x14ac:dyDescent="0.2">
      <c r="A16" s="6" t="s">
        <v>993</v>
      </c>
      <c r="B16" s="35" t="s">
        <v>2067</v>
      </c>
      <c r="C16" s="197" t="str">
        <f>VLOOKUP(LEFT(B16,7),'Tariff Schedule Lookup Table'!$A$8:$D$186,3,FALSE)</f>
        <v>Twin 20</v>
      </c>
      <c r="D16" s="199" t="str">
        <f>VLOOKUP(LEFT(B16,7),'Tariff Schedule Lookup Table'!$A$8:$D$186,2,FALSE)</f>
        <v>Fluorescent Twin 20</v>
      </c>
      <c r="E16" s="6" t="s">
        <v>996</v>
      </c>
      <c r="F16" s="37">
        <f>VLOOKUP(LEFT(B16,7),'Tariff Schedule Lookup Table'!$A$8:$D$186,4,FALSE)</f>
        <v>50</v>
      </c>
      <c r="G16" s="33">
        <f>VLOOKUP($B16,'Maintenance Costs'!$A$20:$AG$176,32,FALSE)</f>
        <v>100.46765101656581</v>
      </c>
      <c r="H16" s="67">
        <f>IF(VLOOKUP($B16,'Maintenance Costs'!$A$20:$AG$176,33,FALSE)=0,"",VLOOKUP($B16,'Maintenance Costs'!$A$20:$AG$176,33,FALSE))</f>
        <v>31.86425264764004</v>
      </c>
      <c r="I16" s="34" t="str">
        <f>IF(ISERROR(VLOOKUP(CONCATENATE($A16,$I$8,I$10),'Tariff Schedule Lookup Table'!$F$8:$G$286,2,FALSE))=TRUE,"",TEXT(VLOOKUP(CONCATENATE($A16,$I$8,I$10),'Tariff Schedule Lookup Table'!$F$8:$G$286,2,FALSE),"0000"))</f>
        <v>0010</v>
      </c>
      <c r="J16" s="34" t="str">
        <f>IF(ISERROR(VLOOKUP(CONCATENATE($A16,$I$8,J$10),'Tariff Schedule Lookup Table'!$F$8:$G$286,2,FALSE))=TRUE,"",TEXT(VLOOKUP(CONCATENATE($A16,$I$8,J$10),'Tariff Schedule Lookup Table'!$F$8:$G$286,2,FALSE),"0000"))</f>
        <v>0740</v>
      </c>
      <c r="K16" s="34" t="str">
        <f>IF(ISERROR(VLOOKUP(CONCATENATE($A16,$I$8,K$10),'Tariff Schedule Lookup Table'!$F$8:$G$286,2,FALSE))=TRUE,"",TEXT(VLOOKUP(CONCATENATE($A16,$I$8,K$10),'Tariff Schedule Lookup Table'!$F$8:$G$286,2,FALSE),"0000"))</f>
        <v>0820</v>
      </c>
      <c r="L16" s="34" t="str">
        <f>IF(ISERROR(VLOOKUP(CONCATENATE($A16,$I$8,L$10),'Tariff Schedule Lookup Table'!$F$8:$G$286,2,FALSE))=TRUE,"",TEXT(VLOOKUP(CONCATENATE($A16,$I$8,L$10),'Tariff Schedule Lookup Table'!$F$8:$G$286,2,FALSE),"0000"))</f>
        <v>0830</v>
      </c>
      <c r="M16" s="34" t="str">
        <f>IF(ISERROR(VLOOKUP(CONCATENATE($A16,$M$8,M$10),'Tariff Schedule Lookup Table'!$F$8:$G$286,2,FALSE))=TRUE,"",TEXT(VLOOKUP(CONCATENATE($A16,$M$8,M$10),'Tariff Schedule Lookup Table'!$F$8:$G$286,2,FALSE),"0000"))</f>
        <v>0810</v>
      </c>
      <c r="N16" s="34" t="str">
        <f>IF(ISERROR(VLOOKUP(CONCATENATE($A16,$M$8,N$10),'Tariff Schedule Lookup Table'!$F$8:$G$286,2,FALSE))=TRUE,"",TEXT(VLOOKUP(CONCATENATE($A16,$M$8,N$10),'Tariff Schedule Lookup Table'!$F$8:$G$286,2,FALSE),"0000"))</f>
        <v>1260</v>
      </c>
      <c r="O16" s="34" t="str">
        <f>IF(ISERROR(VLOOKUP(CONCATENATE($A16,$M$8,O$10),'Tariff Schedule Lookup Table'!$F$8:$G$286,2,FALSE))=TRUE,"",TEXT(VLOOKUP(CONCATENATE($A16,$M$8,O$10),'Tariff Schedule Lookup Table'!$F$8:$G$286,2,FALSE),"0000"))</f>
        <v/>
      </c>
      <c r="P16" s="34" t="str">
        <f>IF(ISERROR(VLOOKUP(CONCATENATE($A16,$M$8,P$10),'Tariff Schedule Lookup Table'!$F$8:$G$286,2,FALSE))=TRUE,"",TEXT(VLOOKUP(CONCATENATE($A16,$M$8,P$10),'Tariff Schedule Lookup Table'!$F$8:$G$286,2,FALSE),"0000"))</f>
        <v/>
      </c>
      <c r="Q16" s="34" t="str">
        <f>IF(ISERROR(VLOOKUP(CONCATENATE($A16,$Q$8,Q$10),'Tariff Schedule Lookup Table'!$F$8:$G$286,2,FALSE))=TRUE,"",TEXT(VLOOKUP(CONCATENATE($A16,$Q$8,Q$10),'Tariff Schedule Lookup Table'!$F$8:$G$286,2,FALSE),"0000"))</f>
        <v>0990</v>
      </c>
      <c r="R16" s="34" t="str">
        <f>IF(ISERROR(VLOOKUP(CONCATENATE($A16,$Q$8,R$10),'Tariff Schedule Lookup Table'!$F$8:$G$286,2,FALSE))=TRUE,"",TEXT(VLOOKUP(CONCATENATE($A16,$Q$8,R$10),'Tariff Schedule Lookup Table'!$F$8:$G$286,2,FALSE),"0000"))</f>
        <v>1000</v>
      </c>
      <c r="S16" s="34" t="str">
        <f>IF(ISERROR(VLOOKUP(CONCATENATE($A16,$Q$8,S$10),'Tariff Schedule Lookup Table'!$F$8:$G$286,2,FALSE))=TRUE,"",TEXT(VLOOKUP(CONCATENATE($A16,$Q$8,S$10),'Tariff Schedule Lookup Table'!$F$8:$G$286,2,FALSE),"0000"))</f>
        <v>1460</v>
      </c>
      <c r="T16" s="34" t="str">
        <f>IF(ISERROR(VLOOKUP(CONCATENATE($A16,$Q$8,T$10),'Tariff Schedule Lookup Table'!$F$8:$G$286,2,FALSE))=TRUE,"",TEXT(VLOOKUP(CONCATENATE($A16,$Q$8,T$10),'Tariff Schedule Lookup Table'!$F$8:$G$286,2,FALSE),"0000"))</f>
        <v>1500</v>
      </c>
      <c r="U16" s="34" t="str">
        <f>IF(ISERROR(VLOOKUP(CONCATENATE($A16,$U$8,U$10),'Tariff Schedule Lookup Table'!$F$8:$G$286,2,FALSE))=TRUE,"",TEXT(VLOOKUP(CONCATENATE($A16,$U$8,U$10),'Tariff Schedule Lookup Table'!$F$8:$G$286,2,FALSE),"0000"))</f>
        <v/>
      </c>
      <c r="V16" s="34" t="str">
        <f>IF(ISERROR(VLOOKUP(CONCATENATE($A16,$U$8,V$10),'Tariff Schedule Lookup Table'!$F$8:$G$286,2,FALSE))=TRUE,"",TEXT(VLOOKUP(CONCATENATE($A16,$U$8,V$10),'Tariff Schedule Lookup Table'!$F$8:$G$286,2,FALSE),"0000"))</f>
        <v/>
      </c>
      <c r="W16" s="34" t="str">
        <f>IF(ISERROR(VLOOKUP(CONCATENATE($A16,$U$8,W$10),'Tariff Schedule Lookup Table'!$F$8:$G$286,2,FALSE))=TRUE,"",TEXT(VLOOKUP(CONCATENATE($A16,$U$8,W$10),'Tariff Schedule Lookup Table'!$F$8:$G$286,2,FALSE),"0000"))</f>
        <v/>
      </c>
      <c r="X16" s="34" t="str">
        <f>IF(ISERROR(VLOOKUP(CONCATENATE($A16,$U$8,X$10),'Tariff Schedule Lookup Table'!$F$8:$G$286,2,FALSE))=TRUE,"",TEXT(VLOOKUP(CONCATENATE($A16,$U$8,X$10),'Tariff Schedule Lookup Table'!$F$8:$G$186,2,FALSE),"0000"))</f>
        <v/>
      </c>
      <c r="Y16" s="6"/>
      <c r="Z16" s="6"/>
      <c r="AA16" s="6"/>
      <c r="AB16" s="6"/>
      <c r="AC16" s="6"/>
    </row>
    <row r="17" spans="1:29" x14ac:dyDescent="0.2">
      <c r="A17" s="6" t="s">
        <v>993</v>
      </c>
      <c r="B17" s="35" t="s">
        <v>2068</v>
      </c>
      <c r="C17" s="197" t="str">
        <f>VLOOKUP(LEFT(B17,7),'Tariff Schedule Lookup Table'!$A$8:$D$186,3,FALSE)</f>
        <v>3x20</v>
      </c>
      <c r="D17" s="199" t="str">
        <f>VLOOKUP(LEFT(B17,7),'Tariff Schedule Lookup Table'!$A$8:$D$186,2,FALSE)</f>
        <v>Fluorescent 3x20</v>
      </c>
      <c r="E17" s="6" t="s">
        <v>996</v>
      </c>
      <c r="F17" s="37">
        <f>VLOOKUP(LEFT(B17,7),'Tariff Schedule Lookup Table'!$A$8:$D$186,4,FALSE)</f>
        <v>77</v>
      </c>
      <c r="G17" s="33">
        <f>VLOOKUP($B17,'Maintenance Costs'!$A$20:$AG$176,32,FALSE)</f>
        <v>105.38512612586581</v>
      </c>
      <c r="H17" s="67">
        <f>IF(VLOOKUP($B17,'Maintenance Costs'!$A$20:$AG$176,33,FALSE)=0,"",VLOOKUP($B17,'Maintenance Costs'!$A$20:$AG$176,33,FALSE))</f>
        <v>36.851642752740041</v>
      </c>
      <c r="I17" s="34" t="str">
        <f>IF(ISERROR(VLOOKUP(CONCATENATE($A17,$I$8,I$10),'Tariff Schedule Lookup Table'!$F$8:$G$286,2,FALSE))=TRUE,"",TEXT(VLOOKUP(CONCATENATE($A17,$I$8,I$10),'Tariff Schedule Lookup Table'!$F$8:$G$286,2,FALSE),"0000"))</f>
        <v>0010</v>
      </c>
      <c r="J17" s="34" t="str">
        <f>IF(ISERROR(VLOOKUP(CONCATENATE($A17,$I$8,J$10),'Tariff Schedule Lookup Table'!$F$8:$G$286,2,FALSE))=TRUE,"",TEXT(VLOOKUP(CONCATENATE($A17,$I$8,J$10),'Tariff Schedule Lookup Table'!$F$8:$G$286,2,FALSE),"0000"))</f>
        <v>0740</v>
      </c>
      <c r="K17" s="34" t="str">
        <f>IF(ISERROR(VLOOKUP(CONCATENATE($A17,$I$8,K$10),'Tariff Schedule Lookup Table'!$F$8:$G$286,2,FALSE))=TRUE,"",TEXT(VLOOKUP(CONCATENATE($A17,$I$8,K$10),'Tariff Schedule Lookup Table'!$F$8:$G$286,2,FALSE),"0000"))</f>
        <v>0820</v>
      </c>
      <c r="L17" s="34" t="str">
        <f>IF(ISERROR(VLOOKUP(CONCATENATE($A17,$I$8,L$10),'Tariff Schedule Lookup Table'!$F$8:$G$286,2,FALSE))=TRUE,"",TEXT(VLOOKUP(CONCATENATE($A17,$I$8,L$10),'Tariff Schedule Lookup Table'!$F$8:$G$286,2,FALSE),"0000"))</f>
        <v>0830</v>
      </c>
      <c r="M17" s="34" t="str">
        <f>IF(ISERROR(VLOOKUP(CONCATENATE($A17,$M$8,M$10),'Tariff Schedule Lookup Table'!$F$8:$G$286,2,FALSE))=TRUE,"",TEXT(VLOOKUP(CONCATENATE($A17,$M$8,M$10),'Tariff Schedule Lookup Table'!$F$8:$G$286,2,FALSE),"0000"))</f>
        <v>0810</v>
      </c>
      <c r="N17" s="34" t="str">
        <f>IF(ISERROR(VLOOKUP(CONCATENATE($A17,$M$8,N$10),'Tariff Schedule Lookup Table'!$F$8:$G$286,2,FALSE))=TRUE,"",TEXT(VLOOKUP(CONCATENATE($A17,$M$8,N$10),'Tariff Schedule Lookup Table'!$F$8:$G$286,2,FALSE),"0000"))</f>
        <v>1260</v>
      </c>
      <c r="O17" s="34" t="str">
        <f>IF(ISERROR(VLOOKUP(CONCATENATE($A17,$M$8,O$10),'Tariff Schedule Lookup Table'!$F$8:$G$286,2,FALSE))=TRUE,"",TEXT(VLOOKUP(CONCATENATE($A17,$M$8,O$10),'Tariff Schedule Lookup Table'!$F$8:$G$286,2,FALSE),"0000"))</f>
        <v/>
      </c>
      <c r="P17" s="34" t="str">
        <f>IF(ISERROR(VLOOKUP(CONCATENATE($A17,$M$8,P$10),'Tariff Schedule Lookup Table'!$F$8:$G$286,2,FALSE))=TRUE,"",TEXT(VLOOKUP(CONCATENATE($A17,$M$8,P$10),'Tariff Schedule Lookup Table'!$F$8:$G$286,2,FALSE),"0000"))</f>
        <v/>
      </c>
      <c r="Q17" s="34" t="str">
        <f>IF(ISERROR(VLOOKUP(CONCATENATE($A17,$Q$8,Q$10),'Tariff Schedule Lookup Table'!$F$8:$G$286,2,FALSE))=TRUE,"",TEXT(VLOOKUP(CONCATENATE($A17,$Q$8,Q$10),'Tariff Schedule Lookup Table'!$F$8:$G$286,2,FALSE),"0000"))</f>
        <v>0990</v>
      </c>
      <c r="R17" s="34" t="str">
        <f>IF(ISERROR(VLOOKUP(CONCATENATE($A17,$Q$8,R$10),'Tariff Schedule Lookup Table'!$F$8:$G$286,2,FALSE))=TRUE,"",TEXT(VLOOKUP(CONCATENATE($A17,$Q$8,R$10),'Tariff Schedule Lookup Table'!$F$8:$G$286,2,FALSE),"0000"))</f>
        <v>1000</v>
      </c>
      <c r="S17" s="34" t="str">
        <f>IF(ISERROR(VLOOKUP(CONCATENATE($A17,$Q$8,S$10),'Tariff Schedule Lookup Table'!$F$8:$G$286,2,FALSE))=TRUE,"",TEXT(VLOOKUP(CONCATENATE($A17,$Q$8,S$10),'Tariff Schedule Lookup Table'!$F$8:$G$286,2,FALSE),"0000"))</f>
        <v>1460</v>
      </c>
      <c r="T17" s="34" t="str">
        <f>IF(ISERROR(VLOOKUP(CONCATENATE($A17,$Q$8,T$10),'Tariff Schedule Lookup Table'!$F$8:$G$286,2,FALSE))=TRUE,"",TEXT(VLOOKUP(CONCATENATE($A17,$Q$8,T$10),'Tariff Schedule Lookup Table'!$F$8:$G$286,2,FALSE),"0000"))</f>
        <v>1500</v>
      </c>
      <c r="U17" s="34" t="str">
        <f>IF(ISERROR(VLOOKUP(CONCATENATE($A17,$U$8,U$10),'Tariff Schedule Lookup Table'!$F$8:$G$286,2,FALSE))=TRUE,"",TEXT(VLOOKUP(CONCATENATE($A17,$U$8,U$10),'Tariff Schedule Lookup Table'!$F$8:$G$286,2,FALSE),"0000"))</f>
        <v/>
      </c>
      <c r="V17" s="34" t="str">
        <f>IF(ISERROR(VLOOKUP(CONCATENATE($A17,$U$8,V$10),'Tariff Schedule Lookup Table'!$F$8:$G$286,2,FALSE))=TRUE,"",TEXT(VLOOKUP(CONCATENATE($A17,$U$8,V$10),'Tariff Schedule Lookup Table'!$F$8:$G$286,2,FALSE),"0000"))</f>
        <v/>
      </c>
      <c r="W17" s="34" t="str">
        <f>IF(ISERROR(VLOOKUP(CONCATENATE($A17,$U$8,W$10),'Tariff Schedule Lookup Table'!$F$8:$G$286,2,FALSE))=TRUE,"",TEXT(VLOOKUP(CONCATENATE($A17,$U$8,W$10),'Tariff Schedule Lookup Table'!$F$8:$G$286,2,FALSE),"0000"))</f>
        <v/>
      </c>
      <c r="X17" s="34" t="str">
        <f>IF(ISERROR(VLOOKUP(CONCATENATE($A17,$U$8,X$10),'Tariff Schedule Lookup Table'!$F$8:$G$286,2,FALSE))=TRUE,"",TEXT(VLOOKUP(CONCATENATE($A17,$U$8,X$10),'Tariff Schedule Lookup Table'!$F$8:$G$186,2,FALSE),"0000"))</f>
        <v/>
      </c>
      <c r="Y17" s="6"/>
      <c r="Z17" s="6"/>
      <c r="AA17" s="6"/>
      <c r="AB17" s="6"/>
      <c r="AC17" s="6"/>
    </row>
    <row r="18" spans="1:29" x14ac:dyDescent="0.2">
      <c r="A18" s="6" t="s">
        <v>993</v>
      </c>
      <c r="B18" s="35" t="s">
        <v>2069</v>
      </c>
      <c r="C18" s="197" t="str">
        <f>VLOOKUP(LEFT(B18,7),'Tariff Schedule Lookup Table'!$A$8:$D$186,3,FALSE)</f>
        <v>4x20</v>
      </c>
      <c r="D18" s="199" t="str">
        <f>VLOOKUP(LEFT(B18,7),'Tariff Schedule Lookup Table'!$A$8:$D$186,2,FALSE)</f>
        <v>Fluorescent 4x20</v>
      </c>
      <c r="E18" s="6" t="s">
        <v>996</v>
      </c>
      <c r="F18" s="37">
        <f>VLOOKUP(LEFT(B18,7),'Tariff Schedule Lookup Table'!$A$8:$D$186,4,FALSE)</f>
        <v>100</v>
      </c>
      <c r="G18" s="33">
        <f>VLOOKUP($B18,'Maintenance Costs'!$A$20:$AG$176,32,FALSE)</f>
        <v>110.30260123516581</v>
      </c>
      <c r="H18" s="67">
        <f>IF(VLOOKUP($B18,'Maintenance Costs'!$A$20:$AG$176,33,FALSE)=0,"",VLOOKUP($B18,'Maintenance Costs'!$A$20:$AG$176,33,FALSE))</f>
        <v>41.839032857840039</v>
      </c>
      <c r="I18" s="34" t="str">
        <f>IF(ISERROR(VLOOKUP(CONCATENATE($A18,$I$8,I$10),'Tariff Schedule Lookup Table'!$F$8:$G$286,2,FALSE))=TRUE,"",TEXT(VLOOKUP(CONCATENATE($A18,$I$8,I$10),'Tariff Schedule Lookup Table'!$F$8:$G$286,2,FALSE),"0000"))</f>
        <v>0010</v>
      </c>
      <c r="J18" s="34" t="str">
        <f>IF(ISERROR(VLOOKUP(CONCATENATE($A18,$I$8,J$10),'Tariff Schedule Lookup Table'!$F$8:$G$286,2,FALSE))=TRUE,"",TEXT(VLOOKUP(CONCATENATE($A18,$I$8,J$10),'Tariff Schedule Lookup Table'!$F$8:$G$286,2,FALSE),"0000"))</f>
        <v>0740</v>
      </c>
      <c r="K18" s="34" t="str">
        <f>IF(ISERROR(VLOOKUP(CONCATENATE($A18,$I$8,K$10),'Tariff Schedule Lookup Table'!$F$8:$G$286,2,FALSE))=TRUE,"",TEXT(VLOOKUP(CONCATENATE($A18,$I$8,K$10),'Tariff Schedule Lookup Table'!$F$8:$G$286,2,FALSE),"0000"))</f>
        <v>0820</v>
      </c>
      <c r="L18" s="34" t="str">
        <f>IF(ISERROR(VLOOKUP(CONCATENATE($A18,$I$8,L$10),'Tariff Schedule Lookup Table'!$F$8:$G$286,2,FALSE))=TRUE,"",TEXT(VLOOKUP(CONCATENATE($A18,$I$8,L$10),'Tariff Schedule Lookup Table'!$F$8:$G$286,2,FALSE),"0000"))</f>
        <v>0830</v>
      </c>
      <c r="M18" s="34" t="str">
        <f>IF(ISERROR(VLOOKUP(CONCATENATE($A18,$M$8,M$10),'Tariff Schedule Lookup Table'!$F$8:$G$286,2,FALSE))=TRUE,"",TEXT(VLOOKUP(CONCATENATE($A18,$M$8,M$10),'Tariff Schedule Lookup Table'!$F$8:$G$286,2,FALSE),"0000"))</f>
        <v>0810</v>
      </c>
      <c r="N18" s="34" t="str">
        <f>IF(ISERROR(VLOOKUP(CONCATENATE($A18,$M$8,N$10),'Tariff Schedule Lookup Table'!$F$8:$G$286,2,FALSE))=TRUE,"",TEXT(VLOOKUP(CONCATENATE($A18,$M$8,N$10),'Tariff Schedule Lookup Table'!$F$8:$G$286,2,FALSE),"0000"))</f>
        <v>1260</v>
      </c>
      <c r="O18" s="34" t="str">
        <f>IF(ISERROR(VLOOKUP(CONCATENATE($A18,$M$8,O$10),'Tariff Schedule Lookup Table'!$F$8:$G$286,2,FALSE))=TRUE,"",TEXT(VLOOKUP(CONCATENATE($A18,$M$8,O$10),'Tariff Schedule Lookup Table'!$F$8:$G$286,2,FALSE),"0000"))</f>
        <v/>
      </c>
      <c r="P18" s="34" t="str">
        <f>IF(ISERROR(VLOOKUP(CONCATENATE($A18,$M$8,P$10),'Tariff Schedule Lookup Table'!$F$8:$G$286,2,FALSE))=TRUE,"",TEXT(VLOOKUP(CONCATENATE($A18,$M$8,P$10),'Tariff Schedule Lookup Table'!$F$8:$G$286,2,FALSE),"0000"))</f>
        <v/>
      </c>
      <c r="Q18" s="34" t="str">
        <f>IF(ISERROR(VLOOKUP(CONCATENATE($A18,$Q$8,Q$10),'Tariff Schedule Lookup Table'!$F$8:$G$286,2,FALSE))=TRUE,"",TEXT(VLOOKUP(CONCATENATE($A18,$Q$8,Q$10),'Tariff Schedule Lookup Table'!$F$8:$G$286,2,FALSE),"0000"))</f>
        <v>0990</v>
      </c>
      <c r="R18" s="34" t="str">
        <f>IF(ISERROR(VLOOKUP(CONCATENATE($A18,$Q$8,R$10),'Tariff Schedule Lookup Table'!$F$8:$G$286,2,FALSE))=TRUE,"",TEXT(VLOOKUP(CONCATENATE($A18,$Q$8,R$10),'Tariff Schedule Lookup Table'!$F$8:$G$286,2,FALSE),"0000"))</f>
        <v>1000</v>
      </c>
      <c r="S18" s="34" t="str">
        <f>IF(ISERROR(VLOOKUP(CONCATENATE($A18,$Q$8,S$10),'Tariff Schedule Lookup Table'!$F$8:$G$286,2,FALSE))=TRUE,"",TEXT(VLOOKUP(CONCATENATE($A18,$Q$8,S$10),'Tariff Schedule Lookup Table'!$F$8:$G$286,2,FALSE),"0000"))</f>
        <v>1460</v>
      </c>
      <c r="T18" s="34" t="str">
        <f>IF(ISERROR(VLOOKUP(CONCATENATE($A18,$Q$8,T$10),'Tariff Schedule Lookup Table'!$F$8:$G$286,2,FALSE))=TRUE,"",TEXT(VLOOKUP(CONCATENATE($A18,$Q$8,T$10),'Tariff Schedule Lookup Table'!$F$8:$G$286,2,FALSE),"0000"))</f>
        <v>1500</v>
      </c>
      <c r="U18" s="34" t="str">
        <f>IF(ISERROR(VLOOKUP(CONCATENATE($A18,$U$8,U$10),'Tariff Schedule Lookup Table'!$F$8:$G$286,2,FALSE))=TRUE,"",TEXT(VLOOKUP(CONCATENATE($A18,$U$8,U$10),'Tariff Schedule Lookup Table'!$F$8:$G$286,2,FALSE),"0000"))</f>
        <v/>
      </c>
      <c r="V18" s="34" t="str">
        <f>IF(ISERROR(VLOOKUP(CONCATENATE($A18,$U$8,V$10),'Tariff Schedule Lookup Table'!$F$8:$G$286,2,FALSE))=TRUE,"",TEXT(VLOOKUP(CONCATENATE($A18,$U$8,V$10),'Tariff Schedule Lookup Table'!$F$8:$G$286,2,FALSE),"0000"))</f>
        <v/>
      </c>
      <c r="W18" s="34" t="str">
        <f>IF(ISERROR(VLOOKUP(CONCATENATE($A18,$U$8,W$10),'Tariff Schedule Lookup Table'!$F$8:$G$286,2,FALSE))=TRUE,"",TEXT(VLOOKUP(CONCATENATE($A18,$U$8,W$10),'Tariff Schedule Lookup Table'!$F$8:$G$286,2,FALSE),"0000"))</f>
        <v/>
      </c>
      <c r="X18" s="34" t="str">
        <f>IF(ISERROR(VLOOKUP(CONCATENATE($A18,$U$8,X$10),'Tariff Schedule Lookup Table'!$F$8:$G$286,2,FALSE))=TRUE,"",TEXT(VLOOKUP(CONCATENATE($A18,$U$8,X$10),'Tariff Schedule Lookup Table'!$F$8:$G$186,2,FALSE),"0000"))</f>
        <v/>
      </c>
      <c r="Y18" s="6"/>
      <c r="Z18" s="6"/>
      <c r="AA18" s="6"/>
      <c r="AB18" s="6"/>
      <c r="AC18" s="6"/>
    </row>
    <row r="19" spans="1:29" x14ac:dyDescent="0.2">
      <c r="A19" s="6" t="s">
        <v>993</v>
      </c>
      <c r="B19" s="35" t="s">
        <v>147</v>
      </c>
      <c r="C19" s="197" t="str">
        <f>VLOOKUP(LEFT(B19,7),'Tariff Schedule Lookup Table'!$A$8:$D$186,3,FALSE)</f>
        <v>6x20</v>
      </c>
      <c r="D19" s="199" t="str">
        <f>VLOOKUP(LEFT(B19,7),'Tariff Schedule Lookup Table'!$A$8:$D$186,2,FALSE)</f>
        <v>Fluorescent 6x20</v>
      </c>
      <c r="E19" s="6" t="s">
        <v>996</v>
      </c>
      <c r="F19" s="37">
        <f>VLOOKUP(LEFT(B19,7),'Tariff Schedule Lookup Table'!$A$8:$D$186,4,FALSE)</f>
        <v>150</v>
      </c>
      <c r="G19" s="33">
        <f>VLOOKUP($B19,'Maintenance Costs'!$A$20:$AG$176,32,FALSE)</f>
        <v>120.13755145376581</v>
      </c>
      <c r="H19" s="67">
        <f>IF(VLOOKUP($B19,'Maintenance Costs'!$A$20:$AG$176,33,FALSE)=0,"",VLOOKUP($B19,'Maintenance Costs'!$A$20:$AG$176,33,FALSE))</f>
        <v>51.813813068040034</v>
      </c>
      <c r="I19" s="34" t="str">
        <f>IF(ISERROR(VLOOKUP(CONCATENATE($A19,$I$8,I$10),'Tariff Schedule Lookup Table'!$F$8:$G$286,2,FALSE))=TRUE,"",TEXT(VLOOKUP(CONCATENATE($A19,$I$8,I$10),'Tariff Schedule Lookup Table'!$F$8:$G$286,2,FALSE),"0000"))</f>
        <v>0010</v>
      </c>
      <c r="J19" s="34" t="str">
        <f>IF(ISERROR(VLOOKUP(CONCATENATE($A19,$I$8,J$10),'Tariff Schedule Lookup Table'!$F$8:$G$286,2,FALSE))=TRUE,"",TEXT(VLOOKUP(CONCATENATE($A19,$I$8,J$10),'Tariff Schedule Lookup Table'!$F$8:$G$286,2,FALSE),"0000"))</f>
        <v>0740</v>
      </c>
      <c r="K19" s="34" t="str">
        <f>IF(ISERROR(VLOOKUP(CONCATENATE($A19,$I$8,K$10),'Tariff Schedule Lookup Table'!$F$8:$G$286,2,FALSE))=TRUE,"",TEXT(VLOOKUP(CONCATENATE($A19,$I$8,K$10),'Tariff Schedule Lookup Table'!$F$8:$G$286,2,FALSE),"0000"))</f>
        <v>0820</v>
      </c>
      <c r="L19" s="34" t="str">
        <f>IF(ISERROR(VLOOKUP(CONCATENATE($A19,$I$8,L$10),'Tariff Schedule Lookup Table'!$F$8:$G$286,2,FALSE))=TRUE,"",TEXT(VLOOKUP(CONCATENATE($A19,$I$8,L$10),'Tariff Schedule Lookup Table'!$F$8:$G$286,2,FALSE),"0000"))</f>
        <v>0830</v>
      </c>
      <c r="M19" s="34" t="str">
        <f>IF(ISERROR(VLOOKUP(CONCATENATE($A19,$M$8,M$10),'Tariff Schedule Lookup Table'!$F$8:$G$286,2,FALSE))=TRUE,"",TEXT(VLOOKUP(CONCATENATE($A19,$M$8,M$10),'Tariff Schedule Lookup Table'!$F$8:$G$286,2,FALSE),"0000"))</f>
        <v>0810</v>
      </c>
      <c r="N19" s="34" t="str">
        <f>IF(ISERROR(VLOOKUP(CONCATENATE($A19,$M$8,N$10),'Tariff Schedule Lookup Table'!$F$8:$G$286,2,FALSE))=TRUE,"",TEXT(VLOOKUP(CONCATENATE($A19,$M$8,N$10),'Tariff Schedule Lookup Table'!$F$8:$G$286,2,FALSE),"0000"))</f>
        <v>1260</v>
      </c>
      <c r="O19" s="34" t="str">
        <f>IF(ISERROR(VLOOKUP(CONCATENATE($A19,$M$8,O$10),'Tariff Schedule Lookup Table'!$F$8:$G$286,2,FALSE))=TRUE,"",TEXT(VLOOKUP(CONCATENATE($A19,$M$8,O$10),'Tariff Schedule Lookup Table'!$F$8:$G$286,2,FALSE),"0000"))</f>
        <v/>
      </c>
      <c r="P19" s="34" t="str">
        <f>IF(ISERROR(VLOOKUP(CONCATENATE($A19,$M$8,P$10),'Tariff Schedule Lookup Table'!$F$8:$G$286,2,FALSE))=TRUE,"",TEXT(VLOOKUP(CONCATENATE($A19,$M$8,P$10),'Tariff Schedule Lookup Table'!$F$8:$G$286,2,FALSE),"0000"))</f>
        <v/>
      </c>
      <c r="Q19" s="34" t="str">
        <f>IF(ISERROR(VLOOKUP(CONCATENATE($A19,$Q$8,Q$10),'Tariff Schedule Lookup Table'!$F$8:$G$286,2,FALSE))=TRUE,"",TEXT(VLOOKUP(CONCATENATE($A19,$Q$8,Q$10),'Tariff Schedule Lookup Table'!$F$8:$G$286,2,FALSE),"0000"))</f>
        <v>0990</v>
      </c>
      <c r="R19" s="34" t="str">
        <f>IF(ISERROR(VLOOKUP(CONCATENATE($A19,$Q$8,R$10),'Tariff Schedule Lookup Table'!$F$8:$G$286,2,FALSE))=TRUE,"",TEXT(VLOOKUP(CONCATENATE($A19,$Q$8,R$10),'Tariff Schedule Lookup Table'!$F$8:$G$286,2,FALSE),"0000"))</f>
        <v>1000</v>
      </c>
      <c r="S19" s="34" t="str">
        <f>IF(ISERROR(VLOOKUP(CONCATENATE($A19,$Q$8,S$10),'Tariff Schedule Lookup Table'!$F$8:$G$286,2,FALSE))=TRUE,"",TEXT(VLOOKUP(CONCATENATE($A19,$Q$8,S$10),'Tariff Schedule Lookup Table'!$F$8:$G$286,2,FALSE),"0000"))</f>
        <v>1460</v>
      </c>
      <c r="T19" s="34" t="str">
        <f>IF(ISERROR(VLOOKUP(CONCATENATE($A19,$Q$8,T$10),'Tariff Schedule Lookup Table'!$F$8:$G$286,2,FALSE))=TRUE,"",TEXT(VLOOKUP(CONCATENATE($A19,$Q$8,T$10),'Tariff Schedule Lookup Table'!$F$8:$G$286,2,FALSE),"0000"))</f>
        <v>1500</v>
      </c>
      <c r="U19" s="34" t="str">
        <f>IF(ISERROR(VLOOKUP(CONCATENATE($A19,$U$8,U$10),'Tariff Schedule Lookup Table'!$F$8:$G$286,2,FALSE))=TRUE,"",TEXT(VLOOKUP(CONCATENATE($A19,$U$8,U$10),'Tariff Schedule Lookup Table'!$F$8:$G$286,2,FALSE),"0000"))</f>
        <v/>
      </c>
      <c r="V19" s="34" t="str">
        <f>IF(ISERROR(VLOOKUP(CONCATENATE($A19,$U$8,V$10),'Tariff Schedule Lookup Table'!$F$8:$G$286,2,FALSE))=TRUE,"",TEXT(VLOOKUP(CONCATENATE($A19,$U$8,V$10),'Tariff Schedule Lookup Table'!$F$8:$G$286,2,FALSE),"0000"))</f>
        <v/>
      </c>
      <c r="W19" s="34" t="str">
        <f>IF(ISERROR(VLOOKUP(CONCATENATE($A19,$U$8,W$10),'Tariff Schedule Lookup Table'!$F$8:$G$286,2,FALSE))=TRUE,"",TEXT(VLOOKUP(CONCATENATE($A19,$U$8,W$10),'Tariff Schedule Lookup Table'!$F$8:$G$286,2,FALSE),"0000"))</f>
        <v/>
      </c>
      <c r="X19" s="34" t="str">
        <f>IF(ISERROR(VLOOKUP(CONCATENATE($A19,$U$8,X$10),'Tariff Schedule Lookup Table'!$F$8:$G$286,2,FALSE))=TRUE,"",TEXT(VLOOKUP(CONCATENATE($A19,$U$8,X$10),'Tariff Schedule Lookup Table'!$F$8:$G$186,2,FALSE),"0000"))</f>
        <v/>
      </c>
      <c r="Y19" s="6"/>
      <c r="Z19" s="6"/>
      <c r="AA19" s="6"/>
      <c r="AB19" s="6"/>
      <c r="AC19" s="6"/>
    </row>
    <row r="20" spans="1:29" x14ac:dyDescent="0.2">
      <c r="A20" s="6" t="s">
        <v>993</v>
      </c>
      <c r="B20" s="35" t="s">
        <v>2070</v>
      </c>
      <c r="C20" s="197">
        <f>VLOOKUP(LEFT(B20,7),'Tariff Schedule Lookup Table'!$A$8:$D$186,3,FALSE)</f>
        <v>26</v>
      </c>
      <c r="D20" s="199" t="str">
        <f>VLOOKUP(LEFT(B20,7),'Tariff Schedule Lookup Table'!$A$8:$D$186,2,FALSE)</f>
        <v>Fluorescent 26</v>
      </c>
      <c r="E20" s="6" t="s">
        <v>996</v>
      </c>
      <c r="F20" s="37">
        <f>VLOOKUP(LEFT(B20,7),'Tariff Schedule Lookup Table'!$A$8:$D$186,4,FALSE)</f>
        <v>32</v>
      </c>
      <c r="G20" s="33">
        <f>VLOOKUP($B20,'Maintenance Costs'!$A$20:$AG$176,32,FALSE)</f>
        <v>95.55017590726581</v>
      </c>
      <c r="H20" s="67">
        <f>IF(VLOOKUP($B20,'Maintenance Costs'!$A$20:$AG$176,33,FALSE)=0,"",VLOOKUP($B20,'Maintenance Costs'!$A$20:$AG$176,33,FALSE))</f>
        <v>26.876862542540042</v>
      </c>
      <c r="I20" s="34" t="str">
        <f>IF(ISERROR(VLOOKUP(CONCATENATE($A20,$I$8,I$10),'Tariff Schedule Lookup Table'!$F$8:$G$286,2,FALSE))=TRUE,"",TEXT(VLOOKUP(CONCATENATE($A20,$I$8,I$10),'Tariff Schedule Lookup Table'!$F$8:$G$286,2,FALSE),"0000"))</f>
        <v>0010</v>
      </c>
      <c r="J20" s="34" t="str">
        <f>IF(ISERROR(VLOOKUP(CONCATENATE($A20,$I$8,J$10),'Tariff Schedule Lookup Table'!$F$8:$G$286,2,FALSE))=TRUE,"",TEXT(VLOOKUP(CONCATENATE($A20,$I$8,J$10),'Tariff Schedule Lookup Table'!$F$8:$G$286,2,FALSE),"0000"))</f>
        <v>0740</v>
      </c>
      <c r="K20" s="34" t="str">
        <f>IF(ISERROR(VLOOKUP(CONCATENATE($A20,$I$8,K$10),'Tariff Schedule Lookup Table'!$F$8:$G$286,2,FALSE))=TRUE,"",TEXT(VLOOKUP(CONCATENATE($A20,$I$8,K$10),'Tariff Schedule Lookup Table'!$F$8:$G$286,2,FALSE),"0000"))</f>
        <v>0820</v>
      </c>
      <c r="L20" s="34" t="str">
        <f>IF(ISERROR(VLOOKUP(CONCATENATE($A20,$I$8,L$10),'Tariff Schedule Lookup Table'!$F$8:$G$286,2,FALSE))=TRUE,"",TEXT(VLOOKUP(CONCATENATE($A20,$I$8,L$10),'Tariff Schedule Lookup Table'!$F$8:$G$286,2,FALSE),"0000"))</f>
        <v>0830</v>
      </c>
      <c r="M20" s="34" t="str">
        <f>IF(ISERROR(VLOOKUP(CONCATENATE($A20,$M$8,M$10),'Tariff Schedule Lookup Table'!$F$8:$G$286,2,FALSE))=TRUE,"",TEXT(VLOOKUP(CONCATENATE($A20,$M$8,M$10),'Tariff Schedule Lookup Table'!$F$8:$G$286,2,FALSE),"0000"))</f>
        <v>0810</v>
      </c>
      <c r="N20" s="34" t="str">
        <f>IF(ISERROR(VLOOKUP(CONCATENATE($A20,$M$8,N$10),'Tariff Schedule Lookup Table'!$F$8:$G$286,2,FALSE))=TRUE,"",TEXT(VLOOKUP(CONCATENATE($A20,$M$8,N$10),'Tariff Schedule Lookup Table'!$F$8:$G$286,2,FALSE),"0000"))</f>
        <v>1260</v>
      </c>
      <c r="O20" s="34" t="str">
        <f>IF(ISERROR(VLOOKUP(CONCATENATE($A20,$M$8,O$10),'Tariff Schedule Lookup Table'!$F$8:$G$286,2,FALSE))=TRUE,"",TEXT(VLOOKUP(CONCATENATE($A20,$M$8,O$10),'Tariff Schedule Lookup Table'!$F$8:$G$286,2,FALSE),"0000"))</f>
        <v/>
      </c>
      <c r="P20" s="34" t="str">
        <f>IF(ISERROR(VLOOKUP(CONCATENATE($A20,$M$8,P$10),'Tariff Schedule Lookup Table'!$F$8:$G$286,2,FALSE))=TRUE,"",TEXT(VLOOKUP(CONCATENATE($A20,$M$8,P$10),'Tariff Schedule Lookup Table'!$F$8:$G$286,2,FALSE),"0000"))</f>
        <v/>
      </c>
      <c r="Q20" s="34" t="str">
        <f>IF(ISERROR(VLOOKUP(CONCATENATE($A20,$Q$8,Q$10),'Tariff Schedule Lookup Table'!$F$8:$G$286,2,FALSE))=TRUE,"",TEXT(VLOOKUP(CONCATENATE($A20,$Q$8,Q$10),'Tariff Schedule Lookup Table'!$F$8:$G$286,2,FALSE),"0000"))</f>
        <v>0990</v>
      </c>
      <c r="R20" s="34" t="str">
        <f>IF(ISERROR(VLOOKUP(CONCATENATE($A20,$Q$8,R$10),'Tariff Schedule Lookup Table'!$F$8:$G$286,2,FALSE))=TRUE,"",TEXT(VLOOKUP(CONCATENATE($A20,$Q$8,R$10),'Tariff Schedule Lookup Table'!$F$8:$G$286,2,FALSE),"0000"))</f>
        <v>1000</v>
      </c>
      <c r="S20" s="34" t="str">
        <f>IF(ISERROR(VLOOKUP(CONCATENATE($A20,$Q$8,S$10),'Tariff Schedule Lookup Table'!$F$8:$G$286,2,FALSE))=TRUE,"",TEXT(VLOOKUP(CONCATENATE($A20,$Q$8,S$10),'Tariff Schedule Lookup Table'!$F$8:$G$286,2,FALSE),"0000"))</f>
        <v>1460</v>
      </c>
      <c r="T20" s="34" t="str">
        <f>IF(ISERROR(VLOOKUP(CONCATENATE($A20,$Q$8,T$10),'Tariff Schedule Lookup Table'!$F$8:$G$286,2,FALSE))=TRUE,"",TEXT(VLOOKUP(CONCATENATE($A20,$Q$8,T$10),'Tariff Schedule Lookup Table'!$F$8:$G$286,2,FALSE),"0000"))</f>
        <v>1500</v>
      </c>
      <c r="U20" s="34" t="str">
        <f>IF(ISERROR(VLOOKUP(CONCATENATE($A20,$U$8,U$10),'Tariff Schedule Lookup Table'!$F$8:$G$286,2,FALSE))=TRUE,"",TEXT(VLOOKUP(CONCATENATE($A20,$U$8,U$10),'Tariff Schedule Lookup Table'!$F$8:$G$286,2,FALSE),"0000"))</f>
        <v/>
      </c>
      <c r="V20" s="34" t="str">
        <f>IF(ISERROR(VLOOKUP(CONCATENATE($A20,$U$8,V$10),'Tariff Schedule Lookup Table'!$F$8:$G$286,2,FALSE))=TRUE,"",TEXT(VLOOKUP(CONCATENATE($A20,$U$8,V$10),'Tariff Schedule Lookup Table'!$F$8:$G$286,2,FALSE),"0000"))</f>
        <v/>
      </c>
      <c r="W20" s="34" t="str">
        <f>IF(ISERROR(VLOOKUP(CONCATENATE($A20,$U$8,W$10),'Tariff Schedule Lookup Table'!$F$8:$G$286,2,FALSE))=TRUE,"",TEXT(VLOOKUP(CONCATENATE($A20,$U$8,W$10),'Tariff Schedule Lookup Table'!$F$8:$G$286,2,FALSE),"0000"))</f>
        <v/>
      </c>
      <c r="X20" s="34" t="str">
        <f>IF(ISERROR(VLOOKUP(CONCATENATE($A20,$U$8,X$10),'Tariff Schedule Lookup Table'!$F$8:$G$286,2,FALSE))=TRUE,"",TEXT(VLOOKUP(CONCATENATE($A20,$U$8,X$10),'Tariff Schedule Lookup Table'!$F$8:$G$186,2,FALSE),"0000"))</f>
        <v/>
      </c>
      <c r="Y20" s="6"/>
      <c r="Z20" s="6"/>
      <c r="AA20" s="6"/>
      <c r="AB20" s="6"/>
      <c r="AC20" s="6"/>
    </row>
    <row r="21" spans="1:29" x14ac:dyDescent="0.2">
      <c r="A21" s="6" t="s">
        <v>993</v>
      </c>
      <c r="B21" s="35" t="s">
        <v>2071</v>
      </c>
      <c r="C21" s="197" t="str">
        <f>VLOOKUP(LEFT(B21,7),'Tariff Schedule Lookup Table'!$A$8:$D$186,3,FALSE)</f>
        <v>2x26</v>
      </c>
      <c r="D21" s="199" t="str">
        <f>VLOOKUP(LEFT(B21,7),'Tariff Schedule Lookup Table'!$A$8:$D$186,2,FALSE)</f>
        <v>Fluorescent 2x26</v>
      </c>
      <c r="E21" s="6" t="s">
        <v>996</v>
      </c>
      <c r="F21" s="37">
        <f>VLOOKUP(LEFT(B21,7),'Tariff Schedule Lookup Table'!$A$8:$D$186,4,FALSE)</f>
        <v>64</v>
      </c>
      <c r="G21" s="33">
        <f>VLOOKUP($B21,'Maintenance Costs'!$A$20:$AG$176,32,FALSE)</f>
        <v>100.46765101656581</v>
      </c>
      <c r="H21" s="67">
        <f>IF(VLOOKUP($B21,'Maintenance Costs'!$A$20:$AG$176,33,FALSE)=0,"",VLOOKUP($B21,'Maintenance Costs'!$A$20:$AG$176,33,FALSE))</f>
        <v>31.86425264764004</v>
      </c>
      <c r="I21" s="34" t="str">
        <f>IF(ISERROR(VLOOKUP(CONCATENATE($A21,$I$8,I$10),'Tariff Schedule Lookup Table'!$F$8:$G$286,2,FALSE))=TRUE,"",TEXT(VLOOKUP(CONCATENATE($A21,$I$8,I$10),'Tariff Schedule Lookup Table'!$F$8:$G$286,2,FALSE),"0000"))</f>
        <v>0010</v>
      </c>
      <c r="J21" s="34" t="str">
        <f>IF(ISERROR(VLOOKUP(CONCATENATE($A21,$I$8,J$10),'Tariff Schedule Lookup Table'!$F$8:$G$286,2,FALSE))=TRUE,"",TEXT(VLOOKUP(CONCATENATE($A21,$I$8,J$10),'Tariff Schedule Lookup Table'!$F$8:$G$286,2,FALSE),"0000"))</f>
        <v>0740</v>
      </c>
      <c r="K21" s="34" t="str">
        <f>IF(ISERROR(VLOOKUP(CONCATENATE($A21,$I$8,K$10),'Tariff Schedule Lookup Table'!$F$8:$G$286,2,FALSE))=TRUE,"",TEXT(VLOOKUP(CONCATENATE($A21,$I$8,K$10),'Tariff Schedule Lookup Table'!$F$8:$G$286,2,FALSE),"0000"))</f>
        <v>0820</v>
      </c>
      <c r="L21" s="34" t="str">
        <f>IF(ISERROR(VLOOKUP(CONCATENATE($A21,$I$8,L$10),'Tariff Schedule Lookup Table'!$F$8:$G$286,2,FALSE))=TRUE,"",TEXT(VLOOKUP(CONCATENATE($A21,$I$8,L$10),'Tariff Schedule Lookup Table'!$F$8:$G$286,2,FALSE),"0000"))</f>
        <v>0830</v>
      </c>
      <c r="M21" s="34" t="str">
        <f>IF(ISERROR(VLOOKUP(CONCATENATE($A21,$M$8,M$10),'Tariff Schedule Lookup Table'!$F$8:$G$286,2,FALSE))=TRUE,"",TEXT(VLOOKUP(CONCATENATE($A21,$M$8,M$10),'Tariff Schedule Lookup Table'!$F$8:$G$286,2,FALSE),"0000"))</f>
        <v>0810</v>
      </c>
      <c r="N21" s="34" t="str">
        <f>IF(ISERROR(VLOOKUP(CONCATENATE($A21,$M$8,N$10),'Tariff Schedule Lookup Table'!$F$8:$G$286,2,FALSE))=TRUE,"",TEXT(VLOOKUP(CONCATENATE($A21,$M$8,N$10),'Tariff Schedule Lookup Table'!$F$8:$G$286,2,FALSE),"0000"))</f>
        <v>1260</v>
      </c>
      <c r="O21" s="34" t="str">
        <f>IF(ISERROR(VLOOKUP(CONCATENATE($A21,$M$8,O$10),'Tariff Schedule Lookup Table'!$F$8:$G$286,2,FALSE))=TRUE,"",TEXT(VLOOKUP(CONCATENATE($A21,$M$8,O$10),'Tariff Schedule Lookup Table'!$F$8:$G$286,2,FALSE),"0000"))</f>
        <v/>
      </c>
      <c r="P21" s="34" t="str">
        <f>IF(ISERROR(VLOOKUP(CONCATENATE($A21,$M$8,P$10),'Tariff Schedule Lookup Table'!$F$8:$G$286,2,FALSE))=TRUE,"",TEXT(VLOOKUP(CONCATENATE($A21,$M$8,P$10),'Tariff Schedule Lookup Table'!$F$8:$G$286,2,FALSE),"0000"))</f>
        <v/>
      </c>
      <c r="Q21" s="34" t="str">
        <f>IF(ISERROR(VLOOKUP(CONCATENATE($A21,$Q$8,Q$10),'Tariff Schedule Lookup Table'!$F$8:$G$286,2,FALSE))=TRUE,"",TEXT(VLOOKUP(CONCATENATE($A21,$Q$8,Q$10),'Tariff Schedule Lookup Table'!$F$8:$G$286,2,FALSE),"0000"))</f>
        <v>0990</v>
      </c>
      <c r="R21" s="34" t="str">
        <f>IF(ISERROR(VLOOKUP(CONCATENATE($A21,$Q$8,R$10),'Tariff Schedule Lookup Table'!$F$8:$G$286,2,FALSE))=TRUE,"",TEXT(VLOOKUP(CONCATENATE($A21,$Q$8,R$10),'Tariff Schedule Lookup Table'!$F$8:$G$286,2,FALSE),"0000"))</f>
        <v>1000</v>
      </c>
      <c r="S21" s="34" t="str">
        <f>IF(ISERROR(VLOOKUP(CONCATENATE($A21,$Q$8,S$10),'Tariff Schedule Lookup Table'!$F$8:$G$286,2,FALSE))=TRUE,"",TEXT(VLOOKUP(CONCATENATE($A21,$Q$8,S$10),'Tariff Schedule Lookup Table'!$F$8:$G$286,2,FALSE),"0000"))</f>
        <v>1460</v>
      </c>
      <c r="T21" s="34" t="str">
        <f>IF(ISERROR(VLOOKUP(CONCATENATE($A21,$Q$8,T$10),'Tariff Schedule Lookup Table'!$F$8:$G$286,2,FALSE))=TRUE,"",TEXT(VLOOKUP(CONCATENATE($A21,$Q$8,T$10),'Tariff Schedule Lookup Table'!$F$8:$G$286,2,FALSE),"0000"))</f>
        <v>1500</v>
      </c>
      <c r="U21" s="34" t="str">
        <f>IF(ISERROR(VLOOKUP(CONCATENATE($A21,$U$8,U$10),'Tariff Schedule Lookup Table'!$F$8:$G$286,2,FALSE))=TRUE,"",TEXT(VLOOKUP(CONCATENATE($A21,$U$8,U$10),'Tariff Schedule Lookup Table'!$F$8:$G$286,2,FALSE),"0000"))</f>
        <v/>
      </c>
      <c r="V21" s="34" t="str">
        <f>IF(ISERROR(VLOOKUP(CONCATENATE($A21,$U$8,V$10),'Tariff Schedule Lookup Table'!$F$8:$G$286,2,FALSE))=TRUE,"",TEXT(VLOOKUP(CONCATENATE($A21,$U$8,V$10),'Tariff Schedule Lookup Table'!$F$8:$G$286,2,FALSE),"0000"))</f>
        <v/>
      </c>
      <c r="W21" s="34" t="str">
        <f>IF(ISERROR(VLOOKUP(CONCATENATE($A21,$U$8,W$10),'Tariff Schedule Lookup Table'!$F$8:$G$286,2,FALSE))=TRUE,"",TEXT(VLOOKUP(CONCATENATE($A21,$U$8,W$10),'Tariff Schedule Lookup Table'!$F$8:$G$286,2,FALSE),"0000"))</f>
        <v/>
      </c>
      <c r="X21" s="34" t="str">
        <f>IF(ISERROR(VLOOKUP(CONCATENATE($A21,$U$8,X$10),'Tariff Schedule Lookup Table'!$F$8:$G$286,2,FALSE))=TRUE,"",TEXT(VLOOKUP(CONCATENATE($A21,$U$8,X$10),'Tariff Schedule Lookup Table'!$F$8:$G$186,2,FALSE),"0000"))</f>
        <v/>
      </c>
      <c r="Y21" s="6"/>
      <c r="Z21" s="6"/>
      <c r="AA21" s="6"/>
      <c r="AB21" s="6"/>
      <c r="AC21" s="6"/>
    </row>
    <row r="22" spans="1:29" x14ac:dyDescent="0.2">
      <c r="A22" s="6" t="s">
        <v>993</v>
      </c>
      <c r="B22" s="35" t="s">
        <v>210</v>
      </c>
      <c r="C22" s="197" t="str">
        <f>VLOOKUP(LEFT(B22,7),'Tariff Schedule Lookup Table'!$A$8:$D$186,3,FALSE)</f>
        <v>6x36</v>
      </c>
      <c r="D22" s="199" t="str">
        <f>VLOOKUP(LEFT(B22,7),'Tariff Schedule Lookup Table'!$A$8:$D$186,2,FALSE)</f>
        <v>Fluorescent 6x36</v>
      </c>
      <c r="E22" s="6" t="s">
        <v>996</v>
      </c>
      <c r="F22" s="37">
        <f>VLOOKUP(LEFT(B22,7),'Tariff Schedule Lookup Table'!$A$8:$D$186,4,FALSE)</f>
        <v>192</v>
      </c>
      <c r="G22" s="33">
        <f>VLOOKUP($B22,'Maintenance Costs'!$A$20:$AG$176,32,FALSE)</f>
        <v>100.46765101656581</v>
      </c>
      <c r="H22" s="67">
        <f>IF(VLOOKUP($B22,'Maintenance Costs'!$A$20:$AG$176,33,FALSE)=0,"",VLOOKUP($B22,'Maintenance Costs'!$A$20:$AG$176,33,FALSE))</f>
        <v>31.86425264764004</v>
      </c>
      <c r="I22" s="34" t="str">
        <f>IF(ISERROR(VLOOKUP(CONCATENATE($A22,$I$8,I$10),'Tariff Schedule Lookup Table'!$F$8:$G$286,2,FALSE))=TRUE,"",TEXT(VLOOKUP(CONCATENATE($A22,$I$8,I$10),'Tariff Schedule Lookup Table'!$F$8:$G$286,2,FALSE),"0000"))</f>
        <v>0010</v>
      </c>
      <c r="J22" s="34" t="str">
        <f>IF(ISERROR(VLOOKUP(CONCATENATE($A22,$I$8,J$10),'Tariff Schedule Lookup Table'!$F$8:$G$286,2,FALSE))=TRUE,"",TEXT(VLOOKUP(CONCATENATE($A22,$I$8,J$10),'Tariff Schedule Lookup Table'!$F$8:$G$286,2,FALSE),"0000"))</f>
        <v>0740</v>
      </c>
      <c r="K22" s="34" t="str">
        <f>IF(ISERROR(VLOOKUP(CONCATENATE($A22,$I$8,K$10),'Tariff Schedule Lookup Table'!$F$8:$G$286,2,FALSE))=TRUE,"",TEXT(VLOOKUP(CONCATENATE($A22,$I$8,K$10),'Tariff Schedule Lookup Table'!$F$8:$G$286,2,FALSE),"0000"))</f>
        <v>0820</v>
      </c>
      <c r="L22" s="34" t="str">
        <f>IF(ISERROR(VLOOKUP(CONCATENATE($A22,$I$8,L$10),'Tariff Schedule Lookup Table'!$F$8:$G$286,2,FALSE))=TRUE,"",TEXT(VLOOKUP(CONCATENATE($A22,$I$8,L$10),'Tariff Schedule Lookup Table'!$F$8:$G$286,2,FALSE),"0000"))</f>
        <v>0830</v>
      </c>
      <c r="M22" s="34" t="str">
        <f>IF(ISERROR(VLOOKUP(CONCATENATE($A22,$M$8,M$10),'Tariff Schedule Lookup Table'!$F$8:$G$286,2,FALSE))=TRUE,"",TEXT(VLOOKUP(CONCATENATE($A22,$M$8,M$10),'Tariff Schedule Lookup Table'!$F$8:$G$286,2,FALSE),"0000"))</f>
        <v>0810</v>
      </c>
      <c r="N22" s="34" t="str">
        <f>IF(ISERROR(VLOOKUP(CONCATENATE($A22,$M$8,N$10),'Tariff Schedule Lookup Table'!$F$8:$G$286,2,FALSE))=TRUE,"",TEXT(VLOOKUP(CONCATENATE($A22,$M$8,N$10),'Tariff Schedule Lookup Table'!$F$8:$G$286,2,FALSE),"0000"))</f>
        <v>1260</v>
      </c>
      <c r="O22" s="34" t="str">
        <f>IF(ISERROR(VLOOKUP(CONCATENATE($A22,$M$8,O$10),'Tariff Schedule Lookup Table'!$F$8:$G$286,2,FALSE))=TRUE,"",TEXT(VLOOKUP(CONCATENATE($A22,$M$8,O$10),'Tariff Schedule Lookup Table'!$F$8:$G$286,2,FALSE),"0000"))</f>
        <v/>
      </c>
      <c r="P22" s="34" t="str">
        <f>IF(ISERROR(VLOOKUP(CONCATENATE($A22,$M$8,P$10),'Tariff Schedule Lookup Table'!$F$8:$G$286,2,FALSE))=TRUE,"",TEXT(VLOOKUP(CONCATENATE($A22,$M$8,P$10),'Tariff Schedule Lookup Table'!$F$8:$G$286,2,FALSE),"0000"))</f>
        <v/>
      </c>
      <c r="Q22" s="34" t="str">
        <f>IF(ISERROR(VLOOKUP(CONCATENATE($A22,$Q$8,Q$10),'Tariff Schedule Lookup Table'!$F$8:$G$286,2,FALSE))=TRUE,"",TEXT(VLOOKUP(CONCATENATE($A22,$Q$8,Q$10),'Tariff Schedule Lookup Table'!$F$8:$G$286,2,FALSE),"0000"))</f>
        <v>0990</v>
      </c>
      <c r="R22" s="34" t="str">
        <f>IF(ISERROR(VLOOKUP(CONCATENATE($A22,$Q$8,R$10),'Tariff Schedule Lookup Table'!$F$8:$G$286,2,FALSE))=TRUE,"",TEXT(VLOOKUP(CONCATENATE($A22,$Q$8,R$10),'Tariff Schedule Lookup Table'!$F$8:$G$286,2,FALSE),"0000"))</f>
        <v>1000</v>
      </c>
      <c r="S22" s="34" t="str">
        <f>IF(ISERROR(VLOOKUP(CONCATENATE($A22,$Q$8,S$10),'Tariff Schedule Lookup Table'!$F$8:$G$286,2,FALSE))=TRUE,"",TEXT(VLOOKUP(CONCATENATE($A22,$Q$8,S$10),'Tariff Schedule Lookup Table'!$F$8:$G$286,2,FALSE),"0000"))</f>
        <v>1460</v>
      </c>
      <c r="T22" s="34" t="str">
        <f>IF(ISERROR(VLOOKUP(CONCATENATE($A22,$Q$8,T$10),'Tariff Schedule Lookup Table'!$F$8:$G$286,2,FALSE))=TRUE,"",TEXT(VLOOKUP(CONCATENATE($A22,$Q$8,T$10),'Tariff Schedule Lookup Table'!$F$8:$G$286,2,FALSE),"0000"))</f>
        <v>1500</v>
      </c>
      <c r="U22" s="34" t="str">
        <f>IF(ISERROR(VLOOKUP(CONCATENATE($A22,$U$8,U$10),'Tariff Schedule Lookup Table'!$F$8:$G$286,2,FALSE))=TRUE,"",TEXT(VLOOKUP(CONCATENATE($A22,$U$8,U$10),'Tariff Schedule Lookup Table'!$F$8:$G$286,2,FALSE),"0000"))</f>
        <v/>
      </c>
      <c r="V22" s="34" t="str">
        <f>IF(ISERROR(VLOOKUP(CONCATENATE($A22,$U$8,V$10),'Tariff Schedule Lookup Table'!$F$8:$G$286,2,FALSE))=TRUE,"",TEXT(VLOOKUP(CONCATENATE($A22,$U$8,V$10),'Tariff Schedule Lookup Table'!$F$8:$G$286,2,FALSE),"0000"))</f>
        <v/>
      </c>
      <c r="W22" s="34" t="str">
        <f>IF(ISERROR(VLOOKUP(CONCATENATE($A22,$U$8,W$10),'Tariff Schedule Lookup Table'!$F$8:$G$286,2,FALSE))=TRUE,"",TEXT(VLOOKUP(CONCATENATE($A22,$U$8,W$10),'Tariff Schedule Lookup Table'!$F$8:$G$286,2,FALSE),"0000"))</f>
        <v/>
      </c>
      <c r="X22" s="34" t="str">
        <f>IF(ISERROR(VLOOKUP(CONCATENATE($A22,$U$8,X$10),'Tariff Schedule Lookup Table'!$F$8:$G$286,2,FALSE))=TRUE,"",TEXT(VLOOKUP(CONCATENATE($A22,$U$8,X$10),'Tariff Schedule Lookup Table'!$F$8:$G$186,2,FALSE),"0000"))</f>
        <v/>
      </c>
      <c r="Y22" s="6"/>
      <c r="Z22" s="6"/>
      <c r="AA22" s="6"/>
      <c r="AB22" s="6"/>
      <c r="AC22" s="6"/>
    </row>
    <row r="23" spans="1:29" x14ac:dyDescent="0.2">
      <c r="A23" s="6" t="s">
        <v>993</v>
      </c>
      <c r="B23" s="35" t="s">
        <v>2072</v>
      </c>
      <c r="C23" s="197">
        <f>VLOOKUP(LEFT(B23,7),'Tariff Schedule Lookup Table'!$A$8:$D$186,3,FALSE)</f>
        <v>40</v>
      </c>
      <c r="D23" s="199" t="str">
        <f>VLOOKUP(LEFT(B23,7),'Tariff Schedule Lookup Table'!$A$8:$D$186,2,FALSE)</f>
        <v>Fluorescent 40</v>
      </c>
      <c r="E23" s="6" t="s">
        <v>996</v>
      </c>
      <c r="F23" s="37">
        <f>VLOOKUP(LEFT(B23,7),'Tariff Schedule Lookup Table'!$A$8:$D$186,4,FALSE)</f>
        <v>50</v>
      </c>
      <c r="G23" s="33">
        <f>VLOOKUP($B23,'Maintenance Costs'!$A$20:$AG$176,32,FALSE)</f>
        <v>94.619982708265809</v>
      </c>
      <c r="H23" s="67">
        <f>IF(VLOOKUP($B23,'Maintenance Costs'!$A$20:$AG$176,33,FALSE)=0,"",VLOOKUP($B23,'Maintenance Costs'!$A$20:$AG$176,33,FALSE))</f>
        <v>25.940433004400706</v>
      </c>
      <c r="I23" s="34" t="str">
        <f>IF(ISERROR(VLOOKUP(CONCATENATE($A23,$I$8,I$10),'Tariff Schedule Lookup Table'!$F$8:$G$286,2,FALSE))=TRUE,"",TEXT(VLOOKUP(CONCATENATE($A23,$I$8,I$10),'Tariff Schedule Lookup Table'!$F$8:$G$286,2,FALSE),"0000"))</f>
        <v>0010</v>
      </c>
      <c r="J23" s="34" t="str">
        <f>IF(ISERROR(VLOOKUP(CONCATENATE($A23,$I$8,J$10),'Tariff Schedule Lookup Table'!$F$8:$G$286,2,FALSE))=TRUE,"",TEXT(VLOOKUP(CONCATENATE($A23,$I$8,J$10),'Tariff Schedule Lookup Table'!$F$8:$G$286,2,FALSE),"0000"))</f>
        <v>0740</v>
      </c>
      <c r="K23" s="34" t="str">
        <f>IF(ISERROR(VLOOKUP(CONCATENATE($A23,$I$8,K$10),'Tariff Schedule Lookup Table'!$F$8:$G$286,2,FALSE))=TRUE,"",TEXT(VLOOKUP(CONCATENATE($A23,$I$8,K$10),'Tariff Schedule Lookup Table'!$F$8:$G$286,2,FALSE),"0000"))</f>
        <v>0820</v>
      </c>
      <c r="L23" s="34" t="str">
        <f>IF(ISERROR(VLOOKUP(CONCATENATE($A23,$I$8,L$10),'Tariff Schedule Lookup Table'!$F$8:$G$286,2,FALSE))=TRUE,"",TEXT(VLOOKUP(CONCATENATE($A23,$I$8,L$10),'Tariff Schedule Lookup Table'!$F$8:$G$286,2,FALSE),"0000"))</f>
        <v>0830</v>
      </c>
      <c r="M23" s="34" t="str">
        <f>IF(ISERROR(VLOOKUP(CONCATENATE($A23,$M$8,M$10),'Tariff Schedule Lookup Table'!$F$8:$G$286,2,FALSE))=TRUE,"",TEXT(VLOOKUP(CONCATENATE($A23,$M$8,M$10),'Tariff Schedule Lookup Table'!$F$8:$G$286,2,FALSE),"0000"))</f>
        <v>0810</v>
      </c>
      <c r="N23" s="34" t="str">
        <f>IF(ISERROR(VLOOKUP(CONCATENATE($A23,$M$8,N$10),'Tariff Schedule Lookup Table'!$F$8:$G$286,2,FALSE))=TRUE,"",TEXT(VLOOKUP(CONCATENATE($A23,$M$8,N$10),'Tariff Schedule Lookup Table'!$F$8:$G$286,2,FALSE),"0000"))</f>
        <v>1260</v>
      </c>
      <c r="O23" s="34" t="str">
        <f>IF(ISERROR(VLOOKUP(CONCATENATE($A23,$M$8,O$10),'Tariff Schedule Lookup Table'!$F$8:$G$286,2,FALSE))=TRUE,"",TEXT(VLOOKUP(CONCATENATE($A23,$M$8,O$10),'Tariff Schedule Lookup Table'!$F$8:$G$286,2,FALSE),"0000"))</f>
        <v/>
      </c>
      <c r="P23" s="34" t="str">
        <f>IF(ISERROR(VLOOKUP(CONCATENATE($A23,$M$8,P$10),'Tariff Schedule Lookup Table'!$F$8:$G$286,2,FALSE))=TRUE,"",TEXT(VLOOKUP(CONCATENATE($A23,$M$8,P$10),'Tariff Schedule Lookup Table'!$F$8:$G$286,2,FALSE),"0000"))</f>
        <v/>
      </c>
      <c r="Q23" s="34" t="str">
        <f>IF(ISERROR(VLOOKUP(CONCATENATE($A23,$Q$8,Q$10),'Tariff Schedule Lookup Table'!$F$8:$G$286,2,FALSE))=TRUE,"",TEXT(VLOOKUP(CONCATENATE($A23,$Q$8,Q$10),'Tariff Schedule Lookup Table'!$F$8:$G$286,2,FALSE),"0000"))</f>
        <v>0990</v>
      </c>
      <c r="R23" s="34" t="str">
        <f>IF(ISERROR(VLOOKUP(CONCATENATE($A23,$Q$8,R$10),'Tariff Schedule Lookup Table'!$F$8:$G$286,2,FALSE))=TRUE,"",TEXT(VLOOKUP(CONCATENATE($A23,$Q$8,R$10),'Tariff Schedule Lookup Table'!$F$8:$G$286,2,FALSE),"0000"))</f>
        <v>1000</v>
      </c>
      <c r="S23" s="34" t="str">
        <f>IF(ISERROR(VLOOKUP(CONCATENATE($A23,$Q$8,S$10),'Tariff Schedule Lookup Table'!$F$8:$G$286,2,FALSE))=TRUE,"",TEXT(VLOOKUP(CONCATENATE($A23,$Q$8,S$10),'Tariff Schedule Lookup Table'!$F$8:$G$286,2,FALSE),"0000"))</f>
        <v>1460</v>
      </c>
      <c r="T23" s="34" t="str">
        <f>IF(ISERROR(VLOOKUP(CONCATENATE($A23,$Q$8,T$10),'Tariff Schedule Lookup Table'!$F$8:$G$286,2,FALSE))=TRUE,"",TEXT(VLOOKUP(CONCATENATE($A23,$Q$8,T$10),'Tariff Schedule Lookup Table'!$F$8:$G$286,2,FALSE),"0000"))</f>
        <v>1500</v>
      </c>
      <c r="U23" s="34" t="str">
        <f>IF(ISERROR(VLOOKUP(CONCATENATE($A23,$U$8,U$10),'Tariff Schedule Lookup Table'!$F$8:$G$286,2,FALSE))=TRUE,"",TEXT(VLOOKUP(CONCATENATE($A23,$U$8,U$10),'Tariff Schedule Lookup Table'!$F$8:$G$286,2,FALSE),"0000"))</f>
        <v/>
      </c>
      <c r="V23" s="34" t="str">
        <f>IF(ISERROR(VLOOKUP(CONCATENATE($A23,$U$8,V$10),'Tariff Schedule Lookup Table'!$F$8:$G$286,2,FALSE))=TRUE,"",TEXT(VLOOKUP(CONCATENATE($A23,$U$8,V$10),'Tariff Schedule Lookup Table'!$F$8:$G$286,2,FALSE),"0000"))</f>
        <v/>
      </c>
      <c r="W23" s="34" t="str">
        <f>IF(ISERROR(VLOOKUP(CONCATENATE($A23,$U$8,W$10),'Tariff Schedule Lookup Table'!$F$8:$G$286,2,FALSE))=TRUE,"",TEXT(VLOOKUP(CONCATENATE($A23,$U$8,W$10),'Tariff Schedule Lookup Table'!$F$8:$G$286,2,FALSE),"0000"))</f>
        <v/>
      </c>
      <c r="X23" s="34" t="str">
        <f>IF(ISERROR(VLOOKUP(CONCATENATE($A23,$U$8,X$10),'Tariff Schedule Lookup Table'!$F$8:$G$286,2,FALSE))=TRUE,"",TEXT(VLOOKUP(CONCATENATE($A23,$U$8,X$10),'Tariff Schedule Lookup Table'!$F$8:$G$186,2,FALSE),"0000"))</f>
        <v/>
      </c>
      <c r="Y23" s="6"/>
      <c r="Z23" s="6"/>
      <c r="AA23" s="6"/>
      <c r="AB23" s="6"/>
      <c r="AC23" s="6"/>
    </row>
    <row r="24" spans="1:29" x14ac:dyDescent="0.2">
      <c r="A24" s="6" t="s">
        <v>993</v>
      </c>
      <c r="B24" s="35" t="s">
        <v>2073</v>
      </c>
      <c r="C24" s="197" t="str">
        <f>VLOOKUP(LEFT(B24,7),'Tariff Schedule Lookup Table'!$A$8:$D$186,3,FALSE)</f>
        <v>2x40</v>
      </c>
      <c r="D24" s="199" t="str">
        <f>VLOOKUP(LEFT(B24,7),'Tariff Schedule Lookup Table'!$A$8:$D$186,2,FALSE)</f>
        <v>Fluorescent 2x40</v>
      </c>
      <c r="E24" s="6" t="s">
        <v>996</v>
      </c>
      <c r="F24" s="37">
        <f>VLOOKUP(LEFT(B24,7),'Tariff Schedule Lookup Table'!$A$8:$D$186,4,FALSE)</f>
        <v>100</v>
      </c>
      <c r="G24" s="33">
        <f>VLOOKUP($B24,'Maintenance Costs'!$A$20:$AG$176,32,FALSE)</f>
        <v>98.624388842565807</v>
      </c>
      <c r="H24" s="67">
        <f>IF(VLOOKUP($B24,'Maintenance Costs'!$A$20:$AG$176,33,FALSE)=0,"",VLOOKUP($B24,'Maintenance Costs'!$A$20:$AG$176,33,FALSE))</f>
        <v>29.991879471217374</v>
      </c>
      <c r="I24" s="34" t="str">
        <f>IF(ISERROR(VLOOKUP(CONCATENATE($A24,$I$8,I$10),'Tariff Schedule Lookup Table'!$F$8:$G$286,2,FALSE))=TRUE,"",TEXT(VLOOKUP(CONCATENATE($A24,$I$8,I$10),'Tariff Schedule Lookup Table'!$F$8:$G$286,2,FALSE),"0000"))</f>
        <v>0010</v>
      </c>
      <c r="J24" s="34" t="str">
        <f>IF(ISERROR(VLOOKUP(CONCATENATE($A24,$I$8,J$10),'Tariff Schedule Lookup Table'!$F$8:$G$286,2,FALSE))=TRUE,"",TEXT(VLOOKUP(CONCATENATE($A24,$I$8,J$10),'Tariff Schedule Lookup Table'!$F$8:$G$286,2,FALSE),"0000"))</f>
        <v>0740</v>
      </c>
      <c r="K24" s="34" t="str">
        <f>IF(ISERROR(VLOOKUP(CONCATENATE($A24,$I$8,K$10),'Tariff Schedule Lookup Table'!$F$8:$G$286,2,FALSE))=TRUE,"",TEXT(VLOOKUP(CONCATENATE($A24,$I$8,K$10),'Tariff Schedule Lookup Table'!$F$8:$G$286,2,FALSE),"0000"))</f>
        <v>0820</v>
      </c>
      <c r="L24" s="34" t="str">
        <f>IF(ISERROR(VLOOKUP(CONCATENATE($A24,$I$8,L$10),'Tariff Schedule Lookup Table'!$F$8:$G$286,2,FALSE))=TRUE,"",TEXT(VLOOKUP(CONCATENATE($A24,$I$8,L$10),'Tariff Schedule Lookup Table'!$F$8:$G$286,2,FALSE),"0000"))</f>
        <v>0830</v>
      </c>
      <c r="M24" s="34" t="str">
        <f>IF(ISERROR(VLOOKUP(CONCATENATE($A24,$M$8,M$10),'Tariff Schedule Lookup Table'!$F$8:$G$286,2,FALSE))=TRUE,"",TEXT(VLOOKUP(CONCATENATE($A24,$M$8,M$10),'Tariff Schedule Lookup Table'!$F$8:$G$286,2,FALSE),"0000"))</f>
        <v>0810</v>
      </c>
      <c r="N24" s="34" t="str">
        <f>IF(ISERROR(VLOOKUP(CONCATENATE($A24,$M$8,N$10),'Tariff Schedule Lookup Table'!$F$8:$G$286,2,FALSE))=TRUE,"",TEXT(VLOOKUP(CONCATENATE($A24,$M$8,N$10),'Tariff Schedule Lookup Table'!$F$8:$G$286,2,FALSE),"0000"))</f>
        <v>1260</v>
      </c>
      <c r="O24" s="34" t="str">
        <f>IF(ISERROR(VLOOKUP(CONCATENATE($A24,$M$8,O$10),'Tariff Schedule Lookup Table'!$F$8:$G$286,2,FALSE))=TRUE,"",TEXT(VLOOKUP(CONCATENATE($A24,$M$8,O$10),'Tariff Schedule Lookup Table'!$F$8:$G$286,2,FALSE),"0000"))</f>
        <v/>
      </c>
      <c r="P24" s="34" t="str">
        <f>IF(ISERROR(VLOOKUP(CONCATENATE($A24,$M$8,P$10),'Tariff Schedule Lookup Table'!$F$8:$G$286,2,FALSE))=TRUE,"",TEXT(VLOOKUP(CONCATENATE($A24,$M$8,P$10),'Tariff Schedule Lookup Table'!$F$8:$G$286,2,FALSE),"0000"))</f>
        <v/>
      </c>
      <c r="Q24" s="34" t="str">
        <f>IF(ISERROR(VLOOKUP(CONCATENATE($A24,$Q$8,Q$10),'Tariff Schedule Lookup Table'!$F$8:$G$286,2,FALSE))=TRUE,"",TEXT(VLOOKUP(CONCATENATE($A24,$Q$8,Q$10),'Tariff Schedule Lookup Table'!$F$8:$G$286,2,FALSE),"0000"))</f>
        <v>0990</v>
      </c>
      <c r="R24" s="34" t="str">
        <f>IF(ISERROR(VLOOKUP(CONCATENATE($A24,$Q$8,R$10),'Tariff Schedule Lookup Table'!$F$8:$G$286,2,FALSE))=TRUE,"",TEXT(VLOOKUP(CONCATENATE($A24,$Q$8,R$10),'Tariff Schedule Lookup Table'!$F$8:$G$286,2,FALSE),"0000"))</f>
        <v>1000</v>
      </c>
      <c r="S24" s="34" t="str">
        <f>IF(ISERROR(VLOOKUP(CONCATENATE($A24,$Q$8,S$10),'Tariff Schedule Lookup Table'!$F$8:$G$286,2,FALSE))=TRUE,"",TEXT(VLOOKUP(CONCATENATE($A24,$Q$8,S$10),'Tariff Schedule Lookup Table'!$F$8:$G$286,2,FALSE),"0000"))</f>
        <v>1460</v>
      </c>
      <c r="T24" s="34" t="str">
        <f>IF(ISERROR(VLOOKUP(CONCATENATE($A24,$Q$8,T$10),'Tariff Schedule Lookup Table'!$F$8:$G$286,2,FALSE))=TRUE,"",TEXT(VLOOKUP(CONCATENATE($A24,$Q$8,T$10),'Tariff Schedule Lookup Table'!$F$8:$G$286,2,FALSE),"0000"))</f>
        <v>1500</v>
      </c>
      <c r="U24" s="34" t="str">
        <f>IF(ISERROR(VLOOKUP(CONCATENATE($A24,$U$8,U$10),'Tariff Schedule Lookup Table'!$F$8:$G$286,2,FALSE))=TRUE,"",TEXT(VLOOKUP(CONCATENATE($A24,$U$8,U$10),'Tariff Schedule Lookup Table'!$F$8:$G$286,2,FALSE),"0000"))</f>
        <v/>
      </c>
      <c r="V24" s="34" t="str">
        <f>IF(ISERROR(VLOOKUP(CONCATENATE($A24,$U$8,V$10),'Tariff Schedule Lookup Table'!$F$8:$G$286,2,FALSE))=TRUE,"",TEXT(VLOOKUP(CONCATENATE($A24,$U$8,V$10),'Tariff Schedule Lookup Table'!$F$8:$G$286,2,FALSE),"0000"))</f>
        <v/>
      </c>
      <c r="W24" s="34" t="str">
        <f>IF(ISERROR(VLOOKUP(CONCATENATE($A24,$U$8,W$10),'Tariff Schedule Lookup Table'!$F$8:$G$286,2,FALSE))=TRUE,"",TEXT(VLOOKUP(CONCATENATE($A24,$U$8,W$10),'Tariff Schedule Lookup Table'!$F$8:$G$286,2,FALSE),"0000"))</f>
        <v/>
      </c>
      <c r="X24" s="34" t="str">
        <f>IF(ISERROR(VLOOKUP(CONCATENATE($A24,$U$8,X$10),'Tariff Schedule Lookup Table'!$F$8:$G$286,2,FALSE))=TRUE,"",TEXT(VLOOKUP(CONCATENATE($A24,$U$8,X$10),'Tariff Schedule Lookup Table'!$F$8:$G$186,2,FALSE),"0000"))</f>
        <v/>
      </c>
      <c r="Y24" s="6"/>
      <c r="Z24" s="6"/>
      <c r="AA24" s="6"/>
      <c r="AB24" s="6"/>
      <c r="AC24" s="6"/>
    </row>
    <row r="25" spans="1:29" x14ac:dyDescent="0.2">
      <c r="A25" s="6" t="s">
        <v>993</v>
      </c>
      <c r="B25" s="35" t="s">
        <v>2074</v>
      </c>
      <c r="C25" s="197" t="str">
        <f>VLOOKUP(LEFT(B25,7),'Tariff Schedule Lookup Table'!$A$8:$D$186,3,FALSE)</f>
        <v>3x40</v>
      </c>
      <c r="D25" s="199" t="str">
        <f>VLOOKUP(LEFT(B25,7),'Tariff Schedule Lookup Table'!$A$8:$D$186,2,FALSE)</f>
        <v>Fluorescent 3x40</v>
      </c>
      <c r="E25" s="6" t="s">
        <v>996</v>
      </c>
      <c r="F25" s="37">
        <f>VLOOKUP(LEFT(B25,7),'Tariff Schedule Lookup Table'!$A$8:$D$186,4,FALSE)</f>
        <v>150</v>
      </c>
      <c r="G25" s="33">
        <f>VLOOKUP($B25,'Maintenance Costs'!$A$20:$AG$176,32,FALSE)</f>
        <v>102.62879497686581</v>
      </c>
      <c r="H25" s="67">
        <f>IF(VLOOKUP($B25,'Maintenance Costs'!$A$20:$AG$176,33,FALSE)=0,"",VLOOKUP($B25,'Maintenance Costs'!$A$20:$AG$176,33,FALSE))</f>
        <v>34.043325938034037</v>
      </c>
      <c r="I25" s="34" t="str">
        <f>IF(ISERROR(VLOOKUP(CONCATENATE($A25,$I$8,I$10),'Tariff Schedule Lookup Table'!$F$8:$G$286,2,FALSE))=TRUE,"",TEXT(VLOOKUP(CONCATENATE($A25,$I$8,I$10),'Tariff Schedule Lookup Table'!$F$8:$G$286,2,FALSE),"0000"))</f>
        <v>0010</v>
      </c>
      <c r="J25" s="34" t="str">
        <f>IF(ISERROR(VLOOKUP(CONCATENATE($A25,$I$8,J$10),'Tariff Schedule Lookup Table'!$F$8:$G$286,2,FALSE))=TRUE,"",TEXT(VLOOKUP(CONCATENATE($A25,$I$8,J$10),'Tariff Schedule Lookup Table'!$F$8:$G$286,2,FALSE),"0000"))</f>
        <v>0740</v>
      </c>
      <c r="K25" s="34" t="str">
        <f>IF(ISERROR(VLOOKUP(CONCATENATE($A25,$I$8,K$10),'Tariff Schedule Lookup Table'!$F$8:$G$286,2,FALSE))=TRUE,"",TEXT(VLOOKUP(CONCATENATE($A25,$I$8,K$10),'Tariff Schedule Lookup Table'!$F$8:$G$286,2,FALSE),"0000"))</f>
        <v>0820</v>
      </c>
      <c r="L25" s="34" t="str">
        <f>IF(ISERROR(VLOOKUP(CONCATENATE($A25,$I$8,L$10),'Tariff Schedule Lookup Table'!$F$8:$G$286,2,FALSE))=TRUE,"",TEXT(VLOOKUP(CONCATENATE($A25,$I$8,L$10),'Tariff Schedule Lookup Table'!$F$8:$G$286,2,FALSE),"0000"))</f>
        <v>0830</v>
      </c>
      <c r="M25" s="34" t="str">
        <f>IF(ISERROR(VLOOKUP(CONCATENATE($A25,$M$8,M$10),'Tariff Schedule Lookup Table'!$F$8:$G$286,2,FALSE))=TRUE,"",TEXT(VLOOKUP(CONCATENATE($A25,$M$8,M$10),'Tariff Schedule Lookup Table'!$F$8:$G$286,2,FALSE),"0000"))</f>
        <v>0810</v>
      </c>
      <c r="N25" s="34" t="str">
        <f>IF(ISERROR(VLOOKUP(CONCATENATE($A25,$M$8,N$10),'Tariff Schedule Lookup Table'!$F$8:$G$286,2,FALSE))=TRUE,"",TEXT(VLOOKUP(CONCATENATE($A25,$M$8,N$10),'Tariff Schedule Lookup Table'!$F$8:$G$286,2,FALSE),"0000"))</f>
        <v>1260</v>
      </c>
      <c r="O25" s="34" t="str">
        <f>IF(ISERROR(VLOOKUP(CONCATENATE($A25,$M$8,O$10),'Tariff Schedule Lookup Table'!$F$8:$G$286,2,FALSE))=TRUE,"",TEXT(VLOOKUP(CONCATENATE($A25,$M$8,O$10),'Tariff Schedule Lookup Table'!$F$8:$G$286,2,FALSE),"0000"))</f>
        <v/>
      </c>
      <c r="P25" s="34" t="str">
        <f>IF(ISERROR(VLOOKUP(CONCATENATE($A25,$M$8,P$10),'Tariff Schedule Lookup Table'!$F$8:$G$286,2,FALSE))=TRUE,"",TEXT(VLOOKUP(CONCATENATE($A25,$M$8,P$10),'Tariff Schedule Lookup Table'!$F$8:$G$286,2,FALSE),"0000"))</f>
        <v/>
      </c>
      <c r="Q25" s="34" t="str">
        <f>IF(ISERROR(VLOOKUP(CONCATENATE($A25,$Q$8,Q$10),'Tariff Schedule Lookup Table'!$F$8:$G$286,2,FALSE))=TRUE,"",TEXT(VLOOKUP(CONCATENATE($A25,$Q$8,Q$10),'Tariff Schedule Lookup Table'!$F$8:$G$286,2,FALSE),"0000"))</f>
        <v>0990</v>
      </c>
      <c r="R25" s="34" t="str">
        <f>IF(ISERROR(VLOOKUP(CONCATENATE($A25,$Q$8,R$10),'Tariff Schedule Lookup Table'!$F$8:$G$286,2,FALSE))=TRUE,"",TEXT(VLOOKUP(CONCATENATE($A25,$Q$8,R$10),'Tariff Schedule Lookup Table'!$F$8:$G$286,2,FALSE),"0000"))</f>
        <v>1000</v>
      </c>
      <c r="S25" s="34" t="str">
        <f>IF(ISERROR(VLOOKUP(CONCATENATE($A25,$Q$8,S$10),'Tariff Schedule Lookup Table'!$F$8:$G$286,2,FALSE))=TRUE,"",TEXT(VLOOKUP(CONCATENATE($A25,$Q$8,S$10),'Tariff Schedule Lookup Table'!$F$8:$G$286,2,FALSE),"0000"))</f>
        <v>1460</v>
      </c>
      <c r="T25" s="34" t="str">
        <f>IF(ISERROR(VLOOKUP(CONCATENATE($A25,$Q$8,T$10),'Tariff Schedule Lookup Table'!$F$8:$G$286,2,FALSE))=TRUE,"",TEXT(VLOOKUP(CONCATENATE($A25,$Q$8,T$10),'Tariff Schedule Lookup Table'!$F$8:$G$286,2,FALSE),"0000"))</f>
        <v>1500</v>
      </c>
      <c r="U25" s="34" t="str">
        <f>IF(ISERROR(VLOOKUP(CONCATENATE($A25,$U$8,U$10),'Tariff Schedule Lookup Table'!$F$8:$G$286,2,FALSE))=TRUE,"",TEXT(VLOOKUP(CONCATENATE($A25,$U$8,U$10),'Tariff Schedule Lookup Table'!$F$8:$G$286,2,FALSE),"0000"))</f>
        <v/>
      </c>
      <c r="V25" s="34" t="str">
        <f>IF(ISERROR(VLOOKUP(CONCATENATE($A25,$U$8,V$10),'Tariff Schedule Lookup Table'!$F$8:$G$286,2,FALSE))=TRUE,"",TEXT(VLOOKUP(CONCATENATE($A25,$U$8,V$10),'Tariff Schedule Lookup Table'!$F$8:$G$286,2,FALSE),"0000"))</f>
        <v/>
      </c>
      <c r="W25" s="34" t="str">
        <f>IF(ISERROR(VLOOKUP(CONCATENATE($A25,$U$8,W$10),'Tariff Schedule Lookup Table'!$F$8:$G$286,2,FALSE))=TRUE,"",TEXT(VLOOKUP(CONCATENATE($A25,$U$8,W$10),'Tariff Schedule Lookup Table'!$F$8:$G$286,2,FALSE),"0000"))</f>
        <v/>
      </c>
      <c r="X25" s="34" t="str">
        <f>IF(ISERROR(VLOOKUP(CONCATENATE($A25,$U$8,X$10),'Tariff Schedule Lookup Table'!$F$8:$G$286,2,FALSE))=TRUE,"",TEXT(VLOOKUP(CONCATENATE($A25,$U$8,X$10),'Tariff Schedule Lookup Table'!$F$8:$G$186,2,FALSE),"0000"))</f>
        <v/>
      </c>
      <c r="Y25" s="6"/>
      <c r="Z25" s="6"/>
      <c r="AA25" s="6"/>
      <c r="AB25" s="6"/>
      <c r="AC25" s="6"/>
    </row>
    <row r="26" spans="1:29" x14ac:dyDescent="0.2">
      <c r="A26" s="6" t="s">
        <v>993</v>
      </c>
      <c r="B26" s="35" t="s">
        <v>2075</v>
      </c>
      <c r="C26" s="197" t="str">
        <f>VLOOKUP(LEFT(B26,7),'Tariff Schedule Lookup Table'!$A$8:$D$186,3,FALSE)</f>
        <v>4x40</v>
      </c>
      <c r="D26" s="199" t="str">
        <f>VLOOKUP(LEFT(B26,7),'Tariff Schedule Lookup Table'!$A$8:$D$186,2,FALSE)</f>
        <v>Fluorescent 4x40</v>
      </c>
      <c r="E26" s="6" t="s">
        <v>996</v>
      </c>
      <c r="F26" s="37">
        <f>VLOOKUP(LEFT(B26,7),'Tariff Schedule Lookup Table'!$A$8:$D$186,4,FALSE)</f>
        <v>200</v>
      </c>
      <c r="G26" s="33">
        <f>VLOOKUP($B26,'Maintenance Costs'!$A$20:$AG$176,32,FALSE)</f>
        <v>106.6332011111658</v>
      </c>
      <c r="H26" s="67">
        <f>IF(VLOOKUP($B26,'Maintenance Costs'!$A$20:$AG$176,33,FALSE)=0,"",VLOOKUP($B26,'Maintenance Costs'!$A$20:$AG$176,33,FALSE))</f>
        <v>38.094772404850701</v>
      </c>
      <c r="I26" s="34" t="str">
        <f>IF(ISERROR(VLOOKUP(CONCATENATE($A26,$I$8,I$10),'Tariff Schedule Lookup Table'!$F$8:$G$286,2,FALSE))=TRUE,"",TEXT(VLOOKUP(CONCATENATE($A26,$I$8,I$10),'Tariff Schedule Lookup Table'!$F$8:$G$286,2,FALSE),"0000"))</f>
        <v>0010</v>
      </c>
      <c r="J26" s="34" t="str">
        <f>IF(ISERROR(VLOOKUP(CONCATENATE($A26,$I$8,J$10),'Tariff Schedule Lookup Table'!$F$8:$G$286,2,FALSE))=TRUE,"",TEXT(VLOOKUP(CONCATENATE($A26,$I$8,J$10),'Tariff Schedule Lookup Table'!$F$8:$G$286,2,FALSE),"0000"))</f>
        <v>0740</v>
      </c>
      <c r="K26" s="34" t="str">
        <f>IF(ISERROR(VLOOKUP(CONCATENATE($A26,$I$8,K$10),'Tariff Schedule Lookup Table'!$F$8:$G$286,2,FALSE))=TRUE,"",TEXT(VLOOKUP(CONCATENATE($A26,$I$8,K$10),'Tariff Schedule Lookup Table'!$F$8:$G$286,2,FALSE),"0000"))</f>
        <v>0820</v>
      </c>
      <c r="L26" s="34" t="str">
        <f>IF(ISERROR(VLOOKUP(CONCATENATE($A26,$I$8,L$10),'Tariff Schedule Lookup Table'!$F$8:$G$286,2,FALSE))=TRUE,"",TEXT(VLOOKUP(CONCATENATE($A26,$I$8,L$10),'Tariff Schedule Lookup Table'!$F$8:$G$286,2,FALSE),"0000"))</f>
        <v>0830</v>
      </c>
      <c r="M26" s="34" t="str">
        <f>IF(ISERROR(VLOOKUP(CONCATENATE($A26,$M$8,M$10),'Tariff Schedule Lookup Table'!$F$8:$G$286,2,FALSE))=TRUE,"",TEXT(VLOOKUP(CONCATENATE($A26,$M$8,M$10),'Tariff Schedule Lookup Table'!$F$8:$G$286,2,FALSE),"0000"))</f>
        <v>0810</v>
      </c>
      <c r="N26" s="34" t="str">
        <f>IF(ISERROR(VLOOKUP(CONCATENATE($A26,$M$8,N$10),'Tariff Schedule Lookup Table'!$F$8:$G$286,2,FALSE))=TRUE,"",TEXT(VLOOKUP(CONCATENATE($A26,$M$8,N$10),'Tariff Schedule Lookup Table'!$F$8:$G$286,2,FALSE),"0000"))</f>
        <v>1260</v>
      </c>
      <c r="O26" s="34" t="str">
        <f>IF(ISERROR(VLOOKUP(CONCATENATE($A26,$M$8,O$10),'Tariff Schedule Lookup Table'!$F$8:$G$286,2,FALSE))=TRUE,"",TEXT(VLOOKUP(CONCATENATE($A26,$M$8,O$10),'Tariff Schedule Lookup Table'!$F$8:$G$286,2,FALSE),"0000"))</f>
        <v/>
      </c>
      <c r="P26" s="34" t="str">
        <f>IF(ISERROR(VLOOKUP(CONCATENATE($A26,$M$8,P$10),'Tariff Schedule Lookup Table'!$F$8:$G$286,2,FALSE))=TRUE,"",TEXT(VLOOKUP(CONCATENATE($A26,$M$8,P$10),'Tariff Schedule Lookup Table'!$F$8:$G$286,2,FALSE),"0000"))</f>
        <v/>
      </c>
      <c r="Q26" s="34" t="str">
        <f>IF(ISERROR(VLOOKUP(CONCATENATE($A26,$Q$8,Q$10),'Tariff Schedule Lookup Table'!$F$8:$G$286,2,FALSE))=TRUE,"",TEXT(VLOOKUP(CONCATENATE($A26,$Q$8,Q$10),'Tariff Schedule Lookup Table'!$F$8:$G$286,2,FALSE),"0000"))</f>
        <v>0990</v>
      </c>
      <c r="R26" s="34" t="str">
        <f>IF(ISERROR(VLOOKUP(CONCATENATE($A26,$Q$8,R$10),'Tariff Schedule Lookup Table'!$F$8:$G$286,2,FALSE))=TRUE,"",TEXT(VLOOKUP(CONCATENATE($A26,$Q$8,R$10),'Tariff Schedule Lookup Table'!$F$8:$G$286,2,FALSE),"0000"))</f>
        <v>1000</v>
      </c>
      <c r="S26" s="34" t="str">
        <f>IF(ISERROR(VLOOKUP(CONCATENATE($A26,$Q$8,S$10),'Tariff Schedule Lookup Table'!$F$8:$G$286,2,FALSE))=TRUE,"",TEXT(VLOOKUP(CONCATENATE($A26,$Q$8,S$10),'Tariff Schedule Lookup Table'!$F$8:$G$286,2,FALSE),"0000"))</f>
        <v>1460</v>
      </c>
      <c r="T26" s="34" t="str">
        <f>IF(ISERROR(VLOOKUP(CONCATENATE($A26,$Q$8,T$10),'Tariff Schedule Lookup Table'!$F$8:$G$286,2,FALSE))=TRUE,"",TEXT(VLOOKUP(CONCATENATE($A26,$Q$8,T$10),'Tariff Schedule Lookup Table'!$F$8:$G$286,2,FALSE),"0000"))</f>
        <v>1500</v>
      </c>
      <c r="U26" s="34" t="str">
        <f>IF(ISERROR(VLOOKUP(CONCATENATE($A26,$U$8,U$10),'Tariff Schedule Lookup Table'!$F$8:$G$286,2,FALSE))=TRUE,"",TEXT(VLOOKUP(CONCATENATE($A26,$U$8,U$10),'Tariff Schedule Lookup Table'!$F$8:$G$286,2,FALSE),"0000"))</f>
        <v/>
      </c>
      <c r="V26" s="34" t="str">
        <f>IF(ISERROR(VLOOKUP(CONCATENATE($A26,$U$8,V$10),'Tariff Schedule Lookup Table'!$F$8:$G$286,2,FALSE))=TRUE,"",TEXT(VLOOKUP(CONCATENATE($A26,$U$8,V$10),'Tariff Schedule Lookup Table'!$F$8:$G$286,2,FALSE),"0000"))</f>
        <v/>
      </c>
      <c r="W26" s="34" t="str">
        <f>IF(ISERROR(VLOOKUP(CONCATENATE($A26,$U$8,W$10),'Tariff Schedule Lookup Table'!$F$8:$G$286,2,FALSE))=TRUE,"",TEXT(VLOOKUP(CONCATENATE($A26,$U$8,W$10),'Tariff Schedule Lookup Table'!$F$8:$G$286,2,FALSE),"0000"))</f>
        <v/>
      </c>
      <c r="X26" s="34" t="str">
        <f>IF(ISERROR(VLOOKUP(CONCATENATE($A26,$U$8,X$10),'Tariff Schedule Lookup Table'!$F$8:$G$286,2,FALSE))=TRUE,"",TEXT(VLOOKUP(CONCATENATE($A26,$U$8,X$10),'Tariff Schedule Lookup Table'!$F$8:$G$186,2,FALSE),"0000"))</f>
        <v/>
      </c>
      <c r="Y26" s="6"/>
      <c r="Z26" s="6"/>
      <c r="AA26" s="6"/>
      <c r="AB26" s="6"/>
      <c r="AC26" s="6"/>
    </row>
    <row r="27" spans="1:29" x14ac:dyDescent="0.2">
      <c r="A27" s="6" t="s">
        <v>993</v>
      </c>
      <c r="B27" s="35" t="s">
        <v>2076</v>
      </c>
      <c r="C27" s="197" t="str">
        <f>VLOOKUP(LEFT(B27,7),'Tariff Schedule Lookup Table'!$A$8:$D$186,3,FALSE)</f>
        <v>6x40</v>
      </c>
      <c r="D27" s="199" t="str">
        <f>VLOOKUP(LEFT(B27,7),'Tariff Schedule Lookup Table'!$A$8:$D$186,2,FALSE)</f>
        <v>Fluorescent 6x40</v>
      </c>
      <c r="E27" s="6" t="s">
        <v>996</v>
      </c>
      <c r="F27" s="37">
        <f>VLOOKUP(LEFT(B27,7),'Tariff Schedule Lookup Table'!$A$8:$D$186,4,FALSE)</f>
        <v>300</v>
      </c>
      <c r="G27" s="33">
        <f>VLOOKUP($B27,'Maintenance Costs'!$A$20:$AG$176,32,FALSE)</f>
        <v>114.64201337976581</v>
      </c>
      <c r="H27" s="67">
        <f>IF(VLOOKUP($B27,'Maintenance Costs'!$A$20:$AG$176,33,FALSE)=0,"",VLOOKUP($B27,'Maintenance Costs'!$A$20:$AG$176,33,FALSE))</f>
        <v>46.197665338484036</v>
      </c>
      <c r="I27" s="34" t="str">
        <f>IF(ISERROR(VLOOKUP(CONCATENATE($A27,$I$8,I$10),'Tariff Schedule Lookup Table'!$F$8:$G$286,2,FALSE))=TRUE,"",TEXT(VLOOKUP(CONCATENATE($A27,$I$8,I$10),'Tariff Schedule Lookup Table'!$F$8:$G$286,2,FALSE),"0000"))</f>
        <v>0010</v>
      </c>
      <c r="J27" s="34" t="str">
        <f>IF(ISERROR(VLOOKUP(CONCATENATE($A27,$I$8,J$10),'Tariff Schedule Lookup Table'!$F$8:$G$286,2,FALSE))=TRUE,"",TEXT(VLOOKUP(CONCATENATE($A27,$I$8,J$10),'Tariff Schedule Lookup Table'!$F$8:$G$286,2,FALSE),"0000"))</f>
        <v>0740</v>
      </c>
      <c r="K27" s="34" t="str">
        <f>IF(ISERROR(VLOOKUP(CONCATENATE($A27,$I$8,K$10),'Tariff Schedule Lookup Table'!$F$8:$G$286,2,FALSE))=TRUE,"",TEXT(VLOOKUP(CONCATENATE($A27,$I$8,K$10),'Tariff Schedule Lookup Table'!$F$8:$G$286,2,FALSE),"0000"))</f>
        <v>0820</v>
      </c>
      <c r="L27" s="34" t="str">
        <f>IF(ISERROR(VLOOKUP(CONCATENATE($A27,$I$8,L$10),'Tariff Schedule Lookup Table'!$F$8:$G$286,2,FALSE))=TRUE,"",TEXT(VLOOKUP(CONCATENATE($A27,$I$8,L$10),'Tariff Schedule Lookup Table'!$F$8:$G$286,2,FALSE),"0000"))</f>
        <v>0830</v>
      </c>
      <c r="M27" s="34" t="str">
        <f>IF(ISERROR(VLOOKUP(CONCATENATE($A27,$M$8,M$10),'Tariff Schedule Lookup Table'!$F$8:$G$286,2,FALSE))=TRUE,"",TEXT(VLOOKUP(CONCATENATE($A27,$M$8,M$10),'Tariff Schedule Lookup Table'!$F$8:$G$286,2,FALSE),"0000"))</f>
        <v>0810</v>
      </c>
      <c r="N27" s="34" t="str">
        <f>IF(ISERROR(VLOOKUP(CONCATENATE($A27,$M$8,N$10),'Tariff Schedule Lookup Table'!$F$8:$G$286,2,FALSE))=TRUE,"",TEXT(VLOOKUP(CONCATENATE($A27,$M$8,N$10),'Tariff Schedule Lookup Table'!$F$8:$G$286,2,FALSE),"0000"))</f>
        <v>1260</v>
      </c>
      <c r="O27" s="34" t="str">
        <f>IF(ISERROR(VLOOKUP(CONCATENATE($A27,$M$8,O$10),'Tariff Schedule Lookup Table'!$F$8:$G$286,2,FALSE))=TRUE,"",TEXT(VLOOKUP(CONCATENATE($A27,$M$8,O$10),'Tariff Schedule Lookup Table'!$F$8:$G$286,2,FALSE),"0000"))</f>
        <v/>
      </c>
      <c r="P27" s="34" t="str">
        <f>IF(ISERROR(VLOOKUP(CONCATENATE($A27,$M$8,P$10),'Tariff Schedule Lookup Table'!$F$8:$G$286,2,FALSE))=TRUE,"",TEXT(VLOOKUP(CONCATENATE($A27,$M$8,P$10),'Tariff Schedule Lookup Table'!$F$8:$G$286,2,FALSE),"0000"))</f>
        <v/>
      </c>
      <c r="Q27" s="34" t="str">
        <f>IF(ISERROR(VLOOKUP(CONCATENATE($A27,$Q$8,Q$10),'Tariff Schedule Lookup Table'!$F$8:$G$286,2,FALSE))=TRUE,"",TEXT(VLOOKUP(CONCATENATE($A27,$Q$8,Q$10),'Tariff Schedule Lookup Table'!$F$8:$G$286,2,FALSE),"0000"))</f>
        <v>0990</v>
      </c>
      <c r="R27" s="34" t="str">
        <f>IF(ISERROR(VLOOKUP(CONCATENATE($A27,$Q$8,R$10),'Tariff Schedule Lookup Table'!$F$8:$G$286,2,FALSE))=TRUE,"",TEXT(VLOOKUP(CONCATENATE($A27,$Q$8,R$10),'Tariff Schedule Lookup Table'!$F$8:$G$286,2,FALSE),"0000"))</f>
        <v>1000</v>
      </c>
      <c r="S27" s="34" t="str">
        <f>IF(ISERROR(VLOOKUP(CONCATENATE($A27,$Q$8,S$10),'Tariff Schedule Lookup Table'!$F$8:$G$286,2,FALSE))=TRUE,"",TEXT(VLOOKUP(CONCATENATE($A27,$Q$8,S$10),'Tariff Schedule Lookup Table'!$F$8:$G$286,2,FALSE),"0000"))</f>
        <v>1460</v>
      </c>
      <c r="T27" s="34" t="str">
        <f>IF(ISERROR(VLOOKUP(CONCATENATE($A27,$Q$8,T$10),'Tariff Schedule Lookup Table'!$F$8:$G$286,2,FALSE))=TRUE,"",TEXT(VLOOKUP(CONCATENATE($A27,$Q$8,T$10),'Tariff Schedule Lookup Table'!$F$8:$G$286,2,FALSE),"0000"))</f>
        <v>1500</v>
      </c>
      <c r="U27" s="34" t="str">
        <f>IF(ISERROR(VLOOKUP(CONCATENATE($A27,$U$8,U$10),'Tariff Schedule Lookup Table'!$F$8:$G$286,2,FALSE))=TRUE,"",TEXT(VLOOKUP(CONCATENATE($A27,$U$8,U$10),'Tariff Schedule Lookup Table'!$F$8:$G$286,2,FALSE),"0000"))</f>
        <v/>
      </c>
      <c r="V27" s="34" t="str">
        <f>IF(ISERROR(VLOOKUP(CONCATENATE($A27,$U$8,V$10),'Tariff Schedule Lookup Table'!$F$8:$G$286,2,FALSE))=TRUE,"",TEXT(VLOOKUP(CONCATENATE($A27,$U$8,V$10),'Tariff Schedule Lookup Table'!$F$8:$G$286,2,FALSE),"0000"))</f>
        <v/>
      </c>
      <c r="W27" s="34" t="str">
        <f>IF(ISERROR(VLOOKUP(CONCATENATE($A27,$U$8,W$10),'Tariff Schedule Lookup Table'!$F$8:$G$286,2,FALSE))=TRUE,"",TEXT(VLOOKUP(CONCATENATE($A27,$U$8,W$10),'Tariff Schedule Lookup Table'!$F$8:$G$286,2,FALSE),"0000"))</f>
        <v/>
      </c>
      <c r="X27" s="34" t="str">
        <f>IF(ISERROR(VLOOKUP(CONCATENATE($A27,$U$8,X$10),'Tariff Schedule Lookup Table'!$F$8:$G$286,2,FALSE))=TRUE,"",TEXT(VLOOKUP(CONCATENATE($A27,$U$8,X$10),'Tariff Schedule Lookup Table'!$F$8:$G$186,2,FALSE),"0000"))</f>
        <v/>
      </c>
      <c r="Y27" s="6"/>
      <c r="Z27" s="6"/>
      <c r="AA27" s="6"/>
      <c r="AB27" s="6"/>
      <c r="AC27" s="6"/>
    </row>
    <row r="28" spans="1:29" x14ac:dyDescent="0.2">
      <c r="A28" s="6" t="s">
        <v>993</v>
      </c>
      <c r="B28" s="35" t="s">
        <v>2077</v>
      </c>
      <c r="C28" s="197">
        <f>VLOOKUP(LEFT(B28,7),'Tariff Schedule Lookup Table'!$A$8:$D$186,3,FALSE)</f>
        <v>58</v>
      </c>
      <c r="D28" s="199" t="str">
        <f>VLOOKUP(LEFT(B28,7),'Tariff Schedule Lookup Table'!$A$8:$D$186,2,FALSE)</f>
        <v>Fluorescent 58</v>
      </c>
      <c r="E28" s="6" t="s">
        <v>996</v>
      </c>
      <c r="F28" s="37">
        <f>VLOOKUP(LEFT(B28,7),'Tariff Schedule Lookup Table'!$A$8:$D$186,4,FALSE)</f>
        <v>72</v>
      </c>
      <c r="G28" s="33">
        <f>VLOOKUP($B28,'Maintenance Costs'!$A$20:$AG$176,32,FALSE)</f>
        <v>94.619982708265809</v>
      </c>
      <c r="H28" s="67">
        <f>IF(VLOOKUP($B28,'Maintenance Costs'!$A$20:$AG$176,33,FALSE)=0,"",VLOOKUP($B28,'Maintenance Costs'!$A$20:$AG$176,33,FALSE))</f>
        <v>25.940433004400706</v>
      </c>
      <c r="I28" s="34" t="str">
        <f>IF(ISERROR(VLOOKUP(CONCATENATE($A28,$I$8,I$10),'Tariff Schedule Lookup Table'!$F$8:$G$286,2,FALSE))=TRUE,"",TEXT(VLOOKUP(CONCATENATE($A28,$I$8,I$10),'Tariff Schedule Lookup Table'!$F$8:$G$286,2,FALSE),"0000"))</f>
        <v>0010</v>
      </c>
      <c r="J28" s="34" t="str">
        <f>IF(ISERROR(VLOOKUP(CONCATENATE($A28,$I$8,J$10),'Tariff Schedule Lookup Table'!$F$8:$G$286,2,FALSE))=TRUE,"",TEXT(VLOOKUP(CONCATENATE($A28,$I$8,J$10),'Tariff Schedule Lookup Table'!$F$8:$G$286,2,FALSE),"0000"))</f>
        <v>0740</v>
      </c>
      <c r="K28" s="34" t="str">
        <f>IF(ISERROR(VLOOKUP(CONCATENATE($A28,$I$8,K$10),'Tariff Schedule Lookup Table'!$F$8:$G$286,2,FALSE))=TRUE,"",TEXT(VLOOKUP(CONCATENATE($A28,$I$8,K$10),'Tariff Schedule Lookup Table'!$F$8:$G$286,2,FALSE),"0000"))</f>
        <v>0820</v>
      </c>
      <c r="L28" s="34" t="str">
        <f>IF(ISERROR(VLOOKUP(CONCATENATE($A28,$I$8,L$10),'Tariff Schedule Lookup Table'!$F$8:$G$286,2,FALSE))=TRUE,"",TEXT(VLOOKUP(CONCATENATE($A28,$I$8,L$10),'Tariff Schedule Lookup Table'!$F$8:$G$286,2,FALSE),"0000"))</f>
        <v>0830</v>
      </c>
      <c r="M28" s="34" t="str">
        <f>IF(ISERROR(VLOOKUP(CONCATENATE($A28,$M$8,M$10),'Tariff Schedule Lookup Table'!$F$8:$G$286,2,FALSE))=TRUE,"",TEXT(VLOOKUP(CONCATENATE($A28,$M$8,M$10),'Tariff Schedule Lookup Table'!$F$8:$G$286,2,FALSE),"0000"))</f>
        <v>0810</v>
      </c>
      <c r="N28" s="34" t="str">
        <f>IF(ISERROR(VLOOKUP(CONCATENATE($A28,$M$8,N$10),'Tariff Schedule Lookup Table'!$F$8:$G$286,2,FALSE))=TRUE,"",TEXT(VLOOKUP(CONCATENATE($A28,$M$8,N$10),'Tariff Schedule Lookup Table'!$F$8:$G$286,2,FALSE),"0000"))</f>
        <v>1260</v>
      </c>
      <c r="O28" s="34" t="str">
        <f>IF(ISERROR(VLOOKUP(CONCATENATE($A28,$M$8,O$10),'Tariff Schedule Lookup Table'!$F$8:$G$286,2,FALSE))=TRUE,"",TEXT(VLOOKUP(CONCATENATE($A28,$M$8,O$10),'Tariff Schedule Lookup Table'!$F$8:$G$286,2,FALSE),"0000"))</f>
        <v/>
      </c>
      <c r="P28" s="34" t="str">
        <f>IF(ISERROR(VLOOKUP(CONCATENATE($A28,$M$8,P$10),'Tariff Schedule Lookup Table'!$F$8:$G$286,2,FALSE))=TRUE,"",TEXT(VLOOKUP(CONCATENATE($A28,$M$8,P$10),'Tariff Schedule Lookup Table'!$F$8:$G$286,2,FALSE),"0000"))</f>
        <v/>
      </c>
      <c r="Q28" s="34" t="str">
        <f>IF(ISERROR(VLOOKUP(CONCATENATE($A28,$Q$8,Q$10),'Tariff Schedule Lookup Table'!$F$8:$G$286,2,FALSE))=TRUE,"",TEXT(VLOOKUP(CONCATENATE($A28,$Q$8,Q$10),'Tariff Schedule Lookup Table'!$F$8:$G$286,2,FALSE),"0000"))</f>
        <v>0990</v>
      </c>
      <c r="R28" s="34" t="str">
        <f>IF(ISERROR(VLOOKUP(CONCATENATE($A28,$Q$8,R$10),'Tariff Schedule Lookup Table'!$F$8:$G$286,2,FALSE))=TRUE,"",TEXT(VLOOKUP(CONCATENATE($A28,$Q$8,R$10),'Tariff Schedule Lookup Table'!$F$8:$G$286,2,FALSE),"0000"))</f>
        <v>1000</v>
      </c>
      <c r="S28" s="34" t="str">
        <f>IF(ISERROR(VLOOKUP(CONCATENATE($A28,$Q$8,S$10),'Tariff Schedule Lookup Table'!$F$8:$G$286,2,FALSE))=TRUE,"",TEXT(VLOOKUP(CONCATENATE($A28,$Q$8,S$10),'Tariff Schedule Lookup Table'!$F$8:$G$286,2,FALSE),"0000"))</f>
        <v>1460</v>
      </c>
      <c r="T28" s="34" t="str">
        <f>IF(ISERROR(VLOOKUP(CONCATENATE($A28,$Q$8,T$10),'Tariff Schedule Lookup Table'!$F$8:$G$286,2,FALSE))=TRUE,"",TEXT(VLOOKUP(CONCATENATE($A28,$Q$8,T$10),'Tariff Schedule Lookup Table'!$F$8:$G$286,2,FALSE),"0000"))</f>
        <v>1500</v>
      </c>
      <c r="U28" s="34" t="str">
        <f>IF(ISERROR(VLOOKUP(CONCATENATE($A28,$U$8,U$10),'Tariff Schedule Lookup Table'!$F$8:$G$286,2,FALSE))=TRUE,"",TEXT(VLOOKUP(CONCATENATE($A28,$U$8,U$10),'Tariff Schedule Lookup Table'!$F$8:$G$286,2,FALSE),"0000"))</f>
        <v/>
      </c>
      <c r="V28" s="34" t="str">
        <f>IF(ISERROR(VLOOKUP(CONCATENATE($A28,$U$8,V$10),'Tariff Schedule Lookup Table'!$F$8:$G$286,2,FALSE))=TRUE,"",TEXT(VLOOKUP(CONCATENATE($A28,$U$8,V$10),'Tariff Schedule Lookup Table'!$F$8:$G$286,2,FALSE),"0000"))</f>
        <v/>
      </c>
      <c r="W28" s="34" t="str">
        <f>IF(ISERROR(VLOOKUP(CONCATENATE($A28,$U$8,W$10),'Tariff Schedule Lookup Table'!$F$8:$G$286,2,FALSE))=TRUE,"",TEXT(VLOOKUP(CONCATENATE($A28,$U$8,W$10),'Tariff Schedule Lookup Table'!$F$8:$G$286,2,FALSE),"0000"))</f>
        <v/>
      </c>
      <c r="X28" s="34" t="str">
        <f>IF(ISERROR(VLOOKUP(CONCATENATE($A28,$U$8,X$10),'Tariff Schedule Lookup Table'!$F$8:$G$286,2,FALSE))=TRUE,"",TEXT(VLOOKUP(CONCATENATE($A28,$U$8,X$10),'Tariff Schedule Lookup Table'!$F$8:$G$186,2,FALSE),"0000"))</f>
        <v/>
      </c>
      <c r="Y28" s="6"/>
      <c r="Z28" s="6"/>
      <c r="AA28" s="6"/>
      <c r="AB28" s="6"/>
      <c r="AC28" s="6"/>
    </row>
    <row r="29" spans="1:29" x14ac:dyDescent="0.2">
      <c r="A29" s="6" t="s">
        <v>993</v>
      </c>
      <c r="B29" s="35" t="s">
        <v>2078</v>
      </c>
      <c r="C29" s="197" t="str">
        <f>VLOOKUP(LEFT(B29,7),'Tariff Schedule Lookup Table'!$A$8:$D$186,3,FALSE)</f>
        <v>2x58</v>
      </c>
      <c r="D29" s="199" t="str">
        <f>VLOOKUP(LEFT(B29,7),'Tariff Schedule Lookup Table'!$A$8:$D$186,2,FALSE)</f>
        <v>Fluorescent 2x58</v>
      </c>
      <c r="E29" s="6" t="s">
        <v>996</v>
      </c>
      <c r="F29" s="37">
        <f>VLOOKUP(LEFT(B29,7),'Tariff Schedule Lookup Table'!$A$8:$D$186,4,FALSE)</f>
        <v>144</v>
      </c>
      <c r="G29" s="33">
        <f>VLOOKUP($B29,'Maintenance Costs'!$A$20:$AG$176,32,FALSE)</f>
        <v>98.624388842565807</v>
      </c>
      <c r="H29" s="67">
        <f>IF(VLOOKUP($B29,'Maintenance Costs'!$A$20:$AG$176,33,FALSE)=0,"",VLOOKUP($B29,'Maintenance Costs'!$A$20:$AG$176,33,FALSE))</f>
        <v>29.991879471217374</v>
      </c>
      <c r="I29" s="34" t="str">
        <f>IF(ISERROR(VLOOKUP(CONCATENATE($A29,$I$8,I$10),'Tariff Schedule Lookup Table'!$F$8:$G$286,2,FALSE))=TRUE,"",TEXT(VLOOKUP(CONCATENATE($A29,$I$8,I$10),'Tariff Schedule Lookup Table'!$F$8:$G$286,2,FALSE),"0000"))</f>
        <v>0010</v>
      </c>
      <c r="J29" s="34" t="str">
        <f>IF(ISERROR(VLOOKUP(CONCATENATE($A29,$I$8,J$10),'Tariff Schedule Lookup Table'!$F$8:$G$286,2,FALSE))=TRUE,"",TEXT(VLOOKUP(CONCATENATE($A29,$I$8,J$10),'Tariff Schedule Lookup Table'!$F$8:$G$286,2,FALSE),"0000"))</f>
        <v>0740</v>
      </c>
      <c r="K29" s="34" t="str">
        <f>IF(ISERROR(VLOOKUP(CONCATENATE($A29,$I$8,K$10),'Tariff Schedule Lookup Table'!$F$8:$G$286,2,FALSE))=TRUE,"",TEXT(VLOOKUP(CONCATENATE($A29,$I$8,K$10),'Tariff Schedule Lookup Table'!$F$8:$G$286,2,FALSE),"0000"))</f>
        <v>0820</v>
      </c>
      <c r="L29" s="34" t="str">
        <f>IF(ISERROR(VLOOKUP(CONCATENATE($A29,$I$8,L$10),'Tariff Schedule Lookup Table'!$F$8:$G$286,2,FALSE))=TRUE,"",TEXT(VLOOKUP(CONCATENATE($A29,$I$8,L$10),'Tariff Schedule Lookup Table'!$F$8:$G$286,2,FALSE),"0000"))</f>
        <v>0830</v>
      </c>
      <c r="M29" s="34" t="str">
        <f>IF(ISERROR(VLOOKUP(CONCATENATE($A29,$M$8,M$10),'Tariff Schedule Lookup Table'!$F$8:$G$286,2,FALSE))=TRUE,"",TEXT(VLOOKUP(CONCATENATE($A29,$M$8,M$10),'Tariff Schedule Lookup Table'!$F$8:$G$286,2,FALSE),"0000"))</f>
        <v>0810</v>
      </c>
      <c r="N29" s="34" t="str">
        <f>IF(ISERROR(VLOOKUP(CONCATENATE($A29,$M$8,N$10),'Tariff Schedule Lookup Table'!$F$8:$G$286,2,FALSE))=TRUE,"",TEXT(VLOOKUP(CONCATENATE($A29,$M$8,N$10),'Tariff Schedule Lookup Table'!$F$8:$G$286,2,FALSE),"0000"))</f>
        <v>1260</v>
      </c>
      <c r="O29" s="34" t="str">
        <f>IF(ISERROR(VLOOKUP(CONCATENATE($A29,$M$8,O$10),'Tariff Schedule Lookup Table'!$F$8:$G$286,2,FALSE))=TRUE,"",TEXT(VLOOKUP(CONCATENATE($A29,$M$8,O$10),'Tariff Schedule Lookup Table'!$F$8:$G$286,2,FALSE),"0000"))</f>
        <v/>
      </c>
      <c r="P29" s="34" t="str">
        <f>IF(ISERROR(VLOOKUP(CONCATENATE($A29,$M$8,P$10),'Tariff Schedule Lookup Table'!$F$8:$G$286,2,FALSE))=TRUE,"",TEXT(VLOOKUP(CONCATENATE($A29,$M$8,P$10),'Tariff Schedule Lookup Table'!$F$8:$G$286,2,FALSE),"0000"))</f>
        <v/>
      </c>
      <c r="Q29" s="34" t="str">
        <f>IF(ISERROR(VLOOKUP(CONCATENATE($A29,$Q$8,Q$10),'Tariff Schedule Lookup Table'!$F$8:$G$286,2,FALSE))=TRUE,"",TEXT(VLOOKUP(CONCATENATE($A29,$Q$8,Q$10),'Tariff Schedule Lookup Table'!$F$8:$G$286,2,FALSE),"0000"))</f>
        <v>0990</v>
      </c>
      <c r="R29" s="34" t="str">
        <f>IF(ISERROR(VLOOKUP(CONCATENATE($A29,$Q$8,R$10),'Tariff Schedule Lookup Table'!$F$8:$G$286,2,FALSE))=TRUE,"",TEXT(VLOOKUP(CONCATENATE($A29,$Q$8,R$10),'Tariff Schedule Lookup Table'!$F$8:$G$286,2,FALSE),"0000"))</f>
        <v>1000</v>
      </c>
      <c r="S29" s="34" t="str">
        <f>IF(ISERROR(VLOOKUP(CONCATENATE($A29,$Q$8,S$10),'Tariff Schedule Lookup Table'!$F$8:$G$286,2,FALSE))=TRUE,"",TEXT(VLOOKUP(CONCATENATE($A29,$Q$8,S$10),'Tariff Schedule Lookup Table'!$F$8:$G$286,2,FALSE),"0000"))</f>
        <v>1460</v>
      </c>
      <c r="T29" s="34" t="str">
        <f>IF(ISERROR(VLOOKUP(CONCATENATE($A29,$Q$8,T$10),'Tariff Schedule Lookup Table'!$F$8:$G$286,2,FALSE))=TRUE,"",TEXT(VLOOKUP(CONCATENATE($A29,$Q$8,T$10),'Tariff Schedule Lookup Table'!$F$8:$G$286,2,FALSE),"0000"))</f>
        <v>1500</v>
      </c>
      <c r="U29" s="34" t="str">
        <f>IF(ISERROR(VLOOKUP(CONCATENATE($A29,$U$8,U$10),'Tariff Schedule Lookup Table'!$F$8:$G$286,2,FALSE))=TRUE,"",TEXT(VLOOKUP(CONCATENATE($A29,$U$8,U$10),'Tariff Schedule Lookup Table'!$F$8:$G$286,2,FALSE),"0000"))</f>
        <v/>
      </c>
      <c r="V29" s="34" t="str">
        <f>IF(ISERROR(VLOOKUP(CONCATENATE($A29,$U$8,V$10),'Tariff Schedule Lookup Table'!$F$8:$G$286,2,FALSE))=TRUE,"",TEXT(VLOOKUP(CONCATENATE($A29,$U$8,V$10),'Tariff Schedule Lookup Table'!$F$8:$G$286,2,FALSE),"0000"))</f>
        <v/>
      </c>
      <c r="W29" s="34" t="str">
        <f>IF(ISERROR(VLOOKUP(CONCATENATE($A29,$U$8,W$10),'Tariff Schedule Lookup Table'!$F$8:$G$286,2,FALSE))=TRUE,"",TEXT(VLOOKUP(CONCATENATE($A29,$U$8,W$10),'Tariff Schedule Lookup Table'!$F$8:$G$286,2,FALSE),"0000"))</f>
        <v/>
      </c>
      <c r="X29" s="34" t="str">
        <f>IF(ISERROR(VLOOKUP(CONCATENATE($A29,$U$8,X$10),'Tariff Schedule Lookup Table'!$F$8:$G$286,2,FALSE))=TRUE,"",TEXT(VLOOKUP(CONCATENATE($A29,$U$8,X$10),'Tariff Schedule Lookup Table'!$F$8:$G$186,2,FALSE),"0000"))</f>
        <v/>
      </c>
      <c r="Y29" s="6"/>
      <c r="Z29" s="6"/>
      <c r="AA29" s="6"/>
      <c r="AB29" s="6"/>
      <c r="AC29" s="6"/>
    </row>
    <row r="30" spans="1:29" x14ac:dyDescent="0.2">
      <c r="A30" s="6" t="s">
        <v>993</v>
      </c>
      <c r="B30" s="35" t="s">
        <v>2079</v>
      </c>
      <c r="C30" s="197" t="str">
        <f>VLOOKUP(LEFT(B30,7),'Tariff Schedule Lookup Table'!$A$8:$D$186,3,FALSE)</f>
        <v>4x58</v>
      </c>
      <c r="D30" s="199" t="str">
        <f>VLOOKUP(LEFT(B30,7),'Tariff Schedule Lookup Table'!$A$8:$D$186,2,FALSE)</f>
        <v>Fluorescent 4x58</v>
      </c>
      <c r="E30" s="6" t="s">
        <v>996</v>
      </c>
      <c r="F30" s="37">
        <f>VLOOKUP(LEFT(B30,7),'Tariff Schedule Lookup Table'!$A$8:$D$186,4,FALSE)</f>
        <v>288</v>
      </c>
      <c r="G30" s="33">
        <f>VLOOKUP($B30,'Maintenance Costs'!$A$20:$AG$176,32,FALSE)</f>
        <v>106.6332011111658</v>
      </c>
      <c r="H30" s="67">
        <f>IF(VLOOKUP($B30,'Maintenance Costs'!$A$20:$AG$176,33,FALSE)=0,"",VLOOKUP($B30,'Maintenance Costs'!$A$20:$AG$176,33,FALSE))</f>
        <v>38.094772404850701</v>
      </c>
      <c r="I30" s="34" t="str">
        <f>IF(ISERROR(VLOOKUP(CONCATENATE($A30,$I$8,I$10),'Tariff Schedule Lookup Table'!$F$8:$G$286,2,FALSE))=TRUE,"",TEXT(VLOOKUP(CONCATENATE($A30,$I$8,I$10),'Tariff Schedule Lookup Table'!$F$8:$G$286,2,FALSE),"0000"))</f>
        <v>0010</v>
      </c>
      <c r="J30" s="34" t="str">
        <f>IF(ISERROR(VLOOKUP(CONCATENATE($A30,$I$8,J$10),'Tariff Schedule Lookup Table'!$F$8:$G$286,2,FALSE))=TRUE,"",TEXT(VLOOKUP(CONCATENATE($A30,$I$8,J$10),'Tariff Schedule Lookup Table'!$F$8:$G$286,2,FALSE),"0000"))</f>
        <v>0740</v>
      </c>
      <c r="K30" s="34" t="str">
        <f>IF(ISERROR(VLOOKUP(CONCATENATE($A30,$I$8,K$10),'Tariff Schedule Lookup Table'!$F$8:$G$286,2,FALSE))=TRUE,"",TEXT(VLOOKUP(CONCATENATE($A30,$I$8,K$10),'Tariff Schedule Lookup Table'!$F$8:$G$286,2,FALSE),"0000"))</f>
        <v>0820</v>
      </c>
      <c r="L30" s="34" t="str">
        <f>IF(ISERROR(VLOOKUP(CONCATENATE($A30,$I$8,L$10),'Tariff Schedule Lookup Table'!$F$8:$G$286,2,FALSE))=TRUE,"",TEXT(VLOOKUP(CONCATENATE($A30,$I$8,L$10),'Tariff Schedule Lookup Table'!$F$8:$G$286,2,FALSE),"0000"))</f>
        <v>0830</v>
      </c>
      <c r="M30" s="34" t="str">
        <f>IF(ISERROR(VLOOKUP(CONCATENATE($A30,$M$8,M$10),'Tariff Schedule Lookup Table'!$F$8:$G$286,2,FALSE))=TRUE,"",TEXT(VLOOKUP(CONCATENATE($A30,$M$8,M$10),'Tariff Schedule Lookup Table'!$F$8:$G$286,2,FALSE),"0000"))</f>
        <v>0810</v>
      </c>
      <c r="N30" s="34" t="str">
        <f>IF(ISERROR(VLOOKUP(CONCATENATE($A30,$M$8,N$10),'Tariff Schedule Lookup Table'!$F$8:$G$286,2,FALSE))=TRUE,"",TEXT(VLOOKUP(CONCATENATE($A30,$M$8,N$10),'Tariff Schedule Lookup Table'!$F$8:$G$286,2,FALSE),"0000"))</f>
        <v>1260</v>
      </c>
      <c r="O30" s="34" t="str">
        <f>IF(ISERROR(VLOOKUP(CONCATENATE($A30,$M$8,O$10),'Tariff Schedule Lookup Table'!$F$8:$G$286,2,FALSE))=TRUE,"",TEXT(VLOOKUP(CONCATENATE($A30,$M$8,O$10),'Tariff Schedule Lookup Table'!$F$8:$G$286,2,FALSE),"0000"))</f>
        <v/>
      </c>
      <c r="P30" s="34" t="str">
        <f>IF(ISERROR(VLOOKUP(CONCATENATE($A30,$M$8,P$10),'Tariff Schedule Lookup Table'!$F$8:$G$286,2,FALSE))=TRUE,"",TEXT(VLOOKUP(CONCATENATE($A30,$M$8,P$10),'Tariff Schedule Lookup Table'!$F$8:$G$286,2,FALSE),"0000"))</f>
        <v/>
      </c>
      <c r="Q30" s="34" t="str">
        <f>IF(ISERROR(VLOOKUP(CONCATENATE($A30,$Q$8,Q$10),'Tariff Schedule Lookup Table'!$F$8:$G$286,2,FALSE))=TRUE,"",TEXT(VLOOKUP(CONCATENATE($A30,$Q$8,Q$10),'Tariff Schedule Lookup Table'!$F$8:$G$286,2,FALSE),"0000"))</f>
        <v>0990</v>
      </c>
      <c r="R30" s="34" t="str">
        <f>IF(ISERROR(VLOOKUP(CONCATENATE($A30,$Q$8,R$10),'Tariff Schedule Lookup Table'!$F$8:$G$286,2,FALSE))=TRUE,"",TEXT(VLOOKUP(CONCATENATE($A30,$Q$8,R$10),'Tariff Schedule Lookup Table'!$F$8:$G$286,2,FALSE),"0000"))</f>
        <v>1000</v>
      </c>
      <c r="S30" s="34" t="str">
        <f>IF(ISERROR(VLOOKUP(CONCATENATE($A30,$Q$8,S$10),'Tariff Schedule Lookup Table'!$F$8:$G$286,2,FALSE))=TRUE,"",TEXT(VLOOKUP(CONCATENATE($A30,$Q$8,S$10),'Tariff Schedule Lookup Table'!$F$8:$G$286,2,FALSE),"0000"))</f>
        <v>1460</v>
      </c>
      <c r="T30" s="34" t="str">
        <f>IF(ISERROR(VLOOKUP(CONCATENATE($A30,$Q$8,T$10),'Tariff Schedule Lookup Table'!$F$8:$G$286,2,FALSE))=TRUE,"",TEXT(VLOOKUP(CONCATENATE($A30,$Q$8,T$10),'Tariff Schedule Lookup Table'!$F$8:$G$286,2,FALSE),"0000"))</f>
        <v>1500</v>
      </c>
      <c r="U30" s="34" t="str">
        <f>IF(ISERROR(VLOOKUP(CONCATENATE($A30,$U$8,U$10),'Tariff Schedule Lookup Table'!$F$8:$G$286,2,FALSE))=TRUE,"",TEXT(VLOOKUP(CONCATENATE($A30,$U$8,U$10),'Tariff Schedule Lookup Table'!$F$8:$G$286,2,FALSE),"0000"))</f>
        <v/>
      </c>
      <c r="V30" s="34" t="str">
        <f>IF(ISERROR(VLOOKUP(CONCATENATE($A30,$U$8,V$10),'Tariff Schedule Lookup Table'!$F$8:$G$286,2,FALSE))=TRUE,"",TEXT(VLOOKUP(CONCATENATE($A30,$U$8,V$10),'Tariff Schedule Lookup Table'!$F$8:$G$286,2,FALSE),"0000"))</f>
        <v/>
      </c>
      <c r="W30" s="34" t="str">
        <f>IF(ISERROR(VLOOKUP(CONCATENATE($A30,$U$8,W$10),'Tariff Schedule Lookup Table'!$F$8:$G$286,2,FALSE))=TRUE,"",TEXT(VLOOKUP(CONCATENATE($A30,$U$8,W$10),'Tariff Schedule Lookup Table'!$F$8:$G$286,2,FALSE),"0000"))</f>
        <v/>
      </c>
      <c r="X30" s="34" t="str">
        <f>IF(ISERROR(VLOOKUP(CONCATENATE($A30,$U$8,X$10),'Tariff Schedule Lookup Table'!$F$8:$G$286,2,FALSE))=TRUE,"",TEXT(VLOOKUP(CONCATENATE($A30,$U$8,X$10),'Tariff Schedule Lookup Table'!$F$8:$G$186,2,FALSE),"0000"))</f>
        <v/>
      </c>
      <c r="Y30" s="6"/>
      <c r="Z30" s="6"/>
      <c r="AA30" s="6"/>
      <c r="AB30" s="6"/>
      <c r="AC30" s="6"/>
    </row>
    <row r="31" spans="1:29" x14ac:dyDescent="0.2">
      <c r="A31" s="6" t="s">
        <v>993</v>
      </c>
      <c r="B31" s="35" t="s">
        <v>211</v>
      </c>
      <c r="C31" s="197" t="str">
        <f>VLOOKUP(LEFT(B31,7),'Tariff Schedule Lookup Table'!$A$8:$D$186,3,FALSE)</f>
        <v>5x58</v>
      </c>
      <c r="D31" s="199" t="str">
        <f>VLOOKUP(LEFT(B31,7),'Tariff Schedule Lookup Table'!$A$8:$D$186,2,FALSE)</f>
        <v>Fluorescent 5x58</v>
      </c>
      <c r="E31" s="6" t="s">
        <v>996</v>
      </c>
      <c r="F31" s="37">
        <f>VLOOKUP(LEFT(B31,7),'Tariff Schedule Lookup Table'!$A$8:$D$186,4,FALSE)</f>
        <v>360</v>
      </c>
      <c r="G31" s="33">
        <f>VLOOKUP($B31,'Maintenance Costs'!$A$20:$AG$176,32,FALSE)</f>
        <v>106.6332011111658</v>
      </c>
      <c r="H31" s="67">
        <f>IF(VLOOKUP($B31,'Maintenance Costs'!$A$20:$AG$176,33,FALSE)=0,"",VLOOKUP($B31,'Maintenance Costs'!$A$20:$AG$176,33,FALSE))</f>
        <v>38.094772404850701</v>
      </c>
      <c r="I31" s="34" t="str">
        <f>IF(ISERROR(VLOOKUP(CONCATENATE($A31,$I$8,I$10),'Tariff Schedule Lookup Table'!$F$8:$G$286,2,FALSE))=TRUE,"",TEXT(VLOOKUP(CONCATENATE($A31,$I$8,I$10),'Tariff Schedule Lookup Table'!$F$8:$G$286,2,FALSE),"0000"))</f>
        <v>0010</v>
      </c>
      <c r="J31" s="34" t="str">
        <f>IF(ISERROR(VLOOKUP(CONCATENATE($A31,$I$8,J$10),'Tariff Schedule Lookup Table'!$F$8:$G$286,2,FALSE))=TRUE,"",TEXT(VLOOKUP(CONCATENATE($A31,$I$8,J$10),'Tariff Schedule Lookup Table'!$F$8:$G$286,2,FALSE),"0000"))</f>
        <v>0740</v>
      </c>
      <c r="K31" s="34" t="str">
        <f>IF(ISERROR(VLOOKUP(CONCATENATE($A31,$I$8,K$10),'Tariff Schedule Lookup Table'!$F$8:$G$286,2,FALSE))=TRUE,"",TEXT(VLOOKUP(CONCATENATE($A31,$I$8,K$10),'Tariff Schedule Lookup Table'!$F$8:$G$286,2,FALSE),"0000"))</f>
        <v>0820</v>
      </c>
      <c r="L31" s="34" t="str">
        <f>IF(ISERROR(VLOOKUP(CONCATENATE($A31,$I$8,L$10),'Tariff Schedule Lookup Table'!$F$8:$G$286,2,FALSE))=TRUE,"",TEXT(VLOOKUP(CONCATENATE($A31,$I$8,L$10),'Tariff Schedule Lookup Table'!$F$8:$G$286,2,FALSE),"0000"))</f>
        <v>0830</v>
      </c>
      <c r="M31" s="34" t="str">
        <f>IF(ISERROR(VLOOKUP(CONCATENATE($A31,$M$8,M$10),'Tariff Schedule Lookup Table'!$F$8:$G$286,2,FALSE))=TRUE,"",TEXT(VLOOKUP(CONCATENATE($A31,$M$8,M$10),'Tariff Schedule Lookup Table'!$F$8:$G$286,2,FALSE),"0000"))</f>
        <v>0810</v>
      </c>
      <c r="N31" s="34" t="str">
        <f>IF(ISERROR(VLOOKUP(CONCATENATE($A31,$M$8,N$10),'Tariff Schedule Lookup Table'!$F$8:$G$286,2,FALSE))=TRUE,"",TEXT(VLOOKUP(CONCATENATE($A31,$M$8,N$10),'Tariff Schedule Lookup Table'!$F$8:$G$286,2,FALSE),"0000"))</f>
        <v>1260</v>
      </c>
      <c r="O31" s="34" t="str">
        <f>IF(ISERROR(VLOOKUP(CONCATENATE($A31,$M$8,O$10),'Tariff Schedule Lookup Table'!$F$8:$G$286,2,FALSE))=TRUE,"",TEXT(VLOOKUP(CONCATENATE($A31,$M$8,O$10),'Tariff Schedule Lookup Table'!$F$8:$G$286,2,FALSE),"0000"))</f>
        <v/>
      </c>
      <c r="P31" s="34" t="str">
        <f>IF(ISERROR(VLOOKUP(CONCATENATE($A31,$M$8,P$10),'Tariff Schedule Lookup Table'!$F$8:$G$286,2,FALSE))=TRUE,"",TEXT(VLOOKUP(CONCATENATE($A31,$M$8,P$10),'Tariff Schedule Lookup Table'!$F$8:$G$286,2,FALSE),"0000"))</f>
        <v/>
      </c>
      <c r="Q31" s="34" t="str">
        <f>IF(ISERROR(VLOOKUP(CONCATENATE($A31,$Q$8,Q$10),'Tariff Schedule Lookup Table'!$F$8:$G$286,2,FALSE))=TRUE,"",TEXT(VLOOKUP(CONCATENATE($A31,$Q$8,Q$10),'Tariff Schedule Lookup Table'!$F$8:$G$286,2,FALSE),"0000"))</f>
        <v>0990</v>
      </c>
      <c r="R31" s="34" t="str">
        <f>IF(ISERROR(VLOOKUP(CONCATENATE($A31,$Q$8,R$10),'Tariff Schedule Lookup Table'!$F$8:$G$286,2,FALSE))=TRUE,"",TEXT(VLOOKUP(CONCATENATE($A31,$Q$8,R$10),'Tariff Schedule Lookup Table'!$F$8:$G$286,2,FALSE),"0000"))</f>
        <v>1000</v>
      </c>
      <c r="S31" s="34" t="str">
        <f>IF(ISERROR(VLOOKUP(CONCATENATE($A31,$Q$8,S$10),'Tariff Schedule Lookup Table'!$F$8:$G$286,2,FALSE))=TRUE,"",TEXT(VLOOKUP(CONCATENATE($A31,$Q$8,S$10),'Tariff Schedule Lookup Table'!$F$8:$G$286,2,FALSE),"0000"))</f>
        <v>1460</v>
      </c>
      <c r="T31" s="34" t="str">
        <f>IF(ISERROR(VLOOKUP(CONCATENATE($A31,$Q$8,T$10),'Tariff Schedule Lookup Table'!$F$8:$G$286,2,FALSE))=TRUE,"",TEXT(VLOOKUP(CONCATENATE($A31,$Q$8,T$10),'Tariff Schedule Lookup Table'!$F$8:$G$286,2,FALSE),"0000"))</f>
        <v>1500</v>
      </c>
      <c r="U31" s="34" t="str">
        <f>IF(ISERROR(VLOOKUP(CONCATENATE($A31,$U$8,U$10),'Tariff Schedule Lookup Table'!$F$8:$G$286,2,FALSE))=TRUE,"",TEXT(VLOOKUP(CONCATENATE($A31,$U$8,U$10),'Tariff Schedule Lookup Table'!$F$8:$G$286,2,FALSE),"0000"))</f>
        <v/>
      </c>
      <c r="V31" s="34" t="str">
        <f>IF(ISERROR(VLOOKUP(CONCATENATE($A31,$U$8,V$10),'Tariff Schedule Lookup Table'!$F$8:$G$286,2,FALSE))=TRUE,"",TEXT(VLOOKUP(CONCATENATE($A31,$U$8,V$10),'Tariff Schedule Lookup Table'!$F$8:$G$286,2,FALSE),"0000"))</f>
        <v/>
      </c>
      <c r="W31" s="34" t="str">
        <f>IF(ISERROR(VLOOKUP(CONCATENATE($A31,$U$8,W$10),'Tariff Schedule Lookup Table'!$F$8:$G$286,2,FALSE))=TRUE,"",TEXT(VLOOKUP(CONCATENATE($A31,$U$8,W$10),'Tariff Schedule Lookup Table'!$F$8:$G$286,2,FALSE),"0000"))</f>
        <v/>
      </c>
      <c r="X31" s="34" t="str">
        <f>IF(ISERROR(VLOOKUP(CONCATENATE($A31,$U$8,X$10),'Tariff Schedule Lookup Table'!$F$8:$G$286,2,FALSE))=TRUE,"",TEXT(VLOOKUP(CONCATENATE($A31,$U$8,X$10),'Tariff Schedule Lookup Table'!$F$8:$G$186,2,FALSE),"0000"))</f>
        <v/>
      </c>
      <c r="Y31" s="6"/>
      <c r="Z31" s="6"/>
      <c r="AA31" s="6"/>
      <c r="AB31" s="6"/>
      <c r="AC31" s="6"/>
    </row>
    <row r="32" spans="1:29" x14ac:dyDescent="0.2">
      <c r="A32" s="6" t="s">
        <v>993</v>
      </c>
      <c r="B32" s="35" t="s">
        <v>212</v>
      </c>
      <c r="C32" s="197">
        <f>VLOOKUP(LEFT(B32,7),'Tariff Schedule Lookup Table'!$A$8:$D$186,3,FALSE)</f>
        <v>65</v>
      </c>
      <c r="D32" s="199" t="str">
        <f>VLOOKUP(LEFT(B32,7),'Tariff Schedule Lookup Table'!$A$8:$D$186,2,FALSE)</f>
        <v>Fluorescent 65</v>
      </c>
      <c r="E32" s="6" t="s">
        <v>996</v>
      </c>
      <c r="F32" s="37">
        <f>VLOOKUP(LEFT(B32,7),'Tariff Schedule Lookup Table'!$A$8:$D$186,4,FALSE)</f>
        <v>81</v>
      </c>
      <c r="G32" s="33">
        <f>VLOOKUP($B32,'Maintenance Costs'!$A$20:$AG$176,32,FALSE)</f>
        <v>94.619982708265809</v>
      </c>
      <c r="H32" s="67">
        <f>IF(VLOOKUP($B32,'Maintenance Costs'!$A$20:$AG$176,33,FALSE)=0,"",VLOOKUP($B32,'Maintenance Costs'!$A$20:$AG$176,33,FALSE))</f>
        <v>25.940433004400706</v>
      </c>
      <c r="I32" s="34" t="str">
        <f>IF(ISERROR(VLOOKUP(CONCATENATE($A32,$I$8,I$10),'Tariff Schedule Lookup Table'!$F$8:$G$286,2,FALSE))=TRUE,"",TEXT(VLOOKUP(CONCATENATE($A32,$I$8,I$10),'Tariff Schedule Lookup Table'!$F$8:$G$286,2,FALSE),"0000"))</f>
        <v>0010</v>
      </c>
      <c r="J32" s="34" t="str">
        <f>IF(ISERROR(VLOOKUP(CONCATENATE($A32,$I$8,J$10),'Tariff Schedule Lookup Table'!$F$8:$G$286,2,FALSE))=TRUE,"",TEXT(VLOOKUP(CONCATENATE($A32,$I$8,J$10),'Tariff Schedule Lookup Table'!$F$8:$G$286,2,FALSE),"0000"))</f>
        <v>0740</v>
      </c>
      <c r="K32" s="34" t="str">
        <f>IF(ISERROR(VLOOKUP(CONCATENATE($A32,$I$8,K$10),'Tariff Schedule Lookup Table'!$F$8:$G$286,2,FALSE))=TRUE,"",TEXT(VLOOKUP(CONCATENATE($A32,$I$8,K$10),'Tariff Schedule Lookup Table'!$F$8:$G$286,2,FALSE),"0000"))</f>
        <v>0820</v>
      </c>
      <c r="L32" s="34" t="str">
        <f>IF(ISERROR(VLOOKUP(CONCATENATE($A32,$I$8,L$10),'Tariff Schedule Lookup Table'!$F$8:$G$286,2,FALSE))=TRUE,"",TEXT(VLOOKUP(CONCATENATE($A32,$I$8,L$10),'Tariff Schedule Lookup Table'!$F$8:$G$286,2,FALSE),"0000"))</f>
        <v>0830</v>
      </c>
      <c r="M32" s="34" t="str">
        <f>IF(ISERROR(VLOOKUP(CONCATENATE($A32,$M$8,M$10),'Tariff Schedule Lookup Table'!$F$8:$G$286,2,FALSE))=TRUE,"",TEXT(VLOOKUP(CONCATENATE($A32,$M$8,M$10),'Tariff Schedule Lookup Table'!$F$8:$G$286,2,FALSE),"0000"))</f>
        <v>0810</v>
      </c>
      <c r="N32" s="34" t="str">
        <f>IF(ISERROR(VLOOKUP(CONCATENATE($A32,$M$8,N$10),'Tariff Schedule Lookup Table'!$F$8:$G$286,2,FALSE))=TRUE,"",TEXT(VLOOKUP(CONCATENATE($A32,$M$8,N$10),'Tariff Schedule Lookup Table'!$F$8:$G$286,2,FALSE),"0000"))</f>
        <v>1260</v>
      </c>
      <c r="O32" s="34" t="str">
        <f>IF(ISERROR(VLOOKUP(CONCATENATE($A32,$M$8,O$10),'Tariff Schedule Lookup Table'!$F$8:$G$286,2,FALSE))=TRUE,"",TEXT(VLOOKUP(CONCATENATE($A32,$M$8,O$10),'Tariff Schedule Lookup Table'!$F$8:$G$286,2,FALSE),"0000"))</f>
        <v/>
      </c>
      <c r="P32" s="34" t="str">
        <f>IF(ISERROR(VLOOKUP(CONCATENATE($A32,$M$8,P$10),'Tariff Schedule Lookup Table'!$F$8:$G$286,2,FALSE))=TRUE,"",TEXT(VLOOKUP(CONCATENATE($A32,$M$8,P$10),'Tariff Schedule Lookup Table'!$F$8:$G$286,2,FALSE),"0000"))</f>
        <v/>
      </c>
      <c r="Q32" s="34" t="str">
        <f>IF(ISERROR(VLOOKUP(CONCATENATE($A32,$Q$8,Q$10),'Tariff Schedule Lookup Table'!$F$8:$G$286,2,FALSE))=TRUE,"",TEXT(VLOOKUP(CONCATENATE($A32,$Q$8,Q$10),'Tariff Schedule Lookup Table'!$F$8:$G$286,2,FALSE),"0000"))</f>
        <v>0990</v>
      </c>
      <c r="R32" s="34" t="str">
        <f>IF(ISERROR(VLOOKUP(CONCATENATE($A32,$Q$8,R$10),'Tariff Schedule Lookup Table'!$F$8:$G$286,2,FALSE))=TRUE,"",TEXT(VLOOKUP(CONCATENATE($A32,$Q$8,R$10),'Tariff Schedule Lookup Table'!$F$8:$G$286,2,FALSE),"0000"))</f>
        <v>1000</v>
      </c>
      <c r="S32" s="34" t="str">
        <f>IF(ISERROR(VLOOKUP(CONCATENATE($A32,$Q$8,S$10),'Tariff Schedule Lookup Table'!$F$8:$G$286,2,FALSE))=TRUE,"",TEXT(VLOOKUP(CONCATENATE($A32,$Q$8,S$10),'Tariff Schedule Lookup Table'!$F$8:$G$286,2,FALSE),"0000"))</f>
        <v>1460</v>
      </c>
      <c r="T32" s="34" t="str">
        <f>IF(ISERROR(VLOOKUP(CONCATENATE($A32,$Q$8,T$10),'Tariff Schedule Lookup Table'!$F$8:$G$286,2,FALSE))=TRUE,"",TEXT(VLOOKUP(CONCATENATE($A32,$Q$8,T$10),'Tariff Schedule Lookup Table'!$F$8:$G$286,2,FALSE),"0000"))</f>
        <v>1500</v>
      </c>
      <c r="U32" s="34" t="str">
        <f>IF(ISERROR(VLOOKUP(CONCATENATE($A32,$U$8,U$10),'Tariff Schedule Lookup Table'!$F$8:$G$286,2,FALSE))=TRUE,"",TEXT(VLOOKUP(CONCATENATE($A32,$U$8,U$10),'Tariff Schedule Lookup Table'!$F$8:$G$286,2,FALSE),"0000"))</f>
        <v/>
      </c>
      <c r="V32" s="34" t="str">
        <f>IF(ISERROR(VLOOKUP(CONCATENATE($A32,$U$8,V$10),'Tariff Schedule Lookup Table'!$F$8:$G$286,2,FALSE))=TRUE,"",TEXT(VLOOKUP(CONCATENATE($A32,$U$8,V$10),'Tariff Schedule Lookup Table'!$F$8:$G$286,2,FALSE),"0000"))</f>
        <v/>
      </c>
      <c r="W32" s="34" t="str">
        <f>IF(ISERROR(VLOOKUP(CONCATENATE($A32,$U$8,W$10),'Tariff Schedule Lookup Table'!$F$8:$G$286,2,FALSE))=TRUE,"",TEXT(VLOOKUP(CONCATENATE($A32,$U$8,W$10),'Tariff Schedule Lookup Table'!$F$8:$G$286,2,FALSE),"0000"))</f>
        <v/>
      </c>
      <c r="X32" s="34" t="str">
        <f>IF(ISERROR(VLOOKUP(CONCATENATE($A32,$U$8,X$10),'Tariff Schedule Lookup Table'!$F$8:$G$286,2,FALSE))=TRUE,"",TEXT(VLOOKUP(CONCATENATE($A32,$U$8,X$10),'Tariff Schedule Lookup Table'!$F$8:$G$186,2,FALSE),"0000"))</f>
        <v/>
      </c>
      <c r="Y32" s="6"/>
      <c r="Z32" s="6"/>
      <c r="AA32" s="6"/>
      <c r="AB32" s="6"/>
      <c r="AC32" s="6"/>
    </row>
    <row r="33" spans="1:29" x14ac:dyDescent="0.2">
      <c r="A33" s="6" t="s">
        <v>993</v>
      </c>
      <c r="B33" s="35" t="s">
        <v>213</v>
      </c>
      <c r="C33" s="197" t="str">
        <f>VLOOKUP(LEFT(B33,7),'Tariff Schedule Lookup Table'!$A$8:$D$186,3,FALSE)</f>
        <v>5x65</v>
      </c>
      <c r="D33" s="199" t="str">
        <f>VLOOKUP(LEFT(B33,7),'Tariff Schedule Lookup Table'!$A$8:$D$186,2,FALSE)</f>
        <v>Fluorescent 5x65</v>
      </c>
      <c r="E33" s="6" t="s">
        <v>996</v>
      </c>
      <c r="F33" s="37">
        <f>VLOOKUP(LEFT(B33,7),'Tariff Schedule Lookup Table'!$A$8:$D$186,4,FALSE)</f>
        <v>405</v>
      </c>
      <c r="G33" s="33">
        <f>VLOOKUP($B33,'Maintenance Costs'!$A$20:$AG$176,32,FALSE)</f>
        <v>110.63760724546582</v>
      </c>
      <c r="H33" s="67">
        <f>IF(VLOOKUP($B33,'Maintenance Costs'!$A$20:$AG$176,33,FALSE)=0,"",VLOOKUP($B33,'Maintenance Costs'!$A$20:$AG$176,33,FALSE))</f>
        <v>42.146218871667372</v>
      </c>
      <c r="I33" s="34" t="str">
        <f>IF(ISERROR(VLOOKUP(CONCATENATE($A33,$I$8,I$10),'Tariff Schedule Lookup Table'!$F$8:$G$286,2,FALSE))=TRUE,"",TEXT(VLOOKUP(CONCATENATE($A33,$I$8,I$10),'Tariff Schedule Lookup Table'!$F$8:$G$286,2,FALSE),"0000"))</f>
        <v>0010</v>
      </c>
      <c r="J33" s="34" t="str">
        <f>IF(ISERROR(VLOOKUP(CONCATENATE($A33,$I$8,J$10),'Tariff Schedule Lookup Table'!$F$8:$G$286,2,FALSE))=TRUE,"",TEXT(VLOOKUP(CONCATENATE($A33,$I$8,J$10),'Tariff Schedule Lookup Table'!$F$8:$G$286,2,FALSE),"0000"))</f>
        <v>0740</v>
      </c>
      <c r="K33" s="34" t="str">
        <f>IF(ISERROR(VLOOKUP(CONCATENATE($A33,$I$8,K$10),'Tariff Schedule Lookup Table'!$F$8:$G$286,2,FALSE))=TRUE,"",TEXT(VLOOKUP(CONCATENATE($A33,$I$8,K$10),'Tariff Schedule Lookup Table'!$F$8:$G$286,2,FALSE),"0000"))</f>
        <v>0820</v>
      </c>
      <c r="L33" s="34" t="str">
        <f>IF(ISERROR(VLOOKUP(CONCATENATE($A33,$I$8,L$10),'Tariff Schedule Lookup Table'!$F$8:$G$286,2,FALSE))=TRUE,"",TEXT(VLOOKUP(CONCATENATE($A33,$I$8,L$10),'Tariff Schedule Lookup Table'!$F$8:$G$286,2,FALSE),"0000"))</f>
        <v>0830</v>
      </c>
      <c r="M33" s="34" t="str">
        <f>IF(ISERROR(VLOOKUP(CONCATENATE($A33,$M$8,M$10),'Tariff Schedule Lookup Table'!$F$8:$G$286,2,FALSE))=TRUE,"",TEXT(VLOOKUP(CONCATENATE($A33,$M$8,M$10),'Tariff Schedule Lookup Table'!$F$8:$G$286,2,FALSE),"0000"))</f>
        <v>0810</v>
      </c>
      <c r="N33" s="34" t="str">
        <f>IF(ISERROR(VLOOKUP(CONCATENATE($A33,$M$8,N$10),'Tariff Schedule Lookup Table'!$F$8:$G$286,2,FALSE))=TRUE,"",TEXT(VLOOKUP(CONCATENATE($A33,$M$8,N$10),'Tariff Schedule Lookup Table'!$F$8:$G$286,2,FALSE),"0000"))</f>
        <v>1260</v>
      </c>
      <c r="O33" s="34" t="str">
        <f>IF(ISERROR(VLOOKUP(CONCATENATE($A33,$M$8,O$10),'Tariff Schedule Lookup Table'!$F$8:$G$286,2,FALSE))=TRUE,"",TEXT(VLOOKUP(CONCATENATE($A33,$M$8,O$10),'Tariff Schedule Lookup Table'!$F$8:$G$286,2,FALSE),"0000"))</f>
        <v/>
      </c>
      <c r="P33" s="34" t="str">
        <f>IF(ISERROR(VLOOKUP(CONCATENATE($A33,$M$8,P$10),'Tariff Schedule Lookup Table'!$F$8:$G$286,2,FALSE))=TRUE,"",TEXT(VLOOKUP(CONCATENATE($A33,$M$8,P$10),'Tariff Schedule Lookup Table'!$F$8:$G$286,2,FALSE),"0000"))</f>
        <v/>
      </c>
      <c r="Q33" s="34" t="str">
        <f>IF(ISERROR(VLOOKUP(CONCATENATE($A33,$Q$8,Q$10),'Tariff Schedule Lookup Table'!$F$8:$G$286,2,FALSE))=TRUE,"",TEXT(VLOOKUP(CONCATENATE($A33,$Q$8,Q$10),'Tariff Schedule Lookup Table'!$F$8:$G$286,2,FALSE),"0000"))</f>
        <v>0990</v>
      </c>
      <c r="R33" s="34" t="str">
        <f>IF(ISERROR(VLOOKUP(CONCATENATE($A33,$Q$8,R$10),'Tariff Schedule Lookup Table'!$F$8:$G$286,2,FALSE))=TRUE,"",TEXT(VLOOKUP(CONCATENATE($A33,$Q$8,R$10),'Tariff Schedule Lookup Table'!$F$8:$G$286,2,FALSE),"0000"))</f>
        <v>1000</v>
      </c>
      <c r="S33" s="34" t="str">
        <f>IF(ISERROR(VLOOKUP(CONCATENATE($A33,$Q$8,S$10),'Tariff Schedule Lookup Table'!$F$8:$G$286,2,FALSE))=TRUE,"",TEXT(VLOOKUP(CONCATENATE($A33,$Q$8,S$10),'Tariff Schedule Lookup Table'!$F$8:$G$286,2,FALSE),"0000"))</f>
        <v>1460</v>
      </c>
      <c r="T33" s="34" t="str">
        <f>IF(ISERROR(VLOOKUP(CONCATENATE($A33,$Q$8,T$10),'Tariff Schedule Lookup Table'!$F$8:$G$286,2,FALSE))=TRUE,"",TEXT(VLOOKUP(CONCATENATE($A33,$Q$8,T$10),'Tariff Schedule Lookup Table'!$F$8:$G$286,2,FALSE),"0000"))</f>
        <v>1500</v>
      </c>
      <c r="U33" s="34" t="str">
        <f>IF(ISERROR(VLOOKUP(CONCATENATE($A33,$U$8,U$10),'Tariff Schedule Lookup Table'!$F$8:$G$286,2,FALSE))=TRUE,"",TEXT(VLOOKUP(CONCATENATE($A33,$U$8,U$10),'Tariff Schedule Lookup Table'!$F$8:$G$286,2,FALSE),"0000"))</f>
        <v/>
      </c>
      <c r="V33" s="34" t="str">
        <f>IF(ISERROR(VLOOKUP(CONCATENATE($A33,$U$8,V$10),'Tariff Schedule Lookup Table'!$F$8:$G$286,2,FALSE))=TRUE,"",TEXT(VLOOKUP(CONCATENATE($A33,$U$8,V$10),'Tariff Schedule Lookup Table'!$F$8:$G$286,2,FALSE),"0000"))</f>
        <v/>
      </c>
      <c r="W33" s="34" t="str">
        <f>IF(ISERROR(VLOOKUP(CONCATENATE($A33,$U$8,W$10),'Tariff Schedule Lookup Table'!$F$8:$G$286,2,FALSE))=TRUE,"",TEXT(VLOOKUP(CONCATENATE($A33,$U$8,W$10),'Tariff Schedule Lookup Table'!$F$8:$G$286,2,FALSE),"0000"))</f>
        <v/>
      </c>
      <c r="X33" s="34" t="str">
        <f>IF(ISERROR(VLOOKUP(CONCATENATE($A33,$U$8,X$10),'Tariff Schedule Lookup Table'!$F$8:$G$286,2,FALSE))=TRUE,"",TEXT(VLOOKUP(CONCATENATE($A33,$U$8,X$10),'Tariff Schedule Lookup Table'!$F$8:$G$186,2,FALSE),"0000"))</f>
        <v/>
      </c>
      <c r="Y33" s="6"/>
      <c r="Z33" s="6"/>
      <c r="AA33" s="6"/>
      <c r="AB33" s="6"/>
      <c r="AC33" s="6"/>
    </row>
    <row r="34" spans="1:29" x14ac:dyDescent="0.2">
      <c r="A34" s="6" t="s">
        <v>993</v>
      </c>
      <c r="B34" s="35" t="s">
        <v>2080</v>
      </c>
      <c r="C34" s="197">
        <f>VLOOKUP(LEFT(B34,7),'Tariff Schedule Lookup Table'!$A$8:$D$186,3,FALSE)</f>
        <v>80</v>
      </c>
      <c r="D34" s="199" t="str">
        <f>VLOOKUP(LEFT(B34,7),'Tariff Schedule Lookup Table'!$A$8:$D$186,2,FALSE)</f>
        <v>Fluorescent 80</v>
      </c>
      <c r="E34" s="6" t="s">
        <v>996</v>
      </c>
      <c r="F34" s="37">
        <f>VLOOKUP(LEFT(B34,7),'Tariff Schedule Lookup Table'!$A$8:$D$186,4,FALSE)</f>
        <v>90</v>
      </c>
      <c r="G34" s="33">
        <f>VLOOKUP($B34,'Maintenance Costs'!$A$20:$AG$176,32,FALSE)</f>
        <v>94.619982708265809</v>
      </c>
      <c r="H34" s="67">
        <f>IF(VLOOKUP($B34,'Maintenance Costs'!$A$20:$AG$176,33,FALSE)=0,"",VLOOKUP($B34,'Maintenance Costs'!$A$20:$AG$176,33,FALSE))</f>
        <v>25.940433004400706</v>
      </c>
      <c r="I34" s="34" t="str">
        <f>IF(ISERROR(VLOOKUP(CONCATENATE($A34,$I$8,I$10),'Tariff Schedule Lookup Table'!$F$8:$G$286,2,FALSE))=TRUE,"",TEXT(VLOOKUP(CONCATENATE($A34,$I$8,I$10),'Tariff Schedule Lookup Table'!$F$8:$G$286,2,FALSE),"0000"))</f>
        <v>0010</v>
      </c>
      <c r="J34" s="34" t="str">
        <f>IF(ISERROR(VLOOKUP(CONCATENATE($A34,$I$8,J$10),'Tariff Schedule Lookup Table'!$F$8:$G$286,2,FALSE))=TRUE,"",TEXT(VLOOKUP(CONCATENATE($A34,$I$8,J$10),'Tariff Schedule Lookup Table'!$F$8:$G$286,2,FALSE),"0000"))</f>
        <v>0740</v>
      </c>
      <c r="K34" s="34" t="str">
        <f>IF(ISERROR(VLOOKUP(CONCATENATE($A34,$I$8,K$10),'Tariff Schedule Lookup Table'!$F$8:$G$286,2,FALSE))=TRUE,"",TEXT(VLOOKUP(CONCATENATE($A34,$I$8,K$10),'Tariff Schedule Lookup Table'!$F$8:$G$286,2,FALSE),"0000"))</f>
        <v>0820</v>
      </c>
      <c r="L34" s="34" t="str">
        <f>IF(ISERROR(VLOOKUP(CONCATENATE($A34,$I$8,L$10),'Tariff Schedule Lookup Table'!$F$8:$G$286,2,FALSE))=TRUE,"",TEXT(VLOOKUP(CONCATENATE($A34,$I$8,L$10),'Tariff Schedule Lookup Table'!$F$8:$G$286,2,FALSE),"0000"))</f>
        <v>0830</v>
      </c>
      <c r="M34" s="34" t="str">
        <f>IF(ISERROR(VLOOKUP(CONCATENATE($A34,$M$8,M$10),'Tariff Schedule Lookup Table'!$F$8:$G$286,2,FALSE))=TRUE,"",TEXT(VLOOKUP(CONCATENATE($A34,$M$8,M$10),'Tariff Schedule Lookup Table'!$F$8:$G$286,2,FALSE),"0000"))</f>
        <v>0810</v>
      </c>
      <c r="N34" s="34" t="str">
        <f>IF(ISERROR(VLOOKUP(CONCATENATE($A34,$M$8,N$10),'Tariff Schedule Lookup Table'!$F$8:$G$286,2,FALSE))=TRUE,"",TEXT(VLOOKUP(CONCATENATE($A34,$M$8,N$10),'Tariff Schedule Lookup Table'!$F$8:$G$286,2,FALSE),"0000"))</f>
        <v>1260</v>
      </c>
      <c r="O34" s="34" t="str">
        <f>IF(ISERROR(VLOOKUP(CONCATENATE($A34,$M$8,O$10),'Tariff Schedule Lookup Table'!$F$8:$G$286,2,FALSE))=TRUE,"",TEXT(VLOOKUP(CONCATENATE($A34,$M$8,O$10),'Tariff Schedule Lookup Table'!$F$8:$G$286,2,FALSE),"0000"))</f>
        <v/>
      </c>
      <c r="P34" s="34" t="str">
        <f>IF(ISERROR(VLOOKUP(CONCATENATE($A34,$M$8,P$10),'Tariff Schedule Lookup Table'!$F$8:$G$286,2,FALSE))=TRUE,"",TEXT(VLOOKUP(CONCATENATE($A34,$M$8,P$10),'Tariff Schedule Lookup Table'!$F$8:$G$286,2,FALSE),"0000"))</f>
        <v/>
      </c>
      <c r="Q34" s="34" t="str">
        <f>IF(ISERROR(VLOOKUP(CONCATENATE($A34,$Q$8,Q$10),'Tariff Schedule Lookup Table'!$F$8:$G$286,2,FALSE))=TRUE,"",TEXT(VLOOKUP(CONCATENATE($A34,$Q$8,Q$10),'Tariff Schedule Lookup Table'!$F$8:$G$286,2,FALSE),"0000"))</f>
        <v>0990</v>
      </c>
      <c r="R34" s="34" t="str">
        <f>IF(ISERROR(VLOOKUP(CONCATENATE($A34,$Q$8,R$10),'Tariff Schedule Lookup Table'!$F$8:$G$286,2,FALSE))=TRUE,"",TEXT(VLOOKUP(CONCATENATE($A34,$Q$8,R$10),'Tariff Schedule Lookup Table'!$F$8:$G$286,2,FALSE),"0000"))</f>
        <v>1000</v>
      </c>
      <c r="S34" s="34" t="str">
        <f>IF(ISERROR(VLOOKUP(CONCATENATE($A34,$Q$8,S$10),'Tariff Schedule Lookup Table'!$F$8:$G$286,2,FALSE))=TRUE,"",TEXT(VLOOKUP(CONCATENATE($A34,$Q$8,S$10),'Tariff Schedule Lookup Table'!$F$8:$G$286,2,FALSE),"0000"))</f>
        <v>1460</v>
      </c>
      <c r="T34" s="34" t="str">
        <f>IF(ISERROR(VLOOKUP(CONCATENATE($A34,$Q$8,T$10),'Tariff Schedule Lookup Table'!$F$8:$G$286,2,FALSE))=TRUE,"",TEXT(VLOOKUP(CONCATENATE($A34,$Q$8,T$10),'Tariff Schedule Lookup Table'!$F$8:$G$286,2,FALSE),"0000"))</f>
        <v>1500</v>
      </c>
      <c r="U34" s="34" t="str">
        <f>IF(ISERROR(VLOOKUP(CONCATENATE($A34,$U$8,U$10),'Tariff Schedule Lookup Table'!$F$8:$G$286,2,FALSE))=TRUE,"",TEXT(VLOOKUP(CONCATENATE($A34,$U$8,U$10),'Tariff Schedule Lookup Table'!$F$8:$G$286,2,FALSE),"0000"))</f>
        <v/>
      </c>
      <c r="V34" s="34" t="str">
        <f>IF(ISERROR(VLOOKUP(CONCATENATE($A34,$U$8,V$10),'Tariff Schedule Lookup Table'!$F$8:$G$286,2,FALSE))=TRUE,"",TEXT(VLOOKUP(CONCATENATE($A34,$U$8,V$10),'Tariff Schedule Lookup Table'!$F$8:$G$286,2,FALSE),"0000"))</f>
        <v/>
      </c>
      <c r="W34" s="34" t="str">
        <f>IF(ISERROR(VLOOKUP(CONCATENATE($A34,$U$8,W$10),'Tariff Schedule Lookup Table'!$F$8:$G$286,2,FALSE))=TRUE,"",TEXT(VLOOKUP(CONCATENATE($A34,$U$8,W$10),'Tariff Schedule Lookup Table'!$F$8:$G$286,2,FALSE),"0000"))</f>
        <v/>
      </c>
      <c r="X34" s="34" t="str">
        <f>IF(ISERROR(VLOOKUP(CONCATENATE($A34,$U$8,X$10),'Tariff Schedule Lookup Table'!$F$8:$G$286,2,FALSE))=TRUE,"",TEXT(VLOOKUP(CONCATENATE($A34,$U$8,X$10),'Tariff Schedule Lookup Table'!$F$8:$G$186,2,FALSE),"0000"))</f>
        <v/>
      </c>
      <c r="Y34" s="6"/>
      <c r="Z34" s="6"/>
      <c r="AA34" s="6"/>
      <c r="AB34" s="6"/>
      <c r="AC34" s="6"/>
    </row>
    <row r="35" spans="1:29" x14ac:dyDescent="0.2">
      <c r="A35" s="6" t="s">
        <v>993</v>
      </c>
      <c r="B35" s="35" t="s">
        <v>2081</v>
      </c>
      <c r="C35" s="197" t="str">
        <f>VLOOKUP(LEFT(B35,7),'Tariff Schedule Lookup Table'!$A$8:$D$186,3,FALSE)</f>
        <v>2x80</v>
      </c>
      <c r="D35" s="199" t="str">
        <f>VLOOKUP(LEFT(B35,7),'Tariff Schedule Lookup Table'!$A$8:$D$186,2,FALSE)</f>
        <v>Fluorescent 2x80</v>
      </c>
      <c r="E35" s="6" t="s">
        <v>996</v>
      </c>
      <c r="F35" s="37">
        <f>VLOOKUP(LEFT(B35,7),'Tariff Schedule Lookup Table'!$A$8:$D$186,4,FALSE)</f>
        <v>180</v>
      </c>
      <c r="G35" s="33">
        <f>VLOOKUP($B35,'Maintenance Costs'!$A$20:$AG$176,32,FALSE)</f>
        <v>98.624388842565807</v>
      </c>
      <c r="H35" s="67">
        <f>IF(VLOOKUP($B35,'Maintenance Costs'!$A$20:$AG$176,33,FALSE)=0,"",VLOOKUP($B35,'Maintenance Costs'!$A$20:$AG$176,33,FALSE))</f>
        <v>29.991879471217374</v>
      </c>
      <c r="I35" s="34" t="str">
        <f>IF(ISERROR(VLOOKUP(CONCATENATE($A35,$I$8,I$10),'Tariff Schedule Lookup Table'!$F$8:$G$286,2,FALSE))=TRUE,"",TEXT(VLOOKUP(CONCATENATE($A35,$I$8,I$10),'Tariff Schedule Lookup Table'!$F$8:$G$286,2,FALSE),"0000"))</f>
        <v>0010</v>
      </c>
      <c r="J35" s="34" t="str">
        <f>IF(ISERROR(VLOOKUP(CONCATENATE($A35,$I$8,J$10),'Tariff Schedule Lookup Table'!$F$8:$G$286,2,FALSE))=TRUE,"",TEXT(VLOOKUP(CONCATENATE($A35,$I$8,J$10),'Tariff Schedule Lookup Table'!$F$8:$G$286,2,FALSE),"0000"))</f>
        <v>0740</v>
      </c>
      <c r="K35" s="34" t="str">
        <f>IF(ISERROR(VLOOKUP(CONCATENATE($A35,$I$8,K$10),'Tariff Schedule Lookup Table'!$F$8:$G$286,2,FALSE))=TRUE,"",TEXT(VLOOKUP(CONCATENATE($A35,$I$8,K$10),'Tariff Schedule Lookup Table'!$F$8:$G$286,2,FALSE),"0000"))</f>
        <v>0820</v>
      </c>
      <c r="L35" s="34" t="str">
        <f>IF(ISERROR(VLOOKUP(CONCATENATE($A35,$I$8,L$10),'Tariff Schedule Lookup Table'!$F$8:$G$286,2,FALSE))=TRUE,"",TEXT(VLOOKUP(CONCATENATE($A35,$I$8,L$10),'Tariff Schedule Lookup Table'!$F$8:$G$286,2,FALSE),"0000"))</f>
        <v>0830</v>
      </c>
      <c r="M35" s="34" t="str">
        <f>IF(ISERROR(VLOOKUP(CONCATENATE($A35,$M$8,M$10),'Tariff Schedule Lookup Table'!$F$8:$G$286,2,FALSE))=TRUE,"",TEXT(VLOOKUP(CONCATENATE($A35,$M$8,M$10),'Tariff Schedule Lookup Table'!$F$8:$G$286,2,FALSE),"0000"))</f>
        <v>0810</v>
      </c>
      <c r="N35" s="34" t="str">
        <f>IF(ISERROR(VLOOKUP(CONCATENATE($A35,$M$8,N$10),'Tariff Schedule Lookup Table'!$F$8:$G$286,2,FALSE))=TRUE,"",TEXT(VLOOKUP(CONCATENATE($A35,$M$8,N$10),'Tariff Schedule Lookup Table'!$F$8:$G$286,2,FALSE),"0000"))</f>
        <v>1260</v>
      </c>
      <c r="O35" s="34" t="str">
        <f>IF(ISERROR(VLOOKUP(CONCATENATE($A35,$M$8,O$10),'Tariff Schedule Lookup Table'!$F$8:$G$286,2,FALSE))=TRUE,"",TEXT(VLOOKUP(CONCATENATE($A35,$M$8,O$10),'Tariff Schedule Lookup Table'!$F$8:$G$286,2,FALSE),"0000"))</f>
        <v/>
      </c>
      <c r="P35" s="34" t="str">
        <f>IF(ISERROR(VLOOKUP(CONCATENATE($A35,$M$8,P$10),'Tariff Schedule Lookup Table'!$F$8:$G$286,2,FALSE))=TRUE,"",TEXT(VLOOKUP(CONCATENATE($A35,$M$8,P$10),'Tariff Schedule Lookup Table'!$F$8:$G$286,2,FALSE),"0000"))</f>
        <v/>
      </c>
      <c r="Q35" s="34" t="str">
        <f>IF(ISERROR(VLOOKUP(CONCATENATE($A35,$Q$8,Q$10),'Tariff Schedule Lookup Table'!$F$8:$G$286,2,FALSE))=TRUE,"",TEXT(VLOOKUP(CONCATENATE($A35,$Q$8,Q$10),'Tariff Schedule Lookup Table'!$F$8:$G$286,2,FALSE),"0000"))</f>
        <v>0990</v>
      </c>
      <c r="R35" s="34" t="str">
        <f>IF(ISERROR(VLOOKUP(CONCATENATE($A35,$Q$8,R$10),'Tariff Schedule Lookup Table'!$F$8:$G$286,2,FALSE))=TRUE,"",TEXT(VLOOKUP(CONCATENATE($A35,$Q$8,R$10),'Tariff Schedule Lookup Table'!$F$8:$G$286,2,FALSE),"0000"))</f>
        <v>1000</v>
      </c>
      <c r="S35" s="34" t="str">
        <f>IF(ISERROR(VLOOKUP(CONCATENATE($A35,$Q$8,S$10),'Tariff Schedule Lookup Table'!$F$8:$G$286,2,FALSE))=TRUE,"",TEXT(VLOOKUP(CONCATENATE($A35,$Q$8,S$10),'Tariff Schedule Lookup Table'!$F$8:$G$286,2,FALSE),"0000"))</f>
        <v>1460</v>
      </c>
      <c r="T35" s="34" t="str">
        <f>IF(ISERROR(VLOOKUP(CONCATENATE($A35,$Q$8,T$10),'Tariff Schedule Lookup Table'!$F$8:$G$286,2,FALSE))=TRUE,"",TEXT(VLOOKUP(CONCATENATE($A35,$Q$8,T$10),'Tariff Schedule Lookup Table'!$F$8:$G$286,2,FALSE),"0000"))</f>
        <v>1500</v>
      </c>
      <c r="U35" s="34" t="str">
        <f>IF(ISERROR(VLOOKUP(CONCATENATE($A35,$U$8,U$10),'Tariff Schedule Lookup Table'!$F$8:$G$286,2,FALSE))=TRUE,"",TEXT(VLOOKUP(CONCATENATE($A35,$U$8,U$10),'Tariff Schedule Lookup Table'!$F$8:$G$286,2,FALSE),"0000"))</f>
        <v/>
      </c>
      <c r="V35" s="34" t="str">
        <f>IF(ISERROR(VLOOKUP(CONCATENATE($A35,$U$8,V$10),'Tariff Schedule Lookup Table'!$F$8:$G$286,2,FALSE))=TRUE,"",TEXT(VLOOKUP(CONCATENATE($A35,$U$8,V$10),'Tariff Schedule Lookup Table'!$F$8:$G$286,2,FALSE),"0000"))</f>
        <v/>
      </c>
      <c r="W35" s="34" t="str">
        <f>IF(ISERROR(VLOOKUP(CONCATENATE($A35,$U$8,W$10),'Tariff Schedule Lookup Table'!$F$8:$G$286,2,FALSE))=TRUE,"",TEXT(VLOOKUP(CONCATENATE($A35,$U$8,W$10),'Tariff Schedule Lookup Table'!$F$8:$G$286,2,FALSE),"0000"))</f>
        <v/>
      </c>
      <c r="X35" s="34" t="str">
        <f>IF(ISERROR(VLOOKUP(CONCATENATE($A35,$U$8,X$10),'Tariff Schedule Lookup Table'!$F$8:$G$286,2,FALSE))=TRUE,"",TEXT(VLOOKUP(CONCATENATE($A35,$U$8,X$10),'Tariff Schedule Lookup Table'!$F$8:$G$186,2,FALSE),"0000"))</f>
        <v/>
      </c>
      <c r="Y35" s="6"/>
      <c r="Z35" s="6"/>
      <c r="AA35" s="6"/>
      <c r="AB35" s="6"/>
      <c r="AC35" s="6"/>
    </row>
    <row r="36" spans="1:29" x14ac:dyDescent="0.2">
      <c r="A36" s="6" t="s">
        <v>993</v>
      </c>
      <c r="B36" s="35" t="s">
        <v>2082</v>
      </c>
      <c r="C36" s="197" t="str">
        <f>VLOOKUP(LEFT(B36,7),'Tariff Schedule Lookup Table'!$A$8:$D$186,3,FALSE)</f>
        <v>3x80</v>
      </c>
      <c r="D36" s="199" t="str">
        <f>VLOOKUP(LEFT(B36,7),'Tariff Schedule Lookup Table'!$A$8:$D$186,2,FALSE)</f>
        <v>Fluorescent 3x80</v>
      </c>
      <c r="E36" s="6" t="s">
        <v>996</v>
      </c>
      <c r="F36" s="37">
        <f>VLOOKUP(LEFT(B36,7),'Tariff Schedule Lookup Table'!$A$8:$D$186,4,FALSE)</f>
        <v>270</v>
      </c>
      <c r="G36" s="33">
        <f>VLOOKUP($B36,'Maintenance Costs'!$A$20:$AG$176,32,FALSE)</f>
        <v>102.62879497686581</v>
      </c>
      <c r="H36" s="67">
        <f>IF(VLOOKUP($B36,'Maintenance Costs'!$A$20:$AG$176,33,FALSE)=0,"",VLOOKUP($B36,'Maintenance Costs'!$A$20:$AG$176,33,FALSE))</f>
        <v>34.043325938034037</v>
      </c>
      <c r="I36" s="34" t="str">
        <f>IF(ISERROR(VLOOKUP(CONCATENATE($A36,$I$8,I$10),'Tariff Schedule Lookup Table'!$F$8:$G$286,2,FALSE))=TRUE,"",TEXT(VLOOKUP(CONCATENATE($A36,$I$8,I$10),'Tariff Schedule Lookup Table'!$F$8:$G$286,2,FALSE),"0000"))</f>
        <v>0010</v>
      </c>
      <c r="J36" s="34" t="str">
        <f>IF(ISERROR(VLOOKUP(CONCATENATE($A36,$I$8,J$10),'Tariff Schedule Lookup Table'!$F$8:$G$286,2,FALSE))=TRUE,"",TEXT(VLOOKUP(CONCATENATE($A36,$I$8,J$10),'Tariff Schedule Lookup Table'!$F$8:$G$286,2,FALSE),"0000"))</f>
        <v>0740</v>
      </c>
      <c r="K36" s="34" t="str">
        <f>IF(ISERROR(VLOOKUP(CONCATENATE($A36,$I$8,K$10),'Tariff Schedule Lookup Table'!$F$8:$G$286,2,FALSE))=TRUE,"",TEXT(VLOOKUP(CONCATENATE($A36,$I$8,K$10),'Tariff Schedule Lookup Table'!$F$8:$G$286,2,FALSE),"0000"))</f>
        <v>0820</v>
      </c>
      <c r="L36" s="34" t="str">
        <f>IF(ISERROR(VLOOKUP(CONCATENATE($A36,$I$8,L$10),'Tariff Schedule Lookup Table'!$F$8:$G$286,2,FALSE))=TRUE,"",TEXT(VLOOKUP(CONCATENATE($A36,$I$8,L$10),'Tariff Schedule Lookup Table'!$F$8:$G$286,2,FALSE),"0000"))</f>
        <v>0830</v>
      </c>
      <c r="M36" s="34" t="str">
        <f>IF(ISERROR(VLOOKUP(CONCATENATE($A36,$M$8,M$10),'Tariff Schedule Lookup Table'!$F$8:$G$286,2,FALSE))=TRUE,"",TEXT(VLOOKUP(CONCATENATE($A36,$M$8,M$10),'Tariff Schedule Lookup Table'!$F$8:$G$286,2,FALSE),"0000"))</f>
        <v>0810</v>
      </c>
      <c r="N36" s="34" t="str">
        <f>IF(ISERROR(VLOOKUP(CONCATENATE($A36,$M$8,N$10),'Tariff Schedule Lookup Table'!$F$8:$G$286,2,FALSE))=TRUE,"",TEXT(VLOOKUP(CONCATENATE($A36,$M$8,N$10),'Tariff Schedule Lookup Table'!$F$8:$G$286,2,FALSE),"0000"))</f>
        <v>1260</v>
      </c>
      <c r="O36" s="34" t="str">
        <f>IF(ISERROR(VLOOKUP(CONCATENATE($A36,$M$8,O$10),'Tariff Schedule Lookup Table'!$F$8:$G$286,2,FALSE))=TRUE,"",TEXT(VLOOKUP(CONCATENATE($A36,$M$8,O$10),'Tariff Schedule Lookup Table'!$F$8:$G$286,2,FALSE),"0000"))</f>
        <v/>
      </c>
      <c r="P36" s="34" t="str">
        <f>IF(ISERROR(VLOOKUP(CONCATENATE($A36,$M$8,P$10),'Tariff Schedule Lookup Table'!$F$8:$G$286,2,FALSE))=TRUE,"",TEXT(VLOOKUP(CONCATENATE($A36,$M$8,P$10),'Tariff Schedule Lookup Table'!$F$8:$G$286,2,FALSE),"0000"))</f>
        <v/>
      </c>
      <c r="Q36" s="34" t="str">
        <f>IF(ISERROR(VLOOKUP(CONCATENATE($A36,$Q$8,Q$10),'Tariff Schedule Lookup Table'!$F$8:$G$286,2,FALSE))=TRUE,"",TEXT(VLOOKUP(CONCATENATE($A36,$Q$8,Q$10),'Tariff Schedule Lookup Table'!$F$8:$G$286,2,FALSE),"0000"))</f>
        <v>0990</v>
      </c>
      <c r="R36" s="34" t="str">
        <f>IF(ISERROR(VLOOKUP(CONCATENATE($A36,$Q$8,R$10),'Tariff Schedule Lookup Table'!$F$8:$G$286,2,FALSE))=TRUE,"",TEXT(VLOOKUP(CONCATENATE($A36,$Q$8,R$10),'Tariff Schedule Lookup Table'!$F$8:$G$286,2,FALSE),"0000"))</f>
        <v>1000</v>
      </c>
      <c r="S36" s="34" t="str">
        <f>IF(ISERROR(VLOOKUP(CONCATENATE($A36,$Q$8,S$10),'Tariff Schedule Lookup Table'!$F$8:$G$286,2,FALSE))=TRUE,"",TEXT(VLOOKUP(CONCATENATE($A36,$Q$8,S$10),'Tariff Schedule Lookup Table'!$F$8:$G$286,2,FALSE),"0000"))</f>
        <v>1460</v>
      </c>
      <c r="T36" s="34" t="str">
        <f>IF(ISERROR(VLOOKUP(CONCATENATE($A36,$Q$8,T$10),'Tariff Schedule Lookup Table'!$F$8:$G$286,2,FALSE))=TRUE,"",TEXT(VLOOKUP(CONCATENATE($A36,$Q$8,T$10),'Tariff Schedule Lookup Table'!$F$8:$G$286,2,FALSE),"0000"))</f>
        <v>1500</v>
      </c>
      <c r="U36" s="34" t="str">
        <f>IF(ISERROR(VLOOKUP(CONCATENATE($A36,$U$8,U$10),'Tariff Schedule Lookup Table'!$F$8:$G$286,2,FALSE))=TRUE,"",TEXT(VLOOKUP(CONCATENATE($A36,$U$8,U$10),'Tariff Schedule Lookup Table'!$F$8:$G$286,2,FALSE),"0000"))</f>
        <v/>
      </c>
      <c r="V36" s="34" t="str">
        <f>IF(ISERROR(VLOOKUP(CONCATENATE($A36,$U$8,V$10),'Tariff Schedule Lookup Table'!$F$8:$G$286,2,FALSE))=TRUE,"",TEXT(VLOOKUP(CONCATENATE($A36,$U$8,V$10),'Tariff Schedule Lookup Table'!$F$8:$G$286,2,FALSE),"0000"))</f>
        <v/>
      </c>
      <c r="W36" s="34" t="str">
        <f>IF(ISERROR(VLOOKUP(CONCATENATE($A36,$U$8,W$10),'Tariff Schedule Lookup Table'!$F$8:$G$286,2,FALSE))=TRUE,"",TEXT(VLOOKUP(CONCATENATE($A36,$U$8,W$10),'Tariff Schedule Lookup Table'!$F$8:$G$286,2,FALSE),"0000"))</f>
        <v/>
      </c>
      <c r="X36" s="34" t="str">
        <f>IF(ISERROR(VLOOKUP(CONCATENATE($A36,$U$8,X$10),'Tariff Schedule Lookup Table'!$F$8:$G$286,2,FALSE))=TRUE,"",TEXT(VLOOKUP(CONCATENATE($A36,$U$8,X$10),'Tariff Schedule Lookup Table'!$F$8:$G$186,2,FALSE),"0000"))</f>
        <v/>
      </c>
      <c r="Y36" s="6"/>
      <c r="Z36" s="6"/>
      <c r="AA36" s="6"/>
      <c r="AB36" s="6"/>
      <c r="AC36" s="6"/>
    </row>
    <row r="37" spans="1:29" x14ac:dyDescent="0.2">
      <c r="A37" s="6" t="s">
        <v>993</v>
      </c>
      <c r="B37" s="35" t="s">
        <v>148</v>
      </c>
      <c r="C37" s="197" t="str">
        <f>VLOOKUP(LEFT(B37,7),'Tariff Schedule Lookup Table'!$A$8:$D$186,3,FALSE)</f>
        <v>4x80</v>
      </c>
      <c r="D37" s="199" t="str">
        <f>VLOOKUP(LEFT(B37,7),'Tariff Schedule Lookup Table'!$A$8:$D$186,2,FALSE)</f>
        <v>Fluorescent 4x80</v>
      </c>
      <c r="E37" s="6" t="s">
        <v>996</v>
      </c>
      <c r="F37" s="37">
        <f>VLOOKUP(LEFT(B37,7),'Tariff Schedule Lookup Table'!$A$8:$D$186,4,FALSE)</f>
        <v>360</v>
      </c>
      <c r="G37" s="33">
        <f>VLOOKUP($B37,'Maintenance Costs'!$A$20:$AG$176,32,FALSE)</f>
        <v>106.6332011111658</v>
      </c>
      <c r="H37" s="67">
        <f>IF(VLOOKUP($B37,'Maintenance Costs'!$A$20:$AG$176,33,FALSE)=0,"",VLOOKUP($B37,'Maintenance Costs'!$A$20:$AG$176,33,FALSE))</f>
        <v>38.094772404850701</v>
      </c>
      <c r="I37" s="34" t="str">
        <f>IF(ISERROR(VLOOKUP(CONCATENATE($A37,$I$8,I$10),'Tariff Schedule Lookup Table'!$F$8:$G$286,2,FALSE))=TRUE,"",TEXT(VLOOKUP(CONCATENATE($A37,$I$8,I$10),'Tariff Schedule Lookup Table'!$F$8:$G$286,2,FALSE),"0000"))</f>
        <v>0010</v>
      </c>
      <c r="J37" s="34" t="str">
        <f>IF(ISERROR(VLOOKUP(CONCATENATE($A37,$I$8,J$10),'Tariff Schedule Lookup Table'!$F$8:$G$286,2,FALSE))=TRUE,"",TEXT(VLOOKUP(CONCATENATE($A37,$I$8,J$10),'Tariff Schedule Lookup Table'!$F$8:$G$286,2,FALSE),"0000"))</f>
        <v>0740</v>
      </c>
      <c r="K37" s="34" t="str">
        <f>IF(ISERROR(VLOOKUP(CONCATENATE($A37,$I$8,K$10),'Tariff Schedule Lookup Table'!$F$8:$G$286,2,FALSE))=TRUE,"",TEXT(VLOOKUP(CONCATENATE($A37,$I$8,K$10),'Tariff Schedule Lookup Table'!$F$8:$G$286,2,FALSE),"0000"))</f>
        <v>0820</v>
      </c>
      <c r="L37" s="34" t="str">
        <f>IF(ISERROR(VLOOKUP(CONCATENATE($A37,$I$8,L$10),'Tariff Schedule Lookup Table'!$F$8:$G$286,2,FALSE))=TRUE,"",TEXT(VLOOKUP(CONCATENATE($A37,$I$8,L$10),'Tariff Schedule Lookup Table'!$F$8:$G$286,2,FALSE),"0000"))</f>
        <v>0830</v>
      </c>
      <c r="M37" s="34" t="str">
        <f>IF(ISERROR(VLOOKUP(CONCATENATE($A37,$M$8,M$10),'Tariff Schedule Lookup Table'!$F$8:$G$286,2,FALSE))=TRUE,"",TEXT(VLOOKUP(CONCATENATE($A37,$M$8,M$10),'Tariff Schedule Lookup Table'!$F$8:$G$286,2,FALSE),"0000"))</f>
        <v>0810</v>
      </c>
      <c r="N37" s="34" t="str">
        <f>IF(ISERROR(VLOOKUP(CONCATENATE($A37,$M$8,N$10),'Tariff Schedule Lookup Table'!$F$8:$G$286,2,FALSE))=TRUE,"",TEXT(VLOOKUP(CONCATENATE($A37,$M$8,N$10),'Tariff Schedule Lookup Table'!$F$8:$G$286,2,FALSE),"0000"))</f>
        <v>1260</v>
      </c>
      <c r="O37" s="34" t="str">
        <f>IF(ISERROR(VLOOKUP(CONCATENATE($A37,$M$8,O$10),'Tariff Schedule Lookup Table'!$F$8:$G$286,2,FALSE))=TRUE,"",TEXT(VLOOKUP(CONCATENATE($A37,$M$8,O$10),'Tariff Schedule Lookup Table'!$F$8:$G$286,2,FALSE),"0000"))</f>
        <v/>
      </c>
      <c r="P37" s="34" t="str">
        <f>IF(ISERROR(VLOOKUP(CONCATENATE($A37,$M$8,P$10),'Tariff Schedule Lookup Table'!$F$8:$G$286,2,FALSE))=TRUE,"",TEXT(VLOOKUP(CONCATENATE($A37,$M$8,P$10),'Tariff Schedule Lookup Table'!$F$8:$G$286,2,FALSE),"0000"))</f>
        <v/>
      </c>
      <c r="Q37" s="34" t="str">
        <f>IF(ISERROR(VLOOKUP(CONCATENATE($A37,$Q$8,Q$10),'Tariff Schedule Lookup Table'!$F$8:$G$286,2,FALSE))=TRUE,"",TEXT(VLOOKUP(CONCATENATE($A37,$Q$8,Q$10),'Tariff Schedule Lookup Table'!$F$8:$G$286,2,FALSE),"0000"))</f>
        <v>0990</v>
      </c>
      <c r="R37" s="34" t="str">
        <f>IF(ISERROR(VLOOKUP(CONCATENATE($A37,$Q$8,R$10),'Tariff Schedule Lookup Table'!$F$8:$G$286,2,FALSE))=TRUE,"",TEXT(VLOOKUP(CONCATENATE($A37,$Q$8,R$10),'Tariff Schedule Lookup Table'!$F$8:$G$286,2,FALSE),"0000"))</f>
        <v>1000</v>
      </c>
      <c r="S37" s="34" t="str">
        <f>IF(ISERROR(VLOOKUP(CONCATENATE($A37,$Q$8,S$10),'Tariff Schedule Lookup Table'!$F$8:$G$286,2,FALSE))=TRUE,"",TEXT(VLOOKUP(CONCATENATE($A37,$Q$8,S$10),'Tariff Schedule Lookup Table'!$F$8:$G$286,2,FALSE),"0000"))</f>
        <v>1460</v>
      </c>
      <c r="T37" s="34" t="str">
        <f>IF(ISERROR(VLOOKUP(CONCATENATE($A37,$Q$8,T$10),'Tariff Schedule Lookup Table'!$F$8:$G$286,2,FALSE))=TRUE,"",TEXT(VLOOKUP(CONCATENATE($A37,$Q$8,T$10),'Tariff Schedule Lookup Table'!$F$8:$G$286,2,FALSE),"0000"))</f>
        <v>1500</v>
      </c>
      <c r="U37" s="34" t="str">
        <f>IF(ISERROR(VLOOKUP(CONCATENATE($A37,$U$8,U$10),'Tariff Schedule Lookup Table'!$F$8:$G$286,2,FALSE))=TRUE,"",TEXT(VLOOKUP(CONCATENATE($A37,$U$8,U$10),'Tariff Schedule Lookup Table'!$F$8:$G$286,2,FALSE),"0000"))</f>
        <v/>
      </c>
      <c r="V37" s="34" t="str">
        <f>IF(ISERROR(VLOOKUP(CONCATENATE($A37,$U$8,V$10),'Tariff Schedule Lookup Table'!$F$8:$G$286,2,FALSE))=TRUE,"",TEXT(VLOOKUP(CONCATENATE($A37,$U$8,V$10),'Tariff Schedule Lookup Table'!$F$8:$G$286,2,FALSE),"0000"))</f>
        <v/>
      </c>
      <c r="W37" s="34" t="str">
        <f>IF(ISERROR(VLOOKUP(CONCATENATE($A37,$U$8,W$10),'Tariff Schedule Lookup Table'!$F$8:$G$286,2,FALSE))=TRUE,"",TEXT(VLOOKUP(CONCATENATE($A37,$U$8,W$10),'Tariff Schedule Lookup Table'!$F$8:$G$286,2,FALSE),"0000"))</f>
        <v/>
      </c>
      <c r="X37" s="34" t="str">
        <f>IF(ISERROR(VLOOKUP(CONCATENATE($A37,$U$8,X$10),'Tariff Schedule Lookup Table'!$F$8:$G$286,2,FALSE))=TRUE,"",TEXT(VLOOKUP(CONCATENATE($A37,$U$8,X$10),'Tariff Schedule Lookup Table'!$F$8:$G$186,2,FALSE),"0000"))</f>
        <v/>
      </c>
      <c r="Y37" s="6"/>
      <c r="Z37" s="6"/>
      <c r="AA37" s="6"/>
      <c r="AB37" s="6"/>
      <c r="AC37" s="6"/>
    </row>
    <row r="38" spans="1:29" x14ac:dyDescent="0.2">
      <c r="A38" s="6" t="s">
        <v>993</v>
      </c>
      <c r="B38" s="35" t="s">
        <v>214</v>
      </c>
      <c r="C38" s="197" t="str">
        <f>VLOOKUP(LEFT(B38,7),'Tariff Schedule Lookup Table'!$A$8:$D$186,3,FALSE)</f>
        <v>5x80</v>
      </c>
      <c r="D38" s="199" t="str">
        <f>VLOOKUP(LEFT(B38,7),'Tariff Schedule Lookup Table'!$A$8:$D$186,2,FALSE)</f>
        <v>Fluorescent 5x80</v>
      </c>
      <c r="E38" s="6" t="s">
        <v>996</v>
      </c>
      <c r="F38" s="37">
        <f>VLOOKUP(LEFT(B38,7),'Tariff Schedule Lookup Table'!$A$8:$D$186,4,FALSE)</f>
        <v>450</v>
      </c>
      <c r="G38" s="33">
        <f>VLOOKUP($B38,'Maintenance Costs'!$A$20:$AG$176,32,FALSE)</f>
        <v>110.63760724546582</v>
      </c>
      <c r="H38" s="67">
        <f>IF(VLOOKUP($B38,'Maintenance Costs'!$A$20:$AG$176,33,FALSE)=0,"",VLOOKUP($B38,'Maintenance Costs'!$A$20:$AG$176,33,FALSE))</f>
        <v>42.146218871667372</v>
      </c>
      <c r="I38" s="34" t="str">
        <f>IF(ISERROR(VLOOKUP(CONCATENATE($A38,$I$8,I$10),'Tariff Schedule Lookup Table'!$F$8:$G$286,2,FALSE))=TRUE,"",TEXT(VLOOKUP(CONCATENATE($A38,$I$8,I$10),'Tariff Schedule Lookup Table'!$F$8:$G$286,2,FALSE),"0000"))</f>
        <v>0010</v>
      </c>
      <c r="J38" s="34" t="str">
        <f>IF(ISERROR(VLOOKUP(CONCATENATE($A38,$I$8,J$10),'Tariff Schedule Lookup Table'!$F$8:$G$286,2,FALSE))=TRUE,"",TEXT(VLOOKUP(CONCATENATE($A38,$I$8,J$10),'Tariff Schedule Lookup Table'!$F$8:$G$286,2,FALSE),"0000"))</f>
        <v>0740</v>
      </c>
      <c r="K38" s="34" t="str">
        <f>IF(ISERROR(VLOOKUP(CONCATENATE($A38,$I$8,K$10),'Tariff Schedule Lookup Table'!$F$8:$G$286,2,FALSE))=TRUE,"",TEXT(VLOOKUP(CONCATENATE($A38,$I$8,K$10),'Tariff Schedule Lookup Table'!$F$8:$G$286,2,FALSE),"0000"))</f>
        <v>0820</v>
      </c>
      <c r="L38" s="34" t="str">
        <f>IF(ISERROR(VLOOKUP(CONCATENATE($A38,$I$8,L$10),'Tariff Schedule Lookup Table'!$F$8:$G$286,2,FALSE))=TRUE,"",TEXT(VLOOKUP(CONCATENATE($A38,$I$8,L$10),'Tariff Schedule Lookup Table'!$F$8:$G$286,2,FALSE),"0000"))</f>
        <v>0830</v>
      </c>
      <c r="M38" s="34" t="str">
        <f>IF(ISERROR(VLOOKUP(CONCATENATE($A38,$M$8,M$10),'Tariff Schedule Lookup Table'!$F$8:$G$286,2,FALSE))=TRUE,"",TEXT(VLOOKUP(CONCATENATE($A38,$M$8,M$10),'Tariff Schedule Lookup Table'!$F$8:$G$286,2,FALSE),"0000"))</f>
        <v>0810</v>
      </c>
      <c r="N38" s="34" t="str">
        <f>IF(ISERROR(VLOOKUP(CONCATENATE($A38,$M$8,N$10),'Tariff Schedule Lookup Table'!$F$8:$G$286,2,FALSE))=TRUE,"",TEXT(VLOOKUP(CONCATENATE($A38,$M$8,N$10),'Tariff Schedule Lookup Table'!$F$8:$G$286,2,FALSE),"0000"))</f>
        <v>1260</v>
      </c>
      <c r="O38" s="34" t="str">
        <f>IF(ISERROR(VLOOKUP(CONCATENATE($A38,$M$8,O$10),'Tariff Schedule Lookup Table'!$F$8:$G$286,2,FALSE))=TRUE,"",TEXT(VLOOKUP(CONCATENATE($A38,$M$8,O$10),'Tariff Schedule Lookup Table'!$F$8:$G$286,2,FALSE),"0000"))</f>
        <v/>
      </c>
      <c r="P38" s="34" t="str">
        <f>IF(ISERROR(VLOOKUP(CONCATENATE($A38,$M$8,P$10),'Tariff Schedule Lookup Table'!$F$8:$G$286,2,FALSE))=TRUE,"",TEXT(VLOOKUP(CONCATENATE($A38,$M$8,P$10),'Tariff Schedule Lookup Table'!$F$8:$G$286,2,FALSE),"0000"))</f>
        <v/>
      </c>
      <c r="Q38" s="34" t="str">
        <f>IF(ISERROR(VLOOKUP(CONCATENATE($A38,$Q$8,Q$10),'Tariff Schedule Lookup Table'!$F$8:$G$286,2,FALSE))=TRUE,"",TEXT(VLOOKUP(CONCATENATE($A38,$Q$8,Q$10),'Tariff Schedule Lookup Table'!$F$8:$G$286,2,FALSE),"0000"))</f>
        <v>0990</v>
      </c>
      <c r="R38" s="34" t="str">
        <f>IF(ISERROR(VLOOKUP(CONCATENATE($A38,$Q$8,R$10),'Tariff Schedule Lookup Table'!$F$8:$G$286,2,FALSE))=TRUE,"",TEXT(VLOOKUP(CONCATENATE($A38,$Q$8,R$10),'Tariff Schedule Lookup Table'!$F$8:$G$286,2,FALSE),"0000"))</f>
        <v>1000</v>
      </c>
      <c r="S38" s="34" t="str">
        <f>IF(ISERROR(VLOOKUP(CONCATENATE($A38,$Q$8,S$10),'Tariff Schedule Lookup Table'!$F$8:$G$286,2,FALSE))=TRUE,"",TEXT(VLOOKUP(CONCATENATE($A38,$Q$8,S$10),'Tariff Schedule Lookup Table'!$F$8:$G$286,2,FALSE),"0000"))</f>
        <v>1460</v>
      </c>
      <c r="T38" s="34" t="str">
        <f>IF(ISERROR(VLOOKUP(CONCATENATE($A38,$Q$8,T$10),'Tariff Schedule Lookup Table'!$F$8:$G$286,2,FALSE))=TRUE,"",TEXT(VLOOKUP(CONCATENATE($A38,$Q$8,T$10),'Tariff Schedule Lookup Table'!$F$8:$G$286,2,FALSE),"0000"))</f>
        <v>1500</v>
      </c>
      <c r="U38" s="34" t="str">
        <f>IF(ISERROR(VLOOKUP(CONCATENATE($A38,$U$8,U$10),'Tariff Schedule Lookup Table'!$F$8:$G$286,2,FALSE))=TRUE,"",TEXT(VLOOKUP(CONCATENATE($A38,$U$8,U$10),'Tariff Schedule Lookup Table'!$F$8:$G$286,2,FALSE),"0000"))</f>
        <v/>
      </c>
      <c r="V38" s="34" t="str">
        <f>IF(ISERROR(VLOOKUP(CONCATENATE($A38,$U$8,V$10),'Tariff Schedule Lookup Table'!$F$8:$G$286,2,FALSE))=TRUE,"",TEXT(VLOOKUP(CONCATENATE($A38,$U$8,V$10),'Tariff Schedule Lookup Table'!$F$8:$G$286,2,FALSE),"0000"))</f>
        <v/>
      </c>
      <c r="W38" s="34" t="str">
        <f>IF(ISERROR(VLOOKUP(CONCATENATE($A38,$U$8,W$10),'Tariff Schedule Lookup Table'!$F$8:$G$286,2,FALSE))=TRUE,"",TEXT(VLOOKUP(CONCATENATE($A38,$U$8,W$10),'Tariff Schedule Lookup Table'!$F$8:$G$286,2,FALSE),"0000"))</f>
        <v/>
      </c>
      <c r="X38" s="34" t="str">
        <f>IF(ISERROR(VLOOKUP(CONCATENATE($A38,$U$8,X$10),'Tariff Schedule Lookup Table'!$F$8:$G$286,2,FALSE))=TRUE,"",TEXT(VLOOKUP(CONCATENATE($A38,$U$8,X$10),'Tariff Schedule Lookup Table'!$F$8:$G$186,2,FALSE),"0000"))</f>
        <v/>
      </c>
      <c r="Y38" s="6"/>
      <c r="Z38" s="6"/>
      <c r="AA38" s="6"/>
      <c r="AB38" s="6"/>
      <c r="AC38" s="6"/>
    </row>
    <row r="39" spans="1:29" x14ac:dyDescent="0.2">
      <c r="A39" s="6" t="s">
        <v>993</v>
      </c>
      <c r="B39" s="35" t="s">
        <v>215</v>
      </c>
      <c r="C39" s="197" t="str">
        <f>VLOOKUP(LEFT(B39,7),'Tariff Schedule Lookup Table'!$A$8:$D$186,3,FALSE)</f>
        <v>6x80</v>
      </c>
      <c r="D39" s="199" t="str">
        <f>VLOOKUP(LEFT(B39,7),'Tariff Schedule Lookup Table'!$A$8:$D$186,2,FALSE)</f>
        <v>Fluorescent 6x80</v>
      </c>
      <c r="E39" s="6" t="s">
        <v>996</v>
      </c>
      <c r="F39" s="37">
        <f>VLOOKUP(LEFT(B39,7),'Tariff Schedule Lookup Table'!$A$8:$D$186,4,FALSE)</f>
        <v>540</v>
      </c>
      <c r="G39" s="33">
        <f>VLOOKUP($B39,'Maintenance Costs'!$A$20:$AG$176,32,FALSE)</f>
        <v>114.64201337976581</v>
      </c>
      <c r="H39" s="67">
        <f>IF(VLOOKUP($B39,'Maintenance Costs'!$A$20:$AG$176,33,FALSE)=0,"",VLOOKUP($B39,'Maintenance Costs'!$A$20:$AG$176,33,FALSE))</f>
        <v>46.197665338484036</v>
      </c>
      <c r="I39" s="34" t="str">
        <f>IF(ISERROR(VLOOKUP(CONCATENATE($A39,$I$8,I$10),'Tariff Schedule Lookup Table'!$F$8:$G$286,2,FALSE))=TRUE,"",TEXT(VLOOKUP(CONCATENATE($A39,$I$8,I$10),'Tariff Schedule Lookup Table'!$F$8:$G$286,2,FALSE),"0000"))</f>
        <v>0010</v>
      </c>
      <c r="J39" s="34" t="str">
        <f>IF(ISERROR(VLOOKUP(CONCATENATE($A39,$I$8,J$10),'Tariff Schedule Lookup Table'!$F$8:$G$286,2,FALSE))=TRUE,"",TEXT(VLOOKUP(CONCATENATE($A39,$I$8,J$10),'Tariff Schedule Lookup Table'!$F$8:$G$286,2,FALSE),"0000"))</f>
        <v>0740</v>
      </c>
      <c r="K39" s="34" t="str">
        <f>IF(ISERROR(VLOOKUP(CONCATENATE($A39,$I$8,K$10),'Tariff Schedule Lookup Table'!$F$8:$G$286,2,FALSE))=TRUE,"",TEXT(VLOOKUP(CONCATENATE($A39,$I$8,K$10),'Tariff Schedule Lookup Table'!$F$8:$G$286,2,FALSE),"0000"))</f>
        <v>0820</v>
      </c>
      <c r="L39" s="34" t="str">
        <f>IF(ISERROR(VLOOKUP(CONCATENATE($A39,$I$8,L$10),'Tariff Schedule Lookup Table'!$F$8:$G$286,2,FALSE))=TRUE,"",TEXT(VLOOKUP(CONCATENATE($A39,$I$8,L$10),'Tariff Schedule Lookup Table'!$F$8:$G$286,2,FALSE),"0000"))</f>
        <v>0830</v>
      </c>
      <c r="M39" s="34" t="str">
        <f>IF(ISERROR(VLOOKUP(CONCATENATE($A39,$M$8,M$10),'Tariff Schedule Lookup Table'!$F$8:$G$286,2,FALSE))=TRUE,"",TEXT(VLOOKUP(CONCATENATE($A39,$M$8,M$10),'Tariff Schedule Lookup Table'!$F$8:$G$286,2,FALSE),"0000"))</f>
        <v>0810</v>
      </c>
      <c r="N39" s="34" t="str">
        <f>IF(ISERROR(VLOOKUP(CONCATENATE($A39,$M$8,N$10),'Tariff Schedule Lookup Table'!$F$8:$G$286,2,FALSE))=TRUE,"",TEXT(VLOOKUP(CONCATENATE($A39,$M$8,N$10),'Tariff Schedule Lookup Table'!$F$8:$G$286,2,FALSE),"0000"))</f>
        <v>1260</v>
      </c>
      <c r="O39" s="34" t="str">
        <f>IF(ISERROR(VLOOKUP(CONCATENATE($A39,$M$8,O$10),'Tariff Schedule Lookup Table'!$F$8:$G$286,2,FALSE))=TRUE,"",TEXT(VLOOKUP(CONCATENATE($A39,$M$8,O$10),'Tariff Schedule Lookup Table'!$F$8:$G$286,2,FALSE),"0000"))</f>
        <v/>
      </c>
      <c r="P39" s="34" t="str">
        <f>IF(ISERROR(VLOOKUP(CONCATENATE($A39,$M$8,P$10),'Tariff Schedule Lookup Table'!$F$8:$G$286,2,FALSE))=TRUE,"",TEXT(VLOOKUP(CONCATENATE($A39,$M$8,P$10),'Tariff Schedule Lookup Table'!$F$8:$G$286,2,FALSE),"0000"))</f>
        <v/>
      </c>
      <c r="Q39" s="34" t="str">
        <f>IF(ISERROR(VLOOKUP(CONCATENATE($A39,$Q$8,Q$10),'Tariff Schedule Lookup Table'!$F$8:$G$286,2,FALSE))=TRUE,"",TEXT(VLOOKUP(CONCATENATE($A39,$Q$8,Q$10),'Tariff Schedule Lookup Table'!$F$8:$G$286,2,FALSE),"0000"))</f>
        <v>0990</v>
      </c>
      <c r="R39" s="34" t="str">
        <f>IF(ISERROR(VLOOKUP(CONCATENATE($A39,$Q$8,R$10),'Tariff Schedule Lookup Table'!$F$8:$G$286,2,FALSE))=TRUE,"",TEXT(VLOOKUP(CONCATENATE($A39,$Q$8,R$10),'Tariff Schedule Lookup Table'!$F$8:$G$286,2,FALSE),"0000"))</f>
        <v>1000</v>
      </c>
      <c r="S39" s="34" t="str">
        <f>IF(ISERROR(VLOOKUP(CONCATENATE($A39,$Q$8,S$10),'Tariff Schedule Lookup Table'!$F$8:$G$286,2,FALSE))=TRUE,"",TEXT(VLOOKUP(CONCATENATE($A39,$Q$8,S$10),'Tariff Schedule Lookup Table'!$F$8:$G$286,2,FALSE),"0000"))</f>
        <v>1460</v>
      </c>
      <c r="T39" s="34" t="str">
        <f>IF(ISERROR(VLOOKUP(CONCATENATE($A39,$Q$8,T$10),'Tariff Schedule Lookup Table'!$F$8:$G$286,2,FALSE))=TRUE,"",TEXT(VLOOKUP(CONCATENATE($A39,$Q$8,T$10),'Tariff Schedule Lookup Table'!$F$8:$G$286,2,FALSE),"0000"))</f>
        <v>1500</v>
      </c>
      <c r="U39" s="34" t="str">
        <f>IF(ISERROR(VLOOKUP(CONCATENATE($A39,$U$8,U$10),'Tariff Schedule Lookup Table'!$F$8:$G$286,2,FALSE))=TRUE,"",TEXT(VLOOKUP(CONCATENATE($A39,$U$8,U$10),'Tariff Schedule Lookup Table'!$F$8:$G$286,2,FALSE),"0000"))</f>
        <v/>
      </c>
      <c r="V39" s="34" t="str">
        <f>IF(ISERROR(VLOOKUP(CONCATENATE($A39,$U$8,V$10),'Tariff Schedule Lookup Table'!$F$8:$G$286,2,FALSE))=TRUE,"",TEXT(VLOOKUP(CONCATENATE($A39,$U$8,V$10),'Tariff Schedule Lookup Table'!$F$8:$G$286,2,FALSE),"0000"))</f>
        <v/>
      </c>
      <c r="W39" s="34" t="str">
        <f>IF(ISERROR(VLOOKUP(CONCATENATE($A39,$U$8,W$10),'Tariff Schedule Lookup Table'!$F$8:$G$286,2,FALSE))=TRUE,"",TEXT(VLOOKUP(CONCATENATE($A39,$U$8,W$10),'Tariff Schedule Lookup Table'!$F$8:$G$286,2,FALSE),"0000"))</f>
        <v/>
      </c>
      <c r="X39" s="34" t="str">
        <f>IF(ISERROR(VLOOKUP(CONCATENATE($A39,$U$8,X$10),'Tariff Schedule Lookup Table'!$F$8:$G$286,2,FALSE))=TRUE,"",TEXT(VLOOKUP(CONCATENATE($A39,$U$8,X$10),'Tariff Schedule Lookup Table'!$F$8:$G$186,2,FALSE),"0000"))</f>
        <v/>
      </c>
      <c r="Y39" s="6"/>
      <c r="Z39" s="6"/>
      <c r="AA39" s="6"/>
      <c r="AB39" s="6"/>
      <c r="AC39" s="6"/>
    </row>
    <row r="40" spans="1:29" x14ac:dyDescent="0.2">
      <c r="A40" s="6" t="s">
        <v>993</v>
      </c>
      <c r="B40" s="35" t="s">
        <v>2083</v>
      </c>
      <c r="C40" s="197" t="str">
        <f>VLOOKUP(LEFT(B40,7),'Tariff Schedule Lookup Table'!$A$8:$D$186,3,FALSE)</f>
        <v>2x125</v>
      </c>
      <c r="D40" s="199" t="str">
        <f>VLOOKUP(LEFT(B40,7),'Tariff Schedule Lookup Table'!$A$8:$D$186,2,FALSE)</f>
        <v>Fluorescent 2x125</v>
      </c>
      <c r="E40" s="6" t="s">
        <v>996</v>
      </c>
      <c r="F40" s="37">
        <f>VLOOKUP(LEFT(B40,7),'Tariff Schedule Lookup Table'!$A$8:$D$186,4,FALSE)</f>
        <v>280</v>
      </c>
      <c r="G40" s="33">
        <f>VLOOKUP($B40,'Maintenance Costs'!$A$20:$AG$176,32,FALSE)</f>
        <v>98.624388842565807</v>
      </c>
      <c r="H40" s="67">
        <f>IF(VLOOKUP($B40,'Maintenance Costs'!$A$20:$AG$176,33,FALSE)=0,"",VLOOKUP($B40,'Maintenance Costs'!$A$20:$AG$176,33,FALSE))</f>
        <v>29.991879471217374</v>
      </c>
      <c r="I40" s="34" t="str">
        <f>IF(ISERROR(VLOOKUP(CONCATENATE($A40,$I$8,I$10),'Tariff Schedule Lookup Table'!$F$8:$G$286,2,FALSE))=TRUE,"",TEXT(VLOOKUP(CONCATENATE($A40,$I$8,I$10),'Tariff Schedule Lookup Table'!$F$8:$G$286,2,FALSE),"0000"))</f>
        <v>0010</v>
      </c>
      <c r="J40" s="34" t="str">
        <f>IF(ISERROR(VLOOKUP(CONCATENATE($A40,$I$8,J$10),'Tariff Schedule Lookup Table'!$F$8:$G$286,2,FALSE))=TRUE,"",TEXT(VLOOKUP(CONCATENATE($A40,$I$8,J$10),'Tariff Schedule Lookup Table'!$F$8:$G$286,2,FALSE),"0000"))</f>
        <v>0740</v>
      </c>
      <c r="K40" s="34" t="str">
        <f>IF(ISERROR(VLOOKUP(CONCATENATE($A40,$I$8,K$10),'Tariff Schedule Lookup Table'!$F$8:$G$286,2,FALSE))=TRUE,"",TEXT(VLOOKUP(CONCATENATE($A40,$I$8,K$10),'Tariff Schedule Lookup Table'!$F$8:$G$286,2,FALSE),"0000"))</f>
        <v>0820</v>
      </c>
      <c r="L40" s="34" t="str">
        <f>IF(ISERROR(VLOOKUP(CONCATENATE($A40,$I$8,L$10),'Tariff Schedule Lookup Table'!$F$8:$G$286,2,FALSE))=TRUE,"",TEXT(VLOOKUP(CONCATENATE($A40,$I$8,L$10),'Tariff Schedule Lookup Table'!$F$8:$G$286,2,FALSE),"0000"))</f>
        <v>0830</v>
      </c>
      <c r="M40" s="34" t="str">
        <f>IF(ISERROR(VLOOKUP(CONCATENATE($A40,$M$8,M$10),'Tariff Schedule Lookup Table'!$F$8:$G$286,2,FALSE))=TRUE,"",TEXT(VLOOKUP(CONCATENATE($A40,$M$8,M$10),'Tariff Schedule Lookup Table'!$F$8:$G$286,2,FALSE),"0000"))</f>
        <v>0810</v>
      </c>
      <c r="N40" s="34" t="str">
        <f>IF(ISERROR(VLOOKUP(CONCATENATE($A40,$M$8,N$10),'Tariff Schedule Lookup Table'!$F$8:$G$286,2,FALSE))=TRUE,"",TEXT(VLOOKUP(CONCATENATE($A40,$M$8,N$10),'Tariff Schedule Lookup Table'!$F$8:$G$286,2,FALSE),"0000"))</f>
        <v>1260</v>
      </c>
      <c r="O40" s="34" t="str">
        <f>IF(ISERROR(VLOOKUP(CONCATENATE($A40,$M$8,O$10),'Tariff Schedule Lookup Table'!$F$8:$G$286,2,FALSE))=TRUE,"",TEXT(VLOOKUP(CONCATENATE($A40,$M$8,O$10),'Tariff Schedule Lookup Table'!$F$8:$G$286,2,FALSE),"0000"))</f>
        <v/>
      </c>
      <c r="P40" s="34" t="str">
        <f>IF(ISERROR(VLOOKUP(CONCATENATE($A40,$M$8,P$10),'Tariff Schedule Lookup Table'!$F$8:$G$286,2,FALSE))=TRUE,"",TEXT(VLOOKUP(CONCATENATE($A40,$M$8,P$10),'Tariff Schedule Lookup Table'!$F$8:$G$286,2,FALSE),"0000"))</f>
        <v/>
      </c>
      <c r="Q40" s="34" t="str">
        <f>IF(ISERROR(VLOOKUP(CONCATENATE($A40,$Q$8,Q$10),'Tariff Schedule Lookup Table'!$F$8:$G$286,2,FALSE))=TRUE,"",TEXT(VLOOKUP(CONCATENATE($A40,$Q$8,Q$10),'Tariff Schedule Lookup Table'!$F$8:$G$286,2,FALSE),"0000"))</f>
        <v>0990</v>
      </c>
      <c r="R40" s="34" t="str">
        <f>IF(ISERROR(VLOOKUP(CONCATENATE($A40,$Q$8,R$10),'Tariff Schedule Lookup Table'!$F$8:$G$286,2,FALSE))=TRUE,"",TEXT(VLOOKUP(CONCATENATE($A40,$Q$8,R$10),'Tariff Schedule Lookup Table'!$F$8:$G$286,2,FALSE),"0000"))</f>
        <v>1000</v>
      </c>
      <c r="S40" s="34" t="str">
        <f>IF(ISERROR(VLOOKUP(CONCATENATE($A40,$Q$8,S$10),'Tariff Schedule Lookup Table'!$F$8:$G$286,2,FALSE))=TRUE,"",TEXT(VLOOKUP(CONCATENATE($A40,$Q$8,S$10),'Tariff Schedule Lookup Table'!$F$8:$G$286,2,FALSE),"0000"))</f>
        <v>1460</v>
      </c>
      <c r="T40" s="34" t="str">
        <f>IF(ISERROR(VLOOKUP(CONCATENATE($A40,$Q$8,T$10),'Tariff Schedule Lookup Table'!$F$8:$G$286,2,FALSE))=TRUE,"",TEXT(VLOOKUP(CONCATENATE($A40,$Q$8,T$10),'Tariff Schedule Lookup Table'!$F$8:$G$286,2,FALSE),"0000"))</f>
        <v>1500</v>
      </c>
      <c r="U40" s="34" t="str">
        <f>IF(ISERROR(VLOOKUP(CONCATENATE($A40,$U$8,U$10),'Tariff Schedule Lookup Table'!$F$8:$G$286,2,FALSE))=TRUE,"",TEXT(VLOOKUP(CONCATENATE($A40,$U$8,U$10),'Tariff Schedule Lookup Table'!$F$8:$G$286,2,FALSE),"0000"))</f>
        <v/>
      </c>
      <c r="V40" s="34" t="str">
        <f>IF(ISERROR(VLOOKUP(CONCATENATE($A40,$U$8,V$10),'Tariff Schedule Lookup Table'!$F$8:$G$286,2,FALSE))=TRUE,"",TEXT(VLOOKUP(CONCATENATE($A40,$U$8,V$10),'Tariff Schedule Lookup Table'!$F$8:$G$286,2,FALSE),"0000"))</f>
        <v/>
      </c>
      <c r="W40" s="34" t="str">
        <f>IF(ISERROR(VLOOKUP(CONCATENATE($A40,$U$8,W$10),'Tariff Schedule Lookup Table'!$F$8:$G$286,2,FALSE))=TRUE,"",TEXT(VLOOKUP(CONCATENATE($A40,$U$8,W$10),'Tariff Schedule Lookup Table'!$F$8:$G$286,2,FALSE),"0000"))</f>
        <v/>
      </c>
      <c r="X40" s="34" t="str">
        <f>IF(ISERROR(VLOOKUP(CONCATENATE($A40,$U$8,X$10),'Tariff Schedule Lookup Table'!$F$8:$G$286,2,FALSE))=TRUE,"",TEXT(VLOOKUP(CONCATENATE($A40,$U$8,X$10),'Tariff Schedule Lookup Table'!$F$8:$G$186,2,FALSE),"0000"))</f>
        <v/>
      </c>
      <c r="Y40" s="6"/>
      <c r="Z40" s="6"/>
      <c r="AA40" s="6"/>
      <c r="AB40" s="6"/>
      <c r="AC40" s="6"/>
    </row>
    <row r="41" spans="1:29" x14ac:dyDescent="0.2">
      <c r="A41" s="6" t="s">
        <v>993</v>
      </c>
      <c r="B41" s="35" t="s">
        <v>216</v>
      </c>
      <c r="C41" s="197">
        <f>VLOOKUP(LEFT(B41,7),'Tariff Schedule Lookup Table'!$A$8:$D$186,3,FALSE)</f>
        <v>176</v>
      </c>
      <c r="D41" s="199" t="str">
        <f>VLOOKUP(LEFT(B41,7),'Tariff Schedule Lookup Table'!$A$8:$D$186,2,FALSE)</f>
        <v>Fluorescent 176</v>
      </c>
      <c r="E41" s="6" t="s">
        <v>996</v>
      </c>
      <c r="F41" s="37">
        <f>VLOOKUP(LEFT(B41,7),'Tariff Schedule Lookup Table'!$A$8:$D$186,4,FALSE)</f>
        <v>200</v>
      </c>
      <c r="G41" s="33">
        <f>VLOOKUP($B41,'Maintenance Costs'!$A$20:$AG$176,32,FALSE)</f>
        <v>94.5718208282658</v>
      </c>
      <c r="H41" s="67">
        <f>IF(VLOOKUP($B41,'Maintenance Costs'!$A$20:$AG$176,33,FALSE)=0,"",VLOOKUP($B41,'Maintenance Costs'!$A$20:$AG$176,33,FALSE))</f>
        <v>25.940433004400706</v>
      </c>
      <c r="I41" s="34" t="str">
        <f>IF(ISERROR(VLOOKUP(CONCATENATE($A41,$I$8,I$10),'Tariff Schedule Lookup Table'!$F$8:$G$286,2,FALSE))=TRUE,"",TEXT(VLOOKUP(CONCATENATE($A41,$I$8,I$10),'Tariff Schedule Lookup Table'!$F$8:$G$286,2,FALSE),"0000"))</f>
        <v>0010</v>
      </c>
      <c r="J41" s="34" t="str">
        <f>IF(ISERROR(VLOOKUP(CONCATENATE($A41,$I$8,J$10),'Tariff Schedule Lookup Table'!$F$8:$G$286,2,FALSE))=TRUE,"",TEXT(VLOOKUP(CONCATENATE($A41,$I$8,J$10),'Tariff Schedule Lookup Table'!$F$8:$G$286,2,FALSE),"0000"))</f>
        <v>0740</v>
      </c>
      <c r="K41" s="34" t="str">
        <f>IF(ISERROR(VLOOKUP(CONCATENATE($A41,$I$8,K$10),'Tariff Schedule Lookup Table'!$F$8:$G$286,2,FALSE))=TRUE,"",TEXT(VLOOKUP(CONCATENATE($A41,$I$8,K$10),'Tariff Schedule Lookup Table'!$F$8:$G$286,2,FALSE),"0000"))</f>
        <v>0820</v>
      </c>
      <c r="L41" s="34" t="str">
        <f>IF(ISERROR(VLOOKUP(CONCATENATE($A41,$I$8,L$10),'Tariff Schedule Lookup Table'!$F$8:$G$286,2,FALSE))=TRUE,"",TEXT(VLOOKUP(CONCATENATE($A41,$I$8,L$10),'Tariff Schedule Lookup Table'!$F$8:$G$286,2,FALSE),"0000"))</f>
        <v>0830</v>
      </c>
      <c r="M41" s="34" t="str">
        <f>IF(ISERROR(VLOOKUP(CONCATENATE($A41,$M$8,M$10),'Tariff Schedule Lookup Table'!$F$8:$G$286,2,FALSE))=TRUE,"",TEXT(VLOOKUP(CONCATENATE($A41,$M$8,M$10),'Tariff Schedule Lookup Table'!$F$8:$G$286,2,FALSE),"0000"))</f>
        <v>0810</v>
      </c>
      <c r="N41" s="34" t="str">
        <f>IF(ISERROR(VLOOKUP(CONCATENATE($A41,$M$8,N$10),'Tariff Schedule Lookup Table'!$F$8:$G$286,2,FALSE))=TRUE,"",TEXT(VLOOKUP(CONCATENATE($A41,$M$8,N$10),'Tariff Schedule Lookup Table'!$F$8:$G$286,2,FALSE),"0000"))</f>
        <v>1260</v>
      </c>
      <c r="O41" s="34" t="str">
        <f>IF(ISERROR(VLOOKUP(CONCATENATE($A41,$M$8,O$10),'Tariff Schedule Lookup Table'!$F$8:$G$286,2,FALSE))=TRUE,"",TEXT(VLOOKUP(CONCATENATE($A41,$M$8,O$10),'Tariff Schedule Lookup Table'!$F$8:$G$286,2,FALSE),"0000"))</f>
        <v/>
      </c>
      <c r="P41" s="34" t="str">
        <f>IF(ISERROR(VLOOKUP(CONCATENATE($A41,$M$8,P$10),'Tariff Schedule Lookup Table'!$F$8:$G$286,2,FALSE))=TRUE,"",TEXT(VLOOKUP(CONCATENATE($A41,$M$8,P$10),'Tariff Schedule Lookup Table'!$F$8:$G$286,2,FALSE),"0000"))</f>
        <v/>
      </c>
      <c r="Q41" s="34" t="str">
        <f>IF(ISERROR(VLOOKUP(CONCATENATE($A41,$Q$8,Q$10),'Tariff Schedule Lookup Table'!$F$8:$G$286,2,FALSE))=TRUE,"",TEXT(VLOOKUP(CONCATENATE($A41,$Q$8,Q$10),'Tariff Schedule Lookup Table'!$F$8:$G$286,2,FALSE),"0000"))</f>
        <v>0990</v>
      </c>
      <c r="R41" s="34" t="str">
        <f>IF(ISERROR(VLOOKUP(CONCATENATE($A41,$Q$8,R$10),'Tariff Schedule Lookup Table'!$F$8:$G$286,2,FALSE))=TRUE,"",TEXT(VLOOKUP(CONCATENATE($A41,$Q$8,R$10),'Tariff Schedule Lookup Table'!$F$8:$G$286,2,FALSE),"0000"))</f>
        <v>1000</v>
      </c>
      <c r="S41" s="34" t="str">
        <f>IF(ISERROR(VLOOKUP(CONCATENATE($A41,$Q$8,S$10),'Tariff Schedule Lookup Table'!$F$8:$G$286,2,FALSE))=TRUE,"",TEXT(VLOOKUP(CONCATENATE($A41,$Q$8,S$10),'Tariff Schedule Lookup Table'!$F$8:$G$286,2,FALSE),"0000"))</f>
        <v>1460</v>
      </c>
      <c r="T41" s="34" t="str">
        <f>IF(ISERROR(VLOOKUP(CONCATENATE($A41,$Q$8,T$10),'Tariff Schedule Lookup Table'!$F$8:$G$286,2,FALSE))=TRUE,"",TEXT(VLOOKUP(CONCATENATE($A41,$Q$8,T$10),'Tariff Schedule Lookup Table'!$F$8:$G$286,2,FALSE),"0000"))</f>
        <v>1500</v>
      </c>
      <c r="U41" s="34" t="str">
        <f>IF(ISERROR(VLOOKUP(CONCATENATE($A41,$U$8,U$10),'Tariff Schedule Lookup Table'!$F$8:$G$286,2,FALSE))=TRUE,"",TEXT(VLOOKUP(CONCATENATE($A41,$U$8,U$10),'Tariff Schedule Lookup Table'!$F$8:$G$286,2,FALSE),"0000"))</f>
        <v/>
      </c>
      <c r="V41" s="34" t="str">
        <f>IF(ISERROR(VLOOKUP(CONCATENATE($A41,$U$8,V$10),'Tariff Schedule Lookup Table'!$F$8:$G$286,2,FALSE))=TRUE,"",TEXT(VLOOKUP(CONCATENATE($A41,$U$8,V$10),'Tariff Schedule Lookup Table'!$F$8:$G$286,2,FALSE),"0000"))</f>
        <v/>
      </c>
      <c r="W41" s="34" t="str">
        <f>IF(ISERROR(VLOOKUP(CONCATENATE($A41,$U$8,W$10),'Tariff Schedule Lookup Table'!$F$8:$G$286,2,FALSE))=TRUE,"",TEXT(VLOOKUP(CONCATENATE($A41,$U$8,W$10),'Tariff Schedule Lookup Table'!$F$8:$G$286,2,FALSE),"0000"))</f>
        <v/>
      </c>
      <c r="X41" s="34" t="str">
        <f>IF(ISERROR(VLOOKUP(CONCATENATE($A41,$U$8,X$10),'Tariff Schedule Lookup Table'!$F$8:$G$286,2,FALSE))=TRUE,"",TEXT(VLOOKUP(CONCATENATE($A41,$U$8,X$10),'Tariff Schedule Lookup Table'!$F$8:$G$186,2,FALSE),"0000"))</f>
        <v/>
      </c>
      <c r="Y41" s="6"/>
      <c r="Z41" s="6"/>
      <c r="AA41" s="6"/>
      <c r="AB41" s="6"/>
      <c r="AC41" s="6"/>
    </row>
    <row r="42" spans="1:29" x14ac:dyDescent="0.2">
      <c r="A42" s="6" t="s">
        <v>993</v>
      </c>
      <c r="B42" s="35" t="s">
        <v>217</v>
      </c>
      <c r="C42" s="197">
        <f>VLOOKUP(LEFT(B42,7),'Tariff Schedule Lookup Table'!$A$8:$D$186,3,FALSE)</f>
        <v>236</v>
      </c>
      <c r="D42" s="199" t="str">
        <f>VLOOKUP(LEFT(B42,7),'Tariff Schedule Lookup Table'!$A$8:$D$186,2,FALSE)</f>
        <v>Fluorescent 236</v>
      </c>
      <c r="E42" s="6" t="s">
        <v>996</v>
      </c>
      <c r="F42" s="37">
        <f>VLOOKUP(LEFT(B42,7),'Tariff Schedule Lookup Table'!$A$8:$D$186,4,FALSE)</f>
        <v>275</v>
      </c>
      <c r="G42" s="33">
        <f>VLOOKUP($B42,'Maintenance Costs'!$A$20:$AG$176,32,FALSE)</f>
        <v>94.5718208282658</v>
      </c>
      <c r="H42" s="67">
        <f>IF(VLOOKUP($B42,'Maintenance Costs'!$A$20:$AG$176,33,FALSE)=0,"",VLOOKUP($B42,'Maintenance Costs'!$A$20:$AG$176,33,FALSE))</f>
        <v>25.940433004400706</v>
      </c>
      <c r="I42" s="34" t="str">
        <f>IF(ISERROR(VLOOKUP(CONCATENATE($A42,$I$8,I$10),'Tariff Schedule Lookup Table'!$F$8:$G$286,2,FALSE))=TRUE,"",TEXT(VLOOKUP(CONCATENATE($A42,$I$8,I$10),'Tariff Schedule Lookup Table'!$F$8:$G$286,2,FALSE),"0000"))</f>
        <v>0010</v>
      </c>
      <c r="J42" s="34" t="str">
        <f>IF(ISERROR(VLOOKUP(CONCATENATE($A42,$I$8,J$10),'Tariff Schedule Lookup Table'!$F$8:$G$286,2,FALSE))=TRUE,"",TEXT(VLOOKUP(CONCATENATE($A42,$I$8,J$10),'Tariff Schedule Lookup Table'!$F$8:$G$286,2,FALSE),"0000"))</f>
        <v>0740</v>
      </c>
      <c r="K42" s="34" t="str">
        <f>IF(ISERROR(VLOOKUP(CONCATENATE($A42,$I$8,K$10),'Tariff Schedule Lookup Table'!$F$8:$G$286,2,FALSE))=TRUE,"",TEXT(VLOOKUP(CONCATENATE($A42,$I$8,K$10),'Tariff Schedule Lookup Table'!$F$8:$G$286,2,FALSE),"0000"))</f>
        <v>0820</v>
      </c>
      <c r="L42" s="34" t="str">
        <f>IF(ISERROR(VLOOKUP(CONCATENATE($A42,$I$8,L$10),'Tariff Schedule Lookup Table'!$F$8:$G$286,2,FALSE))=TRUE,"",TEXT(VLOOKUP(CONCATENATE($A42,$I$8,L$10),'Tariff Schedule Lookup Table'!$F$8:$G$286,2,FALSE),"0000"))</f>
        <v>0830</v>
      </c>
      <c r="M42" s="34" t="str">
        <f>IF(ISERROR(VLOOKUP(CONCATENATE($A42,$M$8,M$10),'Tariff Schedule Lookup Table'!$F$8:$G$286,2,FALSE))=TRUE,"",TEXT(VLOOKUP(CONCATENATE($A42,$M$8,M$10),'Tariff Schedule Lookup Table'!$F$8:$G$286,2,FALSE),"0000"))</f>
        <v>0810</v>
      </c>
      <c r="N42" s="34" t="str">
        <f>IF(ISERROR(VLOOKUP(CONCATENATE($A42,$M$8,N$10),'Tariff Schedule Lookup Table'!$F$8:$G$286,2,FALSE))=TRUE,"",TEXT(VLOOKUP(CONCATENATE($A42,$M$8,N$10),'Tariff Schedule Lookup Table'!$F$8:$G$286,2,FALSE),"0000"))</f>
        <v>1260</v>
      </c>
      <c r="O42" s="34" t="str">
        <f>IF(ISERROR(VLOOKUP(CONCATENATE($A42,$M$8,O$10),'Tariff Schedule Lookup Table'!$F$8:$G$286,2,FALSE))=TRUE,"",TEXT(VLOOKUP(CONCATENATE($A42,$M$8,O$10),'Tariff Schedule Lookup Table'!$F$8:$G$286,2,FALSE),"0000"))</f>
        <v/>
      </c>
      <c r="P42" s="34" t="str">
        <f>IF(ISERROR(VLOOKUP(CONCATENATE($A42,$M$8,P$10),'Tariff Schedule Lookup Table'!$F$8:$G$286,2,FALSE))=TRUE,"",TEXT(VLOOKUP(CONCATENATE($A42,$M$8,P$10),'Tariff Schedule Lookup Table'!$F$8:$G$286,2,FALSE),"0000"))</f>
        <v/>
      </c>
      <c r="Q42" s="34" t="str">
        <f>IF(ISERROR(VLOOKUP(CONCATENATE($A42,$Q$8,Q$10),'Tariff Schedule Lookup Table'!$F$8:$G$286,2,FALSE))=TRUE,"",TEXT(VLOOKUP(CONCATENATE($A42,$Q$8,Q$10),'Tariff Schedule Lookup Table'!$F$8:$G$286,2,FALSE),"0000"))</f>
        <v>0990</v>
      </c>
      <c r="R42" s="34" t="str">
        <f>IF(ISERROR(VLOOKUP(CONCATENATE($A42,$Q$8,R$10),'Tariff Schedule Lookup Table'!$F$8:$G$286,2,FALSE))=TRUE,"",TEXT(VLOOKUP(CONCATENATE($A42,$Q$8,R$10),'Tariff Schedule Lookup Table'!$F$8:$G$286,2,FALSE),"0000"))</f>
        <v>1000</v>
      </c>
      <c r="S42" s="34" t="str">
        <f>IF(ISERROR(VLOOKUP(CONCATENATE($A42,$Q$8,S$10),'Tariff Schedule Lookup Table'!$F$8:$G$286,2,FALSE))=TRUE,"",TEXT(VLOOKUP(CONCATENATE($A42,$Q$8,S$10),'Tariff Schedule Lookup Table'!$F$8:$G$286,2,FALSE),"0000"))</f>
        <v>1460</v>
      </c>
      <c r="T42" s="34" t="str">
        <f>IF(ISERROR(VLOOKUP(CONCATENATE($A42,$Q$8,T$10),'Tariff Schedule Lookup Table'!$F$8:$G$286,2,FALSE))=TRUE,"",TEXT(VLOOKUP(CONCATENATE($A42,$Q$8,T$10),'Tariff Schedule Lookup Table'!$F$8:$G$286,2,FALSE),"0000"))</f>
        <v>1500</v>
      </c>
      <c r="U42" s="34" t="str">
        <f>IF(ISERROR(VLOOKUP(CONCATENATE($A42,$U$8,U$10),'Tariff Schedule Lookup Table'!$F$8:$G$286,2,FALSE))=TRUE,"",TEXT(VLOOKUP(CONCATENATE($A42,$U$8,U$10),'Tariff Schedule Lookup Table'!$F$8:$G$286,2,FALSE),"0000"))</f>
        <v/>
      </c>
      <c r="V42" s="34" t="str">
        <f>IF(ISERROR(VLOOKUP(CONCATENATE($A42,$U$8,V$10),'Tariff Schedule Lookup Table'!$F$8:$G$286,2,FALSE))=TRUE,"",TEXT(VLOOKUP(CONCATENATE($A42,$U$8,V$10),'Tariff Schedule Lookup Table'!$F$8:$G$286,2,FALSE),"0000"))</f>
        <v/>
      </c>
      <c r="W42" s="34" t="str">
        <f>IF(ISERROR(VLOOKUP(CONCATENATE($A42,$U$8,W$10),'Tariff Schedule Lookup Table'!$F$8:$G$286,2,FALSE))=TRUE,"",TEXT(VLOOKUP(CONCATENATE($A42,$U$8,W$10),'Tariff Schedule Lookup Table'!$F$8:$G$286,2,FALSE),"0000"))</f>
        <v/>
      </c>
      <c r="X42" s="34" t="str">
        <f>IF(ISERROR(VLOOKUP(CONCATENATE($A42,$U$8,X$10),'Tariff Schedule Lookup Table'!$F$8:$G$286,2,FALSE))=TRUE,"",TEXT(VLOOKUP(CONCATENATE($A42,$U$8,X$10),'Tariff Schedule Lookup Table'!$F$8:$G$186,2,FALSE),"0000"))</f>
        <v/>
      </c>
      <c r="Y42" s="6"/>
      <c r="Z42" s="6"/>
      <c r="AA42" s="6"/>
      <c r="AB42" s="6"/>
      <c r="AC42" s="6"/>
    </row>
    <row r="43" spans="1:29" x14ac:dyDescent="0.2">
      <c r="A43" s="6" t="s">
        <v>1044</v>
      </c>
      <c r="B43" s="35" t="s">
        <v>2084</v>
      </c>
      <c r="C43" s="197">
        <f>VLOOKUP(LEFT(B43,7),'Tariff Schedule Lookup Table'!$A$8:$D$186,3,FALSE)</f>
        <v>50</v>
      </c>
      <c r="D43" s="199" t="str">
        <f>VLOOKUP(LEFT(B43,7),'Tariff Schedule Lookup Table'!$A$8:$D$186,2,FALSE)</f>
        <v>High Pressure Sodium 50</v>
      </c>
      <c r="E43" s="6" t="s">
        <v>996</v>
      </c>
      <c r="F43" s="37">
        <f>VLOOKUP(LEFT(B43,7),'Tariff Schedule Lookup Table'!$A$8:$D$186,4,FALSE)</f>
        <v>60</v>
      </c>
      <c r="G43" s="33">
        <f>VLOOKUP($B43,'Maintenance Costs'!$A$20:$AG$176,32,FALSE)</f>
        <v>64.364832111685814</v>
      </c>
      <c r="H43" s="67">
        <f>IF(VLOOKUP($B43,'Maintenance Costs'!$A$20:$AG$176,33,FALSE)=0,"",VLOOKUP($B43,'Maintenance Costs'!$A$20:$AG$176,33,FALSE))</f>
        <v>52.432928256339267</v>
      </c>
      <c r="I43" s="34" t="str">
        <f>IF(ISERROR(VLOOKUP(CONCATENATE($A43,$I$8,I$10),'Tariff Schedule Lookup Table'!$F$8:$G$286,2,FALSE))=TRUE,"",TEXT(VLOOKUP(CONCATENATE($A43,$I$8,I$10),'Tariff Schedule Lookup Table'!$F$8:$G$286,2,FALSE),"0000"))</f>
        <v>0040</v>
      </c>
      <c r="J43" s="34" t="str">
        <f>IF(ISERROR(VLOOKUP(CONCATENATE($A43,$I$8,J$10),'Tariff Schedule Lookup Table'!$F$8:$G$286,2,FALSE))=TRUE,"",TEXT(VLOOKUP(CONCATENATE($A43,$I$8,J$10),'Tariff Schedule Lookup Table'!$F$8:$G$286,2,FALSE),"0000"))</f>
        <v>0890</v>
      </c>
      <c r="K43" s="34" t="str">
        <f>IF(ISERROR(VLOOKUP(CONCATENATE($A43,$I$8,K$10),'Tariff Schedule Lookup Table'!$F$8:$G$286,2,FALSE))=TRUE,"",TEXT(VLOOKUP(CONCATENATE($A43,$I$8,K$10),'Tariff Schedule Lookup Table'!$F$8:$G$286,2,FALSE),"0000"))</f>
        <v>0750</v>
      </c>
      <c r="L43" s="34" t="str">
        <f>IF(ISERROR(VLOOKUP(CONCATENATE($A43,$I$8,L$10),'Tariff Schedule Lookup Table'!$F$8:$G$286,2,FALSE))=TRUE,"",TEXT(VLOOKUP(CONCATENATE($A43,$I$8,L$10),'Tariff Schedule Lookup Table'!$F$8:$G$286,2,FALSE),"0000"))</f>
        <v>0920</v>
      </c>
      <c r="M43" s="34" t="str">
        <f>IF(ISERROR(VLOOKUP(CONCATENATE($A43,$M$8,M$10),'Tariff Schedule Lookup Table'!$F$8:$G$286,2,FALSE))=TRUE,"",TEXT(VLOOKUP(CONCATENATE($A43,$M$8,M$10),'Tariff Schedule Lookup Table'!$F$8:$G$286,2,FALSE),"0000"))</f>
        <v>0350</v>
      </c>
      <c r="N43" s="34" t="str">
        <f>IF(ISERROR(VLOOKUP(CONCATENATE($A43,$M$8,N$10),'Tariff Schedule Lookup Table'!$F$8:$G$286,2,FALSE))=TRUE,"",TEXT(VLOOKUP(CONCATENATE($A43,$M$8,N$10),'Tariff Schedule Lookup Table'!$F$8:$G$286,2,FALSE),"0000"))</f>
        <v>0910</v>
      </c>
      <c r="O43" s="34" t="str">
        <f>IF(ISERROR(VLOOKUP(CONCATENATE($A43,$M$8,O$10),'Tariff Schedule Lookup Table'!$F$8:$G$286,2,FALSE))=TRUE,"",TEXT(VLOOKUP(CONCATENATE($A43,$M$8,O$10),'Tariff Schedule Lookup Table'!$F$8:$G$286,2,FALSE),"0000"))</f>
        <v/>
      </c>
      <c r="P43" s="34" t="str">
        <f>IF(ISERROR(VLOOKUP(CONCATENATE($A43,$M$8,P$10),'Tariff Schedule Lookup Table'!$F$8:$G$286,2,FALSE))=TRUE,"",TEXT(VLOOKUP(CONCATENATE($A43,$M$8,P$10),'Tariff Schedule Lookup Table'!$F$8:$G$286,2,FALSE),"0000"))</f>
        <v/>
      </c>
      <c r="Q43" s="34" t="str">
        <f>IF(ISERROR(VLOOKUP(CONCATENATE($A43,$Q$8,Q$10),'Tariff Schedule Lookup Table'!$F$8:$G$286,2,FALSE))=TRUE,"",TEXT(VLOOKUP(CONCATENATE($A43,$Q$8,Q$10),'Tariff Schedule Lookup Table'!$F$8:$G$286,2,FALSE),"0000"))</f>
        <v>0360</v>
      </c>
      <c r="R43" s="34" t="str">
        <f>IF(ISERROR(VLOOKUP(CONCATENATE($A43,$Q$8,R$10),'Tariff Schedule Lookup Table'!$F$8:$G$286,2,FALSE))=TRUE,"",TEXT(VLOOKUP(CONCATENATE($A43,$Q$8,R$10),'Tariff Schedule Lookup Table'!$F$8:$G$286,2,FALSE),"0000"))</f>
        <v>0730</v>
      </c>
      <c r="S43" s="34" t="str">
        <f>IF(ISERROR(VLOOKUP(CONCATENATE($A43,$Q$8,S$10),'Tariff Schedule Lookup Table'!$F$8:$G$286,2,FALSE))=TRUE,"",TEXT(VLOOKUP(CONCATENATE($A43,$Q$8,S$10),'Tariff Schedule Lookup Table'!$F$8:$G$286,2,FALSE),"0000"))</f>
        <v/>
      </c>
      <c r="T43" s="34" t="str">
        <f>IF(ISERROR(VLOOKUP(CONCATENATE($A43,$Q$8,T$10),'Tariff Schedule Lookup Table'!$F$8:$G$286,2,FALSE))=TRUE,"",TEXT(VLOOKUP(CONCATENATE($A43,$Q$8,T$10),'Tariff Schedule Lookup Table'!$F$8:$G$286,2,FALSE),"0000"))</f>
        <v>0880</v>
      </c>
      <c r="U43" s="34" t="str">
        <f>IF(ISERROR(VLOOKUP(CONCATENATE($A43,$U$8,U$10),'Tariff Schedule Lookup Table'!$F$8:$G$286,2,FALSE))=TRUE,"",TEXT(VLOOKUP(CONCATENATE($A43,$U$8,U$10),'Tariff Schedule Lookup Table'!$F$8:$G$286,2,FALSE),"0000"))</f>
        <v/>
      </c>
      <c r="V43" s="34" t="str">
        <f>IF(ISERROR(VLOOKUP(CONCATENATE($A43,$U$8,V$10),'Tariff Schedule Lookup Table'!$F$8:$G$286,2,FALSE))=TRUE,"",TEXT(VLOOKUP(CONCATENATE($A43,$U$8,V$10),'Tariff Schedule Lookup Table'!$F$8:$G$286,2,FALSE),"0000"))</f>
        <v/>
      </c>
      <c r="W43" s="34" t="str">
        <f>IF(ISERROR(VLOOKUP(CONCATENATE($A43,$U$8,W$10),'Tariff Schedule Lookup Table'!$F$8:$G$286,2,FALSE))=TRUE,"",TEXT(VLOOKUP(CONCATENATE($A43,$U$8,W$10),'Tariff Schedule Lookup Table'!$F$8:$G$286,2,FALSE),"0000"))</f>
        <v/>
      </c>
      <c r="X43" s="34" t="str">
        <f>IF(ISERROR(VLOOKUP(CONCATENATE($A43,$U$8,X$10),'Tariff Schedule Lookup Table'!$F$8:$G$286,2,FALSE))=TRUE,"",TEXT(VLOOKUP(CONCATENATE($A43,$U$8,X$10),'Tariff Schedule Lookup Table'!$F$8:$G$186,2,FALSE),"0000"))</f>
        <v/>
      </c>
      <c r="Y43" s="6"/>
      <c r="Z43" s="6"/>
      <c r="AA43" s="6"/>
      <c r="AB43" s="6"/>
      <c r="AC43" s="6"/>
    </row>
    <row r="44" spans="1:29" x14ac:dyDescent="0.2">
      <c r="A44" s="38" t="s">
        <v>1059</v>
      </c>
      <c r="B44" s="39" t="s">
        <v>2085</v>
      </c>
      <c r="C44" s="197">
        <f>VLOOKUP(LEFT(B44,7),'Tariff Schedule Lookup Table'!$A$8:$D$186,3,FALSE)</f>
        <v>50</v>
      </c>
      <c r="D44" s="199" t="str">
        <f>VLOOKUP(LEFT(B44,7),'Tariff Schedule Lookup Table'!$A$8:$D$186,2,FALSE)</f>
        <v>High Pressure Sodium 50</v>
      </c>
      <c r="E44" s="6" t="s">
        <v>996</v>
      </c>
      <c r="F44" s="37">
        <f>VLOOKUP(LEFT(B44,7),'Tariff Schedule Lookup Table'!$A$8:$D$186,4,FALSE)</f>
        <v>60</v>
      </c>
      <c r="G44" s="33">
        <f>VLOOKUP($B44,'Maintenance Costs'!$A$20:$AG$176,32,FALSE)</f>
        <v>45.01550532140314</v>
      </c>
      <c r="H44" s="67">
        <f>IF(VLOOKUP($B44,'Maintenance Costs'!$A$20:$AG$176,33,FALSE)=0,"",VLOOKUP($B44,'Maintenance Costs'!$A$20:$AG$176,33,FALSE))</f>
        <v>52.391185538666328</v>
      </c>
      <c r="I44" s="34" t="str">
        <f>IF(ISERROR(VLOOKUP(CONCATENATE($A44,$I$8,I$10),'Tariff Schedule Lookup Table'!$F$8:$G$286,2,FALSE))=TRUE,"",TEXT(VLOOKUP(CONCATENATE($A44,$I$8,I$10),'Tariff Schedule Lookup Table'!$F$8:$G$286,2,FALSE),"0000"))</f>
        <v>0090</v>
      </c>
      <c r="J44" s="34" t="str">
        <f>IF(ISERROR(VLOOKUP(CONCATENATE($A44,$I$8,J$10),'Tariff Schedule Lookup Table'!$F$8:$G$286,2,FALSE))=TRUE,"",TEXT(VLOOKUP(CONCATENATE($A44,$I$8,J$10),'Tariff Schedule Lookup Table'!$F$8:$G$286,2,FALSE),"0000"))</f>
        <v>1180</v>
      </c>
      <c r="K44" s="34" t="str">
        <f>IF(ISERROR(VLOOKUP(CONCATENATE($A44,$I$8,K$10),'Tariff Schedule Lookup Table'!$F$8:$G$286,2,FALSE))=TRUE,"",TEXT(VLOOKUP(CONCATENATE($A44,$I$8,K$10),'Tariff Schedule Lookup Table'!$F$8:$G$286,2,FALSE),"0000"))</f>
        <v>1190</v>
      </c>
      <c r="L44" s="34" t="str">
        <f>IF(ISERROR(VLOOKUP(CONCATENATE($A44,$I$8,L$10),'Tariff Schedule Lookup Table'!$F$8:$G$286,2,FALSE))=TRUE,"",TEXT(VLOOKUP(CONCATENATE($A44,$I$8,L$10),'Tariff Schedule Lookup Table'!$F$8:$G$286,2,FALSE),"0000"))</f>
        <v>1200</v>
      </c>
      <c r="M44" s="34" t="str">
        <f>IF(ISERROR(VLOOKUP(CONCATENATE($A44,$M$8,M$10),'Tariff Schedule Lookup Table'!$F$8:$G$286,2,FALSE))=TRUE,"",TEXT(VLOOKUP(CONCATENATE($A44,$M$8,M$10),'Tariff Schedule Lookup Table'!$F$8:$G$286,2,FALSE),"0000"))</f>
        <v>0140</v>
      </c>
      <c r="N44" s="34" t="str">
        <f>IF(ISERROR(VLOOKUP(CONCATENATE($A44,$M$8,N$10),'Tariff Schedule Lookup Table'!$F$8:$G$286,2,FALSE))=TRUE,"",TEXT(VLOOKUP(CONCATENATE($A44,$M$8,N$10),'Tariff Schedule Lookup Table'!$F$8:$G$286,2,FALSE),"0000"))</f>
        <v>1210</v>
      </c>
      <c r="O44" s="34" t="str">
        <f>IF(ISERROR(VLOOKUP(CONCATENATE($A44,$M$8,O$10),'Tariff Schedule Lookup Table'!$F$8:$G$286,2,FALSE))=TRUE,"",TEXT(VLOOKUP(CONCATENATE($A44,$M$8,O$10),'Tariff Schedule Lookup Table'!$F$8:$G$286,2,FALSE),"0000"))</f>
        <v/>
      </c>
      <c r="P44" s="34" t="str">
        <f>IF(ISERROR(VLOOKUP(CONCATENATE($A44,$M$8,P$10),'Tariff Schedule Lookup Table'!$F$8:$G$286,2,FALSE))=TRUE,"",TEXT(VLOOKUP(CONCATENATE($A44,$M$8,P$10),'Tariff Schedule Lookup Table'!$F$8:$G$286,2,FALSE),"0000"))</f>
        <v/>
      </c>
      <c r="Q44" s="34" t="str">
        <f>IF(ISERROR(VLOOKUP(CONCATENATE($A44,$Q$8,Q$10),'Tariff Schedule Lookup Table'!$F$8:$G$286,2,FALSE))=TRUE,"",TEXT(VLOOKUP(CONCATENATE($A44,$Q$8,Q$10),'Tariff Schedule Lookup Table'!$F$8:$G$286,2,FALSE),"0000"))</f>
        <v>0170</v>
      </c>
      <c r="R44" s="34" t="str">
        <f>IF(ISERROR(VLOOKUP(CONCATENATE($A44,$Q$8,R$10),'Tariff Schedule Lookup Table'!$F$8:$G$286,2,FALSE))=TRUE,"",TEXT(VLOOKUP(CONCATENATE($A44,$Q$8,R$10),'Tariff Schedule Lookup Table'!$F$8:$G$286,2,FALSE),"0000"))</f>
        <v>1220</v>
      </c>
      <c r="S44" s="34" t="str">
        <f>IF(ISERROR(VLOOKUP(CONCATENATE($A44,$Q$8,S$10),'Tariff Schedule Lookup Table'!$F$8:$G$286,2,FALSE))=TRUE,"",TEXT(VLOOKUP(CONCATENATE($A44,$Q$8,S$10),'Tariff Schedule Lookup Table'!$F$8:$G$286,2,FALSE),"0000"))</f>
        <v>1230</v>
      </c>
      <c r="T44" s="34" t="str">
        <f>IF(ISERROR(VLOOKUP(CONCATENATE($A44,$Q$8,T$10),'Tariff Schedule Lookup Table'!$F$8:$G$286,2,FALSE))=TRUE,"",TEXT(VLOOKUP(CONCATENATE($A44,$Q$8,T$10),'Tariff Schedule Lookup Table'!$F$8:$G$286,2,FALSE),"0000"))</f>
        <v>1240</v>
      </c>
      <c r="U44" s="34" t="str">
        <f>IF(ISERROR(VLOOKUP(CONCATENATE($A44,$U$8,U$10),'Tariff Schedule Lookup Table'!$F$8:$G$286,2,FALSE))=TRUE,"",TEXT(VLOOKUP(CONCATENATE($A44,$U$8,U$10),'Tariff Schedule Lookup Table'!$F$8:$G$286,2,FALSE),"0000"))</f>
        <v/>
      </c>
      <c r="V44" s="34" t="str">
        <f>IF(ISERROR(VLOOKUP(CONCATENATE($A44,$U$8,V$10),'Tariff Schedule Lookup Table'!$F$8:$G$286,2,FALSE))=TRUE,"",TEXT(VLOOKUP(CONCATENATE($A44,$U$8,V$10),'Tariff Schedule Lookup Table'!$F$8:$G$286,2,FALSE),"0000"))</f>
        <v/>
      </c>
      <c r="W44" s="34" t="str">
        <f>IF(ISERROR(VLOOKUP(CONCATENATE($A44,$U$8,W$10),'Tariff Schedule Lookup Table'!$F$8:$G$286,2,FALSE))=TRUE,"",TEXT(VLOOKUP(CONCATENATE($A44,$U$8,W$10),'Tariff Schedule Lookup Table'!$F$8:$G$286,2,FALSE),"0000"))</f>
        <v/>
      </c>
      <c r="X44" s="34" t="str">
        <f>IF(ISERROR(VLOOKUP(CONCATENATE($A44,$U$8,X$10),'Tariff Schedule Lookup Table'!$F$8:$G$286,2,FALSE))=TRUE,"",TEXT(VLOOKUP(CONCATENATE($A44,$U$8,X$10),'Tariff Schedule Lookup Table'!$F$8:$G$186,2,FALSE),"0000"))</f>
        <v/>
      </c>
      <c r="Y44" s="6"/>
      <c r="Z44" s="6"/>
      <c r="AA44" s="6"/>
      <c r="AB44" s="6"/>
      <c r="AC44" s="6"/>
    </row>
    <row r="45" spans="1:29" x14ac:dyDescent="0.2">
      <c r="A45" s="38" t="s">
        <v>1044</v>
      </c>
      <c r="B45" s="39" t="s">
        <v>2086</v>
      </c>
      <c r="C45" s="197">
        <f>VLOOKUP(LEFT(B45,7),'Tariff Schedule Lookup Table'!$A$8:$D$186,3,FALSE)</f>
        <v>70</v>
      </c>
      <c r="D45" s="199" t="str">
        <f>VLOOKUP(LEFT(B45,7),'Tariff Schedule Lookup Table'!$A$8:$D$186,2,FALSE)</f>
        <v>High Pressure Sodium 70</v>
      </c>
      <c r="E45" s="6" t="s">
        <v>996</v>
      </c>
      <c r="F45" s="37">
        <f>VLOOKUP(LEFT(B45,7),'Tariff Schedule Lookup Table'!$A$8:$D$186,4,FALSE)</f>
        <v>86</v>
      </c>
      <c r="G45" s="33">
        <f>VLOOKUP($B45,'Maintenance Costs'!$A$20:$AG$176,32,FALSE)</f>
        <v>64.750127151685817</v>
      </c>
      <c r="H45" s="67">
        <f>IF(VLOOKUP($B45,'Maintenance Costs'!$A$20:$AG$176,33,FALSE)=0,"",VLOOKUP($B45,'Maintenance Costs'!$A$20:$AG$176,33,FALSE))</f>
        <v>52.135530877055935</v>
      </c>
      <c r="I45" s="34" t="str">
        <f>IF(ISERROR(VLOOKUP(CONCATENATE($A45,$I$8,I$10),'Tariff Schedule Lookup Table'!$F$8:$G$286,2,FALSE))=TRUE,"",TEXT(VLOOKUP(CONCATENATE($A45,$I$8,I$10),'Tariff Schedule Lookup Table'!$F$8:$G$286,2,FALSE),"0000"))</f>
        <v>0040</v>
      </c>
      <c r="J45" s="34" t="str">
        <f>IF(ISERROR(VLOOKUP(CONCATENATE($A45,$I$8,J$10),'Tariff Schedule Lookup Table'!$F$8:$G$286,2,FALSE))=TRUE,"",TEXT(VLOOKUP(CONCATENATE($A45,$I$8,J$10),'Tariff Schedule Lookup Table'!$F$8:$G$286,2,FALSE),"0000"))</f>
        <v>0890</v>
      </c>
      <c r="K45" s="34" t="str">
        <f>IF(ISERROR(VLOOKUP(CONCATENATE($A45,$I$8,K$10),'Tariff Schedule Lookup Table'!$F$8:$G$286,2,FALSE))=TRUE,"",TEXT(VLOOKUP(CONCATENATE($A45,$I$8,K$10),'Tariff Schedule Lookup Table'!$F$8:$G$286,2,FALSE),"0000"))</f>
        <v>0750</v>
      </c>
      <c r="L45" s="34" t="str">
        <f>IF(ISERROR(VLOOKUP(CONCATENATE($A45,$I$8,L$10),'Tariff Schedule Lookup Table'!$F$8:$G$286,2,FALSE))=TRUE,"",TEXT(VLOOKUP(CONCATENATE($A45,$I$8,L$10),'Tariff Schedule Lookup Table'!$F$8:$G$286,2,FALSE),"0000"))</f>
        <v>0920</v>
      </c>
      <c r="M45" s="34" t="str">
        <f>IF(ISERROR(VLOOKUP(CONCATENATE($A45,$M$8,M$10),'Tariff Schedule Lookup Table'!$F$8:$G$286,2,FALSE))=TRUE,"",TEXT(VLOOKUP(CONCATENATE($A45,$M$8,M$10),'Tariff Schedule Lookup Table'!$F$8:$G$286,2,FALSE),"0000"))</f>
        <v>0350</v>
      </c>
      <c r="N45" s="34" t="str">
        <f>IF(ISERROR(VLOOKUP(CONCATENATE($A45,$M$8,N$10),'Tariff Schedule Lookup Table'!$F$8:$G$286,2,FALSE))=TRUE,"",TEXT(VLOOKUP(CONCATENATE($A45,$M$8,N$10),'Tariff Schedule Lookup Table'!$F$8:$G$286,2,FALSE),"0000"))</f>
        <v>0910</v>
      </c>
      <c r="O45" s="34" t="str">
        <f>IF(ISERROR(VLOOKUP(CONCATENATE($A45,$M$8,O$10),'Tariff Schedule Lookup Table'!$F$8:$G$286,2,FALSE))=TRUE,"",TEXT(VLOOKUP(CONCATENATE($A45,$M$8,O$10),'Tariff Schedule Lookup Table'!$F$8:$G$286,2,FALSE),"0000"))</f>
        <v/>
      </c>
      <c r="P45" s="34" t="str">
        <f>IF(ISERROR(VLOOKUP(CONCATENATE($A45,$M$8,P$10),'Tariff Schedule Lookup Table'!$F$8:$G$286,2,FALSE))=TRUE,"",TEXT(VLOOKUP(CONCATENATE($A45,$M$8,P$10),'Tariff Schedule Lookup Table'!$F$8:$G$286,2,FALSE),"0000"))</f>
        <v/>
      </c>
      <c r="Q45" s="34" t="str">
        <f>IF(ISERROR(VLOOKUP(CONCATENATE($A45,$Q$8,Q$10),'Tariff Schedule Lookup Table'!$F$8:$G$286,2,FALSE))=TRUE,"",TEXT(VLOOKUP(CONCATENATE($A45,$Q$8,Q$10),'Tariff Schedule Lookup Table'!$F$8:$G$286,2,FALSE),"0000"))</f>
        <v>0360</v>
      </c>
      <c r="R45" s="34" t="str">
        <f>IF(ISERROR(VLOOKUP(CONCATENATE($A45,$Q$8,R$10),'Tariff Schedule Lookup Table'!$F$8:$G$286,2,FALSE))=TRUE,"",TEXT(VLOOKUP(CONCATENATE($A45,$Q$8,R$10),'Tariff Schedule Lookup Table'!$F$8:$G$286,2,FALSE),"0000"))</f>
        <v>0730</v>
      </c>
      <c r="S45" s="34" t="str">
        <f>IF(ISERROR(VLOOKUP(CONCATENATE($A45,$Q$8,S$10),'Tariff Schedule Lookup Table'!$F$8:$G$286,2,FALSE))=TRUE,"",TEXT(VLOOKUP(CONCATENATE($A45,$Q$8,S$10),'Tariff Schedule Lookup Table'!$F$8:$G$286,2,FALSE),"0000"))</f>
        <v/>
      </c>
      <c r="T45" s="34" t="str">
        <f>IF(ISERROR(VLOOKUP(CONCATENATE($A45,$Q$8,T$10),'Tariff Schedule Lookup Table'!$F$8:$G$286,2,FALSE))=TRUE,"",TEXT(VLOOKUP(CONCATENATE($A45,$Q$8,T$10),'Tariff Schedule Lookup Table'!$F$8:$G$286,2,FALSE),"0000"))</f>
        <v>0880</v>
      </c>
      <c r="U45" s="34" t="str">
        <f>IF(ISERROR(VLOOKUP(CONCATENATE($A45,$U$8,U$10),'Tariff Schedule Lookup Table'!$F$8:$G$286,2,FALSE))=TRUE,"",TEXT(VLOOKUP(CONCATENATE($A45,$U$8,U$10),'Tariff Schedule Lookup Table'!$F$8:$G$286,2,FALSE),"0000"))</f>
        <v/>
      </c>
      <c r="V45" s="34" t="str">
        <f>IF(ISERROR(VLOOKUP(CONCATENATE($A45,$U$8,V$10),'Tariff Schedule Lookup Table'!$F$8:$G$286,2,FALSE))=TRUE,"",TEXT(VLOOKUP(CONCATENATE($A45,$U$8,V$10),'Tariff Schedule Lookup Table'!$F$8:$G$286,2,FALSE),"0000"))</f>
        <v/>
      </c>
      <c r="W45" s="34" t="str">
        <f>IF(ISERROR(VLOOKUP(CONCATENATE($A45,$U$8,W$10),'Tariff Schedule Lookup Table'!$F$8:$G$286,2,FALSE))=TRUE,"",TEXT(VLOOKUP(CONCATENATE($A45,$U$8,W$10),'Tariff Schedule Lookup Table'!$F$8:$G$286,2,FALSE),"0000"))</f>
        <v/>
      </c>
      <c r="X45" s="34" t="str">
        <f>IF(ISERROR(VLOOKUP(CONCATENATE($A45,$U$8,X$10),'Tariff Schedule Lookup Table'!$F$8:$G$286,2,FALSE))=TRUE,"",TEXT(VLOOKUP(CONCATENATE($A45,$U$8,X$10),'Tariff Schedule Lookup Table'!$F$8:$G$186,2,FALSE),"0000"))</f>
        <v/>
      </c>
      <c r="Y45" s="6"/>
      <c r="Z45" s="6"/>
      <c r="AA45" s="6"/>
      <c r="AB45" s="6"/>
      <c r="AC45" s="6"/>
    </row>
    <row r="46" spans="1:29" x14ac:dyDescent="0.2">
      <c r="A46" s="38" t="s">
        <v>1059</v>
      </c>
      <c r="B46" s="39" t="s">
        <v>2087</v>
      </c>
      <c r="C46" s="197">
        <f>VLOOKUP(LEFT(B46,7),'Tariff Schedule Lookup Table'!$A$8:$D$186,3,FALSE)</f>
        <v>70</v>
      </c>
      <c r="D46" s="199" t="str">
        <f>VLOOKUP(LEFT(B46,7),'Tariff Schedule Lookup Table'!$A$8:$D$186,2,FALSE)</f>
        <v>High Pressure Sodium 70</v>
      </c>
      <c r="E46" s="6" t="s">
        <v>996</v>
      </c>
      <c r="F46" s="37">
        <f>VLOOKUP(LEFT(B46,7),'Tariff Schedule Lookup Table'!$A$8:$D$186,4,FALSE)</f>
        <v>86</v>
      </c>
      <c r="G46" s="33">
        <f>VLOOKUP($B46,'Maintenance Costs'!$A$20:$AG$176,32,FALSE)</f>
        <v>49.248399441403137</v>
      </c>
      <c r="H46" s="67">
        <f>IF(VLOOKUP($B46,'Maintenance Costs'!$A$20:$AG$176,33,FALSE)=0,"",VLOOKUP($B46,'Maintenance Costs'!$A$20:$AG$176,33,FALSE))</f>
        <v>57.197674271166328</v>
      </c>
      <c r="I46" s="34" t="str">
        <f>IF(ISERROR(VLOOKUP(CONCATENATE($A46,$I$8,I$10),'Tariff Schedule Lookup Table'!$F$8:$G$286,2,FALSE))=TRUE,"",TEXT(VLOOKUP(CONCATENATE($A46,$I$8,I$10),'Tariff Schedule Lookup Table'!$F$8:$G$286,2,FALSE),"0000"))</f>
        <v>0090</v>
      </c>
      <c r="J46" s="34" t="str">
        <f>IF(ISERROR(VLOOKUP(CONCATENATE($A46,$I$8,J$10),'Tariff Schedule Lookup Table'!$F$8:$G$286,2,FALSE))=TRUE,"",TEXT(VLOOKUP(CONCATENATE($A46,$I$8,J$10),'Tariff Schedule Lookup Table'!$F$8:$G$286,2,FALSE),"0000"))</f>
        <v>1180</v>
      </c>
      <c r="K46" s="34" t="str">
        <f>IF(ISERROR(VLOOKUP(CONCATENATE($A46,$I$8,K$10),'Tariff Schedule Lookup Table'!$F$8:$G$286,2,FALSE))=TRUE,"",TEXT(VLOOKUP(CONCATENATE($A46,$I$8,K$10),'Tariff Schedule Lookup Table'!$F$8:$G$286,2,FALSE),"0000"))</f>
        <v>1190</v>
      </c>
      <c r="L46" s="34" t="str">
        <f>IF(ISERROR(VLOOKUP(CONCATENATE($A46,$I$8,L$10),'Tariff Schedule Lookup Table'!$F$8:$G$286,2,FALSE))=TRUE,"",TEXT(VLOOKUP(CONCATENATE($A46,$I$8,L$10),'Tariff Schedule Lookup Table'!$F$8:$G$286,2,FALSE),"0000"))</f>
        <v>1200</v>
      </c>
      <c r="M46" s="34" t="str">
        <f>IF(ISERROR(VLOOKUP(CONCATENATE($A46,$M$8,M$10),'Tariff Schedule Lookup Table'!$F$8:$G$286,2,FALSE))=TRUE,"",TEXT(VLOOKUP(CONCATENATE($A46,$M$8,M$10),'Tariff Schedule Lookup Table'!$F$8:$G$286,2,FALSE),"0000"))</f>
        <v>0140</v>
      </c>
      <c r="N46" s="34" t="str">
        <f>IF(ISERROR(VLOOKUP(CONCATENATE($A46,$M$8,N$10),'Tariff Schedule Lookup Table'!$F$8:$G$286,2,FALSE))=TRUE,"",TEXT(VLOOKUP(CONCATENATE($A46,$M$8,N$10),'Tariff Schedule Lookup Table'!$F$8:$G$286,2,FALSE),"0000"))</f>
        <v>1210</v>
      </c>
      <c r="O46" s="34" t="str">
        <f>IF(ISERROR(VLOOKUP(CONCATENATE($A46,$M$8,O$10),'Tariff Schedule Lookup Table'!$F$8:$G$286,2,FALSE))=TRUE,"",TEXT(VLOOKUP(CONCATENATE($A46,$M$8,O$10),'Tariff Schedule Lookup Table'!$F$8:$G$286,2,FALSE),"0000"))</f>
        <v/>
      </c>
      <c r="P46" s="34" t="str">
        <f>IF(ISERROR(VLOOKUP(CONCATENATE($A46,$M$8,P$10),'Tariff Schedule Lookup Table'!$F$8:$G$286,2,FALSE))=TRUE,"",TEXT(VLOOKUP(CONCATENATE($A46,$M$8,P$10),'Tariff Schedule Lookup Table'!$F$8:$G$286,2,FALSE),"0000"))</f>
        <v/>
      </c>
      <c r="Q46" s="34" t="str">
        <f>IF(ISERROR(VLOOKUP(CONCATENATE($A46,$Q$8,Q$10),'Tariff Schedule Lookup Table'!$F$8:$G$286,2,FALSE))=TRUE,"",TEXT(VLOOKUP(CONCATENATE($A46,$Q$8,Q$10),'Tariff Schedule Lookup Table'!$F$8:$G$286,2,FALSE),"0000"))</f>
        <v>0170</v>
      </c>
      <c r="R46" s="34" t="str">
        <f>IF(ISERROR(VLOOKUP(CONCATENATE($A46,$Q$8,R$10),'Tariff Schedule Lookup Table'!$F$8:$G$286,2,FALSE))=TRUE,"",TEXT(VLOOKUP(CONCATENATE($A46,$Q$8,R$10),'Tariff Schedule Lookup Table'!$F$8:$G$286,2,FALSE),"0000"))</f>
        <v>1220</v>
      </c>
      <c r="S46" s="34" t="str">
        <f>IF(ISERROR(VLOOKUP(CONCATENATE($A46,$Q$8,S$10),'Tariff Schedule Lookup Table'!$F$8:$G$286,2,FALSE))=TRUE,"",TEXT(VLOOKUP(CONCATENATE($A46,$Q$8,S$10),'Tariff Schedule Lookup Table'!$F$8:$G$286,2,FALSE),"0000"))</f>
        <v>1230</v>
      </c>
      <c r="T46" s="34" t="str">
        <f>IF(ISERROR(VLOOKUP(CONCATENATE($A46,$Q$8,T$10),'Tariff Schedule Lookup Table'!$F$8:$G$286,2,FALSE))=TRUE,"",TEXT(VLOOKUP(CONCATENATE($A46,$Q$8,T$10),'Tariff Schedule Lookup Table'!$F$8:$G$286,2,FALSE),"0000"))</f>
        <v>1240</v>
      </c>
      <c r="U46" s="34" t="str">
        <f>IF(ISERROR(VLOOKUP(CONCATENATE($A46,$U$8,U$10),'Tariff Schedule Lookup Table'!$F$8:$G$286,2,FALSE))=TRUE,"",TEXT(VLOOKUP(CONCATENATE($A46,$U$8,U$10),'Tariff Schedule Lookup Table'!$F$8:$G$286,2,FALSE),"0000"))</f>
        <v/>
      </c>
      <c r="V46" s="34" t="str">
        <f>IF(ISERROR(VLOOKUP(CONCATENATE($A46,$U$8,V$10),'Tariff Schedule Lookup Table'!$F$8:$G$286,2,FALSE))=TRUE,"",TEXT(VLOOKUP(CONCATENATE($A46,$U$8,V$10),'Tariff Schedule Lookup Table'!$F$8:$G$286,2,FALSE),"0000"))</f>
        <v/>
      </c>
      <c r="W46" s="34" t="str">
        <f>IF(ISERROR(VLOOKUP(CONCATENATE($A46,$U$8,W$10),'Tariff Schedule Lookup Table'!$F$8:$G$286,2,FALSE))=TRUE,"",TEXT(VLOOKUP(CONCATENATE($A46,$U$8,W$10),'Tariff Schedule Lookup Table'!$F$8:$G$286,2,FALSE),"0000"))</f>
        <v/>
      </c>
      <c r="X46" s="34" t="str">
        <f>IF(ISERROR(VLOOKUP(CONCATENATE($A46,$U$8,X$10),'Tariff Schedule Lookup Table'!$F$8:$G$286,2,FALSE))=TRUE,"",TEXT(VLOOKUP(CONCATENATE($A46,$U$8,X$10),'Tariff Schedule Lookup Table'!$F$8:$G$186,2,FALSE),"0000"))</f>
        <v/>
      </c>
      <c r="Y46" s="6"/>
      <c r="Z46" s="6"/>
      <c r="AA46" s="6"/>
      <c r="AB46" s="6"/>
      <c r="AC46" s="6"/>
    </row>
    <row r="47" spans="1:29" x14ac:dyDescent="0.2">
      <c r="A47" s="6" t="s">
        <v>1044</v>
      </c>
      <c r="B47" s="35" t="s">
        <v>150</v>
      </c>
      <c r="C47" s="197" t="str">
        <f>VLOOKUP(LEFT(B47,7),'Tariff Schedule Lookup Table'!$A$8:$D$186,3,FALSE)</f>
        <v>2x70</v>
      </c>
      <c r="D47" s="199" t="str">
        <f>VLOOKUP(LEFT(B47,7),'Tariff Schedule Lookup Table'!$A$8:$D$186,2,FALSE)</f>
        <v>High Pressure Sodium 2x70</v>
      </c>
      <c r="E47" s="6" t="s">
        <v>996</v>
      </c>
      <c r="F47" s="37">
        <f>VLOOKUP(LEFT(B47,7),'Tariff Schedule Lookup Table'!$A$8:$D$186,4,FALSE)</f>
        <v>172</v>
      </c>
      <c r="G47" s="33">
        <f>VLOOKUP($B47,'Maintenance Costs'!$A$20:$AG$176,32,FALSE)</f>
        <v>70.973712311685816</v>
      </c>
      <c r="H47" s="67">
        <f>IF(VLOOKUP($B47,'Maintenance Costs'!$A$20:$AG$176,33,FALSE)=0,"",VLOOKUP($B47,'Maintenance Costs'!$A$20:$AG$176,33,FALSE))</f>
        <v>63.754178618622596</v>
      </c>
      <c r="I47" s="34" t="str">
        <f>IF(ISERROR(VLOOKUP(CONCATENATE($A47,$I$8,I$10),'Tariff Schedule Lookup Table'!$F$8:$G$286,2,FALSE))=TRUE,"",TEXT(VLOOKUP(CONCATENATE($A47,$I$8,I$10),'Tariff Schedule Lookup Table'!$F$8:$G$286,2,FALSE),"0000"))</f>
        <v>0040</v>
      </c>
      <c r="J47" s="34" t="str">
        <f>IF(ISERROR(VLOOKUP(CONCATENATE($A47,$I$8,J$10),'Tariff Schedule Lookup Table'!$F$8:$G$286,2,FALSE))=TRUE,"",TEXT(VLOOKUP(CONCATENATE($A47,$I$8,J$10),'Tariff Schedule Lookup Table'!$F$8:$G$286,2,FALSE),"0000"))</f>
        <v>0890</v>
      </c>
      <c r="K47" s="34" t="str">
        <f>IF(ISERROR(VLOOKUP(CONCATENATE($A47,$I$8,K$10),'Tariff Schedule Lookup Table'!$F$8:$G$286,2,FALSE))=TRUE,"",TEXT(VLOOKUP(CONCATENATE($A47,$I$8,K$10),'Tariff Schedule Lookup Table'!$F$8:$G$286,2,FALSE),"0000"))</f>
        <v>0750</v>
      </c>
      <c r="L47" s="34" t="str">
        <f>IF(ISERROR(VLOOKUP(CONCATENATE($A47,$I$8,L$10),'Tariff Schedule Lookup Table'!$F$8:$G$286,2,FALSE))=TRUE,"",TEXT(VLOOKUP(CONCATENATE($A47,$I$8,L$10),'Tariff Schedule Lookup Table'!$F$8:$G$286,2,FALSE),"0000"))</f>
        <v>0920</v>
      </c>
      <c r="M47" s="34" t="str">
        <f>IF(ISERROR(VLOOKUP(CONCATENATE($A47,$M$8,M$10),'Tariff Schedule Lookup Table'!$F$8:$G$286,2,FALSE))=TRUE,"",TEXT(VLOOKUP(CONCATENATE($A47,$M$8,M$10),'Tariff Schedule Lookup Table'!$F$8:$G$286,2,FALSE),"0000"))</f>
        <v>0350</v>
      </c>
      <c r="N47" s="34" t="str">
        <f>IF(ISERROR(VLOOKUP(CONCATENATE($A47,$M$8,N$10),'Tariff Schedule Lookup Table'!$F$8:$G$286,2,FALSE))=TRUE,"",TEXT(VLOOKUP(CONCATENATE($A47,$M$8,N$10),'Tariff Schedule Lookup Table'!$F$8:$G$286,2,FALSE),"0000"))</f>
        <v>0910</v>
      </c>
      <c r="O47" s="34" t="str">
        <f>IF(ISERROR(VLOOKUP(CONCATENATE($A47,$M$8,O$10),'Tariff Schedule Lookup Table'!$F$8:$G$286,2,FALSE))=TRUE,"",TEXT(VLOOKUP(CONCATENATE($A47,$M$8,O$10),'Tariff Schedule Lookup Table'!$F$8:$G$286,2,FALSE),"0000"))</f>
        <v/>
      </c>
      <c r="P47" s="34" t="str">
        <f>IF(ISERROR(VLOOKUP(CONCATENATE($A47,$M$8,P$10),'Tariff Schedule Lookup Table'!$F$8:$G$286,2,FALSE))=TRUE,"",TEXT(VLOOKUP(CONCATENATE($A47,$M$8,P$10),'Tariff Schedule Lookup Table'!$F$8:$G$286,2,FALSE),"0000"))</f>
        <v/>
      </c>
      <c r="Q47" s="34" t="str">
        <f>IF(ISERROR(VLOOKUP(CONCATENATE($A47,$Q$8,Q$10),'Tariff Schedule Lookup Table'!$F$8:$G$286,2,FALSE))=TRUE,"",TEXT(VLOOKUP(CONCATENATE($A47,$Q$8,Q$10),'Tariff Schedule Lookup Table'!$F$8:$G$286,2,FALSE),"0000"))</f>
        <v>0360</v>
      </c>
      <c r="R47" s="34" t="str">
        <f>IF(ISERROR(VLOOKUP(CONCATENATE($A47,$Q$8,R$10),'Tariff Schedule Lookup Table'!$F$8:$G$286,2,FALSE))=TRUE,"",TEXT(VLOOKUP(CONCATENATE($A47,$Q$8,R$10),'Tariff Schedule Lookup Table'!$F$8:$G$286,2,FALSE),"0000"))</f>
        <v>0730</v>
      </c>
      <c r="S47" s="34" t="str">
        <f>IF(ISERROR(VLOOKUP(CONCATENATE($A47,$Q$8,S$10),'Tariff Schedule Lookup Table'!$F$8:$G$286,2,FALSE))=TRUE,"",TEXT(VLOOKUP(CONCATENATE($A47,$Q$8,S$10),'Tariff Schedule Lookup Table'!$F$8:$G$286,2,FALSE),"0000"))</f>
        <v/>
      </c>
      <c r="T47" s="34" t="str">
        <f>IF(ISERROR(VLOOKUP(CONCATENATE($A47,$Q$8,T$10),'Tariff Schedule Lookup Table'!$F$8:$G$286,2,FALSE))=TRUE,"",TEXT(VLOOKUP(CONCATENATE($A47,$Q$8,T$10),'Tariff Schedule Lookup Table'!$F$8:$G$286,2,FALSE),"0000"))</f>
        <v>0880</v>
      </c>
      <c r="U47" s="34" t="str">
        <f>IF(ISERROR(VLOOKUP(CONCATENATE($A47,$U$8,U$10),'Tariff Schedule Lookup Table'!$F$8:$G$286,2,FALSE))=TRUE,"",TEXT(VLOOKUP(CONCATENATE($A47,$U$8,U$10),'Tariff Schedule Lookup Table'!$F$8:$G$286,2,FALSE),"0000"))</f>
        <v/>
      </c>
      <c r="V47" s="34" t="str">
        <f>IF(ISERROR(VLOOKUP(CONCATENATE($A47,$U$8,V$10),'Tariff Schedule Lookup Table'!$F$8:$G$286,2,FALSE))=TRUE,"",TEXT(VLOOKUP(CONCATENATE($A47,$U$8,V$10),'Tariff Schedule Lookup Table'!$F$8:$G$286,2,FALSE),"0000"))</f>
        <v/>
      </c>
      <c r="W47" s="34" t="str">
        <f>IF(ISERROR(VLOOKUP(CONCATENATE($A47,$U$8,W$10),'Tariff Schedule Lookup Table'!$F$8:$G$286,2,FALSE))=TRUE,"",TEXT(VLOOKUP(CONCATENATE($A47,$U$8,W$10),'Tariff Schedule Lookup Table'!$F$8:$G$286,2,FALSE),"0000"))</f>
        <v/>
      </c>
      <c r="X47" s="34" t="str">
        <f>IF(ISERROR(VLOOKUP(CONCATENATE($A47,$U$8,X$10),'Tariff Schedule Lookup Table'!$F$8:$G$286,2,FALSE))=TRUE,"",TEXT(VLOOKUP(CONCATENATE($A47,$U$8,X$10),'Tariff Schedule Lookup Table'!$F$8:$G$186,2,FALSE),"0000"))</f>
        <v/>
      </c>
      <c r="Y47" s="6"/>
      <c r="Z47" s="6"/>
      <c r="AA47" s="6"/>
      <c r="AB47" s="6"/>
      <c r="AC47" s="6"/>
    </row>
    <row r="48" spans="1:29" x14ac:dyDescent="0.2">
      <c r="A48" s="38" t="s">
        <v>1059</v>
      </c>
      <c r="B48" s="39" t="s">
        <v>151</v>
      </c>
      <c r="C48" s="197" t="str">
        <f>VLOOKUP(LEFT(B48,7),'Tariff Schedule Lookup Table'!$A$8:$D$186,3,FALSE)</f>
        <v>2x70</v>
      </c>
      <c r="D48" s="199" t="str">
        <f>VLOOKUP(LEFT(B48,7),'Tariff Schedule Lookup Table'!$A$8:$D$186,2,FALSE)</f>
        <v>High Pressure Sodium 2x70</v>
      </c>
      <c r="E48" s="6" t="s">
        <v>996</v>
      </c>
      <c r="F48" s="37">
        <f>VLOOKUP(LEFT(B48,7),'Tariff Schedule Lookup Table'!$A$8:$D$186,4,FALSE)</f>
        <v>172</v>
      </c>
      <c r="G48" s="33">
        <f>VLOOKUP($B48,'Maintenance Costs'!$A$20:$AG$176,32,FALSE)</f>
        <v>59.771770221403138</v>
      </c>
      <c r="H48" s="67">
        <f>IF(VLOOKUP($B48,'Maintenance Costs'!$A$20:$AG$176,33,FALSE)=0,"",VLOOKUP($B48,'Maintenance Costs'!$A$20:$AG$176,33,FALSE))</f>
        <v>79.718481519499662</v>
      </c>
      <c r="I48" s="34" t="str">
        <f>IF(ISERROR(VLOOKUP(CONCATENATE($A48,$I$8,I$10),'Tariff Schedule Lookup Table'!$F$8:$G$286,2,FALSE))=TRUE,"",TEXT(VLOOKUP(CONCATENATE($A48,$I$8,I$10),'Tariff Schedule Lookup Table'!$F$8:$G$286,2,FALSE),"0000"))</f>
        <v>0090</v>
      </c>
      <c r="J48" s="34" t="str">
        <f>IF(ISERROR(VLOOKUP(CONCATENATE($A48,$I$8,J$10),'Tariff Schedule Lookup Table'!$F$8:$G$286,2,FALSE))=TRUE,"",TEXT(VLOOKUP(CONCATENATE($A48,$I$8,J$10),'Tariff Schedule Lookup Table'!$F$8:$G$286,2,FALSE),"0000"))</f>
        <v>1180</v>
      </c>
      <c r="K48" s="34" t="str">
        <f>IF(ISERROR(VLOOKUP(CONCATENATE($A48,$I$8,K$10),'Tariff Schedule Lookup Table'!$F$8:$G$286,2,FALSE))=TRUE,"",TEXT(VLOOKUP(CONCATENATE($A48,$I$8,K$10),'Tariff Schedule Lookup Table'!$F$8:$G$286,2,FALSE),"0000"))</f>
        <v>1190</v>
      </c>
      <c r="L48" s="34" t="str">
        <f>IF(ISERROR(VLOOKUP(CONCATENATE($A48,$I$8,L$10),'Tariff Schedule Lookup Table'!$F$8:$G$286,2,FALSE))=TRUE,"",TEXT(VLOOKUP(CONCATENATE($A48,$I$8,L$10),'Tariff Schedule Lookup Table'!$F$8:$G$286,2,FALSE),"0000"))</f>
        <v>1200</v>
      </c>
      <c r="M48" s="34" t="str">
        <f>IF(ISERROR(VLOOKUP(CONCATENATE($A48,$M$8,M$10),'Tariff Schedule Lookup Table'!$F$8:$G$286,2,FALSE))=TRUE,"",TEXT(VLOOKUP(CONCATENATE($A48,$M$8,M$10),'Tariff Schedule Lookup Table'!$F$8:$G$286,2,FALSE),"0000"))</f>
        <v>0140</v>
      </c>
      <c r="N48" s="34" t="str">
        <f>IF(ISERROR(VLOOKUP(CONCATENATE($A48,$M$8,N$10),'Tariff Schedule Lookup Table'!$F$8:$G$286,2,FALSE))=TRUE,"",TEXT(VLOOKUP(CONCATENATE($A48,$M$8,N$10),'Tariff Schedule Lookup Table'!$F$8:$G$286,2,FALSE),"0000"))</f>
        <v>1210</v>
      </c>
      <c r="O48" s="34" t="str">
        <f>IF(ISERROR(VLOOKUP(CONCATENATE($A48,$M$8,O$10),'Tariff Schedule Lookup Table'!$F$8:$G$286,2,FALSE))=TRUE,"",TEXT(VLOOKUP(CONCATENATE($A48,$M$8,O$10),'Tariff Schedule Lookup Table'!$F$8:$G$286,2,FALSE),"0000"))</f>
        <v/>
      </c>
      <c r="P48" s="34" t="str">
        <f>IF(ISERROR(VLOOKUP(CONCATENATE($A48,$M$8,P$10),'Tariff Schedule Lookup Table'!$F$8:$G$286,2,FALSE))=TRUE,"",TEXT(VLOOKUP(CONCATENATE($A48,$M$8,P$10),'Tariff Schedule Lookup Table'!$F$8:$G$286,2,FALSE),"0000"))</f>
        <v/>
      </c>
      <c r="Q48" s="34" t="str">
        <f>IF(ISERROR(VLOOKUP(CONCATENATE($A48,$Q$8,Q$10),'Tariff Schedule Lookup Table'!$F$8:$G$286,2,FALSE))=TRUE,"",TEXT(VLOOKUP(CONCATENATE($A48,$Q$8,Q$10),'Tariff Schedule Lookup Table'!$F$8:$G$286,2,FALSE),"0000"))</f>
        <v>0170</v>
      </c>
      <c r="R48" s="34" t="str">
        <f>IF(ISERROR(VLOOKUP(CONCATENATE($A48,$Q$8,R$10),'Tariff Schedule Lookup Table'!$F$8:$G$286,2,FALSE))=TRUE,"",TEXT(VLOOKUP(CONCATENATE($A48,$Q$8,R$10),'Tariff Schedule Lookup Table'!$F$8:$G$286,2,FALSE),"0000"))</f>
        <v>1220</v>
      </c>
      <c r="S48" s="34" t="str">
        <f>IF(ISERROR(VLOOKUP(CONCATENATE($A48,$Q$8,S$10),'Tariff Schedule Lookup Table'!$F$8:$G$286,2,FALSE))=TRUE,"",TEXT(VLOOKUP(CONCATENATE($A48,$Q$8,S$10),'Tariff Schedule Lookup Table'!$F$8:$G$286,2,FALSE),"0000"))</f>
        <v>1230</v>
      </c>
      <c r="T48" s="34" t="str">
        <f>IF(ISERROR(VLOOKUP(CONCATENATE($A48,$Q$8,T$10),'Tariff Schedule Lookup Table'!$F$8:$G$286,2,FALSE))=TRUE,"",TEXT(VLOOKUP(CONCATENATE($A48,$Q$8,T$10),'Tariff Schedule Lookup Table'!$F$8:$G$286,2,FALSE),"0000"))</f>
        <v>1240</v>
      </c>
      <c r="U48" s="34" t="str">
        <f>IF(ISERROR(VLOOKUP(CONCATENATE($A48,$U$8,U$10),'Tariff Schedule Lookup Table'!$F$8:$G$286,2,FALSE))=TRUE,"",TEXT(VLOOKUP(CONCATENATE($A48,$U$8,U$10),'Tariff Schedule Lookup Table'!$F$8:$G$286,2,FALSE),"0000"))</f>
        <v/>
      </c>
      <c r="V48" s="34" t="str">
        <f>IF(ISERROR(VLOOKUP(CONCATENATE($A48,$U$8,V$10),'Tariff Schedule Lookup Table'!$F$8:$G$286,2,FALSE))=TRUE,"",TEXT(VLOOKUP(CONCATENATE($A48,$U$8,V$10),'Tariff Schedule Lookup Table'!$F$8:$G$286,2,FALSE),"0000"))</f>
        <v/>
      </c>
      <c r="W48" s="34" t="str">
        <f>IF(ISERROR(VLOOKUP(CONCATENATE($A48,$U$8,W$10),'Tariff Schedule Lookup Table'!$F$8:$G$286,2,FALSE))=TRUE,"",TEXT(VLOOKUP(CONCATENATE($A48,$U$8,W$10),'Tariff Schedule Lookup Table'!$F$8:$G$286,2,FALSE),"0000"))</f>
        <v/>
      </c>
      <c r="X48" s="34" t="str">
        <f>IF(ISERROR(VLOOKUP(CONCATENATE($A48,$U$8,X$10),'Tariff Schedule Lookup Table'!$F$8:$G$286,2,FALSE))=TRUE,"",TEXT(VLOOKUP(CONCATENATE($A48,$U$8,X$10),'Tariff Schedule Lookup Table'!$F$8:$G$186,2,FALSE),"0000"))</f>
        <v/>
      </c>
      <c r="Y48" s="6"/>
      <c r="Z48" s="6"/>
      <c r="AA48" s="6"/>
      <c r="AB48" s="6"/>
      <c r="AC48" s="6"/>
    </row>
    <row r="49" spans="1:29" x14ac:dyDescent="0.2">
      <c r="A49" s="38" t="s">
        <v>1044</v>
      </c>
      <c r="B49" s="39" t="s">
        <v>152</v>
      </c>
      <c r="C49" s="197" t="str">
        <f>VLOOKUP(LEFT(B49,7),'Tariff Schedule Lookup Table'!$A$8:$D$186,3,FALSE)</f>
        <v>3x70</v>
      </c>
      <c r="D49" s="199" t="str">
        <f>VLOOKUP(LEFT(B49,7),'Tariff Schedule Lookup Table'!$A$8:$D$186,2,FALSE)</f>
        <v>High Pressure Sodium 3x70</v>
      </c>
      <c r="E49" s="6" t="s">
        <v>996</v>
      </c>
      <c r="F49" s="37">
        <f>VLOOKUP(LEFT(B49,7),'Tariff Schedule Lookup Table'!$A$8:$D$186,4,FALSE)</f>
        <v>258</v>
      </c>
      <c r="G49" s="33">
        <f>VLOOKUP($B49,'Maintenance Costs'!$A$20:$AG$176,32,FALSE)</f>
        <v>77.197297471685815</v>
      </c>
      <c r="H49" s="67">
        <f>IF(VLOOKUP($B49,'Maintenance Costs'!$A$20:$AG$176,33,FALSE)=0,"",VLOOKUP($B49,'Maintenance Costs'!$A$20:$AG$176,33,FALSE))</f>
        <v>75.372826360189265</v>
      </c>
      <c r="I49" s="34" t="str">
        <f>IF(ISERROR(VLOOKUP(CONCATENATE($A49,$I$8,I$10),'Tariff Schedule Lookup Table'!$F$8:$G$286,2,FALSE))=TRUE,"",TEXT(VLOOKUP(CONCATENATE($A49,$I$8,I$10),'Tariff Schedule Lookup Table'!$F$8:$G$286,2,FALSE),"0000"))</f>
        <v>0040</v>
      </c>
      <c r="J49" s="34" t="str">
        <f>IF(ISERROR(VLOOKUP(CONCATENATE($A49,$I$8,J$10),'Tariff Schedule Lookup Table'!$F$8:$G$286,2,FALSE))=TRUE,"",TEXT(VLOOKUP(CONCATENATE($A49,$I$8,J$10),'Tariff Schedule Lookup Table'!$F$8:$G$286,2,FALSE),"0000"))</f>
        <v>0890</v>
      </c>
      <c r="K49" s="34" t="str">
        <f>IF(ISERROR(VLOOKUP(CONCATENATE($A49,$I$8,K$10),'Tariff Schedule Lookup Table'!$F$8:$G$286,2,FALSE))=TRUE,"",TEXT(VLOOKUP(CONCATENATE($A49,$I$8,K$10),'Tariff Schedule Lookup Table'!$F$8:$G$286,2,FALSE),"0000"))</f>
        <v>0750</v>
      </c>
      <c r="L49" s="34" t="str">
        <f>IF(ISERROR(VLOOKUP(CONCATENATE($A49,$I$8,L$10),'Tariff Schedule Lookup Table'!$F$8:$G$286,2,FALSE))=TRUE,"",TEXT(VLOOKUP(CONCATENATE($A49,$I$8,L$10),'Tariff Schedule Lookup Table'!$F$8:$G$286,2,FALSE),"0000"))</f>
        <v>0920</v>
      </c>
      <c r="M49" s="34" t="str">
        <f>IF(ISERROR(VLOOKUP(CONCATENATE($A49,$M$8,M$10),'Tariff Schedule Lookup Table'!$F$8:$G$286,2,FALSE))=TRUE,"",TEXT(VLOOKUP(CONCATENATE($A49,$M$8,M$10),'Tariff Schedule Lookup Table'!$F$8:$G$286,2,FALSE),"0000"))</f>
        <v>0350</v>
      </c>
      <c r="N49" s="34" t="str">
        <f>IF(ISERROR(VLOOKUP(CONCATENATE($A49,$M$8,N$10),'Tariff Schedule Lookup Table'!$F$8:$G$286,2,FALSE))=TRUE,"",TEXT(VLOOKUP(CONCATENATE($A49,$M$8,N$10),'Tariff Schedule Lookup Table'!$F$8:$G$286,2,FALSE),"0000"))</f>
        <v>0910</v>
      </c>
      <c r="O49" s="34" t="str">
        <f>IF(ISERROR(VLOOKUP(CONCATENATE($A49,$M$8,O$10),'Tariff Schedule Lookup Table'!$F$8:$G$286,2,FALSE))=TRUE,"",TEXT(VLOOKUP(CONCATENATE($A49,$M$8,O$10),'Tariff Schedule Lookup Table'!$F$8:$G$286,2,FALSE),"0000"))</f>
        <v/>
      </c>
      <c r="P49" s="34" t="str">
        <f>IF(ISERROR(VLOOKUP(CONCATENATE($A49,$M$8,P$10),'Tariff Schedule Lookup Table'!$F$8:$G$286,2,FALSE))=TRUE,"",TEXT(VLOOKUP(CONCATENATE($A49,$M$8,P$10),'Tariff Schedule Lookup Table'!$F$8:$G$286,2,FALSE),"0000"))</f>
        <v/>
      </c>
      <c r="Q49" s="34" t="str">
        <f>IF(ISERROR(VLOOKUP(CONCATENATE($A49,$Q$8,Q$10),'Tariff Schedule Lookup Table'!$F$8:$G$286,2,FALSE))=TRUE,"",TEXT(VLOOKUP(CONCATENATE($A49,$Q$8,Q$10),'Tariff Schedule Lookup Table'!$F$8:$G$286,2,FALSE),"0000"))</f>
        <v>0360</v>
      </c>
      <c r="R49" s="34" t="str">
        <f>IF(ISERROR(VLOOKUP(CONCATENATE($A49,$Q$8,R$10),'Tariff Schedule Lookup Table'!$F$8:$G$286,2,FALSE))=TRUE,"",TEXT(VLOOKUP(CONCATENATE($A49,$Q$8,R$10),'Tariff Schedule Lookup Table'!$F$8:$G$286,2,FALSE),"0000"))</f>
        <v>0730</v>
      </c>
      <c r="S49" s="34" t="str">
        <f>IF(ISERROR(VLOOKUP(CONCATENATE($A49,$Q$8,S$10),'Tariff Schedule Lookup Table'!$F$8:$G$286,2,FALSE))=TRUE,"",TEXT(VLOOKUP(CONCATENATE($A49,$Q$8,S$10),'Tariff Schedule Lookup Table'!$F$8:$G$286,2,FALSE),"0000"))</f>
        <v/>
      </c>
      <c r="T49" s="34" t="str">
        <f>IF(ISERROR(VLOOKUP(CONCATENATE($A49,$Q$8,T$10),'Tariff Schedule Lookup Table'!$F$8:$G$286,2,FALSE))=TRUE,"",TEXT(VLOOKUP(CONCATENATE($A49,$Q$8,T$10),'Tariff Schedule Lookup Table'!$F$8:$G$286,2,FALSE),"0000"))</f>
        <v>0880</v>
      </c>
      <c r="U49" s="34" t="str">
        <f>IF(ISERROR(VLOOKUP(CONCATENATE($A49,$U$8,U$10),'Tariff Schedule Lookup Table'!$F$8:$G$286,2,FALSE))=TRUE,"",TEXT(VLOOKUP(CONCATENATE($A49,$U$8,U$10),'Tariff Schedule Lookup Table'!$F$8:$G$286,2,FALSE),"0000"))</f>
        <v/>
      </c>
      <c r="V49" s="34" t="str">
        <f>IF(ISERROR(VLOOKUP(CONCATENATE($A49,$U$8,V$10),'Tariff Schedule Lookup Table'!$F$8:$G$286,2,FALSE))=TRUE,"",TEXT(VLOOKUP(CONCATENATE($A49,$U$8,V$10),'Tariff Schedule Lookup Table'!$F$8:$G$286,2,FALSE),"0000"))</f>
        <v/>
      </c>
      <c r="W49" s="34" t="str">
        <f>IF(ISERROR(VLOOKUP(CONCATENATE($A49,$U$8,W$10),'Tariff Schedule Lookup Table'!$F$8:$G$286,2,FALSE))=TRUE,"",TEXT(VLOOKUP(CONCATENATE($A49,$U$8,W$10),'Tariff Schedule Lookup Table'!$F$8:$G$286,2,FALSE),"0000"))</f>
        <v/>
      </c>
      <c r="X49" s="34" t="str">
        <f>IF(ISERROR(VLOOKUP(CONCATENATE($A49,$U$8,X$10),'Tariff Schedule Lookup Table'!$F$8:$G$286,2,FALSE))=TRUE,"",TEXT(VLOOKUP(CONCATENATE($A49,$U$8,X$10),'Tariff Schedule Lookup Table'!$F$8:$G$186,2,FALSE),"0000"))</f>
        <v/>
      </c>
      <c r="Y49" s="6"/>
      <c r="Z49" s="6"/>
      <c r="AA49" s="6"/>
      <c r="AB49" s="6"/>
      <c r="AC49" s="6"/>
    </row>
    <row r="50" spans="1:29" x14ac:dyDescent="0.2">
      <c r="A50" s="38" t="s">
        <v>1059</v>
      </c>
      <c r="B50" s="39" t="s">
        <v>153</v>
      </c>
      <c r="C50" s="197" t="str">
        <f>VLOOKUP(LEFT(B50,7),'Tariff Schedule Lookup Table'!$A$8:$D$186,3,FALSE)</f>
        <v>3x70</v>
      </c>
      <c r="D50" s="199" t="str">
        <f>VLOOKUP(LEFT(B50,7),'Tariff Schedule Lookup Table'!$A$8:$D$186,2,FALSE)</f>
        <v>High Pressure Sodium 3x70</v>
      </c>
      <c r="E50" s="6" t="s">
        <v>996</v>
      </c>
      <c r="F50" s="37">
        <f>VLOOKUP(LEFT(B50,7),'Tariff Schedule Lookup Table'!$A$8:$D$186,4,FALSE)</f>
        <v>258</v>
      </c>
      <c r="G50" s="33">
        <f>VLOOKUP($B50,'Maintenance Costs'!$A$20:$AG$176,32,FALSE)</f>
        <v>70.295141001403138</v>
      </c>
      <c r="H50" s="67">
        <f>IF(VLOOKUP($B50,'Maintenance Costs'!$A$20:$AG$176,33,FALSE)=0,"",VLOOKUP($B50,'Maintenance Costs'!$A$20:$AG$176,33,FALSE))</f>
        <v>102.239288767833</v>
      </c>
      <c r="I50" s="34" t="str">
        <f>IF(ISERROR(VLOOKUP(CONCATENATE($A50,$I$8,I$10),'Tariff Schedule Lookup Table'!$F$8:$G$286,2,FALSE))=TRUE,"",TEXT(VLOOKUP(CONCATENATE($A50,$I$8,I$10),'Tariff Schedule Lookup Table'!$F$8:$G$286,2,FALSE),"0000"))</f>
        <v>0090</v>
      </c>
      <c r="J50" s="34" t="str">
        <f>IF(ISERROR(VLOOKUP(CONCATENATE($A50,$I$8,J$10),'Tariff Schedule Lookup Table'!$F$8:$G$286,2,FALSE))=TRUE,"",TEXT(VLOOKUP(CONCATENATE($A50,$I$8,J$10),'Tariff Schedule Lookup Table'!$F$8:$G$286,2,FALSE),"0000"))</f>
        <v>1180</v>
      </c>
      <c r="K50" s="34" t="str">
        <f>IF(ISERROR(VLOOKUP(CONCATENATE($A50,$I$8,K$10),'Tariff Schedule Lookup Table'!$F$8:$G$286,2,FALSE))=TRUE,"",TEXT(VLOOKUP(CONCATENATE($A50,$I$8,K$10),'Tariff Schedule Lookup Table'!$F$8:$G$286,2,FALSE),"0000"))</f>
        <v>1190</v>
      </c>
      <c r="L50" s="34" t="str">
        <f>IF(ISERROR(VLOOKUP(CONCATENATE($A50,$I$8,L$10),'Tariff Schedule Lookup Table'!$F$8:$G$286,2,FALSE))=TRUE,"",TEXT(VLOOKUP(CONCATENATE($A50,$I$8,L$10),'Tariff Schedule Lookup Table'!$F$8:$G$286,2,FALSE),"0000"))</f>
        <v>1200</v>
      </c>
      <c r="M50" s="34" t="str">
        <f>IF(ISERROR(VLOOKUP(CONCATENATE($A50,$M$8,M$10),'Tariff Schedule Lookup Table'!$F$8:$G$286,2,FALSE))=TRUE,"",TEXT(VLOOKUP(CONCATENATE($A50,$M$8,M$10),'Tariff Schedule Lookup Table'!$F$8:$G$286,2,FALSE),"0000"))</f>
        <v>0140</v>
      </c>
      <c r="N50" s="34" t="str">
        <f>IF(ISERROR(VLOOKUP(CONCATENATE($A50,$M$8,N$10),'Tariff Schedule Lookup Table'!$F$8:$G$286,2,FALSE))=TRUE,"",TEXT(VLOOKUP(CONCATENATE($A50,$M$8,N$10),'Tariff Schedule Lookup Table'!$F$8:$G$286,2,FALSE),"0000"))</f>
        <v>1210</v>
      </c>
      <c r="O50" s="34" t="str">
        <f>IF(ISERROR(VLOOKUP(CONCATENATE($A50,$M$8,O$10),'Tariff Schedule Lookup Table'!$F$8:$G$286,2,FALSE))=TRUE,"",TEXT(VLOOKUP(CONCATENATE($A50,$M$8,O$10),'Tariff Schedule Lookup Table'!$F$8:$G$286,2,FALSE),"0000"))</f>
        <v/>
      </c>
      <c r="P50" s="34" t="str">
        <f>IF(ISERROR(VLOOKUP(CONCATENATE($A50,$M$8,P$10),'Tariff Schedule Lookup Table'!$F$8:$G$286,2,FALSE))=TRUE,"",TEXT(VLOOKUP(CONCATENATE($A50,$M$8,P$10),'Tariff Schedule Lookup Table'!$F$8:$G$286,2,FALSE),"0000"))</f>
        <v/>
      </c>
      <c r="Q50" s="34" t="str">
        <f>IF(ISERROR(VLOOKUP(CONCATENATE($A50,$Q$8,Q$10),'Tariff Schedule Lookup Table'!$F$8:$G$286,2,FALSE))=TRUE,"",TEXT(VLOOKUP(CONCATENATE($A50,$Q$8,Q$10),'Tariff Schedule Lookup Table'!$F$8:$G$286,2,FALSE),"0000"))</f>
        <v>0170</v>
      </c>
      <c r="R50" s="34" t="str">
        <f>IF(ISERROR(VLOOKUP(CONCATENATE($A50,$Q$8,R$10),'Tariff Schedule Lookup Table'!$F$8:$G$286,2,FALSE))=TRUE,"",TEXT(VLOOKUP(CONCATENATE($A50,$Q$8,R$10),'Tariff Schedule Lookup Table'!$F$8:$G$286,2,FALSE),"0000"))</f>
        <v>1220</v>
      </c>
      <c r="S50" s="34" t="str">
        <f>IF(ISERROR(VLOOKUP(CONCATENATE($A50,$Q$8,S$10),'Tariff Schedule Lookup Table'!$F$8:$G$286,2,FALSE))=TRUE,"",TEXT(VLOOKUP(CONCATENATE($A50,$Q$8,S$10),'Tariff Schedule Lookup Table'!$F$8:$G$286,2,FALSE),"0000"))</f>
        <v>1230</v>
      </c>
      <c r="T50" s="34" t="str">
        <f>IF(ISERROR(VLOOKUP(CONCATENATE($A50,$Q$8,T$10),'Tariff Schedule Lookup Table'!$F$8:$G$286,2,FALSE))=TRUE,"",TEXT(VLOOKUP(CONCATENATE($A50,$Q$8,T$10),'Tariff Schedule Lookup Table'!$F$8:$G$286,2,FALSE),"0000"))</f>
        <v>1240</v>
      </c>
      <c r="U50" s="34" t="str">
        <f>IF(ISERROR(VLOOKUP(CONCATENATE($A50,$U$8,U$10),'Tariff Schedule Lookup Table'!$F$8:$G$286,2,FALSE))=TRUE,"",TEXT(VLOOKUP(CONCATENATE($A50,$U$8,U$10),'Tariff Schedule Lookup Table'!$F$8:$G$286,2,FALSE),"0000"))</f>
        <v/>
      </c>
      <c r="V50" s="34" t="str">
        <f>IF(ISERROR(VLOOKUP(CONCATENATE($A50,$U$8,V$10),'Tariff Schedule Lookup Table'!$F$8:$G$286,2,FALSE))=TRUE,"",TEXT(VLOOKUP(CONCATENATE($A50,$U$8,V$10),'Tariff Schedule Lookup Table'!$F$8:$G$286,2,FALSE),"0000"))</f>
        <v/>
      </c>
      <c r="W50" s="34" t="str">
        <f>IF(ISERROR(VLOOKUP(CONCATENATE($A50,$U$8,W$10),'Tariff Schedule Lookup Table'!$F$8:$G$286,2,FALSE))=TRUE,"",TEXT(VLOOKUP(CONCATENATE($A50,$U$8,W$10),'Tariff Schedule Lookup Table'!$F$8:$G$286,2,FALSE),"0000"))</f>
        <v/>
      </c>
      <c r="X50" s="34" t="str">
        <f>IF(ISERROR(VLOOKUP(CONCATENATE($A50,$U$8,X$10),'Tariff Schedule Lookup Table'!$F$8:$G$286,2,FALSE))=TRUE,"",TEXT(VLOOKUP(CONCATENATE($A50,$U$8,X$10),'Tariff Schedule Lookup Table'!$F$8:$G$186,2,FALSE),"0000"))</f>
        <v/>
      </c>
      <c r="Y50" s="6"/>
      <c r="Z50" s="6"/>
      <c r="AA50" s="6"/>
      <c r="AB50" s="6"/>
      <c r="AC50" s="6"/>
    </row>
    <row r="51" spans="1:29" x14ac:dyDescent="0.2">
      <c r="A51" s="6" t="s">
        <v>1044</v>
      </c>
      <c r="B51" s="35" t="s">
        <v>154</v>
      </c>
      <c r="C51" s="197" t="str">
        <f>VLOOKUP(LEFT(B51,7),'Tariff Schedule Lookup Table'!$A$8:$D$186,3,FALSE)</f>
        <v>4x70</v>
      </c>
      <c r="D51" s="199" t="str">
        <f>VLOOKUP(LEFT(B51,7),'Tariff Schedule Lookup Table'!$A$8:$D$186,2,FALSE)</f>
        <v>High Pressure Sodium 4x70</v>
      </c>
      <c r="E51" s="6" t="s">
        <v>996</v>
      </c>
      <c r="F51" s="37">
        <f>VLOOKUP(LEFT(B51,7),'Tariff Schedule Lookup Table'!$A$8:$D$186,4,FALSE)</f>
        <v>344</v>
      </c>
      <c r="G51" s="33">
        <f>VLOOKUP($B51,'Maintenance Costs'!$A$20:$AG$176,32,FALSE)</f>
        <v>83.420882631685814</v>
      </c>
      <c r="H51" s="67">
        <f>IF(VLOOKUP($B51,'Maintenance Costs'!$A$20:$AG$176,33,FALSE)=0,"",VLOOKUP($B51,'Maintenance Costs'!$A$20:$AG$176,33,FALSE))</f>
        <v>86.991474101755927</v>
      </c>
      <c r="I51" s="34" t="str">
        <f>IF(ISERROR(VLOOKUP(CONCATENATE($A51,$I$8,I$10),'Tariff Schedule Lookup Table'!$F$8:$G$286,2,FALSE))=TRUE,"",TEXT(VLOOKUP(CONCATENATE($A51,$I$8,I$10),'Tariff Schedule Lookup Table'!$F$8:$G$286,2,FALSE),"0000"))</f>
        <v>0040</v>
      </c>
      <c r="J51" s="34" t="str">
        <f>IF(ISERROR(VLOOKUP(CONCATENATE($A51,$I$8,J$10),'Tariff Schedule Lookup Table'!$F$8:$G$286,2,FALSE))=TRUE,"",TEXT(VLOOKUP(CONCATENATE($A51,$I$8,J$10),'Tariff Schedule Lookup Table'!$F$8:$G$286,2,FALSE),"0000"))</f>
        <v>0890</v>
      </c>
      <c r="K51" s="34" t="str">
        <f>IF(ISERROR(VLOOKUP(CONCATENATE($A51,$I$8,K$10),'Tariff Schedule Lookup Table'!$F$8:$G$286,2,FALSE))=TRUE,"",TEXT(VLOOKUP(CONCATENATE($A51,$I$8,K$10),'Tariff Schedule Lookup Table'!$F$8:$G$286,2,FALSE),"0000"))</f>
        <v>0750</v>
      </c>
      <c r="L51" s="34" t="str">
        <f>IF(ISERROR(VLOOKUP(CONCATENATE($A51,$I$8,L$10),'Tariff Schedule Lookup Table'!$F$8:$G$286,2,FALSE))=TRUE,"",TEXT(VLOOKUP(CONCATENATE($A51,$I$8,L$10),'Tariff Schedule Lookup Table'!$F$8:$G$286,2,FALSE),"0000"))</f>
        <v>0920</v>
      </c>
      <c r="M51" s="34" t="str">
        <f>IF(ISERROR(VLOOKUP(CONCATENATE($A51,$M$8,M$10),'Tariff Schedule Lookup Table'!$F$8:$G$286,2,FALSE))=TRUE,"",TEXT(VLOOKUP(CONCATENATE($A51,$M$8,M$10),'Tariff Schedule Lookup Table'!$F$8:$G$286,2,FALSE),"0000"))</f>
        <v>0350</v>
      </c>
      <c r="N51" s="34" t="str">
        <f>IF(ISERROR(VLOOKUP(CONCATENATE($A51,$M$8,N$10),'Tariff Schedule Lookup Table'!$F$8:$G$286,2,FALSE))=TRUE,"",TEXT(VLOOKUP(CONCATENATE($A51,$M$8,N$10),'Tariff Schedule Lookup Table'!$F$8:$G$286,2,FALSE),"0000"))</f>
        <v>0910</v>
      </c>
      <c r="O51" s="34" t="str">
        <f>IF(ISERROR(VLOOKUP(CONCATENATE($A51,$M$8,O$10),'Tariff Schedule Lookup Table'!$F$8:$G$286,2,FALSE))=TRUE,"",TEXT(VLOOKUP(CONCATENATE($A51,$M$8,O$10),'Tariff Schedule Lookup Table'!$F$8:$G$286,2,FALSE),"0000"))</f>
        <v/>
      </c>
      <c r="P51" s="34" t="str">
        <f>IF(ISERROR(VLOOKUP(CONCATENATE($A51,$M$8,P$10),'Tariff Schedule Lookup Table'!$F$8:$G$286,2,FALSE))=TRUE,"",TEXT(VLOOKUP(CONCATENATE($A51,$M$8,P$10),'Tariff Schedule Lookup Table'!$F$8:$G$286,2,FALSE),"0000"))</f>
        <v/>
      </c>
      <c r="Q51" s="34" t="str">
        <f>IF(ISERROR(VLOOKUP(CONCATENATE($A51,$Q$8,Q$10),'Tariff Schedule Lookup Table'!$F$8:$G$286,2,FALSE))=TRUE,"",TEXT(VLOOKUP(CONCATENATE($A51,$Q$8,Q$10),'Tariff Schedule Lookup Table'!$F$8:$G$286,2,FALSE),"0000"))</f>
        <v>0360</v>
      </c>
      <c r="R51" s="34" t="str">
        <f>IF(ISERROR(VLOOKUP(CONCATENATE($A51,$Q$8,R$10),'Tariff Schedule Lookup Table'!$F$8:$G$286,2,FALSE))=TRUE,"",TEXT(VLOOKUP(CONCATENATE($A51,$Q$8,R$10),'Tariff Schedule Lookup Table'!$F$8:$G$286,2,FALSE),"0000"))</f>
        <v>0730</v>
      </c>
      <c r="S51" s="34" t="str">
        <f>IF(ISERROR(VLOOKUP(CONCATENATE($A51,$Q$8,S$10),'Tariff Schedule Lookup Table'!$F$8:$G$286,2,FALSE))=TRUE,"",TEXT(VLOOKUP(CONCATENATE($A51,$Q$8,S$10),'Tariff Schedule Lookup Table'!$F$8:$G$286,2,FALSE),"0000"))</f>
        <v/>
      </c>
      <c r="T51" s="34" t="str">
        <f>IF(ISERROR(VLOOKUP(CONCATENATE($A51,$Q$8,T$10),'Tariff Schedule Lookup Table'!$F$8:$G$286,2,FALSE))=TRUE,"",TEXT(VLOOKUP(CONCATENATE($A51,$Q$8,T$10),'Tariff Schedule Lookup Table'!$F$8:$G$286,2,FALSE),"0000"))</f>
        <v>0880</v>
      </c>
      <c r="U51" s="34" t="str">
        <f>IF(ISERROR(VLOOKUP(CONCATENATE($A51,$U$8,U$10),'Tariff Schedule Lookup Table'!$F$8:$G$286,2,FALSE))=TRUE,"",TEXT(VLOOKUP(CONCATENATE($A51,$U$8,U$10),'Tariff Schedule Lookup Table'!$F$8:$G$286,2,FALSE),"0000"))</f>
        <v/>
      </c>
      <c r="V51" s="34" t="str">
        <f>IF(ISERROR(VLOOKUP(CONCATENATE($A51,$U$8,V$10),'Tariff Schedule Lookup Table'!$F$8:$G$286,2,FALSE))=TRUE,"",TEXT(VLOOKUP(CONCATENATE($A51,$U$8,V$10),'Tariff Schedule Lookup Table'!$F$8:$G$286,2,FALSE),"0000"))</f>
        <v/>
      </c>
      <c r="W51" s="34" t="str">
        <f>IF(ISERROR(VLOOKUP(CONCATENATE($A51,$U$8,W$10),'Tariff Schedule Lookup Table'!$F$8:$G$286,2,FALSE))=TRUE,"",TEXT(VLOOKUP(CONCATENATE($A51,$U$8,W$10),'Tariff Schedule Lookup Table'!$F$8:$G$286,2,FALSE),"0000"))</f>
        <v/>
      </c>
      <c r="X51" s="34" t="str">
        <f>IF(ISERROR(VLOOKUP(CONCATENATE($A51,$U$8,X$10),'Tariff Schedule Lookup Table'!$F$8:$G$286,2,FALSE))=TRUE,"",TEXT(VLOOKUP(CONCATENATE($A51,$U$8,X$10),'Tariff Schedule Lookup Table'!$F$8:$G$186,2,FALSE),"0000"))</f>
        <v/>
      </c>
      <c r="Y51" s="6"/>
      <c r="Z51" s="6"/>
      <c r="AA51" s="6"/>
      <c r="AB51" s="6"/>
      <c r="AC51" s="6"/>
    </row>
    <row r="52" spans="1:29" x14ac:dyDescent="0.2">
      <c r="A52" s="38" t="s">
        <v>1059</v>
      </c>
      <c r="B52" s="39" t="s">
        <v>155</v>
      </c>
      <c r="C52" s="197" t="str">
        <f>VLOOKUP(LEFT(B52,7),'Tariff Schedule Lookup Table'!$A$8:$D$186,3,FALSE)</f>
        <v>4x70</v>
      </c>
      <c r="D52" s="199" t="str">
        <f>VLOOKUP(LEFT(B52,7),'Tariff Schedule Lookup Table'!$A$8:$D$186,2,FALSE)</f>
        <v>High Pressure Sodium 4x70</v>
      </c>
      <c r="E52" s="6" t="s">
        <v>996</v>
      </c>
      <c r="F52" s="37">
        <f>VLOOKUP(LEFT(B52,7),'Tariff Schedule Lookup Table'!$A$8:$D$186,4,FALSE)</f>
        <v>344</v>
      </c>
      <c r="G52" s="33">
        <f>VLOOKUP($B52,'Maintenance Costs'!$A$20:$AG$176,32,FALSE)</f>
        <v>80.818511781403146</v>
      </c>
      <c r="H52" s="67">
        <f>IF(VLOOKUP($B52,'Maintenance Costs'!$A$20:$AG$176,33,FALSE)=0,"",VLOOKUP($B52,'Maintenance Costs'!$A$20:$AG$176,33,FALSE))</f>
        <v>124.76009601616632</v>
      </c>
      <c r="I52" s="34" t="str">
        <f>IF(ISERROR(VLOOKUP(CONCATENATE($A52,$I$8,I$10),'Tariff Schedule Lookup Table'!$F$8:$G$286,2,FALSE))=TRUE,"",TEXT(VLOOKUP(CONCATENATE($A52,$I$8,I$10),'Tariff Schedule Lookup Table'!$F$8:$G$286,2,FALSE),"0000"))</f>
        <v>0090</v>
      </c>
      <c r="J52" s="34" t="str">
        <f>IF(ISERROR(VLOOKUP(CONCATENATE($A52,$I$8,J$10),'Tariff Schedule Lookup Table'!$F$8:$G$286,2,FALSE))=TRUE,"",TEXT(VLOOKUP(CONCATENATE($A52,$I$8,J$10),'Tariff Schedule Lookup Table'!$F$8:$G$286,2,FALSE),"0000"))</f>
        <v>1180</v>
      </c>
      <c r="K52" s="34" t="str">
        <f>IF(ISERROR(VLOOKUP(CONCATENATE($A52,$I$8,K$10),'Tariff Schedule Lookup Table'!$F$8:$G$286,2,FALSE))=TRUE,"",TEXT(VLOOKUP(CONCATENATE($A52,$I$8,K$10),'Tariff Schedule Lookup Table'!$F$8:$G$286,2,FALSE),"0000"))</f>
        <v>1190</v>
      </c>
      <c r="L52" s="34" t="str">
        <f>IF(ISERROR(VLOOKUP(CONCATENATE($A52,$I$8,L$10),'Tariff Schedule Lookup Table'!$F$8:$G$286,2,FALSE))=TRUE,"",TEXT(VLOOKUP(CONCATENATE($A52,$I$8,L$10),'Tariff Schedule Lookup Table'!$F$8:$G$286,2,FALSE),"0000"))</f>
        <v>1200</v>
      </c>
      <c r="M52" s="34" t="str">
        <f>IF(ISERROR(VLOOKUP(CONCATENATE($A52,$M$8,M$10),'Tariff Schedule Lookup Table'!$F$8:$G$286,2,FALSE))=TRUE,"",TEXT(VLOOKUP(CONCATENATE($A52,$M$8,M$10),'Tariff Schedule Lookup Table'!$F$8:$G$286,2,FALSE),"0000"))</f>
        <v>0140</v>
      </c>
      <c r="N52" s="34" t="str">
        <f>IF(ISERROR(VLOOKUP(CONCATENATE($A52,$M$8,N$10),'Tariff Schedule Lookup Table'!$F$8:$G$286,2,FALSE))=TRUE,"",TEXT(VLOOKUP(CONCATENATE($A52,$M$8,N$10),'Tariff Schedule Lookup Table'!$F$8:$G$286,2,FALSE),"0000"))</f>
        <v>1210</v>
      </c>
      <c r="O52" s="34" t="str">
        <f>IF(ISERROR(VLOOKUP(CONCATENATE($A52,$M$8,O$10),'Tariff Schedule Lookup Table'!$F$8:$G$286,2,FALSE))=TRUE,"",TEXT(VLOOKUP(CONCATENATE($A52,$M$8,O$10),'Tariff Schedule Lookup Table'!$F$8:$G$286,2,FALSE),"0000"))</f>
        <v/>
      </c>
      <c r="P52" s="34" t="str">
        <f>IF(ISERROR(VLOOKUP(CONCATENATE($A52,$M$8,P$10),'Tariff Schedule Lookup Table'!$F$8:$G$286,2,FALSE))=TRUE,"",TEXT(VLOOKUP(CONCATENATE($A52,$M$8,P$10),'Tariff Schedule Lookup Table'!$F$8:$G$286,2,FALSE),"0000"))</f>
        <v/>
      </c>
      <c r="Q52" s="34" t="str">
        <f>IF(ISERROR(VLOOKUP(CONCATENATE($A52,$Q$8,Q$10),'Tariff Schedule Lookup Table'!$F$8:$G$286,2,FALSE))=TRUE,"",TEXT(VLOOKUP(CONCATENATE($A52,$Q$8,Q$10),'Tariff Schedule Lookup Table'!$F$8:$G$286,2,FALSE),"0000"))</f>
        <v>0170</v>
      </c>
      <c r="R52" s="34" t="str">
        <f>IF(ISERROR(VLOOKUP(CONCATENATE($A52,$Q$8,R$10),'Tariff Schedule Lookup Table'!$F$8:$G$286,2,FALSE))=TRUE,"",TEXT(VLOOKUP(CONCATENATE($A52,$Q$8,R$10),'Tariff Schedule Lookup Table'!$F$8:$G$286,2,FALSE),"0000"))</f>
        <v>1220</v>
      </c>
      <c r="S52" s="34" t="str">
        <f>IF(ISERROR(VLOOKUP(CONCATENATE($A52,$Q$8,S$10),'Tariff Schedule Lookup Table'!$F$8:$G$286,2,FALSE))=TRUE,"",TEXT(VLOOKUP(CONCATENATE($A52,$Q$8,S$10),'Tariff Schedule Lookup Table'!$F$8:$G$286,2,FALSE),"0000"))</f>
        <v>1230</v>
      </c>
      <c r="T52" s="34" t="str">
        <f>IF(ISERROR(VLOOKUP(CONCATENATE($A52,$Q$8,T$10),'Tariff Schedule Lookup Table'!$F$8:$G$286,2,FALSE))=TRUE,"",TEXT(VLOOKUP(CONCATENATE($A52,$Q$8,T$10),'Tariff Schedule Lookup Table'!$F$8:$G$286,2,FALSE),"0000"))</f>
        <v>1240</v>
      </c>
      <c r="U52" s="34" t="str">
        <f>IF(ISERROR(VLOOKUP(CONCATENATE($A52,$U$8,U$10),'Tariff Schedule Lookup Table'!$F$8:$G$286,2,FALSE))=TRUE,"",TEXT(VLOOKUP(CONCATENATE($A52,$U$8,U$10),'Tariff Schedule Lookup Table'!$F$8:$G$286,2,FALSE),"0000"))</f>
        <v/>
      </c>
      <c r="V52" s="34" t="str">
        <f>IF(ISERROR(VLOOKUP(CONCATENATE($A52,$U$8,V$10),'Tariff Schedule Lookup Table'!$F$8:$G$286,2,FALSE))=TRUE,"",TEXT(VLOOKUP(CONCATENATE($A52,$U$8,V$10),'Tariff Schedule Lookup Table'!$F$8:$G$286,2,FALSE),"0000"))</f>
        <v/>
      </c>
      <c r="W52" s="34" t="str">
        <f>IF(ISERROR(VLOOKUP(CONCATENATE($A52,$U$8,W$10),'Tariff Schedule Lookup Table'!$F$8:$G$286,2,FALSE))=TRUE,"",TEXT(VLOOKUP(CONCATENATE($A52,$U$8,W$10),'Tariff Schedule Lookup Table'!$F$8:$G$286,2,FALSE),"0000"))</f>
        <v/>
      </c>
      <c r="X52" s="34" t="str">
        <f>IF(ISERROR(VLOOKUP(CONCATENATE($A52,$U$8,X$10),'Tariff Schedule Lookup Table'!$F$8:$G$286,2,FALSE))=TRUE,"",TEXT(VLOOKUP(CONCATENATE($A52,$U$8,X$10),'Tariff Schedule Lookup Table'!$F$8:$G$186,2,FALSE),"0000"))</f>
        <v/>
      </c>
      <c r="Y52" s="6"/>
      <c r="Z52" s="6"/>
      <c r="AA52" s="6"/>
      <c r="AB52" s="6"/>
      <c r="AC52" s="6"/>
    </row>
    <row r="53" spans="1:29" x14ac:dyDescent="0.2">
      <c r="A53" s="38" t="s">
        <v>1044</v>
      </c>
      <c r="B53" s="39" t="s">
        <v>218</v>
      </c>
      <c r="C53" s="197" t="str">
        <f>VLOOKUP(LEFT(B53,7),'Tariff Schedule Lookup Table'!$A$8:$D$186,3,FALSE)</f>
        <v>8x70</v>
      </c>
      <c r="D53" s="199" t="str">
        <f>VLOOKUP(LEFT(B53,7),'Tariff Schedule Lookup Table'!$A$8:$D$186,2,FALSE)</f>
        <v>High Pressure Sodium 8x70</v>
      </c>
      <c r="E53" s="6" t="s">
        <v>996</v>
      </c>
      <c r="F53" s="37">
        <f>VLOOKUP(LEFT(B53,7),'Tariff Schedule Lookup Table'!$A$8:$D$186,4,FALSE)</f>
        <v>688</v>
      </c>
      <c r="G53" s="33">
        <f>VLOOKUP($B53,'Maintenance Costs'!$A$20:$AG$176,32,FALSE)</f>
        <v>79.386498549403129</v>
      </c>
      <c r="H53" s="67">
        <f>IF(VLOOKUP($B53,'Maintenance Costs'!$A$20:$AG$176,33,FALSE)=0,"",VLOOKUP($B53,'Maintenance Costs'!$A$20:$AG$176,33,FALSE))</f>
        <v>133.46606506802257</v>
      </c>
      <c r="I53" s="34" t="str">
        <f>IF(ISERROR(VLOOKUP(CONCATENATE($A53,$I$8,I$10),'Tariff Schedule Lookup Table'!$F$8:$G$286,2,FALSE))=TRUE,"",TEXT(VLOOKUP(CONCATENATE($A53,$I$8,I$10),'Tariff Schedule Lookup Table'!$F$8:$G$286,2,FALSE),"0000"))</f>
        <v>0040</v>
      </c>
      <c r="J53" s="34" t="str">
        <f>IF(ISERROR(VLOOKUP(CONCATENATE($A53,$I$8,J$10),'Tariff Schedule Lookup Table'!$F$8:$G$286,2,FALSE))=TRUE,"",TEXT(VLOOKUP(CONCATENATE($A53,$I$8,J$10),'Tariff Schedule Lookup Table'!$F$8:$G$286,2,FALSE),"0000"))</f>
        <v>0890</v>
      </c>
      <c r="K53" s="34" t="str">
        <f>IF(ISERROR(VLOOKUP(CONCATENATE($A53,$I$8,K$10),'Tariff Schedule Lookup Table'!$F$8:$G$286,2,FALSE))=TRUE,"",TEXT(VLOOKUP(CONCATENATE($A53,$I$8,K$10),'Tariff Schedule Lookup Table'!$F$8:$G$286,2,FALSE),"0000"))</f>
        <v>0750</v>
      </c>
      <c r="L53" s="34" t="str">
        <f>IF(ISERROR(VLOOKUP(CONCATENATE($A53,$I$8,L$10),'Tariff Schedule Lookup Table'!$F$8:$G$286,2,FALSE))=TRUE,"",TEXT(VLOOKUP(CONCATENATE($A53,$I$8,L$10),'Tariff Schedule Lookup Table'!$F$8:$G$286,2,FALSE),"0000"))</f>
        <v>0920</v>
      </c>
      <c r="M53" s="34" t="str">
        <f>IF(ISERROR(VLOOKUP(CONCATENATE($A53,$M$8,M$10),'Tariff Schedule Lookup Table'!$F$8:$G$286,2,FALSE))=TRUE,"",TEXT(VLOOKUP(CONCATENATE($A53,$M$8,M$10),'Tariff Schedule Lookup Table'!$F$8:$G$286,2,FALSE),"0000"))</f>
        <v>0350</v>
      </c>
      <c r="N53" s="34" t="str">
        <f>IF(ISERROR(VLOOKUP(CONCATENATE($A53,$M$8,N$10),'Tariff Schedule Lookup Table'!$F$8:$G$286,2,FALSE))=TRUE,"",TEXT(VLOOKUP(CONCATENATE($A53,$M$8,N$10),'Tariff Schedule Lookup Table'!$F$8:$G$286,2,FALSE),"0000"))</f>
        <v>0910</v>
      </c>
      <c r="O53" s="34" t="str">
        <f>IF(ISERROR(VLOOKUP(CONCATENATE($A53,$M$8,O$10),'Tariff Schedule Lookup Table'!$F$8:$G$286,2,FALSE))=TRUE,"",TEXT(VLOOKUP(CONCATENATE($A53,$M$8,O$10),'Tariff Schedule Lookup Table'!$F$8:$G$286,2,FALSE),"0000"))</f>
        <v/>
      </c>
      <c r="P53" s="34" t="str">
        <f>IF(ISERROR(VLOOKUP(CONCATENATE($A53,$M$8,P$10),'Tariff Schedule Lookup Table'!$F$8:$G$286,2,FALSE))=TRUE,"",TEXT(VLOOKUP(CONCATENATE($A53,$M$8,P$10),'Tariff Schedule Lookup Table'!$F$8:$G$286,2,FALSE),"0000"))</f>
        <v/>
      </c>
      <c r="Q53" s="34" t="str">
        <f>IF(ISERROR(VLOOKUP(CONCATENATE($A53,$Q$8,Q$10),'Tariff Schedule Lookup Table'!$F$8:$G$286,2,FALSE))=TRUE,"",TEXT(VLOOKUP(CONCATENATE($A53,$Q$8,Q$10),'Tariff Schedule Lookup Table'!$F$8:$G$286,2,FALSE),"0000"))</f>
        <v>0360</v>
      </c>
      <c r="R53" s="34" t="str">
        <f>IF(ISERROR(VLOOKUP(CONCATENATE($A53,$Q$8,R$10),'Tariff Schedule Lookup Table'!$F$8:$G$286,2,FALSE))=TRUE,"",TEXT(VLOOKUP(CONCATENATE($A53,$Q$8,R$10),'Tariff Schedule Lookup Table'!$F$8:$G$286,2,FALSE),"0000"))</f>
        <v>0730</v>
      </c>
      <c r="S53" s="34" t="str">
        <f>IF(ISERROR(VLOOKUP(CONCATENATE($A53,$Q$8,S$10),'Tariff Schedule Lookup Table'!$F$8:$G$286,2,FALSE))=TRUE,"",TEXT(VLOOKUP(CONCATENATE($A53,$Q$8,S$10),'Tariff Schedule Lookup Table'!$F$8:$G$286,2,FALSE),"0000"))</f>
        <v/>
      </c>
      <c r="T53" s="34" t="str">
        <f>IF(ISERROR(VLOOKUP(CONCATENATE($A53,$Q$8,T$10),'Tariff Schedule Lookup Table'!$F$8:$G$286,2,FALSE))=TRUE,"",TEXT(VLOOKUP(CONCATENATE($A53,$Q$8,T$10),'Tariff Schedule Lookup Table'!$F$8:$G$286,2,FALSE),"0000"))</f>
        <v>0880</v>
      </c>
      <c r="U53" s="34" t="str">
        <f>IF(ISERROR(VLOOKUP(CONCATENATE($A53,$U$8,U$10),'Tariff Schedule Lookup Table'!$F$8:$G$286,2,FALSE))=TRUE,"",TEXT(VLOOKUP(CONCATENATE($A53,$U$8,U$10),'Tariff Schedule Lookup Table'!$F$8:$G$286,2,FALSE),"0000"))</f>
        <v/>
      </c>
      <c r="V53" s="34" t="str">
        <f>IF(ISERROR(VLOOKUP(CONCATENATE($A53,$U$8,V$10),'Tariff Schedule Lookup Table'!$F$8:$G$286,2,FALSE))=TRUE,"",TEXT(VLOOKUP(CONCATENATE($A53,$U$8,V$10),'Tariff Schedule Lookup Table'!$F$8:$G$286,2,FALSE),"0000"))</f>
        <v/>
      </c>
      <c r="W53" s="34" t="str">
        <f>IF(ISERROR(VLOOKUP(CONCATENATE($A53,$U$8,W$10),'Tariff Schedule Lookup Table'!$F$8:$G$286,2,FALSE))=TRUE,"",TEXT(VLOOKUP(CONCATENATE($A53,$U$8,W$10),'Tariff Schedule Lookup Table'!$F$8:$G$286,2,FALSE),"0000"))</f>
        <v/>
      </c>
      <c r="X53" s="34" t="str">
        <f>IF(ISERROR(VLOOKUP(CONCATENATE($A53,$U$8,X$10),'Tariff Schedule Lookup Table'!$F$8:$G$286,2,FALSE))=TRUE,"",TEXT(VLOOKUP(CONCATENATE($A53,$U$8,X$10),'Tariff Schedule Lookup Table'!$F$8:$G$186,2,FALSE),"0000"))</f>
        <v/>
      </c>
      <c r="Y53" s="6"/>
      <c r="Z53" s="6"/>
      <c r="AA53" s="6"/>
      <c r="AB53" s="6"/>
      <c r="AC53" s="6"/>
    </row>
    <row r="54" spans="1:29" x14ac:dyDescent="0.2">
      <c r="A54" s="38" t="s">
        <v>1059</v>
      </c>
      <c r="B54" s="39" t="s">
        <v>219</v>
      </c>
      <c r="C54" s="197" t="str">
        <f>VLOOKUP(LEFT(B54,7),'Tariff Schedule Lookup Table'!$A$8:$D$186,3,FALSE)</f>
        <v>8x70</v>
      </c>
      <c r="D54" s="199" t="str">
        <f>VLOOKUP(LEFT(B54,7),'Tariff Schedule Lookup Table'!$A$8:$D$186,2,FALSE)</f>
        <v>High Pressure Sodium 8x70</v>
      </c>
      <c r="E54" s="6" t="s">
        <v>996</v>
      </c>
      <c r="F54" s="37">
        <f>VLOOKUP(LEFT(B54,7),'Tariff Schedule Lookup Table'!$A$8:$D$186,4,FALSE)</f>
        <v>688</v>
      </c>
      <c r="G54" s="33">
        <f>VLOOKUP($B54,'Maintenance Costs'!$A$20:$AG$176,32,FALSE)</f>
        <v>122.91199490140315</v>
      </c>
      <c r="H54" s="67">
        <f>IF(VLOOKUP($B54,'Maintenance Costs'!$A$20:$AG$176,33,FALSE)=0,"",VLOOKUP($B54,'Maintenance Costs'!$A$20:$AG$176,33,FALSE))</f>
        <v>214.84332500949964</v>
      </c>
      <c r="I54" s="34" t="str">
        <f>IF(ISERROR(VLOOKUP(CONCATENATE($A54,$I$8,I$10),'Tariff Schedule Lookup Table'!$F$8:$G$286,2,FALSE))=TRUE,"",TEXT(VLOOKUP(CONCATENATE($A54,$I$8,I$10),'Tariff Schedule Lookup Table'!$F$8:$G$286,2,FALSE),"0000"))</f>
        <v>0090</v>
      </c>
      <c r="J54" s="34" t="str">
        <f>IF(ISERROR(VLOOKUP(CONCATENATE($A54,$I$8,J$10),'Tariff Schedule Lookup Table'!$F$8:$G$286,2,FALSE))=TRUE,"",TEXT(VLOOKUP(CONCATENATE($A54,$I$8,J$10),'Tariff Schedule Lookup Table'!$F$8:$G$286,2,FALSE),"0000"))</f>
        <v>1180</v>
      </c>
      <c r="K54" s="34" t="str">
        <f>IF(ISERROR(VLOOKUP(CONCATENATE($A54,$I$8,K$10),'Tariff Schedule Lookup Table'!$F$8:$G$286,2,FALSE))=TRUE,"",TEXT(VLOOKUP(CONCATENATE($A54,$I$8,K$10),'Tariff Schedule Lookup Table'!$F$8:$G$286,2,FALSE),"0000"))</f>
        <v>1190</v>
      </c>
      <c r="L54" s="34" t="str">
        <f>IF(ISERROR(VLOOKUP(CONCATENATE($A54,$I$8,L$10),'Tariff Schedule Lookup Table'!$F$8:$G$286,2,FALSE))=TRUE,"",TEXT(VLOOKUP(CONCATENATE($A54,$I$8,L$10),'Tariff Schedule Lookup Table'!$F$8:$G$286,2,FALSE),"0000"))</f>
        <v>1200</v>
      </c>
      <c r="M54" s="34" t="str">
        <f>IF(ISERROR(VLOOKUP(CONCATENATE($A54,$M$8,M$10),'Tariff Schedule Lookup Table'!$F$8:$G$286,2,FALSE))=TRUE,"",TEXT(VLOOKUP(CONCATENATE($A54,$M$8,M$10),'Tariff Schedule Lookup Table'!$F$8:$G$286,2,FALSE),"0000"))</f>
        <v>0140</v>
      </c>
      <c r="N54" s="34" t="str">
        <f>IF(ISERROR(VLOOKUP(CONCATENATE($A54,$M$8,N$10),'Tariff Schedule Lookup Table'!$F$8:$G$286,2,FALSE))=TRUE,"",TEXT(VLOOKUP(CONCATENATE($A54,$M$8,N$10),'Tariff Schedule Lookup Table'!$F$8:$G$286,2,FALSE),"0000"))</f>
        <v>1210</v>
      </c>
      <c r="O54" s="34" t="str">
        <f>IF(ISERROR(VLOOKUP(CONCATENATE($A54,$M$8,O$10),'Tariff Schedule Lookup Table'!$F$8:$G$286,2,FALSE))=TRUE,"",TEXT(VLOOKUP(CONCATENATE($A54,$M$8,O$10),'Tariff Schedule Lookup Table'!$F$8:$G$286,2,FALSE),"0000"))</f>
        <v/>
      </c>
      <c r="P54" s="34" t="str">
        <f>IF(ISERROR(VLOOKUP(CONCATENATE($A54,$M$8,P$10),'Tariff Schedule Lookup Table'!$F$8:$G$286,2,FALSE))=TRUE,"",TEXT(VLOOKUP(CONCATENATE($A54,$M$8,P$10),'Tariff Schedule Lookup Table'!$F$8:$G$286,2,FALSE),"0000"))</f>
        <v/>
      </c>
      <c r="Q54" s="34" t="str">
        <f>IF(ISERROR(VLOOKUP(CONCATENATE($A54,$Q$8,Q$10),'Tariff Schedule Lookup Table'!$F$8:$G$286,2,FALSE))=TRUE,"",TEXT(VLOOKUP(CONCATENATE($A54,$Q$8,Q$10),'Tariff Schedule Lookup Table'!$F$8:$G$286,2,FALSE),"0000"))</f>
        <v>0170</v>
      </c>
      <c r="R54" s="34" t="str">
        <f>IF(ISERROR(VLOOKUP(CONCATENATE($A54,$Q$8,R$10),'Tariff Schedule Lookup Table'!$F$8:$G$286,2,FALSE))=TRUE,"",TEXT(VLOOKUP(CONCATENATE($A54,$Q$8,R$10),'Tariff Schedule Lookup Table'!$F$8:$G$286,2,FALSE),"0000"))</f>
        <v>1220</v>
      </c>
      <c r="S54" s="34" t="str">
        <f>IF(ISERROR(VLOOKUP(CONCATENATE($A54,$Q$8,S$10),'Tariff Schedule Lookup Table'!$F$8:$G$286,2,FALSE))=TRUE,"",TEXT(VLOOKUP(CONCATENATE($A54,$Q$8,S$10),'Tariff Schedule Lookup Table'!$F$8:$G$286,2,FALSE),"0000"))</f>
        <v>1230</v>
      </c>
      <c r="T54" s="34" t="str">
        <f>IF(ISERROR(VLOOKUP(CONCATENATE($A54,$Q$8,T$10),'Tariff Schedule Lookup Table'!$F$8:$G$286,2,FALSE))=TRUE,"",TEXT(VLOOKUP(CONCATENATE($A54,$Q$8,T$10),'Tariff Schedule Lookup Table'!$F$8:$G$286,2,FALSE),"0000"))</f>
        <v>1240</v>
      </c>
      <c r="U54" s="34" t="str">
        <f>IF(ISERROR(VLOOKUP(CONCATENATE($A54,$U$8,U$10),'Tariff Schedule Lookup Table'!$F$8:$G$286,2,FALSE))=TRUE,"",TEXT(VLOOKUP(CONCATENATE($A54,$U$8,U$10),'Tariff Schedule Lookup Table'!$F$8:$G$286,2,FALSE),"0000"))</f>
        <v/>
      </c>
      <c r="V54" s="34" t="str">
        <f>IF(ISERROR(VLOOKUP(CONCATENATE($A54,$U$8,V$10),'Tariff Schedule Lookup Table'!$F$8:$G$286,2,FALSE))=TRUE,"",TEXT(VLOOKUP(CONCATENATE($A54,$U$8,V$10),'Tariff Schedule Lookup Table'!$F$8:$G$286,2,FALSE),"0000"))</f>
        <v/>
      </c>
      <c r="W54" s="34" t="str">
        <f>IF(ISERROR(VLOOKUP(CONCATENATE($A54,$U$8,W$10),'Tariff Schedule Lookup Table'!$F$8:$G$286,2,FALSE))=TRUE,"",TEXT(VLOOKUP(CONCATENATE($A54,$U$8,W$10),'Tariff Schedule Lookup Table'!$F$8:$G$286,2,FALSE),"0000"))</f>
        <v/>
      </c>
      <c r="X54" s="34" t="str">
        <f>IF(ISERROR(VLOOKUP(CONCATENATE($A54,$U$8,X$10),'Tariff Schedule Lookup Table'!$F$8:$G$286,2,FALSE))=TRUE,"",TEXT(VLOOKUP(CONCATENATE($A54,$U$8,X$10),'Tariff Schedule Lookup Table'!$F$8:$G$186,2,FALSE),"0000"))</f>
        <v/>
      </c>
      <c r="Y54" s="6"/>
      <c r="Z54" s="6"/>
      <c r="AA54" s="6"/>
      <c r="AB54" s="6"/>
      <c r="AC54" s="6"/>
    </row>
    <row r="55" spans="1:29" x14ac:dyDescent="0.2">
      <c r="A55" s="38" t="s">
        <v>1044</v>
      </c>
      <c r="B55" s="39" t="s">
        <v>2088</v>
      </c>
      <c r="C55" s="197">
        <f>VLOOKUP(LEFT(B55,7),'Tariff Schedule Lookup Table'!$A$8:$D$186,3,FALSE)</f>
        <v>100</v>
      </c>
      <c r="D55" s="199" t="str">
        <f>VLOOKUP(LEFT(B55,7),'Tariff Schedule Lookup Table'!$A$8:$D$186,2,FALSE)</f>
        <v>High Pressure Sodium 100</v>
      </c>
      <c r="E55" s="6" t="s">
        <v>996</v>
      </c>
      <c r="F55" s="37">
        <f>VLOOKUP(LEFT(B55,7),'Tariff Schedule Lookup Table'!$A$8:$D$186,4,FALSE)</f>
        <v>120</v>
      </c>
      <c r="G55" s="33">
        <f>VLOOKUP($B55,'Maintenance Costs'!$A$20:$AG$176,32,FALSE)</f>
        <v>64.750127151685817</v>
      </c>
      <c r="H55" s="67">
        <f>IF(VLOOKUP($B55,'Maintenance Costs'!$A$20:$AG$176,33,FALSE)=0,"",VLOOKUP($B55,'Maintenance Costs'!$A$20:$AG$176,33,FALSE))</f>
        <v>52.135530877055935</v>
      </c>
      <c r="I55" s="34" t="str">
        <f>IF(ISERROR(VLOOKUP(CONCATENATE($A55,$I$8,I$10),'Tariff Schedule Lookup Table'!$F$8:$G$286,2,FALSE))=TRUE,"",TEXT(VLOOKUP(CONCATENATE($A55,$I$8,I$10),'Tariff Schedule Lookup Table'!$F$8:$G$286,2,FALSE),"0000"))</f>
        <v>0040</v>
      </c>
      <c r="J55" s="34" t="str">
        <f>IF(ISERROR(VLOOKUP(CONCATENATE($A55,$I$8,J$10),'Tariff Schedule Lookup Table'!$F$8:$G$286,2,FALSE))=TRUE,"",TEXT(VLOOKUP(CONCATENATE($A55,$I$8,J$10),'Tariff Schedule Lookup Table'!$F$8:$G$286,2,FALSE),"0000"))</f>
        <v>0890</v>
      </c>
      <c r="K55" s="34" t="str">
        <f>IF(ISERROR(VLOOKUP(CONCATENATE($A55,$I$8,K$10),'Tariff Schedule Lookup Table'!$F$8:$G$286,2,FALSE))=TRUE,"",TEXT(VLOOKUP(CONCATENATE($A55,$I$8,K$10),'Tariff Schedule Lookup Table'!$F$8:$G$286,2,FALSE),"0000"))</f>
        <v>0750</v>
      </c>
      <c r="L55" s="34" t="str">
        <f>IF(ISERROR(VLOOKUP(CONCATENATE($A55,$I$8,L$10),'Tariff Schedule Lookup Table'!$F$8:$G$286,2,FALSE))=TRUE,"",TEXT(VLOOKUP(CONCATENATE($A55,$I$8,L$10),'Tariff Schedule Lookup Table'!$F$8:$G$286,2,FALSE),"0000"))</f>
        <v>0920</v>
      </c>
      <c r="M55" s="34" t="str">
        <f>IF(ISERROR(VLOOKUP(CONCATENATE($A55,$M$8,M$10),'Tariff Schedule Lookup Table'!$F$8:$G$286,2,FALSE))=TRUE,"",TEXT(VLOOKUP(CONCATENATE($A55,$M$8,M$10),'Tariff Schedule Lookup Table'!$F$8:$G$286,2,FALSE),"0000"))</f>
        <v>0350</v>
      </c>
      <c r="N55" s="34" t="str">
        <f>IF(ISERROR(VLOOKUP(CONCATENATE($A55,$M$8,N$10),'Tariff Schedule Lookup Table'!$F$8:$G$286,2,FALSE))=TRUE,"",TEXT(VLOOKUP(CONCATENATE($A55,$M$8,N$10),'Tariff Schedule Lookup Table'!$F$8:$G$286,2,FALSE),"0000"))</f>
        <v>0910</v>
      </c>
      <c r="O55" s="34" t="str">
        <f>IF(ISERROR(VLOOKUP(CONCATENATE($A55,$M$8,O$10),'Tariff Schedule Lookup Table'!$F$8:$G$286,2,FALSE))=TRUE,"",TEXT(VLOOKUP(CONCATENATE($A55,$M$8,O$10),'Tariff Schedule Lookup Table'!$F$8:$G$286,2,FALSE),"0000"))</f>
        <v/>
      </c>
      <c r="P55" s="34" t="str">
        <f>IF(ISERROR(VLOOKUP(CONCATENATE($A55,$M$8,P$10),'Tariff Schedule Lookup Table'!$F$8:$G$286,2,FALSE))=TRUE,"",TEXT(VLOOKUP(CONCATENATE($A55,$M$8,P$10),'Tariff Schedule Lookup Table'!$F$8:$G$286,2,FALSE),"0000"))</f>
        <v/>
      </c>
      <c r="Q55" s="34" t="str">
        <f>IF(ISERROR(VLOOKUP(CONCATENATE($A55,$Q$8,Q$10),'Tariff Schedule Lookup Table'!$F$8:$G$286,2,FALSE))=TRUE,"",TEXT(VLOOKUP(CONCATENATE($A55,$Q$8,Q$10),'Tariff Schedule Lookup Table'!$F$8:$G$286,2,FALSE),"0000"))</f>
        <v>0360</v>
      </c>
      <c r="R55" s="34" t="str">
        <f>IF(ISERROR(VLOOKUP(CONCATENATE($A55,$Q$8,R$10),'Tariff Schedule Lookup Table'!$F$8:$G$286,2,FALSE))=TRUE,"",TEXT(VLOOKUP(CONCATENATE($A55,$Q$8,R$10),'Tariff Schedule Lookup Table'!$F$8:$G$286,2,FALSE),"0000"))</f>
        <v>0730</v>
      </c>
      <c r="S55" s="34" t="str">
        <f>IF(ISERROR(VLOOKUP(CONCATENATE($A55,$Q$8,S$10),'Tariff Schedule Lookup Table'!$F$8:$G$286,2,FALSE))=TRUE,"",TEXT(VLOOKUP(CONCATENATE($A55,$Q$8,S$10),'Tariff Schedule Lookup Table'!$F$8:$G$286,2,FALSE),"0000"))</f>
        <v/>
      </c>
      <c r="T55" s="34" t="str">
        <f>IF(ISERROR(VLOOKUP(CONCATENATE($A55,$Q$8,T$10),'Tariff Schedule Lookup Table'!$F$8:$G$286,2,FALSE))=TRUE,"",TEXT(VLOOKUP(CONCATENATE($A55,$Q$8,T$10),'Tariff Schedule Lookup Table'!$F$8:$G$286,2,FALSE),"0000"))</f>
        <v>0880</v>
      </c>
      <c r="U55" s="34" t="str">
        <f>IF(ISERROR(VLOOKUP(CONCATENATE($A55,$U$8,U$10),'Tariff Schedule Lookup Table'!$F$8:$G$286,2,FALSE))=TRUE,"",TEXT(VLOOKUP(CONCATENATE($A55,$U$8,U$10),'Tariff Schedule Lookup Table'!$F$8:$G$286,2,FALSE),"0000"))</f>
        <v/>
      </c>
      <c r="V55" s="34" t="str">
        <f>IF(ISERROR(VLOOKUP(CONCATENATE($A55,$U$8,V$10),'Tariff Schedule Lookup Table'!$F$8:$G$286,2,FALSE))=TRUE,"",TEXT(VLOOKUP(CONCATENATE($A55,$U$8,V$10),'Tariff Schedule Lookup Table'!$F$8:$G$286,2,FALSE),"0000"))</f>
        <v/>
      </c>
      <c r="W55" s="34" t="str">
        <f>IF(ISERROR(VLOOKUP(CONCATENATE($A55,$U$8,W$10),'Tariff Schedule Lookup Table'!$F$8:$G$286,2,FALSE))=TRUE,"",TEXT(VLOOKUP(CONCATENATE($A55,$U$8,W$10),'Tariff Schedule Lookup Table'!$F$8:$G$286,2,FALSE),"0000"))</f>
        <v/>
      </c>
      <c r="X55" s="34" t="str">
        <f>IF(ISERROR(VLOOKUP(CONCATENATE($A55,$U$8,X$10),'Tariff Schedule Lookup Table'!$F$8:$G$286,2,FALSE))=TRUE,"",TEXT(VLOOKUP(CONCATENATE($A55,$U$8,X$10),'Tariff Schedule Lookup Table'!$F$8:$G$186,2,FALSE),"0000"))</f>
        <v/>
      </c>
      <c r="Y55" s="6"/>
      <c r="Z55" s="6"/>
      <c r="AA55" s="6"/>
      <c r="AB55" s="6"/>
      <c r="AC55" s="6"/>
    </row>
    <row r="56" spans="1:29" x14ac:dyDescent="0.2">
      <c r="A56" s="38" t="s">
        <v>1059</v>
      </c>
      <c r="B56" s="39" t="s">
        <v>2089</v>
      </c>
      <c r="C56" s="197">
        <f>VLOOKUP(LEFT(B56,7),'Tariff Schedule Lookup Table'!$A$8:$D$186,3,FALSE)</f>
        <v>100</v>
      </c>
      <c r="D56" s="199" t="str">
        <f>VLOOKUP(LEFT(B56,7),'Tariff Schedule Lookup Table'!$A$8:$D$186,2,FALSE)</f>
        <v>High Pressure Sodium 100</v>
      </c>
      <c r="E56" s="6" t="s">
        <v>996</v>
      </c>
      <c r="F56" s="37">
        <f>VLOOKUP(LEFT(B56,7),'Tariff Schedule Lookup Table'!$A$8:$D$186,4,FALSE)</f>
        <v>120</v>
      </c>
      <c r="G56" s="33">
        <f>VLOOKUP($B56,'Maintenance Costs'!$A$20:$AG$176,32,FALSE)</f>
        <v>49.248399441403137</v>
      </c>
      <c r="H56" s="67">
        <f>IF(VLOOKUP($B56,'Maintenance Costs'!$A$20:$AG$176,33,FALSE)=0,"",VLOOKUP($B56,'Maintenance Costs'!$A$20:$AG$176,33,FALSE))</f>
        <v>57.197674271166328</v>
      </c>
      <c r="I56" s="34" t="str">
        <f>IF(ISERROR(VLOOKUP(CONCATENATE($A56,$I$8,I$10),'Tariff Schedule Lookup Table'!$F$8:$G$286,2,FALSE))=TRUE,"",TEXT(VLOOKUP(CONCATENATE($A56,$I$8,I$10),'Tariff Schedule Lookup Table'!$F$8:$G$286,2,FALSE),"0000"))</f>
        <v>0090</v>
      </c>
      <c r="J56" s="34" t="str">
        <f>IF(ISERROR(VLOOKUP(CONCATENATE($A56,$I$8,J$10),'Tariff Schedule Lookup Table'!$F$8:$G$286,2,FALSE))=TRUE,"",TEXT(VLOOKUP(CONCATENATE($A56,$I$8,J$10),'Tariff Schedule Lookup Table'!$F$8:$G$286,2,FALSE),"0000"))</f>
        <v>1180</v>
      </c>
      <c r="K56" s="34" t="str">
        <f>IF(ISERROR(VLOOKUP(CONCATENATE($A56,$I$8,K$10),'Tariff Schedule Lookup Table'!$F$8:$G$286,2,FALSE))=TRUE,"",TEXT(VLOOKUP(CONCATENATE($A56,$I$8,K$10),'Tariff Schedule Lookup Table'!$F$8:$G$286,2,FALSE),"0000"))</f>
        <v>1190</v>
      </c>
      <c r="L56" s="34" t="str">
        <f>IF(ISERROR(VLOOKUP(CONCATENATE($A56,$I$8,L$10),'Tariff Schedule Lookup Table'!$F$8:$G$286,2,FALSE))=TRUE,"",TEXT(VLOOKUP(CONCATENATE($A56,$I$8,L$10),'Tariff Schedule Lookup Table'!$F$8:$G$286,2,FALSE),"0000"))</f>
        <v>1200</v>
      </c>
      <c r="M56" s="34" t="str">
        <f>IF(ISERROR(VLOOKUP(CONCATENATE($A56,$M$8,M$10),'Tariff Schedule Lookup Table'!$F$8:$G$286,2,FALSE))=TRUE,"",TEXT(VLOOKUP(CONCATENATE($A56,$M$8,M$10),'Tariff Schedule Lookup Table'!$F$8:$G$286,2,FALSE),"0000"))</f>
        <v>0140</v>
      </c>
      <c r="N56" s="34" t="str">
        <f>IF(ISERROR(VLOOKUP(CONCATENATE($A56,$M$8,N$10),'Tariff Schedule Lookup Table'!$F$8:$G$286,2,FALSE))=TRUE,"",TEXT(VLOOKUP(CONCATENATE($A56,$M$8,N$10),'Tariff Schedule Lookup Table'!$F$8:$G$286,2,FALSE),"0000"))</f>
        <v>1210</v>
      </c>
      <c r="O56" s="34" t="str">
        <f>IF(ISERROR(VLOOKUP(CONCATENATE($A56,$M$8,O$10),'Tariff Schedule Lookup Table'!$F$8:$G$286,2,FALSE))=TRUE,"",TEXT(VLOOKUP(CONCATENATE($A56,$M$8,O$10),'Tariff Schedule Lookup Table'!$F$8:$G$286,2,FALSE),"0000"))</f>
        <v/>
      </c>
      <c r="P56" s="34" t="str">
        <f>IF(ISERROR(VLOOKUP(CONCATENATE($A56,$M$8,P$10),'Tariff Schedule Lookup Table'!$F$8:$G$286,2,FALSE))=TRUE,"",TEXT(VLOOKUP(CONCATENATE($A56,$M$8,P$10),'Tariff Schedule Lookup Table'!$F$8:$G$286,2,FALSE),"0000"))</f>
        <v/>
      </c>
      <c r="Q56" s="34" t="str">
        <f>IF(ISERROR(VLOOKUP(CONCATENATE($A56,$Q$8,Q$10),'Tariff Schedule Lookup Table'!$F$8:$G$286,2,FALSE))=TRUE,"",TEXT(VLOOKUP(CONCATENATE($A56,$Q$8,Q$10),'Tariff Schedule Lookup Table'!$F$8:$G$286,2,FALSE),"0000"))</f>
        <v>0170</v>
      </c>
      <c r="R56" s="34" t="str">
        <f>IF(ISERROR(VLOOKUP(CONCATENATE($A56,$Q$8,R$10),'Tariff Schedule Lookup Table'!$F$8:$G$286,2,FALSE))=TRUE,"",TEXT(VLOOKUP(CONCATENATE($A56,$Q$8,R$10),'Tariff Schedule Lookup Table'!$F$8:$G$286,2,FALSE),"0000"))</f>
        <v>1220</v>
      </c>
      <c r="S56" s="34" t="str">
        <f>IF(ISERROR(VLOOKUP(CONCATENATE($A56,$Q$8,S$10),'Tariff Schedule Lookup Table'!$F$8:$G$286,2,FALSE))=TRUE,"",TEXT(VLOOKUP(CONCATENATE($A56,$Q$8,S$10),'Tariff Schedule Lookup Table'!$F$8:$G$286,2,FALSE),"0000"))</f>
        <v>1230</v>
      </c>
      <c r="T56" s="34" t="str">
        <f>IF(ISERROR(VLOOKUP(CONCATENATE($A56,$Q$8,T$10),'Tariff Schedule Lookup Table'!$F$8:$G$286,2,FALSE))=TRUE,"",TEXT(VLOOKUP(CONCATENATE($A56,$Q$8,T$10),'Tariff Schedule Lookup Table'!$F$8:$G$286,2,FALSE),"0000"))</f>
        <v>1240</v>
      </c>
      <c r="U56" s="34" t="str">
        <f>IF(ISERROR(VLOOKUP(CONCATENATE($A56,$U$8,U$10),'Tariff Schedule Lookup Table'!$F$8:$G$286,2,FALSE))=TRUE,"",TEXT(VLOOKUP(CONCATENATE($A56,$U$8,U$10),'Tariff Schedule Lookup Table'!$F$8:$G$286,2,FALSE),"0000"))</f>
        <v/>
      </c>
      <c r="V56" s="34" t="str">
        <f>IF(ISERROR(VLOOKUP(CONCATENATE($A56,$U$8,V$10),'Tariff Schedule Lookup Table'!$F$8:$G$286,2,FALSE))=TRUE,"",TEXT(VLOOKUP(CONCATENATE($A56,$U$8,V$10),'Tariff Schedule Lookup Table'!$F$8:$G$286,2,FALSE),"0000"))</f>
        <v/>
      </c>
      <c r="W56" s="34" t="str">
        <f>IF(ISERROR(VLOOKUP(CONCATENATE($A56,$U$8,W$10),'Tariff Schedule Lookup Table'!$F$8:$G$286,2,FALSE))=TRUE,"",TEXT(VLOOKUP(CONCATENATE($A56,$U$8,W$10),'Tariff Schedule Lookup Table'!$F$8:$G$286,2,FALSE),"0000"))</f>
        <v/>
      </c>
      <c r="X56" s="34" t="str">
        <f>IF(ISERROR(VLOOKUP(CONCATENATE($A56,$U$8,X$10),'Tariff Schedule Lookup Table'!$F$8:$G$286,2,FALSE))=TRUE,"",TEXT(VLOOKUP(CONCATENATE($A56,$U$8,X$10),'Tariff Schedule Lookup Table'!$F$8:$G$186,2,FALSE),"0000"))</f>
        <v/>
      </c>
      <c r="Y56" s="6"/>
      <c r="Z56" s="6"/>
      <c r="AA56" s="6"/>
      <c r="AB56" s="6"/>
      <c r="AC56" s="6"/>
    </row>
    <row r="57" spans="1:29" x14ac:dyDescent="0.2">
      <c r="A57" s="38" t="s">
        <v>1067</v>
      </c>
      <c r="B57" s="39" t="s">
        <v>2090</v>
      </c>
      <c r="C57" s="197">
        <f>VLOOKUP(LEFT(B57,7),'Tariff Schedule Lookup Table'!$A$8:$D$186,3,FALSE)</f>
        <v>120</v>
      </c>
      <c r="D57" s="199" t="str">
        <f>VLOOKUP(LEFT(B57,7),'Tariff Schedule Lookup Table'!$A$8:$D$186,2,FALSE)</f>
        <v>High Pressure Sodium 120</v>
      </c>
      <c r="E57" s="6" t="s">
        <v>996</v>
      </c>
      <c r="F57" s="37">
        <f>VLOOKUP(LEFT(B57,7),'Tariff Schedule Lookup Table'!$A$8:$D$186,4,FALSE)</f>
        <v>144</v>
      </c>
      <c r="G57" s="33">
        <f>VLOOKUP($B57,'Maintenance Costs'!$A$20:$AG$176,32,FALSE)</f>
        <v>67.576426809685813</v>
      </c>
      <c r="H57" s="67">
        <f>IF(VLOOKUP($B57,'Maintenance Costs'!$A$20:$AG$176,33,FALSE)=0,"",VLOOKUP($B57,'Maintenance Costs'!$A$20:$AG$176,33,FALSE))</f>
        <v>56.823264008002603</v>
      </c>
      <c r="I57" s="34" t="str">
        <f>IF(ISERROR(VLOOKUP(CONCATENATE($A57,$I$8,I$10),'Tariff Schedule Lookup Table'!$F$8:$G$286,2,FALSE))=TRUE,"",TEXT(VLOOKUP(CONCATENATE($A57,$I$8,I$10),'Tariff Schedule Lookup Table'!$F$8:$G$286,2,FALSE),"0000"))</f>
        <v>0050</v>
      </c>
      <c r="J57" s="34" t="str">
        <f>IF(ISERROR(VLOOKUP(CONCATENATE($A57,$I$8,J$10),'Tariff Schedule Lookup Table'!$F$8:$G$286,2,FALSE))=TRUE,"",TEXT(VLOOKUP(CONCATENATE($A57,$I$8,J$10),'Tariff Schedule Lookup Table'!$F$8:$G$286,2,FALSE),"0000"))</f>
        <v>1010</v>
      </c>
      <c r="K57" s="34" t="str">
        <f>IF(ISERROR(VLOOKUP(CONCATENATE($A57,$I$8,K$10),'Tariff Schedule Lookup Table'!$F$8:$G$286,2,FALSE))=TRUE,"",TEXT(VLOOKUP(CONCATENATE($A57,$I$8,K$10),'Tariff Schedule Lookup Table'!$F$8:$G$286,2,FALSE),"0000"))</f>
        <v/>
      </c>
      <c r="L57" s="34" t="str">
        <f>IF(ISERROR(VLOOKUP(CONCATENATE($A57,$I$8,L$10),'Tariff Schedule Lookup Table'!$F$8:$G$286,2,FALSE))=TRUE,"",TEXT(VLOOKUP(CONCATENATE($A57,$I$8,L$10),'Tariff Schedule Lookup Table'!$F$8:$G$286,2,FALSE),"0000"))</f>
        <v/>
      </c>
      <c r="M57" s="34" t="str">
        <f>IF(ISERROR(VLOOKUP(CONCATENATE($A57,$M$8,M$10),'Tariff Schedule Lookup Table'!$F$8:$G$286,2,FALSE))=TRUE,"",TEXT(VLOOKUP(CONCATENATE($A57,$M$8,M$10),'Tariff Schedule Lookup Table'!$F$8:$G$286,2,FALSE),"0000"))</f>
        <v>0220</v>
      </c>
      <c r="N57" s="34" t="str">
        <f>IF(ISERROR(VLOOKUP(CONCATENATE($A57,$M$8,N$10),'Tariff Schedule Lookup Table'!$F$8:$G$286,2,FALSE))=TRUE,"",TEXT(VLOOKUP(CONCATENATE($A57,$M$8,N$10),'Tariff Schedule Lookup Table'!$F$8:$G$286,2,FALSE),"0000"))</f>
        <v>0980</v>
      </c>
      <c r="O57" s="34" t="str">
        <f>IF(ISERROR(VLOOKUP(CONCATENATE($A57,$M$8,O$10),'Tariff Schedule Lookup Table'!$F$8:$G$286,2,FALSE))=TRUE,"",TEXT(VLOOKUP(CONCATENATE($A57,$M$8,O$10),'Tariff Schedule Lookup Table'!$F$8:$G$286,2,FALSE),"0000"))</f>
        <v/>
      </c>
      <c r="P57" s="34" t="str">
        <f>IF(ISERROR(VLOOKUP(CONCATENATE($A57,$M$8,P$10),'Tariff Schedule Lookup Table'!$F$8:$G$286,2,FALSE))=TRUE,"",TEXT(VLOOKUP(CONCATENATE($A57,$M$8,P$10),'Tariff Schedule Lookup Table'!$F$8:$G$286,2,FALSE),"0000"))</f>
        <v/>
      </c>
      <c r="Q57" s="34" t="str">
        <f>IF(ISERROR(VLOOKUP(CONCATENATE($A57,$Q$8,Q$10),'Tariff Schedule Lookup Table'!$F$8:$G$286,2,FALSE))=TRUE,"",TEXT(VLOOKUP(CONCATENATE($A57,$Q$8,Q$10),'Tariff Schedule Lookup Table'!$F$8:$G$286,2,FALSE),"0000"))</f>
        <v>0310</v>
      </c>
      <c r="R57" s="34" t="str">
        <f>IF(ISERROR(VLOOKUP(CONCATENATE($A57,$Q$8,R$10),'Tariff Schedule Lookup Table'!$F$8:$G$286,2,FALSE))=TRUE,"",TEXT(VLOOKUP(CONCATENATE($A57,$Q$8,R$10),'Tariff Schedule Lookup Table'!$F$8:$G$286,2,FALSE),"0000"))</f>
        <v>0690</v>
      </c>
      <c r="S57" s="34" t="str">
        <f>IF(ISERROR(VLOOKUP(CONCATENATE($A57,$Q$8,S$10),'Tariff Schedule Lookup Table'!$F$8:$G$286,2,FALSE))=TRUE,"",TEXT(VLOOKUP(CONCATENATE($A57,$Q$8,S$10),'Tariff Schedule Lookup Table'!$F$8:$G$286,2,FALSE),"0000"))</f>
        <v>0710</v>
      </c>
      <c r="T57" s="34" t="str">
        <f>IF(ISERROR(VLOOKUP(CONCATENATE($A57,$Q$8,T$10),'Tariff Schedule Lookup Table'!$F$8:$G$286,2,FALSE))=TRUE,"",TEXT(VLOOKUP(CONCATENATE($A57,$Q$8,T$10),'Tariff Schedule Lookup Table'!$F$8:$G$286,2,FALSE),"0000"))</f>
        <v>0720</v>
      </c>
      <c r="U57" s="34" t="str">
        <f>IF(ISERROR(VLOOKUP(CONCATENATE($A57,$U$8,U$10),'Tariff Schedule Lookup Table'!$F$8:$G$286,2,FALSE))=TRUE,"",TEXT(VLOOKUP(CONCATENATE($A57,$U$8,U$10),'Tariff Schedule Lookup Table'!$F$8:$G$286,2,FALSE),"0000"))</f>
        <v/>
      </c>
      <c r="V57" s="34" t="str">
        <f>IF(ISERROR(VLOOKUP(CONCATENATE($A57,$U$8,V$10),'Tariff Schedule Lookup Table'!$F$8:$G$286,2,FALSE))=TRUE,"",TEXT(VLOOKUP(CONCATENATE($A57,$U$8,V$10),'Tariff Schedule Lookup Table'!$F$8:$G$286,2,FALSE),"0000"))</f>
        <v/>
      </c>
      <c r="W57" s="34" t="str">
        <f>IF(ISERROR(VLOOKUP(CONCATENATE($A57,$U$8,W$10),'Tariff Schedule Lookup Table'!$F$8:$G$286,2,FALSE))=TRUE,"",TEXT(VLOOKUP(CONCATENATE($A57,$U$8,W$10),'Tariff Schedule Lookup Table'!$F$8:$G$286,2,FALSE),"0000"))</f>
        <v>1360</v>
      </c>
      <c r="X57" s="34" t="str">
        <f>IF(ISERROR(VLOOKUP(CONCATENATE($A57,$U$8,X$10),'Tariff Schedule Lookup Table'!$F$8:$G$286,2,FALSE))=TRUE,"",TEXT(VLOOKUP(CONCATENATE($A57,$U$8,X$10),'Tariff Schedule Lookup Table'!$F$8:$G$186,2,FALSE),"0000"))</f>
        <v>1370</v>
      </c>
      <c r="Y57" s="6"/>
      <c r="Z57" s="6"/>
      <c r="AA57" s="6"/>
      <c r="AB57" s="6"/>
      <c r="AC57" s="6"/>
    </row>
    <row r="58" spans="1:29" x14ac:dyDescent="0.2">
      <c r="A58" s="38" t="s">
        <v>1067</v>
      </c>
      <c r="B58" s="39" t="s">
        <v>2091</v>
      </c>
      <c r="C58" s="197">
        <f>VLOOKUP(LEFT(B58,7),'Tariff Schedule Lookup Table'!$A$8:$D$186,3,FALSE)</f>
        <v>150</v>
      </c>
      <c r="D58" s="199" t="str">
        <f>VLOOKUP(LEFT(B58,7),'Tariff Schedule Lookup Table'!$A$8:$D$186,2,FALSE)</f>
        <v>High Pressure Sodium 150</v>
      </c>
      <c r="E58" s="6" t="s">
        <v>996</v>
      </c>
      <c r="F58" s="37">
        <f>VLOOKUP(LEFT(B58,7),'Tariff Schedule Lookup Table'!$A$8:$D$186,4,FALSE)</f>
        <v>173</v>
      </c>
      <c r="G58" s="33">
        <f>VLOOKUP($B58,'Maintenance Costs'!$A$20:$AG$176,32,FALSE)</f>
        <v>75.698876296352481</v>
      </c>
      <c r="H58" s="67">
        <f>IF(VLOOKUP($B58,'Maintenance Costs'!$A$20:$AG$176,33,FALSE)=0,"",VLOOKUP($B58,'Maintenance Costs'!$A$20:$AG$176,33,FALSE))</f>
        <v>64.695087563558161</v>
      </c>
      <c r="I58" s="34" t="str">
        <f>IF(ISERROR(VLOOKUP(CONCATENATE($A58,$I$8,I$10),'Tariff Schedule Lookup Table'!$F$8:$G$286,2,FALSE))=TRUE,"",TEXT(VLOOKUP(CONCATENATE($A58,$I$8,I$10),'Tariff Schedule Lookup Table'!$F$8:$G$286,2,FALSE),"0000"))</f>
        <v>0050</v>
      </c>
      <c r="J58" s="34" t="str">
        <f>IF(ISERROR(VLOOKUP(CONCATENATE($A58,$I$8,J$10),'Tariff Schedule Lookup Table'!$F$8:$G$286,2,FALSE))=TRUE,"",TEXT(VLOOKUP(CONCATENATE($A58,$I$8,J$10),'Tariff Schedule Lookup Table'!$F$8:$G$286,2,FALSE),"0000"))</f>
        <v>1010</v>
      </c>
      <c r="K58" s="34" t="str">
        <f>IF(ISERROR(VLOOKUP(CONCATENATE($A58,$I$8,K$10),'Tariff Schedule Lookup Table'!$F$8:$G$286,2,FALSE))=TRUE,"",TEXT(VLOOKUP(CONCATENATE($A58,$I$8,K$10),'Tariff Schedule Lookup Table'!$F$8:$G$286,2,FALSE),"0000"))</f>
        <v/>
      </c>
      <c r="L58" s="34" t="str">
        <f>IF(ISERROR(VLOOKUP(CONCATENATE($A58,$I$8,L$10),'Tariff Schedule Lookup Table'!$F$8:$G$286,2,FALSE))=TRUE,"",TEXT(VLOOKUP(CONCATENATE($A58,$I$8,L$10),'Tariff Schedule Lookup Table'!$F$8:$G$286,2,FALSE),"0000"))</f>
        <v/>
      </c>
      <c r="M58" s="34" t="str">
        <f>IF(ISERROR(VLOOKUP(CONCATENATE($A58,$M$8,M$10),'Tariff Schedule Lookup Table'!$F$8:$G$286,2,FALSE))=TRUE,"",TEXT(VLOOKUP(CONCATENATE($A58,$M$8,M$10),'Tariff Schedule Lookup Table'!$F$8:$G$286,2,FALSE),"0000"))</f>
        <v>0220</v>
      </c>
      <c r="N58" s="34" t="str">
        <f>IF(ISERROR(VLOOKUP(CONCATENATE($A58,$M$8,N$10),'Tariff Schedule Lookup Table'!$F$8:$G$286,2,FALSE))=TRUE,"",TEXT(VLOOKUP(CONCATENATE($A58,$M$8,N$10),'Tariff Schedule Lookup Table'!$F$8:$G$286,2,FALSE),"0000"))</f>
        <v>0980</v>
      </c>
      <c r="O58" s="34" t="str">
        <f>IF(ISERROR(VLOOKUP(CONCATENATE($A58,$M$8,O$10),'Tariff Schedule Lookup Table'!$F$8:$G$286,2,FALSE))=TRUE,"",TEXT(VLOOKUP(CONCATENATE($A58,$M$8,O$10),'Tariff Schedule Lookup Table'!$F$8:$G$286,2,FALSE),"0000"))</f>
        <v/>
      </c>
      <c r="P58" s="34" t="str">
        <f>IF(ISERROR(VLOOKUP(CONCATENATE($A58,$M$8,P$10),'Tariff Schedule Lookup Table'!$F$8:$G$286,2,FALSE))=TRUE,"",TEXT(VLOOKUP(CONCATENATE($A58,$M$8,P$10),'Tariff Schedule Lookup Table'!$F$8:$G$286,2,FALSE),"0000"))</f>
        <v/>
      </c>
      <c r="Q58" s="34" t="str">
        <f>IF(ISERROR(VLOOKUP(CONCATENATE($A58,$Q$8,Q$10),'Tariff Schedule Lookup Table'!$F$8:$G$286,2,FALSE))=TRUE,"",TEXT(VLOOKUP(CONCATENATE($A58,$Q$8,Q$10),'Tariff Schedule Lookup Table'!$F$8:$G$286,2,FALSE),"0000"))</f>
        <v>0310</v>
      </c>
      <c r="R58" s="34" t="str">
        <f>IF(ISERROR(VLOOKUP(CONCATENATE($A58,$Q$8,R$10),'Tariff Schedule Lookup Table'!$F$8:$G$286,2,FALSE))=TRUE,"",TEXT(VLOOKUP(CONCATENATE($A58,$Q$8,R$10),'Tariff Schedule Lookup Table'!$F$8:$G$286,2,FALSE),"0000"))</f>
        <v>0690</v>
      </c>
      <c r="S58" s="34" t="str">
        <f>IF(ISERROR(VLOOKUP(CONCATENATE($A58,$Q$8,S$10),'Tariff Schedule Lookup Table'!$F$8:$G$286,2,FALSE))=TRUE,"",TEXT(VLOOKUP(CONCATENATE($A58,$Q$8,S$10),'Tariff Schedule Lookup Table'!$F$8:$G$286,2,FALSE),"0000"))</f>
        <v>0710</v>
      </c>
      <c r="T58" s="34" t="str">
        <f>IF(ISERROR(VLOOKUP(CONCATENATE($A58,$Q$8,T$10),'Tariff Schedule Lookup Table'!$F$8:$G$286,2,FALSE))=TRUE,"",TEXT(VLOOKUP(CONCATENATE($A58,$Q$8,T$10),'Tariff Schedule Lookup Table'!$F$8:$G$286,2,FALSE),"0000"))</f>
        <v>0720</v>
      </c>
      <c r="U58" s="34" t="str">
        <f>IF(ISERROR(VLOOKUP(CONCATENATE($A58,$U$8,U$10),'Tariff Schedule Lookup Table'!$F$8:$G$286,2,FALSE))=TRUE,"",TEXT(VLOOKUP(CONCATENATE($A58,$U$8,U$10),'Tariff Schedule Lookup Table'!$F$8:$G$286,2,FALSE),"0000"))</f>
        <v/>
      </c>
      <c r="V58" s="34" t="str">
        <f>IF(ISERROR(VLOOKUP(CONCATENATE($A58,$U$8,V$10),'Tariff Schedule Lookup Table'!$F$8:$G$286,2,FALSE))=TRUE,"",TEXT(VLOOKUP(CONCATENATE($A58,$U$8,V$10),'Tariff Schedule Lookup Table'!$F$8:$G$286,2,FALSE),"0000"))</f>
        <v/>
      </c>
      <c r="W58" s="34" t="str">
        <f>IF(ISERROR(VLOOKUP(CONCATENATE($A58,$U$8,W$10),'Tariff Schedule Lookup Table'!$F$8:$G$286,2,FALSE))=TRUE,"",TEXT(VLOOKUP(CONCATENATE($A58,$U$8,W$10),'Tariff Schedule Lookup Table'!$F$8:$G$286,2,FALSE),"0000"))</f>
        <v>1360</v>
      </c>
      <c r="X58" s="34" t="str">
        <f>IF(ISERROR(VLOOKUP(CONCATENATE($A58,$U$8,X$10),'Tariff Schedule Lookup Table'!$F$8:$G$286,2,FALSE))=TRUE,"",TEXT(VLOOKUP(CONCATENATE($A58,$U$8,X$10),'Tariff Schedule Lookup Table'!$F$8:$G$186,2,FALSE),"0000"))</f>
        <v>1370</v>
      </c>
      <c r="Y58" s="6"/>
      <c r="Z58" s="6"/>
      <c r="AA58" s="6"/>
      <c r="AB58" s="6"/>
      <c r="AC58" s="6"/>
    </row>
    <row r="59" spans="1:29" x14ac:dyDescent="0.2">
      <c r="A59" s="38" t="s">
        <v>1067</v>
      </c>
      <c r="B59" s="39" t="s">
        <v>2092</v>
      </c>
      <c r="C59" s="197">
        <f>VLOOKUP(LEFT(B59,7),'Tariff Schedule Lookup Table'!$A$8:$D$186,3,FALSE)</f>
        <v>150</v>
      </c>
      <c r="D59" s="199" t="str">
        <f>VLOOKUP(LEFT(B59,7),'Tariff Schedule Lookup Table'!$A$8:$D$186,2,FALSE)</f>
        <v>High Pressure Sodium 150</v>
      </c>
      <c r="E59" s="6" t="s">
        <v>996</v>
      </c>
      <c r="F59" s="37">
        <f>VLOOKUP(LEFT(B59,7),'Tariff Schedule Lookup Table'!$A$8:$D$186,4,FALSE)</f>
        <v>173</v>
      </c>
      <c r="G59" s="33">
        <f>VLOOKUP($B59,'Maintenance Costs'!$A$20:$AG$176,32,FALSE)</f>
        <v>55.862653529403147</v>
      </c>
      <c r="H59" s="67">
        <f>IF(VLOOKUP($B59,'Maintenance Costs'!$A$20:$AG$176,33,FALSE)=0,"",VLOOKUP($B59,'Maintenance Costs'!$A$20:$AG$176,33,FALSE))</f>
        <v>70.91040576798855</v>
      </c>
      <c r="I59" s="34" t="str">
        <f>IF(ISERROR(VLOOKUP(CONCATENATE($A59,$I$8,I$10),'Tariff Schedule Lookup Table'!$F$8:$G$286,2,FALSE))=TRUE,"",TEXT(VLOOKUP(CONCATENATE($A59,$I$8,I$10),'Tariff Schedule Lookup Table'!$F$8:$G$286,2,FALSE),"0000"))</f>
        <v>0050</v>
      </c>
      <c r="J59" s="34" t="str">
        <f>IF(ISERROR(VLOOKUP(CONCATENATE($A59,$I$8,J$10),'Tariff Schedule Lookup Table'!$F$8:$G$286,2,FALSE))=TRUE,"",TEXT(VLOOKUP(CONCATENATE($A59,$I$8,J$10),'Tariff Schedule Lookup Table'!$F$8:$G$286,2,FALSE),"0000"))</f>
        <v>1010</v>
      </c>
      <c r="K59" s="34" t="str">
        <f>IF(ISERROR(VLOOKUP(CONCATENATE($A59,$I$8,K$10),'Tariff Schedule Lookup Table'!$F$8:$G$286,2,FALSE))=TRUE,"",TEXT(VLOOKUP(CONCATENATE($A59,$I$8,K$10),'Tariff Schedule Lookup Table'!$F$8:$G$286,2,FALSE),"0000"))</f>
        <v/>
      </c>
      <c r="L59" s="34" t="str">
        <f>IF(ISERROR(VLOOKUP(CONCATENATE($A59,$I$8,L$10),'Tariff Schedule Lookup Table'!$F$8:$G$286,2,FALSE))=TRUE,"",TEXT(VLOOKUP(CONCATENATE($A59,$I$8,L$10),'Tariff Schedule Lookup Table'!$F$8:$G$286,2,FALSE),"0000"))</f>
        <v/>
      </c>
      <c r="M59" s="34" t="str">
        <f>IF(ISERROR(VLOOKUP(CONCATENATE($A59,$M$8,M$10),'Tariff Schedule Lookup Table'!$F$8:$G$286,2,FALSE))=TRUE,"",TEXT(VLOOKUP(CONCATENATE($A59,$M$8,M$10),'Tariff Schedule Lookup Table'!$F$8:$G$286,2,FALSE),"0000"))</f>
        <v>0220</v>
      </c>
      <c r="N59" s="34" t="str">
        <f>IF(ISERROR(VLOOKUP(CONCATENATE($A59,$M$8,N$10),'Tariff Schedule Lookup Table'!$F$8:$G$286,2,FALSE))=TRUE,"",TEXT(VLOOKUP(CONCATENATE($A59,$M$8,N$10),'Tariff Schedule Lookup Table'!$F$8:$G$286,2,FALSE),"0000"))</f>
        <v>0980</v>
      </c>
      <c r="O59" s="34" t="str">
        <f>IF(ISERROR(VLOOKUP(CONCATENATE($A59,$M$8,O$10),'Tariff Schedule Lookup Table'!$F$8:$G$286,2,FALSE))=TRUE,"",TEXT(VLOOKUP(CONCATENATE($A59,$M$8,O$10),'Tariff Schedule Lookup Table'!$F$8:$G$286,2,FALSE),"0000"))</f>
        <v/>
      </c>
      <c r="P59" s="34" t="str">
        <f>IF(ISERROR(VLOOKUP(CONCATENATE($A59,$M$8,P$10),'Tariff Schedule Lookup Table'!$F$8:$G$286,2,FALSE))=TRUE,"",TEXT(VLOOKUP(CONCATENATE($A59,$M$8,P$10),'Tariff Schedule Lookup Table'!$F$8:$G$286,2,FALSE),"0000"))</f>
        <v/>
      </c>
      <c r="Q59" s="34" t="str">
        <f>IF(ISERROR(VLOOKUP(CONCATENATE($A59,$Q$8,Q$10),'Tariff Schedule Lookup Table'!$F$8:$G$286,2,FALSE))=TRUE,"",TEXT(VLOOKUP(CONCATENATE($A59,$Q$8,Q$10),'Tariff Schedule Lookup Table'!$F$8:$G$286,2,FALSE),"0000"))</f>
        <v>0310</v>
      </c>
      <c r="R59" s="34" t="str">
        <f>IF(ISERROR(VLOOKUP(CONCATENATE($A59,$Q$8,R$10),'Tariff Schedule Lookup Table'!$F$8:$G$286,2,FALSE))=TRUE,"",TEXT(VLOOKUP(CONCATENATE($A59,$Q$8,R$10),'Tariff Schedule Lookup Table'!$F$8:$G$286,2,FALSE),"0000"))</f>
        <v>0690</v>
      </c>
      <c r="S59" s="34" t="str">
        <f>IF(ISERROR(VLOOKUP(CONCATENATE($A59,$Q$8,S$10),'Tariff Schedule Lookup Table'!$F$8:$G$286,2,FALSE))=TRUE,"",TEXT(VLOOKUP(CONCATENATE($A59,$Q$8,S$10),'Tariff Schedule Lookup Table'!$F$8:$G$286,2,FALSE),"0000"))</f>
        <v>0710</v>
      </c>
      <c r="T59" s="34" t="str">
        <f>IF(ISERROR(VLOOKUP(CONCATENATE($A59,$Q$8,T$10),'Tariff Schedule Lookup Table'!$F$8:$G$286,2,FALSE))=TRUE,"",TEXT(VLOOKUP(CONCATENATE($A59,$Q$8,T$10),'Tariff Schedule Lookup Table'!$F$8:$G$286,2,FALSE),"0000"))</f>
        <v>0720</v>
      </c>
      <c r="U59" s="34" t="str">
        <f>IF(ISERROR(VLOOKUP(CONCATENATE($A59,$U$8,U$10),'Tariff Schedule Lookup Table'!$F$8:$G$286,2,FALSE))=TRUE,"",TEXT(VLOOKUP(CONCATENATE($A59,$U$8,U$10),'Tariff Schedule Lookup Table'!$F$8:$G$286,2,FALSE),"0000"))</f>
        <v/>
      </c>
      <c r="V59" s="34" t="str">
        <f>IF(ISERROR(VLOOKUP(CONCATENATE($A59,$U$8,V$10),'Tariff Schedule Lookup Table'!$F$8:$G$286,2,FALSE))=TRUE,"",TEXT(VLOOKUP(CONCATENATE($A59,$U$8,V$10),'Tariff Schedule Lookup Table'!$F$8:$G$286,2,FALSE),"0000"))</f>
        <v/>
      </c>
      <c r="W59" s="34" t="str">
        <f>IF(ISERROR(VLOOKUP(CONCATENATE($A59,$U$8,W$10),'Tariff Schedule Lookup Table'!$F$8:$G$286,2,FALSE))=TRUE,"",TEXT(VLOOKUP(CONCATENATE($A59,$U$8,W$10),'Tariff Schedule Lookup Table'!$F$8:$G$286,2,FALSE),"0000"))</f>
        <v>1360</v>
      </c>
      <c r="X59" s="34" t="str">
        <f>IF(ISERROR(VLOOKUP(CONCATENATE($A59,$U$8,X$10),'Tariff Schedule Lookup Table'!$F$8:$G$286,2,FALSE))=TRUE,"",TEXT(VLOOKUP(CONCATENATE($A59,$U$8,X$10),'Tariff Schedule Lookup Table'!$F$8:$G$186,2,FALSE),"0000"))</f>
        <v>1370</v>
      </c>
      <c r="Y59" s="6"/>
      <c r="Z59" s="6"/>
      <c r="AA59" s="6"/>
      <c r="AB59" s="6"/>
      <c r="AC59" s="6"/>
    </row>
    <row r="60" spans="1:29" x14ac:dyDescent="0.2">
      <c r="A60" s="6" t="s">
        <v>1073</v>
      </c>
      <c r="B60" s="35" t="s">
        <v>2093</v>
      </c>
      <c r="C60" s="197">
        <f>VLOOKUP(LEFT(B60,7),'Tariff Schedule Lookup Table'!$A$8:$D$186,3,FALSE)</f>
        <v>220</v>
      </c>
      <c r="D60" s="199" t="str">
        <f>VLOOKUP(LEFT(B60,7),'Tariff Schedule Lookup Table'!$A$8:$D$186,2,FALSE)</f>
        <v>High Pressure Sodium 220</v>
      </c>
      <c r="E60" s="6" t="s">
        <v>996</v>
      </c>
      <c r="F60" s="37">
        <f>VLOOKUP(LEFT(B60,7),'Tariff Schedule Lookup Table'!$A$8:$D$186,4,FALSE)</f>
        <v>245</v>
      </c>
      <c r="G60" s="33">
        <f>VLOOKUP($B60,'Maintenance Costs'!$A$20:$AG$176,32,FALSE)</f>
        <v>76.700910966352481</v>
      </c>
      <c r="H60" s="67">
        <f>IF(VLOOKUP($B60,'Maintenance Costs'!$A$20:$AG$176,33,FALSE)=0,"",VLOOKUP($B60,'Maintenance Costs'!$A$20:$AG$176,33,FALSE))</f>
        <v>65.825701074858159</v>
      </c>
      <c r="I60" s="34" t="str">
        <f>IF(ISERROR(VLOOKUP(CONCATENATE($A60,$I$8,I$10),'Tariff Schedule Lookup Table'!$F$8:$G$286,2,FALSE))=TRUE,"",TEXT(VLOOKUP(CONCATENATE($A60,$I$8,I$10),'Tariff Schedule Lookup Table'!$F$8:$G$286,2,FALSE),"0000"))</f>
        <v>0060</v>
      </c>
      <c r="J60" s="34" t="str">
        <f>IF(ISERROR(VLOOKUP(CONCATENATE($A60,$I$8,J$10),'Tariff Schedule Lookup Table'!$F$8:$G$286,2,FALSE))=TRUE,"",TEXT(VLOOKUP(CONCATENATE($A60,$I$8,J$10),'Tariff Schedule Lookup Table'!$F$8:$G$286,2,FALSE),"0000"))</f>
        <v>0960</v>
      </c>
      <c r="K60" s="34" t="str">
        <f>IF(ISERROR(VLOOKUP(CONCATENATE($A60,$I$8,K$10),'Tariff Schedule Lookup Table'!$F$8:$G$286,2,FALSE))=TRUE,"",TEXT(VLOOKUP(CONCATENATE($A60,$I$8,K$10),'Tariff Schedule Lookup Table'!$F$8:$G$286,2,FALSE),"0000"))</f>
        <v>1020</v>
      </c>
      <c r="L60" s="34" t="str">
        <f>IF(ISERROR(VLOOKUP(CONCATENATE($A60,$I$8,L$10),'Tariff Schedule Lookup Table'!$F$8:$G$286,2,FALSE))=TRUE,"",TEXT(VLOOKUP(CONCATENATE($A60,$I$8,L$10),'Tariff Schedule Lookup Table'!$F$8:$G$286,2,FALSE),"0000"))</f>
        <v>0970</v>
      </c>
      <c r="M60" s="34" t="str">
        <f>IF(ISERROR(VLOOKUP(CONCATENATE($A60,$M$8,M$10),'Tariff Schedule Lookup Table'!$F$8:$G$286,2,FALSE))=TRUE,"",TEXT(VLOOKUP(CONCATENATE($A60,$M$8,M$10),'Tariff Schedule Lookup Table'!$F$8:$G$286,2,FALSE),"0000"))</f>
        <v>0230</v>
      </c>
      <c r="N60" s="34" t="str">
        <f>IF(ISERROR(VLOOKUP(CONCATENATE($A60,$M$8,N$10),'Tariff Schedule Lookup Table'!$F$8:$G$286,2,FALSE))=TRUE,"",TEXT(VLOOKUP(CONCATENATE($A60,$M$8,N$10),'Tariff Schedule Lookup Table'!$F$8:$G$286,2,FALSE),"0000"))</f>
        <v>0760</v>
      </c>
      <c r="O60" s="34" t="str">
        <f>IF(ISERROR(VLOOKUP(CONCATENATE($A60,$M$8,O$10),'Tariff Schedule Lookup Table'!$F$8:$G$286,2,FALSE))=TRUE,"",TEXT(VLOOKUP(CONCATENATE($A60,$M$8,O$10),'Tariff Schedule Lookup Table'!$F$8:$G$286,2,FALSE),"0000"))</f>
        <v>0930</v>
      </c>
      <c r="P60" s="34" t="str">
        <f>IF(ISERROR(VLOOKUP(CONCATENATE($A60,$M$8,P$10),'Tariff Schedule Lookup Table'!$F$8:$G$286,2,FALSE))=TRUE,"",TEXT(VLOOKUP(CONCATENATE($A60,$M$8,P$10),'Tariff Schedule Lookup Table'!$F$8:$G$286,2,FALSE),"0000"))</f>
        <v/>
      </c>
      <c r="Q60" s="34" t="str">
        <f>IF(ISERROR(VLOOKUP(CONCATENATE($A60,$Q$8,Q$10),'Tariff Schedule Lookup Table'!$F$8:$G$286,2,FALSE))=TRUE,"",TEXT(VLOOKUP(CONCATENATE($A60,$Q$8,Q$10),'Tariff Schedule Lookup Table'!$F$8:$G$286,2,FALSE),"0000"))</f>
        <v>0320</v>
      </c>
      <c r="R60" s="34" t="str">
        <f>IF(ISERROR(VLOOKUP(CONCATENATE($A60,$Q$8,R$10),'Tariff Schedule Lookup Table'!$F$8:$G$286,2,FALSE))=TRUE,"",TEXT(VLOOKUP(CONCATENATE($A60,$Q$8,R$10),'Tariff Schedule Lookup Table'!$F$8:$G$286,2,FALSE),"0000"))</f>
        <v>0390</v>
      </c>
      <c r="S60" s="34" t="str">
        <f>IF(ISERROR(VLOOKUP(CONCATENATE($A60,$Q$8,S$10),'Tariff Schedule Lookup Table'!$F$8:$G$286,2,FALSE))=TRUE,"",TEXT(VLOOKUP(CONCATENATE($A60,$Q$8,S$10),'Tariff Schedule Lookup Table'!$F$8:$G$286,2,FALSE),"0000"))</f>
        <v>0430</v>
      </c>
      <c r="T60" s="34" t="str">
        <f>IF(ISERROR(VLOOKUP(CONCATENATE($A60,$Q$8,T$10),'Tariff Schedule Lookup Table'!$F$8:$G$286,2,FALSE))=TRUE,"",TEXT(VLOOKUP(CONCATENATE($A60,$Q$8,T$10),'Tariff Schedule Lookup Table'!$F$8:$G$286,2,FALSE),"0000"))</f>
        <v>0470</v>
      </c>
      <c r="U60" s="34" t="str">
        <f>IF(ISERROR(VLOOKUP(CONCATENATE($A60,$U$8,U$10),'Tariff Schedule Lookup Table'!$F$8:$G$286,2,FALSE))=TRUE,"",TEXT(VLOOKUP(CONCATENATE($A60,$U$8,U$10),'Tariff Schedule Lookup Table'!$F$8:$G$286,2,FALSE),"0000"))</f>
        <v/>
      </c>
      <c r="V60" s="34" t="str">
        <f>IF(ISERROR(VLOOKUP(CONCATENATE($A60,$U$8,V$10),'Tariff Schedule Lookup Table'!$F$8:$G$286,2,FALSE))=TRUE,"",TEXT(VLOOKUP(CONCATENATE($A60,$U$8,V$10),'Tariff Schedule Lookup Table'!$F$8:$G$286,2,FALSE),"0000"))</f>
        <v>0510</v>
      </c>
      <c r="W60" s="34" t="str">
        <f>IF(ISERROR(VLOOKUP(CONCATENATE($A60,$U$8,W$10),'Tariff Schedule Lookup Table'!$F$8:$G$286,2,FALSE))=TRUE,"",TEXT(VLOOKUP(CONCATENATE($A60,$U$8,W$10),'Tariff Schedule Lookup Table'!$F$8:$G$286,2,FALSE),"0000"))</f>
        <v>0550</v>
      </c>
      <c r="X60" s="34" t="str">
        <f>IF(ISERROR(VLOOKUP(CONCATENATE($A60,$U$8,X$10),'Tariff Schedule Lookup Table'!$F$8:$G$286,2,FALSE))=TRUE,"",TEXT(VLOOKUP(CONCATENATE($A60,$U$8,X$10),'Tariff Schedule Lookup Table'!$F$8:$G$186,2,FALSE),"0000"))</f>
        <v>0590</v>
      </c>
      <c r="Y60" s="6"/>
      <c r="Z60" s="6"/>
      <c r="AA60" s="6"/>
      <c r="AB60" s="6"/>
      <c r="AC60" s="6"/>
    </row>
    <row r="61" spans="1:29" x14ac:dyDescent="0.2">
      <c r="A61" s="6" t="s">
        <v>1076</v>
      </c>
      <c r="B61" s="35" t="s">
        <v>2093</v>
      </c>
      <c r="C61" s="197">
        <f>VLOOKUP(LEFT(B61,7),'Tariff Schedule Lookup Table'!$A$8:$D$186,3,FALSE)</f>
        <v>220</v>
      </c>
      <c r="D61" s="199" t="str">
        <f>VLOOKUP(LEFT(B61,7),'Tariff Schedule Lookup Table'!$A$8:$D$186,2,FALSE)</f>
        <v>High Pressure Sodium 220</v>
      </c>
      <c r="E61" s="6" t="s">
        <v>1077</v>
      </c>
      <c r="F61" s="37">
        <f>VLOOKUP(LEFT(B61,7),'Tariff Schedule Lookup Table'!$A$8:$D$186,4,FALSE)</f>
        <v>245</v>
      </c>
      <c r="G61" s="33">
        <f>VLOOKUP($B61,'Maintenance Costs'!$A$20:$AG$176,32,FALSE)</f>
        <v>76.700910966352481</v>
      </c>
      <c r="H61" s="67">
        <f>IF(VLOOKUP($B61,'Maintenance Costs'!$A$20:$AG$176,33,FALSE)=0,"",VLOOKUP($B61,'Maintenance Costs'!$A$20:$AG$176,33,FALSE))</f>
        <v>65.825701074858159</v>
      </c>
      <c r="I61" s="34" t="str">
        <f>IF(ISERROR(VLOOKUP(CONCATENATE($A61,$I$8,I$10),'Tariff Schedule Lookup Table'!$F$8:$G$286,2,FALSE))=TRUE,"",TEXT(VLOOKUP(CONCATENATE($A61,$I$8,I$10),'Tariff Schedule Lookup Table'!$F$8:$G$286,2,FALSE),"0000"))</f>
        <v>0610</v>
      </c>
      <c r="J61" s="34" t="str">
        <f>IF(ISERROR(VLOOKUP(CONCATENATE($A61,$I$8,J$10),'Tariff Schedule Lookup Table'!$F$8:$G$286,2,FALSE))=TRUE,"",TEXT(VLOOKUP(CONCATENATE($A61,$I$8,J$10),'Tariff Schedule Lookup Table'!$F$8:$G$286,2,FALSE),"0000"))</f>
        <v>0650</v>
      </c>
      <c r="K61" s="34" t="str">
        <f>IF(ISERROR(VLOOKUP(CONCATENATE($A61,$I$8,K$10),'Tariff Schedule Lookup Table'!$F$8:$G$286,2,FALSE))=TRUE,"",TEXT(VLOOKUP(CONCATENATE($A61,$I$8,K$10),'Tariff Schedule Lookup Table'!$F$8:$G$286,2,FALSE),"0000"))</f>
        <v/>
      </c>
      <c r="L61" s="34" t="str">
        <f>IF(ISERROR(VLOOKUP(CONCATENATE($A61,$I$8,L$10),'Tariff Schedule Lookup Table'!$F$8:$G$286,2,FALSE))=TRUE,"",TEXT(VLOOKUP(CONCATENATE($A61,$I$8,L$10),'Tariff Schedule Lookup Table'!$F$8:$G$286,2,FALSE),"0000"))</f>
        <v/>
      </c>
      <c r="M61" s="34" t="str">
        <f>IF(ISERROR(VLOOKUP(CONCATENATE($A61,$M$8,M$10),'Tariff Schedule Lookup Table'!$F$8:$G$286,2,FALSE))=TRUE,"",TEXT(VLOOKUP(CONCATENATE($A61,$M$8,M$10),'Tariff Schedule Lookup Table'!$F$8:$G$286,2,FALSE),"0000"))</f>
        <v>1070</v>
      </c>
      <c r="N61" s="34" t="str">
        <f>IF(ISERROR(VLOOKUP(CONCATENATE($A61,$M$8,N$10),'Tariff Schedule Lookup Table'!$F$8:$G$286,2,FALSE))=TRUE,"",TEXT(VLOOKUP(CONCATENATE($A61,$M$8,N$10),'Tariff Schedule Lookup Table'!$F$8:$G$286,2,FALSE),"0000"))</f>
        <v>1160</v>
      </c>
      <c r="O61" s="34" t="str">
        <f>IF(ISERROR(VLOOKUP(CONCATENATE($A61,$M$8,O$10),'Tariff Schedule Lookup Table'!$F$8:$G$286,2,FALSE))=TRUE,"",TEXT(VLOOKUP(CONCATENATE($A61,$M$8,O$10),'Tariff Schedule Lookup Table'!$F$8:$G$286,2,FALSE),"0000"))</f>
        <v/>
      </c>
      <c r="P61" s="34" t="str">
        <f>IF(ISERROR(VLOOKUP(CONCATENATE($A61,$M$8,P$10),'Tariff Schedule Lookup Table'!$F$8:$G$286,2,FALSE))=TRUE,"",TEXT(VLOOKUP(CONCATENATE($A61,$M$8,P$10),'Tariff Schedule Lookup Table'!$F$8:$G$286,2,FALSE),"0000"))</f>
        <v/>
      </c>
      <c r="Q61" s="34" t="str">
        <f>IF(ISERROR(VLOOKUP(CONCATENATE($A61,$Q$8,Q$10),'Tariff Schedule Lookup Table'!$F$8:$G$286,2,FALSE))=TRUE,"",TEXT(VLOOKUP(CONCATENATE($A61,$Q$8,Q$10),'Tariff Schedule Lookup Table'!$F$8:$G$286,2,FALSE),"0000"))</f>
        <v>1120</v>
      </c>
      <c r="R61" s="34" t="str">
        <f>IF(ISERROR(VLOOKUP(CONCATENATE($A61,$Q$8,R$10),'Tariff Schedule Lookup Table'!$F$8:$G$286,2,FALSE))=TRUE,"",TEXT(VLOOKUP(CONCATENATE($A61,$Q$8,R$10),'Tariff Schedule Lookup Table'!$F$8:$G$286,2,FALSE),"0000"))</f>
        <v>1140</v>
      </c>
      <c r="S61" s="34" t="str">
        <f>IF(ISERROR(VLOOKUP(CONCATENATE($A61,$Q$8,S$10),'Tariff Schedule Lookup Table'!$F$8:$G$286,2,FALSE))=TRUE,"",TEXT(VLOOKUP(CONCATENATE($A61,$Q$8,S$10),'Tariff Schedule Lookup Table'!$F$8:$G$286,2,FALSE),"0000"))</f>
        <v>1150</v>
      </c>
      <c r="T61" s="34" t="str">
        <f>IF(ISERROR(VLOOKUP(CONCATENATE($A61,$Q$8,T$10),'Tariff Schedule Lookup Table'!$F$8:$G$286,2,FALSE))=TRUE,"",TEXT(VLOOKUP(CONCATENATE($A61,$Q$8,T$10),'Tariff Schedule Lookup Table'!$F$8:$G$286,2,FALSE),"0000"))</f>
        <v/>
      </c>
      <c r="U61" s="34" t="str">
        <f>IF(ISERROR(VLOOKUP(CONCATENATE($A61,$U$8,U$10),'Tariff Schedule Lookup Table'!$F$8:$G$286,2,FALSE))=TRUE,"",TEXT(VLOOKUP(CONCATENATE($A61,$U$8,U$10),'Tariff Schedule Lookup Table'!$F$8:$G$286,2,FALSE),"0000"))</f>
        <v/>
      </c>
      <c r="V61" s="34" t="str">
        <f>IF(ISERROR(VLOOKUP(CONCATENATE($A61,$U$8,V$10),'Tariff Schedule Lookup Table'!$F$8:$G$286,2,FALSE))=TRUE,"",TEXT(VLOOKUP(CONCATENATE($A61,$U$8,V$10),'Tariff Schedule Lookup Table'!$F$8:$G$286,2,FALSE),"0000"))</f>
        <v/>
      </c>
      <c r="W61" s="34" t="str">
        <f>IF(ISERROR(VLOOKUP(CONCATENATE($A61,$U$8,W$10),'Tariff Schedule Lookup Table'!$F$8:$G$286,2,FALSE))=TRUE,"",TEXT(VLOOKUP(CONCATENATE($A61,$U$8,W$10),'Tariff Schedule Lookup Table'!$F$8:$G$286,2,FALSE),"0000"))</f>
        <v>1380</v>
      </c>
      <c r="X61" s="34" t="str">
        <f>IF(ISERROR(VLOOKUP(CONCATENATE($A61,$U$8,X$10),'Tariff Schedule Lookup Table'!$F$8:$G$286,2,FALSE))=TRUE,"",TEXT(VLOOKUP(CONCATENATE($A61,$U$8,X$10),'Tariff Schedule Lookup Table'!$F$8:$G$186,2,FALSE),"0000"))</f>
        <v>1450</v>
      </c>
      <c r="Y61" s="6"/>
      <c r="Z61" s="6"/>
      <c r="AA61" s="6"/>
      <c r="AB61" s="6"/>
      <c r="AC61" s="6"/>
    </row>
    <row r="62" spans="1:29" x14ac:dyDescent="0.2">
      <c r="A62" s="6" t="s">
        <v>1073</v>
      </c>
      <c r="B62" s="35" t="s">
        <v>2094</v>
      </c>
      <c r="C62" s="197">
        <f>VLOOKUP(LEFT(B62,7),'Tariff Schedule Lookup Table'!$A$8:$D$186,3,FALSE)</f>
        <v>250</v>
      </c>
      <c r="D62" s="199" t="str">
        <f>VLOOKUP(LEFT(B62,7),'Tariff Schedule Lookup Table'!$A$8:$D$186,2,FALSE)</f>
        <v>High Pressure Sodium 250</v>
      </c>
      <c r="E62" s="6" t="s">
        <v>996</v>
      </c>
      <c r="F62" s="37">
        <f>VLOOKUP(LEFT(B62,7),'Tariff Schedule Lookup Table'!$A$8:$D$186,4,FALSE)</f>
        <v>273</v>
      </c>
      <c r="G62" s="33">
        <f>VLOOKUP($B62,'Maintenance Costs'!$A$20:$AG$176,32,FALSE)</f>
        <v>76.700910966352481</v>
      </c>
      <c r="H62" s="67">
        <f>IF(VLOOKUP($B62,'Maintenance Costs'!$A$20:$AG$176,33,FALSE)=0,"",VLOOKUP($B62,'Maintenance Costs'!$A$20:$AG$176,33,FALSE))</f>
        <v>65.825701074858159</v>
      </c>
      <c r="I62" s="34" t="str">
        <f>IF(ISERROR(VLOOKUP(CONCATENATE($A62,$I$8,I$10),'Tariff Schedule Lookup Table'!$F$8:$G$286,2,FALSE))=TRUE,"",TEXT(VLOOKUP(CONCATENATE($A62,$I$8,I$10),'Tariff Schedule Lookup Table'!$F$8:$G$286,2,FALSE),"0000"))</f>
        <v>0060</v>
      </c>
      <c r="J62" s="34" t="str">
        <f>IF(ISERROR(VLOOKUP(CONCATENATE($A62,$I$8,J$10),'Tariff Schedule Lookup Table'!$F$8:$G$286,2,FALSE))=TRUE,"",TEXT(VLOOKUP(CONCATENATE($A62,$I$8,J$10),'Tariff Schedule Lookup Table'!$F$8:$G$286,2,FALSE),"0000"))</f>
        <v>0960</v>
      </c>
      <c r="K62" s="34" t="str">
        <f>IF(ISERROR(VLOOKUP(CONCATENATE($A62,$I$8,K$10),'Tariff Schedule Lookup Table'!$F$8:$G$286,2,FALSE))=TRUE,"",TEXT(VLOOKUP(CONCATENATE($A62,$I$8,K$10),'Tariff Schedule Lookup Table'!$F$8:$G$286,2,FALSE),"0000"))</f>
        <v>1020</v>
      </c>
      <c r="L62" s="34" t="str">
        <f>IF(ISERROR(VLOOKUP(CONCATENATE($A62,$I$8,L$10),'Tariff Schedule Lookup Table'!$F$8:$G$286,2,FALSE))=TRUE,"",TEXT(VLOOKUP(CONCATENATE($A62,$I$8,L$10),'Tariff Schedule Lookup Table'!$F$8:$G$286,2,FALSE),"0000"))</f>
        <v>0970</v>
      </c>
      <c r="M62" s="34" t="str">
        <f>IF(ISERROR(VLOOKUP(CONCATENATE($A62,$M$8,M$10),'Tariff Schedule Lookup Table'!$F$8:$G$286,2,FALSE))=TRUE,"",TEXT(VLOOKUP(CONCATENATE($A62,$M$8,M$10),'Tariff Schedule Lookup Table'!$F$8:$G$286,2,FALSE),"0000"))</f>
        <v>0230</v>
      </c>
      <c r="N62" s="34" t="str">
        <f>IF(ISERROR(VLOOKUP(CONCATENATE($A62,$M$8,N$10),'Tariff Schedule Lookup Table'!$F$8:$G$286,2,FALSE))=TRUE,"",TEXT(VLOOKUP(CONCATENATE($A62,$M$8,N$10),'Tariff Schedule Lookup Table'!$F$8:$G$286,2,FALSE),"0000"))</f>
        <v>0760</v>
      </c>
      <c r="O62" s="34" t="str">
        <f>IF(ISERROR(VLOOKUP(CONCATENATE($A62,$M$8,O$10),'Tariff Schedule Lookup Table'!$F$8:$G$286,2,FALSE))=TRUE,"",TEXT(VLOOKUP(CONCATENATE($A62,$M$8,O$10),'Tariff Schedule Lookup Table'!$F$8:$G$286,2,FALSE),"0000"))</f>
        <v>0930</v>
      </c>
      <c r="P62" s="34" t="str">
        <f>IF(ISERROR(VLOOKUP(CONCATENATE($A62,$M$8,P$10),'Tariff Schedule Lookup Table'!$F$8:$G$286,2,FALSE))=TRUE,"",TEXT(VLOOKUP(CONCATENATE($A62,$M$8,P$10),'Tariff Schedule Lookup Table'!$F$8:$G$286,2,FALSE),"0000"))</f>
        <v/>
      </c>
      <c r="Q62" s="34" t="str">
        <f>IF(ISERROR(VLOOKUP(CONCATENATE($A62,$Q$8,Q$10),'Tariff Schedule Lookup Table'!$F$8:$G$286,2,FALSE))=TRUE,"",TEXT(VLOOKUP(CONCATENATE($A62,$Q$8,Q$10),'Tariff Schedule Lookup Table'!$F$8:$G$286,2,FALSE),"0000"))</f>
        <v>0320</v>
      </c>
      <c r="R62" s="34" t="str">
        <f>IF(ISERROR(VLOOKUP(CONCATENATE($A62,$Q$8,R$10),'Tariff Schedule Lookup Table'!$F$8:$G$286,2,FALSE))=TRUE,"",TEXT(VLOOKUP(CONCATENATE($A62,$Q$8,R$10),'Tariff Schedule Lookup Table'!$F$8:$G$286,2,FALSE),"0000"))</f>
        <v>0390</v>
      </c>
      <c r="S62" s="34" t="str">
        <f>IF(ISERROR(VLOOKUP(CONCATENATE($A62,$Q$8,S$10),'Tariff Schedule Lookup Table'!$F$8:$G$286,2,FALSE))=TRUE,"",TEXT(VLOOKUP(CONCATENATE($A62,$Q$8,S$10),'Tariff Schedule Lookup Table'!$F$8:$G$286,2,FALSE),"0000"))</f>
        <v>0430</v>
      </c>
      <c r="T62" s="34" t="str">
        <f>IF(ISERROR(VLOOKUP(CONCATENATE($A62,$Q$8,T$10),'Tariff Schedule Lookup Table'!$F$8:$G$286,2,FALSE))=TRUE,"",TEXT(VLOOKUP(CONCATENATE($A62,$Q$8,T$10),'Tariff Schedule Lookup Table'!$F$8:$G$286,2,FALSE),"0000"))</f>
        <v>0470</v>
      </c>
      <c r="U62" s="34" t="str">
        <f>IF(ISERROR(VLOOKUP(CONCATENATE($A62,$U$8,U$10),'Tariff Schedule Lookup Table'!$F$8:$G$286,2,FALSE))=TRUE,"",TEXT(VLOOKUP(CONCATENATE($A62,$U$8,U$10),'Tariff Schedule Lookup Table'!$F$8:$G$286,2,FALSE),"0000"))</f>
        <v/>
      </c>
      <c r="V62" s="34" t="str">
        <f>IF(ISERROR(VLOOKUP(CONCATENATE($A62,$U$8,V$10),'Tariff Schedule Lookup Table'!$F$8:$G$286,2,FALSE))=TRUE,"",TEXT(VLOOKUP(CONCATENATE($A62,$U$8,V$10),'Tariff Schedule Lookup Table'!$F$8:$G$286,2,FALSE),"0000"))</f>
        <v>0510</v>
      </c>
      <c r="W62" s="34" t="str">
        <f>IF(ISERROR(VLOOKUP(CONCATENATE($A62,$U$8,W$10),'Tariff Schedule Lookup Table'!$F$8:$G$286,2,FALSE))=TRUE,"",TEXT(VLOOKUP(CONCATENATE($A62,$U$8,W$10),'Tariff Schedule Lookup Table'!$F$8:$G$286,2,FALSE),"0000"))</f>
        <v>0550</v>
      </c>
      <c r="X62" s="34" t="str">
        <f>IF(ISERROR(VLOOKUP(CONCATENATE($A62,$U$8,X$10),'Tariff Schedule Lookup Table'!$F$8:$G$286,2,FALSE))=TRUE,"",TEXT(VLOOKUP(CONCATENATE($A62,$U$8,X$10),'Tariff Schedule Lookup Table'!$F$8:$G$186,2,FALSE),"0000"))</f>
        <v>0590</v>
      </c>
      <c r="Y62" s="6"/>
      <c r="Z62" s="6"/>
      <c r="AA62" s="6"/>
      <c r="AB62" s="6"/>
      <c r="AC62" s="6"/>
    </row>
    <row r="63" spans="1:29" x14ac:dyDescent="0.2">
      <c r="A63" s="6" t="s">
        <v>1076</v>
      </c>
      <c r="B63" s="35" t="s">
        <v>2094</v>
      </c>
      <c r="C63" s="197">
        <f>VLOOKUP(LEFT(B63,7),'Tariff Schedule Lookup Table'!$A$8:$D$186,3,FALSE)</f>
        <v>250</v>
      </c>
      <c r="D63" s="199" t="str">
        <f>VLOOKUP(LEFT(B63,7),'Tariff Schedule Lookup Table'!$A$8:$D$186,2,FALSE)</f>
        <v>High Pressure Sodium 250</v>
      </c>
      <c r="E63" s="6" t="s">
        <v>1077</v>
      </c>
      <c r="F63" s="37">
        <f>VLOOKUP(LEFT(B63,7),'Tariff Schedule Lookup Table'!$A$8:$D$186,4,FALSE)</f>
        <v>273</v>
      </c>
      <c r="G63" s="33">
        <f>VLOOKUP($B63,'Maintenance Costs'!$A$20:$AG$176,32,FALSE)</f>
        <v>76.700910966352481</v>
      </c>
      <c r="H63" s="67">
        <f>IF(VLOOKUP($B63,'Maintenance Costs'!$A$20:$AG$176,33,FALSE)=0,"",VLOOKUP($B63,'Maintenance Costs'!$A$20:$AG$176,33,FALSE))</f>
        <v>65.825701074858159</v>
      </c>
      <c r="I63" s="34" t="str">
        <f>IF(ISERROR(VLOOKUP(CONCATENATE($A63,$I$8,I$10),'Tariff Schedule Lookup Table'!$F$8:$G$286,2,FALSE))=TRUE,"",TEXT(VLOOKUP(CONCATENATE($A63,$I$8,I$10),'Tariff Schedule Lookup Table'!$F$8:$G$286,2,FALSE),"0000"))</f>
        <v>0610</v>
      </c>
      <c r="J63" s="34" t="str">
        <f>IF(ISERROR(VLOOKUP(CONCATENATE($A63,$I$8,J$10),'Tariff Schedule Lookup Table'!$F$8:$G$286,2,FALSE))=TRUE,"",TEXT(VLOOKUP(CONCATENATE($A63,$I$8,J$10),'Tariff Schedule Lookup Table'!$F$8:$G$286,2,FALSE),"0000"))</f>
        <v>0650</v>
      </c>
      <c r="K63" s="34" t="str">
        <f>IF(ISERROR(VLOOKUP(CONCATENATE($A63,$I$8,K$10),'Tariff Schedule Lookup Table'!$F$8:$G$286,2,FALSE))=TRUE,"",TEXT(VLOOKUP(CONCATENATE($A63,$I$8,K$10),'Tariff Schedule Lookup Table'!$F$8:$G$286,2,FALSE),"0000"))</f>
        <v/>
      </c>
      <c r="L63" s="34" t="str">
        <f>IF(ISERROR(VLOOKUP(CONCATENATE($A63,$I$8,L$10),'Tariff Schedule Lookup Table'!$F$8:$G$286,2,FALSE))=TRUE,"",TEXT(VLOOKUP(CONCATENATE($A63,$I$8,L$10),'Tariff Schedule Lookup Table'!$F$8:$G$286,2,FALSE),"0000"))</f>
        <v/>
      </c>
      <c r="M63" s="34" t="str">
        <f>IF(ISERROR(VLOOKUP(CONCATENATE($A63,$M$8,M$10),'Tariff Schedule Lookup Table'!$F$8:$G$286,2,FALSE))=TRUE,"",TEXT(VLOOKUP(CONCATENATE($A63,$M$8,M$10),'Tariff Schedule Lookup Table'!$F$8:$G$286,2,FALSE),"0000"))</f>
        <v>1070</v>
      </c>
      <c r="N63" s="34" t="str">
        <f>IF(ISERROR(VLOOKUP(CONCATENATE($A63,$M$8,N$10),'Tariff Schedule Lookup Table'!$F$8:$G$286,2,FALSE))=TRUE,"",TEXT(VLOOKUP(CONCATENATE($A63,$M$8,N$10),'Tariff Schedule Lookup Table'!$F$8:$G$286,2,FALSE),"0000"))</f>
        <v>1160</v>
      </c>
      <c r="O63" s="34" t="str">
        <f>IF(ISERROR(VLOOKUP(CONCATENATE($A63,$M$8,O$10),'Tariff Schedule Lookup Table'!$F$8:$G$286,2,FALSE))=TRUE,"",TEXT(VLOOKUP(CONCATENATE($A63,$M$8,O$10),'Tariff Schedule Lookup Table'!$F$8:$G$286,2,FALSE),"0000"))</f>
        <v/>
      </c>
      <c r="P63" s="34" t="str">
        <f>IF(ISERROR(VLOOKUP(CONCATENATE($A63,$M$8,P$10),'Tariff Schedule Lookup Table'!$F$8:$G$286,2,FALSE))=TRUE,"",TEXT(VLOOKUP(CONCATENATE($A63,$M$8,P$10),'Tariff Schedule Lookup Table'!$F$8:$G$286,2,FALSE),"0000"))</f>
        <v/>
      </c>
      <c r="Q63" s="34" t="str">
        <f>IF(ISERROR(VLOOKUP(CONCATENATE($A63,$Q$8,Q$10),'Tariff Schedule Lookup Table'!$F$8:$G$286,2,FALSE))=TRUE,"",TEXT(VLOOKUP(CONCATENATE($A63,$Q$8,Q$10),'Tariff Schedule Lookup Table'!$F$8:$G$286,2,FALSE),"0000"))</f>
        <v>1120</v>
      </c>
      <c r="R63" s="34" t="str">
        <f>IF(ISERROR(VLOOKUP(CONCATENATE($A63,$Q$8,R$10),'Tariff Schedule Lookup Table'!$F$8:$G$286,2,FALSE))=TRUE,"",TEXT(VLOOKUP(CONCATENATE($A63,$Q$8,R$10),'Tariff Schedule Lookup Table'!$F$8:$G$286,2,FALSE),"0000"))</f>
        <v>1140</v>
      </c>
      <c r="S63" s="34" t="str">
        <f>IF(ISERROR(VLOOKUP(CONCATENATE($A63,$Q$8,S$10),'Tariff Schedule Lookup Table'!$F$8:$G$286,2,FALSE))=TRUE,"",TEXT(VLOOKUP(CONCATENATE($A63,$Q$8,S$10),'Tariff Schedule Lookup Table'!$F$8:$G$286,2,FALSE),"0000"))</f>
        <v>1150</v>
      </c>
      <c r="T63" s="34" t="str">
        <f>IF(ISERROR(VLOOKUP(CONCATENATE($A63,$Q$8,T$10),'Tariff Schedule Lookup Table'!$F$8:$G$286,2,FALSE))=TRUE,"",TEXT(VLOOKUP(CONCATENATE($A63,$Q$8,T$10),'Tariff Schedule Lookup Table'!$F$8:$G$286,2,FALSE),"0000"))</f>
        <v/>
      </c>
      <c r="U63" s="34" t="str">
        <f>IF(ISERROR(VLOOKUP(CONCATENATE($A63,$U$8,U$10),'Tariff Schedule Lookup Table'!$F$8:$G$286,2,FALSE))=TRUE,"",TEXT(VLOOKUP(CONCATENATE($A63,$U$8,U$10),'Tariff Schedule Lookup Table'!$F$8:$G$286,2,FALSE),"0000"))</f>
        <v/>
      </c>
      <c r="V63" s="34" t="str">
        <f>IF(ISERROR(VLOOKUP(CONCATENATE($A63,$U$8,V$10),'Tariff Schedule Lookup Table'!$F$8:$G$286,2,FALSE))=TRUE,"",TEXT(VLOOKUP(CONCATENATE($A63,$U$8,V$10),'Tariff Schedule Lookup Table'!$F$8:$G$286,2,FALSE),"0000"))</f>
        <v/>
      </c>
      <c r="W63" s="34" t="str">
        <f>IF(ISERROR(VLOOKUP(CONCATENATE($A63,$U$8,W$10),'Tariff Schedule Lookup Table'!$F$8:$G$286,2,FALSE))=TRUE,"",TEXT(VLOOKUP(CONCATENATE($A63,$U$8,W$10),'Tariff Schedule Lookup Table'!$F$8:$G$286,2,FALSE),"0000"))</f>
        <v>1380</v>
      </c>
      <c r="X63" s="34" t="str">
        <f>IF(ISERROR(VLOOKUP(CONCATENATE($A63,$U$8,X$10),'Tariff Schedule Lookup Table'!$F$8:$G$286,2,FALSE))=TRUE,"",TEXT(VLOOKUP(CONCATENATE($A63,$U$8,X$10),'Tariff Schedule Lookup Table'!$F$8:$G$186,2,FALSE),"0000"))</f>
        <v>1450</v>
      </c>
      <c r="Y63" s="6"/>
      <c r="Z63" s="6"/>
      <c r="AA63" s="6"/>
      <c r="AB63" s="6"/>
      <c r="AC63" s="6"/>
    </row>
    <row r="64" spans="1:29" x14ac:dyDescent="0.2">
      <c r="A64" s="6" t="s">
        <v>1073</v>
      </c>
      <c r="B64" s="35" t="s">
        <v>2095</v>
      </c>
      <c r="C64" s="197">
        <f>VLOOKUP(LEFT(B64,7),'Tariff Schedule Lookup Table'!$A$8:$D$186,3,FALSE)</f>
        <v>250</v>
      </c>
      <c r="D64" s="199" t="str">
        <f>VLOOKUP(LEFT(B64,7),'Tariff Schedule Lookup Table'!$A$8:$D$186,2,FALSE)</f>
        <v>High Pressure Sodium 250</v>
      </c>
      <c r="E64" s="6" t="s">
        <v>996</v>
      </c>
      <c r="F64" s="37">
        <f>VLOOKUP(LEFT(B64,7),'Tariff Schedule Lookup Table'!$A$8:$D$186,4,FALSE)</f>
        <v>273</v>
      </c>
      <c r="G64" s="33">
        <f>VLOOKUP($B64,'Maintenance Costs'!$A$20:$AG$176,32,FALSE)</f>
        <v>53.090669769403142</v>
      </c>
      <c r="H64" s="67">
        <f>IF(VLOOKUP($B64,'Maintenance Costs'!$A$20:$AG$176,33,FALSE)=0,"",VLOOKUP($B64,'Maintenance Costs'!$A$20:$AG$176,33,FALSE))</f>
        <v>68.864975183821898</v>
      </c>
      <c r="I64" s="34" t="str">
        <f>IF(ISERROR(VLOOKUP(CONCATENATE($A64,$I$8,I$10),'Tariff Schedule Lookup Table'!$F$8:$G$286,2,FALSE))=TRUE,"",TEXT(VLOOKUP(CONCATENATE($A64,$I$8,I$10),'Tariff Schedule Lookup Table'!$F$8:$G$286,2,FALSE),"0000"))</f>
        <v>0060</v>
      </c>
      <c r="J64" s="34" t="str">
        <f>IF(ISERROR(VLOOKUP(CONCATENATE($A64,$I$8,J$10),'Tariff Schedule Lookup Table'!$F$8:$G$286,2,FALSE))=TRUE,"",TEXT(VLOOKUP(CONCATENATE($A64,$I$8,J$10),'Tariff Schedule Lookup Table'!$F$8:$G$286,2,FALSE),"0000"))</f>
        <v>0960</v>
      </c>
      <c r="K64" s="34" t="str">
        <f>IF(ISERROR(VLOOKUP(CONCATENATE($A64,$I$8,K$10),'Tariff Schedule Lookup Table'!$F$8:$G$286,2,FALSE))=TRUE,"",TEXT(VLOOKUP(CONCATENATE($A64,$I$8,K$10),'Tariff Schedule Lookup Table'!$F$8:$G$286,2,FALSE),"0000"))</f>
        <v>1020</v>
      </c>
      <c r="L64" s="34" t="str">
        <f>IF(ISERROR(VLOOKUP(CONCATENATE($A64,$I$8,L$10),'Tariff Schedule Lookup Table'!$F$8:$G$286,2,FALSE))=TRUE,"",TEXT(VLOOKUP(CONCATENATE($A64,$I$8,L$10),'Tariff Schedule Lookup Table'!$F$8:$G$286,2,FALSE),"0000"))</f>
        <v>0970</v>
      </c>
      <c r="M64" s="34" t="str">
        <f>IF(ISERROR(VLOOKUP(CONCATENATE($A64,$M$8,M$10),'Tariff Schedule Lookup Table'!$F$8:$G$286,2,FALSE))=TRUE,"",TEXT(VLOOKUP(CONCATENATE($A64,$M$8,M$10),'Tariff Schedule Lookup Table'!$F$8:$G$286,2,FALSE),"0000"))</f>
        <v>0230</v>
      </c>
      <c r="N64" s="34" t="str">
        <f>IF(ISERROR(VLOOKUP(CONCATENATE($A64,$M$8,N$10),'Tariff Schedule Lookup Table'!$F$8:$G$286,2,FALSE))=TRUE,"",TEXT(VLOOKUP(CONCATENATE($A64,$M$8,N$10),'Tariff Schedule Lookup Table'!$F$8:$G$286,2,FALSE),"0000"))</f>
        <v>0760</v>
      </c>
      <c r="O64" s="34" t="str">
        <f>IF(ISERROR(VLOOKUP(CONCATENATE($A64,$M$8,O$10),'Tariff Schedule Lookup Table'!$F$8:$G$286,2,FALSE))=TRUE,"",TEXT(VLOOKUP(CONCATENATE($A64,$M$8,O$10),'Tariff Schedule Lookup Table'!$F$8:$G$286,2,FALSE),"0000"))</f>
        <v>0930</v>
      </c>
      <c r="P64" s="34" t="str">
        <f>IF(ISERROR(VLOOKUP(CONCATENATE($A64,$M$8,P$10),'Tariff Schedule Lookup Table'!$F$8:$G$286,2,FALSE))=TRUE,"",TEXT(VLOOKUP(CONCATENATE($A64,$M$8,P$10),'Tariff Schedule Lookup Table'!$F$8:$G$286,2,FALSE),"0000"))</f>
        <v/>
      </c>
      <c r="Q64" s="34" t="str">
        <f>IF(ISERROR(VLOOKUP(CONCATENATE($A64,$Q$8,Q$10),'Tariff Schedule Lookup Table'!$F$8:$G$286,2,FALSE))=TRUE,"",TEXT(VLOOKUP(CONCATENATE($A64,$Q$8,Q$10),'Tariff Schedule Lookup Table'!$F$8:$G$286,2,FALSE),"0000"))</f>
        <v>0320</v>
      </c>
      <c r="R64" s="34" t="str">
        <f>IF(ISERROR(VLOOKUP(CONCATENATE($A64,$Q$8,R$10),'Tariff Schedule Lookup Table'!$F$8:$G$286,2,FALSE))=TRUE,"",TEXT(VLOOKUP(CONCATENATE($A64,$Q$8,R$10),'Tariff Schedule Lookup Table'!$F$8:$G$286,2,FALSE),"0000"))</f>
        <v>0390</v>
      </c>
      <c r="S64" s="34" t="str">
        <f>IF(ISERROR(VLOOKUP(CONCATENATE($A64,$Q$8,S$10),'Tariff Schedule Lookup Table'!$F$8:$G$286,2,FALSE))=TRUE,"",TEXT(VLOOKUP(CONCATENATE($A64,$Q$8,S$10),'Tariff Schedule Lookup Table'!$F$8:$G$286,2,FALSE),"0000"))</f>
        <v>0430</v>
      </c>
      <c r="T64" s="34" t="str">
        <f>IF(ISERROR(VLOOKUP(CONCATENATE($A64,$Q$8,T$10),'Tariff Schedule Lookup Table'!$F$8:$G$286,2,FALSE))=TRUE,"",TEXT(VLOOKUP(CONCATENATE($A64,$Q$8,T$10),'Tariff Schedule Lookup Table'!$F$8:$G$286,2,FALSE),"0000"))</f>
        <v>0470</v>
      </c>
      <c r="U64" s="34" t="str">
        <f>IF(ISERROR(VLOOKUP(CONCATENATE($A64,$U$8,U$10),'Tariff Schedule Lookup Table'!$F$8:$G$286,2,FALSE))=TRUE,"",TEXT(VLOOKUP(CONCATENATE($A64,$U$8,U$10),'Tariff Schedule Lookup Table'!$F$8:$G$286,2,FALSE),"0000"))</f>
        <v/>
      </c>
      <c r="V64" s="34" t="str">
        <f>IF(ISERROR(VLOOKUP(CONCATENATE($A64,$U$8,V$10),'Tariff Schedule Lookup Table'!$F$8:$G$286,2,FALSE))=TRUE,"",TEXT(VLOOKUP(CONCATENATE($A64,$U$8,V$10),'Tariff Schedule Lookup Table'!$F$8:$G$286,2,FALSE),"0000"))</f>
        <v>0510</v>
      </c>
      <c r="W64" s="34" t="str">
        <f>IF(ISERROR(VLOOKUP(CONCATENATE($A64,$U$8,W$10),'Tariff Schedule Lookup Table'!$F$8:$G$286,2,FALSE))=TRUE,"",TEXT(VLOOKUP(CONCATENATE($A64,$U$8,W$10),'Tariff Schedule Lookup Table'!$F$8:$G$286,2,FALSE),"0000"))</f>
        <v>0550</v>
      </c>
      <c r="X64" s="34" t="str">
        <f>IF(ISERROR(VLOOKUP(CONCATENATE($A64,$U$8,X$10),'Tariff Schedule Lookup Table'!$F$8:$G$286,2,FALSE))=TRUE,"",TEXT(VLOOKUP(CONCATENATE($A64,$U$8,X$10),'Tariff Schedule Lookup Table'!$F$8:$G$186,2,FALSE),"0000"))</f>
        <v>0590</v>
      </c>
      <c r="Y64" s="6"/>
      <c r="Z64" s="6"/>
      <c r="AA64" s="6"/>
      <c r="AB64" s="6"/>
      <c r="AC64" s="6"/>
    </row>
    <row r="65" spans="1:29" x14ac:dyDescent="0.2">
      <c r="A65" s="6" t="s">
        <v>1076</v>
      </c>
      <c r="B65" s="35" t="s">
        <v>2095</v>
      </c>
      <c r="C65" s="197">
        <f>VLOOKUP(LEFT(B65,7),'Tariff Schedule Lookup Table'!$A$8:$D$186,3,FALSE)</f>
        <v>250</v>
      </c>
      <c r="D65" s="199" t="str">
        <f>VLOOKUP(LEFT(B65,7),'Tariff Schedule Lookup Table'!$A$8:$D$186,2,FALSE)</f>
        <v>High Pressure Sodium 250</v>
      </c>
      <c r="E65" s="6" t="s">
        <v>1077</v>
      </c>
      <c r="F65" s="37">
        <f>VLOOKUP(LEFT(B65,7),'Tariff Schedule Lookup Table'!$A$8:$D$186,4,FALSE)</f>
        <v>273</v>
      </c>
      <c r="G65" s="33">
        <f>VLOOKUP($B65,'Maintenance Costs'!$A$20:$AG$176,32,FALSE)</f>
        <v>53.090669769403142</v>
      </c>
      <c r="H65" s="67">
        <f>IF(VLOOKUP($B65,'Maintenance Costs'!$A$20:$AG$176,33,FALSE)=0,"",VLOOKUP($B65,'Maintenance Costs'!$A$20:$AG$176,33,FALSE))</f>
        <v>68.864975183821898</v>
      </c>
      <c r="I65" s="34" t="str">
        <f>IF(ISERROR(VLOOKUP(CONCATENATE($A65,$I$8,I$10),'Tariff Schedule Lookup Table'!$F$8:$G$286,2,FALSE))=TRUE,"",TEXT(VLOOKUP(CONCATENATE($A65,$I$8,I$10),'Tariff Schedule Lookup Table'!$F$8:$G$286,2,FALSE),"0000"))</f>
        <v>0610</v>
      </c>
      <c r="J65" s="34" t="str">
        <f>IF(ISERROR(VLOOKUP(CONCATENATE($A65,$I$8,J$10),'Tariff Schedule Lookup Table'!$F$8:$G$286,2,FALSE))=TRUE,"",TEXT(VLOOKUP(CONCATENATE($A65,$I$8,J$10),'Tariff Schedule Lookup Table'!$F$8:$G$286,2,FALSE),"0000"))</f>
        <v>0650</v>
      </c>
      <c r="K65" s="34" t="str">
        <f>IF(ISERROR(VLOOKUP(CONCATENATE($A65,$I$8,K$10),'Tariff Schedule Lookup Table'!$F$8:$G$286,2,FALSE))=TRUE,"",TEXT(VLOOKUP(CONCATENATE($A65,$I$8,K$10),'Tariff Schedule Lookup Table'!$F$8:$G$286,2,FALSE),"0000"))</f>
        <v/>
      </c>
      <c r="L65" s="34" t="str">
        <f>IF(ISERROR(VLOOKUP(CONCATENATE($A65,$I$8,L$10),'Tariff Schedule Lookup Table'!$F$8:$G$286,2,FALSE))=TRUE,"",TEXT(VLOOKUP(CONCATENATE($A65,$I$8,L$10),'Tariff Schedule Lookup Table'!$F$8:$G$286,2,FALSE),"0000"))</f>
        <v/>
      </c>
      <c r="M65" s="34" t="str">
        <f>IF(ISERROR(VLOOKUP(CONCATENATE($A65,$M$8,M$10),'Tariff Schedule Lookup Table'!$F$8:$G$286,2,FALSE))=TRUE,"",TEXT(VLOOKUP(CONCATENATE($A65,$M$8,M$10),'Tariff Schedule Lookup Table'!$F$8:$G$286,2,FALSE),"0000"))</f>
        <v>1070</v>
      </c>
      <c r="N65" s="34" t="str">
        <f>IF(ISERROR(VLOOKUP(CONCATENATE($A65,$M$8,N$10),'Tariff Schedule Lookup Table'!$F$8:$G$286,2,FALSE))=TRUE,"",TEXT(VLOOKUP(CONCATENATE($A65,$M$8,N$10),'Tariff Schedule Lookup Table'!$F$8:$G$286,2,FALSE),"0000"))</f>
        <v>1160</v>
      </c>
      <c r="O65" s="34" t="str">
        <f>IF(ISERROR(VLOOKUP(CONCATENATE($A65,$M$8,O$10),'Tariff Schedule Lookup Table'!$F$8:$G$286,2,FALSE))=TRUE,"",TEXT(VLOOKUP(CONCATENATE($A65,$M$8,O$10),'Tariff Schedule Lookup Table'!$F$8:$G$286,2,FALSE),"0000"))</f>
        <v/>
      </c>
      <c r="P65" s="34" t="str">
        <f>IF(ISERROR(VLOOKUP(CONCATENATE($A65,$M$8,P$10),'Tariff Schedule Lookup Table'!$F$8:$G$286,2,FALSE))=TRUE,"",TEXT(VLOOKUP(CONCATENATE($A65,$M$8,P$10),'Tariff Schedule Lookup Table'!$F$8:$G$286,2,FALSE),"0000"))</f>
        <v/>
      </c>
      <c r="Q65" s="34" t="str">
        <f>IF(ISERROR(VLOOKUP(CONCATENATE($A65,$Q$8,Q$10),'Tariff Schedule Lookup Table'!$F$8:$G$286,2,FALSE))=TRUE,"",TEXT(VLOOKUP(CONCATENATE($A65,$Q$8,Q$10),'Tariff Schedule Lookup Table'!$F$8:$G$286,2,FALSE),"0000"))</f>
        <v>1120</v>
      </c>
      <c r="R65" s="34" t="str">
        <f>IF(ISERROR(VLOOKUP(CONCATENATE($A65,$Q$8,R$10),'Tariff Schedule Lookup Table'!$F$8:$G$286,2,FALSE))=TRUE,"",TEXT(VLOOKUP(CONCATENATE($A65,$Q$8,R$10),'Tariff Schedule Lookup Table'!$F$8:$G$286,2,FALSE),"0000"))</f>
        <v>1140</v>
      </c>
      <c r="S65" s="34" t="str">
        <f>IF(ISERROR(VLOOKUP(CONCATENATE($A65,$Q$8,S$10),'Tariff Schedule Lookup Table'!$F$8:$G$286,2,FALSE))=TRUE,"",TEXT(VLOOKUP(CONCATENATE($A65,$Q$8,S$10),'Tariff Schedule Lookup Table'!$F$8:$G$286,2,FALSE),"0000"))</f>
        <v>1150</v>
      </c>
      <c r="T65" s="34" t="str">
        <f>IF(ISERROR(VLOOKUP(CONCATENATE($A65,$Q$8,T$10),'Tariff Schedule Lookup Table'!$F$8:$G$286,2,FALSE))=TRUE,"",TEXT(VLOOKUP(CONCATENATE($A65,$Q$8,T$10),'Tariff Schedule Lookup Table'!$F$8:$G$286,2,FALSE),"0000"))</f>
        <v/>
      </c>
      <c r="U65" s="34" t="str">
        <f>IF(ISERROR(VLOOKUP(CONCATENATE($A65,$U$8,U$10),'Tariff Schedule Lookup Table'!$F$8:$G$286,2,FALSE))=TRUE,"",TEXT(VLOOKUP(CONCATENATE($A65,$U$8,U$10),'Tariff Schedule Lookup Table'!$F$8:$G$286,2,FALSE),"0000"))</f>
        <v/>
      </c>
      <c r="V65" s="34" t="str">
        <f>IF(ISERROR(VLOOKUP(CONCATENATE($A65,$U$8,V$10),'Tariff Schedule Lookup Table'!$F$8:$G$286,2,FALSE))=TRUE,"",TEXT(VLOOKUP(CONCATENATE($A65,$U$8,V$10),'Tariff Schedule Lookup Table'!$F$8:$G$286,2,FALSE),"0000"))</f>
        <v/>
      </c>
      <c r="W65" s="34" t="str">
        <f>IF(ISERROR(VLOOKUP(CONCATENATE($A65,$U$8,W$10),'Tariff Schedule Lookup Table'!$F$8:$G$286,2,FALSE))=TRUE,"",TEXT(VLOOKUP(CONCATENATE($A65,$U$8,W$10),'Tariff Schedule Lookup Table'!$F$8:$G$286,2,FALSE),"0000"))</f>
        <v>1380</v>
      </c>
      <c r="X65" s="34" t="str">
        <f>IF(ISERROR(VLOOKUP(CONCATENATE($A65,$U$8,X$10),'Tariff Schedule Lookup Table'!$F$8:$G$286,2,FALSE))=TRUE,"",TEXT(VLOOKUP(CONCATENATE($A65,$U$8,X$10),'Tariff Schedule Lookup Table'!$F$8:$G$186,2,FALSE),"0000"))</f>
        <v>1450</v>
      </c>
      <c r="Y65" s="6"/>
      <c r="Z65" s="6"/>
      <c r="AA65" s="6"/>
      <c r="AB65" s="6"/>
      <c r="AC65" s="6"/>
    </row>
    <row r="66" spans="1:29" x14ac:dyDescent="0.2">
      <c r="A66" s="6" t="s">
        <v>1081</v>
      </c>
      <c r="B66" s="35" t="s">
        <v>2096</v>
      </c>
      <c r="C66" s="197" t="str">
        <f>VLOOKUP(LEFT(B66,7),'Tariff Schedule Lookup Table'!$A$8:$D$186,3,FALSE)</f>
        <v>2x250</v>
      </c>
      <c r="D66" s="199" t="str">
        <f>VLOOKUP(LEFT(B66,7),'Tariff Schedule Lookup Table'!$A$8:$D$186,2,FALSE)</f>
        <v>High Pressure Sodium 2x250</v>
      </c>
      <c r="E66" s="6" t="s">
        <v>1077</v>
      </c>
      <c r="F66" s="37">
        <f>VLOOKUP(LEFT(B66,7),'Tariff Schedule Lookup Table'!$A$8:$D$186,4,FALSE)</f>
        <v>546</v>
      </c>
      <c r="G66" s="33">
        <f>VLOOKUP($B66,'Maintenance Costs'!$A$20:$AG$176,32,FALSE)</f>
        <v>87.703224886352473</v>
      </c>
      <c r="H66" s="67">
        <f>IF(VLOOKUP($B66,'Maintenance Costs'!$A$20:$AG$176,33,FALSE)=0,"",VLOOKUP($B66,'Maintenance Costs'!$A$20:$AG$176,33,FALSE))</f>
        <v>83.376148793991476</v>
      </c>
      <c r="I66" s="34" t="str">
        <f>IF(ISERROR(VLOOKUP(CONCATENATE($A66,$I$8,I$10),'Tariff Schedule Lookup Table'!$F$8:$G$286,2,FALSE))=TRUE,"",TEXT(VLOOKUP(CONCATENATE($A66,$I$8,I$10),'Tariff Schedule Lookup Table'!$F$8:$G$286,2,FALSE),"0000"))</f>
        <v/>
      </c>
      <c r="J66" s="34" t="str">
        <f>IF(ISERROR(VLOOKUP(CONCATENATE($A66,$I$8,J$10),'Tariff Schedule Lookup Table'!$F$8:$G$286,2,FALSE))=TRUE,"",TEXT(VLOOKUP(CONCATENATE($A66,$I$8,J$10),'Tariff Schedule Lookup Table'!$F$8:$G$286,2,FALSE),"0000"))</f>
        <v/>
      </c>
      <c r="K66" s="34" t="str">
        <f>IF(ISERROR(VLOOKUP(CONCATENATE($A66,$I$8,K$10),'Tariff Schedule Lookup Table'!$F$8:$G$286,2,FALSE))=TRUE,"",TEXT(VLOOKUP(CONCATENATE($A66,$I$8,K$10),'Tariff Schedule Lookup Table'!$F$8:$G$286,2,FALSE),"0000"))</f>
        <v/>
      </c>
      <c r="L66" s="34" t="str">
        <f>IF(ISERROR(VLOOKUP(CONCATENATE($A66,$I$8,L$10),'Tariff Schedule Lookup Table'!$F$8:$G$286,2,FALSE))=TRUE,"",TEXT(VLOOKUP(CONCATENATE($A66,$I$8,L$10),'Tariff Schedule Lookup Table'!$F$8:$G$286,2,FALSE),"0000"))</f>
        <v/>
      </c>
      <c r="M66" s="34" t="str">
        <f>IF(ISERROR(VLOOKUP(CONCATENATE($A66,$M$8,M$10),'Tariff Schedule Lookup Table'!$F$8:$G$286,2,FALSE))=TRUE,"",TEXT(VLOOKUP(CONCATENATE($A66,$M$8,M$10),'Tariff Schedule Lookup Table'!$F$8:$G$286,2,FALSE),"0000"))</f>
        <v/>
      </c>
      <c r="N66" s="34" t="str">
        <f>IF(ISERROR(VLOOKUP(CONCATENATE($A66,$M$8,N$10),'Tariff Schedule Lookup Table'!$F$8:$G$286,2,FALSE))=TRUE,"",TEXT(VLOOKUP(CONCATENATE($A66,$M$8,N$10),'Tariff Schedule Lookup Table'!$F$8:$G$286,2,FALSE),"0000"))</f>
        <v/>
      </c>
      <c r="O66" s="34" t="str">
        <f>IF(ISERROR(VLOOKUP(CONCATENATE($A66,$M$8,O$10),'Tariff Schedule Lookup Table'!$F$8:$G$286,2,FALSE))=TRUE,"",TEXT(VLOOKUP(CONCATENATE($A66,$M$8,O$10),'Tariff Schedule Lookup Table'!$F$8:$G$286,2,FALSE),"0000"))</f>
        <v/>
      </c>
      <c r="P66" s="34" t="str">
        <f>IF(ISERROR(VLOOKUP(CONCATENATE($A66,$M$8,P$10),'Tariff Schedule Lookup Table'!$F$8:$G$286,2,FALSE))=TRUE,"",TEXT(VLOOKUP(CONCATENATE($A66,$M$8,P$10),'Tariff Schedule Lookup Table'!$F$8:$G$286,2,FALSE),"0000"))</f>
        <v/>
      </c>
      <c r="Q66" s="34" t="str">
        <f>IF(ISERROR(VLOOKUP(CONCATENATE($A66,$Q$8,Q$10),'Tariff Schedule Lookup Table'!$F$8:$G$286,2,FALSE))=TRUE,"",TEXT(VLOOKUP(CONCATENATE($A66,$Q$8,Q$10),'Tariff Schedule Lookup Table'!$F$8:$G$286,2,FALSE),"0000"))</f>
        <v/>
      </c>
      <c r="R66" s="34" t="str">
        <f>IF(ISERROR(VLOOKUP(CONCATENATE($A66,$Q$8,R$10),'Tariff Schedule Lookup Table'!$F$8:$G$286,2,FALSE))=TRUE,"",TEXT(VLOOKUP(CONCATENATE($A66,$Q$8,R$10),'Tariff Schedule Lookup Table'!$F$8:$G$286,2,FALSE),"0000"))</f>
        <v/>
      </c>
      <c r="S66" s="34" t="str">
        <f>IF(ISERROR(VLOOKUP(CONCATENATE($A66,$Q$8,S$10),'Tariff Schedule Lookup Table'!$F$8:$G$286,2,FALSE))=TRUE,"",TEXT(VLOOKUP(CONCATENATE($A66,$Q$8,S$10),'Tariff Schedule Lookup Table'!$F$8:$G$286,2,FALSE),"0000"))</f>
        <v/>
      </c>
      <c r="T66" s="34" t="str">
        <f>IF(ISERROR(VLOOKUP(CONCATENATE($A66,$Q$8,T$10),'Tariff Schedule Lookup Table'!$F$8:$G$286,2,FALSE))=TRUE,"",TEXT(VLOOKUP(CONCATENATE($A66,$Q$8,T$10),'Tariff Schedule Lookup Table'!$F$8:$G$286,2,FALSE),"0000"))</f>
        <v/>
      </c>
      <c r="U66" s="34" t="str">
        <f>IF(ISERROR(VLOOKUP(CONCATENATE($A66,$U$8,U$10),'Tariff Schedule Lookup Table'!$F$8:$G$286,2,FALSE))=TRUE,"",TEXT(VLOOKUP(CONCATENATE($A66,$U$8,U$10),'Tariff Schedule Lookup Table'!$F$8:$G$286,2,FALSE),"0000"))</f>
        <v/>
      </c>
      <c r="V66" s="34" t="str">
        <f>IF(ISERROR(VLOOKUP(CONCATENATE($A66,$U$8,V$10),'Tariff Schedule Lookup Table'!$F$8:$G$286,2,FALSE))=TRUE,"",TEXT(VLOOKUP(CONCATENATE($A66,$U$8,V$10),'Tariff Schedule Lookup Table'!$F$8:$G$286,2,FALSE),"0000"))</f>
        <v>1490</v>
      </c>
      <c r="W66" s="34" t="str">
        <f>IF(ISERROR(VLOOKUP(CONCATENATE($A66,$U$8,W$10),'Tariff Schedule Lookup Table'!$F$8:$G$286,2,FALSE))=TRUE,"",TEXT(VLOOKUP(CONCATENATE($A66,$U$8,W$10),'Tariff Schedule Lookup Table'!$F$8:$G$286,2,FALSE),"0000"))</f>
        <v>0860</v>
      </c>
      <c r="X66" s="34" t="str">
        <f>IF(ISERROR(VLOOKUP(CONCATENATE($A66,$U$8,X$10),'Tariff Schedule Lookup Table'!$F$8:$G$286,2,FALSE))=TRUE,"",TEXT(VLOOKUP(CONCATENATE($A66,$U$8,X$10),'Tariff Schedule Lookup Table'!$F$8:$G$186,2,FALSE),"0000"))</f>
        <v>0870</v>
      </c>
      <c r="Y66" s="6"/>
      <c r="Z66" s="6"/>
      <c r="AA66" s="6"/>
      <c r="AB66" s="6"/>
      <c r="AC66" s="6"/>
    </row>
    <row r="67" spans="1:29" x14ac:dyDescent="0.2">
      <c r="A67" s="6" t="s">
        <v>1081</v>
      </c>
      <c r="B67" s="35" t="s">
        <v>2097</v>
      </c>
      <c r="C67" s="197" t="str">
        <f>VLOOKUP(LEFT(B67,7),'Tariff Schedule Lookup Table'!$A$8:$D$186,3,FALSE)</f>
        <v>2x250</v>
      </c>
      <c r="D67" s="199" t="str">
        <f>VLOOKUP(LEFT(B67,7),'Tariff Schedule Lookup Table'!$A$8:$D$186,2,FALSE)</f>
        <v>High Pressure Sodium 2x250</v>
      </c>
      <c r="E67" s="6" t="s">
        <v>1077</v>
      </c>
      <c r="F67" s="37">
        <f>VLOOKUP(LEFT(B67,7),'Tariff Schedule Lookup Table'!$A$8:$D$186,4,FALSE)</f>
        <v>546</v>
      </c>
      <c r="G67" s="33">
        <f>VLOOKUP($B67,'Maintenance Costs'!$A$20:$AG$176,32,FALSE)</f>
        <v>64.574602489403148</v>
      </c>
      <c r="H67" s="67">
        <f>IF(VLOOKUP($B67,'Maintenance Costs'!$A$20:$AG$176,33,FALSE)=0,"",VLOOKUP($B67,'Maintenance Costs'!$A$20:$AG$176,33,FALSE))</f>
        <v>96.50086395132189</v>
      </c>
      <c r="I67" s="34" t="str">
        <f>IF(ISERROR(VLOOKUP(CONCATENATE($A67,$I$8,I$10),'Tariff Schedule Lookup Table'!$F$8:$G$286,2,FALSE))=TRUE,"",TEXT(VLOOKUP(CONCATENATE($A67,$I$8,I$10),'Tariff Schedule Lookup Table'!$F$8:$G$286,2,FALSE),"0000"))</f>
        <v/>
      </c>
      <c r="J67" s="34" t="str">
        <f>IF(ISERROR(VLOOKUP(CONCATENATE($A67,$I$8,J$10),'Tariff Schedule Lookup Table'!$F$8:$G$286,2,FALSE))=TRUE,"",TEXT(VLOOKUP(CONCATENATE($A67,$I$8,J$10),'Tariff Schedule Lookup Table'!$F$8:$G$286,2,FALSE),"0000"))</f>
        <v/>
      </c>
      <c r="K67" s="34" t="str">
        <f>IF(ISERROR(VLOOKUP(CONCATENATE($A67,$I$8,K$10),'Tariff Schedule Lookup Table'!$F$8:$G$286,2,FALSE))=TRUE,"",TEXT(VLOOKUP(CONCATENATE($A67,$I$8,K$10),'Tariff Schedule Lookup Table'!$F$8:$G$286,2,FALSE),"0000"))</f>
        <v/>
      </c>
      <c r="L67" s="34" t="str">
        <f>IF(ISERROR(VLOOKUP(CONCATENATE($A67,$I$8,L$10),'Tariff Schedule Lookup Table'!$F$8:$G$286,2,FALSE))=TRUE,"",TEXT(VLOOKUP(CONCATENATE($A67,$I$8,L$10),'Tariff Schedule Lookup Table'!$F$8:$G$286,2,FALSE),"0000"))</f>
        <v/>
      </c>
      <c r="M67" s="34" t="str">
        <f>IF(ISERROR(VLOOKUP(CONCATENATE($A67,$M$8,M$10),'Tariff Schedule Lookup Table'!$F$8:$G$286,2,FALSE))=TRUE,"",TEXT(VLOOKUP(CONCATENATE($A67,$M$8,M$10),'Tariff Schedule Lookup Table'!$F$8:$G$286,2,FALSE),"0000"))</f>
        <v/>
      </c>
      <c r="N67" s="34" t="str">
        <f>IF(ISERROR(VLOOKUP(CONCATENATE($A67,$M$8,N$10),'Tariff Schedule Lookup Table'!$F$8:$G$286,2,FALSE))=TRUE,"",TEXT(VLOOKUP(CONCATENATE($A67,$M$8,N$10),'Tariff Schedule Lookup Table'!$F$8:$G$286,2,FALSE),"0000"))</f>
        <v/>
      </c>
      <c r="O67" s="34" t="str">
        <f>IF(ISERROR(VLOOKUP(CONCATENATE($A67,$M$8,O$10),'Tariff Schedule Lookup Table'!$F$8:$G$286,2,FALSE))=TRUE,"",TEXT(VLOOKUP(CONCATENATE($A67,$M$8,O$10),'Tariff Schedule Lookup Table'!$F$8:$G$286,2,FALSE),"0000"))</f>
        <v/>
      </c>
      <c r="P67" s="34" t="str">
        <f>IF(ISERROR(VLOOKUP(CONCATENATE($A67,$M$8,P$10),'Tariff Schedule Lookup Table'!$F$8:$G$286,2,FALSE))=TRUE,"",TEXT(VLOOKUP(CONCATENATE($A67,$M$8,P$10),'Tariff Schedule Lookup Table'!$F$8:$G$286,2,FALSE),"0000"))</f>
        <v/>
      </c>
      <c r="Q67" s="34" t="str">
        <f>IF(ISERROR(VLOOKUP(CONCATENATE($A67,$Q$8,Q$10),'Tariff Schedule Lookup Table'!$F$8:$G$286,2,FALSE))=TRUE,"",TEXT(VLOOKUP(CONCATENATE($A67,$Q$8,Q$10),'Tariff Schedule Lookup Table'!$F$8:$G$286,2,FALSE),"0000"))</f>
        <v/>
      </c>
      <c r="R67" s="34" t="str">
        <f>IF(ISERROR(VLOOKUP(CONCATENATE($A67,$Q$8,R$10),'Tariff Schedule Lookup Table'!$F$8:$G$286,2,FALSE))=TRUE,"",TEXT(VLOOKUP(CONCATENATE($A67,$Q$8,R$10),'Tariff Schedule Lookup Table'!$F$8:$G$286,2,FALSE),"0000"))</f>
        <v/>
      </c>
      <c r="S67" s="34" t="str">
        <f>IF(ISERROR(VLOOKUP(CONCATENATE($A67,$Q$8,S$10),'Tariff Schedule Lookup Table'!$F$8:$G$286,2,FALSE))=TRUE,"",TEXT(VLOOKUP(CONCATENATE($A67,$Q$8,S$10),'Tariff Schedule Lookup Table'!$F$8:$G$286,2,FALSE),"0000"))</f>
        <v/>
      </c>
      <c r="T67" s="34" t="str">
        <f>IF(ISERROR(VLOOKUP(CONCATENATE($A67,$Q$8,T$10),'Tariff Schedule Lookup Table'!$F$8:$G$286,2,FALSE))=TRUE,"",TEXT(VLOOKUP(CONCATENATE($A67,$Q$8,T$10),'Tariff Schedule Lookup Table'!$F$8:$G$286,2,FALSE),"0000"))</f>
        <v/>
      </c>
      <c r="U67" s="34" t="str">
        <f>IF(ISERROR(VLOOKUP(CONCATENATE($A67,$U$8,U$10),'Tariff Schedule Lookup Table'!$F$8:$G$286,2,FALSE))=TRUE,"",TEXT(VLOOKUP(CONCATENATE($A67,$U$8,U$10),'Tariff Schedule Lookup Table'!$F$8:$G$286,2,FALSE),"0000"))</f>
        <v/>
      </c>
      <c r="V67" s="34" t="str">
        <f>IF(ISERROR(VLOOKUP(CONCATENATE($A67,$U$8,V$10),'Tariff Schedule Lookup Table'!$F$8:$G$286,2,FALSE))=TRUE,"",TEXT(VLOOKUP(CONCATENATE($A67,$U$8,V$10),'Tariff Schedule Lookup Table'!$F$8:$G$286,2,FALSE),"0000"))</f>
        <v>1490</v>
      </c>
      <c r="W67" s="34" t="str">
        <f>IF(ISERROR(VLOOKUP(CONCATENATE($A67,$U$8,W$10),'Tariff Schedule Lookup Table'!$F$8:$G$286,2,FALSE))=TRUE,"",TEXT(VLOOKUP(CONCATENATE($A67,$U$8,W$10),'Tariff Schedule Lookup Table'!$F$8:$G$286,2,FALSE),"0000"))</f>
        <v>0860</v>
      </c>
      <c r="X67" s="34" t="str">
        <f>IF(ISERROR(VLOOKUP(CONCATENATE($A67,$U$8,X$10),'Tariff Schedule Lookup Table'!$F$8:$G$286,2,FALSE))=TRUE,"",TEXT(VLOOKUP(CONCATENATE($A67,$U$8,X$10),'Tariff Schedule Lookup Table'!$F$8:$G$186,2,FALSE),"0000"))</f>
        <v>0870</v>
      </c>
      <c r="Y67" s="6"/>
      <c r="Z67" s="6"/>
      <c r="AA67" s="6"/>
      <c r="AB67" s="6"/>
      <c r="AC67" s="6"/>
    </row>
    <row r="68" spans="1:29" x14ac:dyDescent="0.2">
      <c r="A68" s="6" t="s">
        <v>1081</v>
      </c>
      <c r="B68" s="35" t="s">
        <v>158</v>
      </c>
      <c r="C68" s="197" t="str">
        <f>VLOOKUP(LEFT(B68,7),'Tariff Schedule Lookup Table'!$A$8:$D$186,3,FALSE)</f>
        <v>4x250</v>
      </c>
      <c r="D68" s="199" t="str">
        <f>VLOOKUP(LEFT(B68,7),'Tariff Schedule Lookup Table'!$A$8:$D$186,2,FALSE)</f>
        <v>High Pressure Sodium 4x250</v>
      </c>
      <c r="E68" s="6" t="s">
        <v>1077</v>
      </c>
      <c r="F68" s="37">
        <f>VLOOKUP(LEFT(B68,7),'Tariff Schedule Lookup Table'!$A$8:$D$186,4,FALSE)</f>
        <v>1092</v>
      </c>
      <c r="G68" s="33">
        <f>VLOOKUP($B68,'Maintenance Costs'!$A$20:$AG$176,32,FALSE)</f>
        <v>109.70785272635247</v>
      </c>
      <c r="H68" s="67">
        <f>IF(VLOOKUP($B68,'Maintenance Costs'!$A$20:$AG$176,33,FALSE)=0,"",VLOOKUP($B68,'Maintenance Costs'!$A$20:$AG$176,33,FALSE))</f>
        <v>118.47704423225815</v>
      </c>
      <c r="I68" s="34" t="str">
        <f>IF(ISERROR(VLOOKUP(CONCATENATE($A68,$I$8,I$10),'Tariff Schedule Lookup Table'!$F$8:$G$286,2,FALSE))=TRUE,"",TEXT(VLOOKUP(CONCATENATE($A68,$I$8,I$10),'Tariff Schedule Lookup Table'!$F$8:$G$286,2,FALSE),"0000"))</f>
        <v/>
      </c>
      <c r="J68" s="34" t="str">
        <f>IF(ISERROR(VLOOKUP(CONCATENATE($A68,$I$8,J$10),'Tariff Schedule Lookup Table'!$F$8:$G$286,2,FALSE))=TRUE,"",TEXT(VLOOKUP(CONCATENATE($A68,$I$8,J$10),'Tariff Schedule Lookup Table'!$F$8:$G$286,2,FALSE),"0000"))</f>
        <v/>
      </c>
      <c r="K68" s="34" t="str">
        <f>IF(ISERROR(VLOOKUP(CONCATENATE($A68,$I$8,K$10),'Tariff Schedule Lookup Table'!$F$8:$G$286,2,FALSE))=TRUE,"",TEXT(VLOOKUP(CONCATENATE($A68,$I$8,K$10),'Tariff Schedule Lookup Table'!$F$8:$G$286,2,FALSE),"0000"))</f>
        <v/>
      </c>
      <c r="L68" s="34" t="str">
        <f>IF(ISERROR(VLOOKUP(CONCATENATE($A68,$I$8,L$10),'Tariff Schedule Lookup Table'!$F$8:$G$286,2,FALSE))=TRUE,"",TEXT(VLOOKUP(CONCATENATE($A68,$I$8,L$10),'Tariff Schedule Lookup Table'!$F$8:$G$286,2,FALSE),"0000"))</f>
        <v/>
      </c>
      <c r="M68" s="34" t="str">
        <f>IF(ISERROR(VLOOKUP(CONCATENATE($A68,$M$8,M$10),'Tariff Schedule Lookup Table'!$F$8:$G$286,2,FALSE))=TRUE,"",TEXT(VLOOKUP(CONCATENATE($A68,$M$8,M$10),'Tariff Schedule Lookup Table'!$F$8:$G$286,2,FALSE),"0000"))</f>
        <v/>
      </c>
      <c r="N68" s="34" t="str">
        <f>IF(ISERROR(VLOOKUP(CONCATENATE($A68,$M$8,N$10),'Tariff Schedule Lookup Table'!$F$8:$G$286,2,FALSE))=TRUE,"",TEXT(VLOOKUP(CONCATENATE($A68,$M$8,N$10),'Tariff Schedule Lookup Table'!$F$8:$G$286,2,FALSE),"0000"))</f>
        <v/>
      </c>
      <c r="O68" s="34" t="str">
        <f>IF(ISERROR(VLOOKUP(CONCATENATE($A68,$M$8,O$10),'Tariff Schedule Lookup Table'!$F$8:$G$286,2,FALSE))=TRUE,"",TEXT(VLOOKUP(CONCATENATE($A68,$M$8,O$10),'Tariff Schedule Lookup Table'!$F$8:$G$286,2,FALSE),"0000"))</f>
        <v/>
      </c>
      <c r="P68" s="34" t="str">
        <f>IF(ISERROR(VLOOKUP(CONCATENATE($A68,$M$8,P$10),'Tariff Schedule Lookup Table'!$F$8:$G$286,2,FALSE))=TRUE,"",TEXT(VLOOKUP(CONCATENATE($A68,$M$8,P$10),'Tariff Schedule Lookup Table'!$F$8:$G$286,2,FALSE),"0000"))</f>
        <v/>
      </c>
      <c r="Q68" s="34" t="str">
        <f>IF(ISERROR(VLOOKUP(CONCATENATE($A68,$Q$8,Q$10),'Tariff Schedule Lookup Table'!$F$8:$G$286,2,FALSE))=TRUE,"",TEXT(VLOOKUP(CONCATENATE($A68,$Q$8,Q$10),'Tariff Schedule Lookup Table'!$F$8:$G$286,2,FALSE),"0000"))</f>
        <v/>
      </c>
      <c r="R68" s="34" t="str">
        <f>IF(ISERROR(VLOOKUP(CONCATENATE($A68,$Q$8,R$10),'Tariff Schedule Lookup Table'!$F$8:$G$286,2,FALSE))=TRUE,"",TEXT(VLOOKUP(CONCATENATE($A68,$Q$8,R$10),'Tariff Schedule Lookup Table'!$F$8:$G$286,2,FALSE),"0000"))</f>
        <v/>
      </c>
      <c r="S68" s="34" t="str">
        <f>IF(ISERROR(VLOOKUP(CONCATENATE($A68,$Q$8,S$10),'Tariff Schedule Lookup Table'!$F$8:$G$286,2,FALSE))=TRUE,"",TEXT(VLOOKUP(CONCATENATE($A68,$Q$8,S$10),'Tariff Schedule Lookup Table'!$F$8:$G$286,2,FALSE),"0000"))</f>
        <v/>
      </c>
      <c r="T68" s="34" t="str">
        <f>IF(ISERROR(VLOOKUP(CONCATENATE($A68,$Q$8,T$10),'Tariff Schedule Lookup Table'!$F$8:$G$286,2,FALSE))=TRUE,"",TEXT(VLOOKUP(CONCATENATE($A68,$Q$8,T$10),'Tariff Schedule Lookup Table'!$F$8:$G$286,2,FALSE),"0000"))</f>
        <v/>
      </c>
      <c r="U68" s="34" t="str">
        <f>IF(ISERROR(VLOOKUP(CONCATENATE($A68,$U$8,U$10),'Tariff Schedule Lookup Table'!$F$8:$G$286,2,FALSE))=TRUE,"",TEXT(VLOOKUP(CONCATENATE($A68,$U$8,U$10),'Tariff Schedule Lookup Table'!$F$8:$G$286,2,FALSE),"0000"))</f>
        <v/>
      </c>
      <c r="V68" s="34" t="str">
        <f>IF(ISERROR(VLOOKUP(CONCATENATE($A68,$U$8,V$10),'Tariff Schedule Lookup Table'!$F$8:$G$286,2,FALSE))=TRUE,"",TEXT(VLOOKUP(CONCATENATE($A68,$U$8,V$10),'Tariff Schedule Lookup Table'!$F$8:$G$286,2,FALSE),"0000"))</f>
        <v>1490</v>
      </c>
      <c r="W68" s="34" t="str">
        <f>IF(ISERROR(VLOOKUP(CONCATENATE($A68,$U$8,W$10),'Tariff Schedule Lookup Table'!$F$8:$G$286,2,FALSE))=TRUE,"",TEXT(VLOOKUP(CONCATENATE($A68,$U$8,W$10),'Tariff Schedule Lookup Table'!$F$8:$G$286,2,FALSE),"0000"))</f>
        <v>0860</v>
      </c>
      <c r="X68" s="34" t="str">
        <f>IF(ISERROR(VLOOKUP(CONCATENATE($A68,$U$8,X$10),'Tariff Schedule Lookup Table'!$F$8:$G$286,2,FALSE))=TRUE,"",TEXT(VLOOKUP(CONCATENATE($A68,$U$8,X$10),'Tariff Schedule Lookup Table'!$F$8:$G$186,2,FALSE),"0000"))</f>
        <v>0870</v>
      </c>
      <c r="Y68" s="6"/>
      <c r="Z68" s="6"/>
      <c r="AA68" s="6"/>
      <c r="AB68" s="6"/>
      <c r="AC68" s="6"/>
    </row>
    <row r="69" spans="1:29" x14ac:dyDescent="0.2">
      <c r="A69" s="6" t="s">
        <v>1081</v>
      </c>
      <c r="B69" s="35" t="s">
        <v>159</v>
      </c>
      <c r="C69" s="197" t="str">
        <f>VLOOKUP(LEFT(B69,7),'Tariff Schedule Lookup Table'!$A$8:$D$186,3,FALSE)</f>
        <v>4x250</v>
      </c>
      <c r="D69" s="199" t="str">
        <f>VLOOKUP(LEFT(B69,7),'Tariff Schedule Lookup Table'!$A$8:$D$186,2,FALSE)</f>
        <v>High Pressure Sodium 4x250</v>
      </c>
      <c r="E69" s="6" t="s">
        <v>1077</v>
      </c>
      <c r="F69" s="37">
        <f>VLOOKUP(LEFT(B69,7),'Tariff Schedule Lookup Table'!$A$8:$D$186,4,FALSE)</f>
        <v>1092</v>
      </c>
      <c r="G69" s="33">
        <f>VLOOKUP($B69,'Maintenance Costs'!$A$20:$AG$176,32,FALSE)</f>
        <v>87.542467929403131</v>
      </c>
      <c r="H69" s="67">
        <f>IF(VLOOKUP($B69,'Maintenance Costs'!$A$20:$AG$176,33,FALSE)=0,"",VLOOKUP($B69,'Maintenance Costs'!$A$20:$AG$176,33,FALSE))</f>
        <v>151.7726414863219</v>
      </c>
      <c r="I69" s="34" t="str">
        <f>IF(ISERROR(VLOOKUP(CONCATENATE($A69,$I$8,I$10),'Tariff Schedule Lookup Table'!$F$8:$G$286,2,FALSE))=TRUE,"",TEXT(VLOOKUP(CONCATENATE($A69,$I$8,I$10),'Tariff Schedule Lookup Table'!$F$8:$G$286,2,FALSE),"0000"))</f>
        <v/>
      </c>
      <c r="J69" s="34" t="str">
        <f>IF(ISERROR(VLOOKUP(CONCATENATE($A69,$I$8,J$10),'Tariff Schedule Lookup Table'!$F$8:$G$286,2,FALSE))=TRUE,"",TEXT(VLOOKUP(CONCATENATE($A69,$I$8,J$10),'Tariff Schedule Lookup Table'!$F$8:$G$286,2,FALSE),"0000"))</f>
        <v/>
      </c>
      <c r="K69" s="34" t="str">
        <f>IF(ISERROR(VLOOKUP(CONCATENATE($A69,$I$8,K$10),'Tariff Schedule Lookup Table'!$F$8:$G$286,2,FALSE))=TRUE,"",TEXT(VLOOKUP(CONCATENATE($A69,$I$8,K$10),'Tariff Schedule Lookup Table'!$F$8:$G$286,2,FALSE),"0000"))</f>
        <v/>
      </c>
      <c r="L69" s="34" t="str">
        <f>IF(ISERROR(VLOOKUP(CONCATENATE($A69,$I$8,L$10),'Tariff Schedule Lookup Table'!$F$8:$G$286,2,FALSE))=TRUE,"",TEXT(VLOOKUP(CONCATENATE($A69,$I$8,L$10),'Tariff Schedule Lookup Table'!$F$8:$G$286,2,FALSE),"0000"))</f>
        <v/>
      </c>
      <c r="M69" s="34" t="str">
        <f>IF(ISERROR(VLOOKUP(CONCATENATE($A69,$M$8,M$10),'Tariff Schedule Lookup Table'!$F$8:$G$286,2,FALSE))=TRUE,"",TEXT(VLOOKUP(CONCATENATE($A69,$M$8,M$10),'Tariff Schedule Lookup Table'!$F$8:$G$286,2,FALSE),"0000"))</f>
        <v/>
      </c>
      <c r="N69" s="34" t="str">
        <f>IF(ISERROR(VLOOKUP(CONCATENATE($A69,$M$8,N$10),'Tariff Schedule Lookup Table'!$F$8:$G$286,2,FALSE))=TRUE,"",TEXT(VLOOKUP(CONCATENATE($A69,$M$8,N$10),'Tariff Schedule Lookup Table'!$F$8:$G$286,2,FALSE),"0000"))</f>
        <v/>
      </c>
      <c r="O69" s="34" t="str">
        <f>IF(ISERROR(VLOOKUP(CONCATENATE($A69,$M$8,O$10),'Tariff Schedule Lookup Table'!$F$8:$G$286,2,FALSE))=TRUE,"",TEXT(VLOOKUP(CONCATENATE($A69,$M$8,O$10),'Tariff Schedule Lookup Table'!$F$8:$G$286,2,FALSE),"0000"))</f>
        <v/>
      </c>
      <c r="P69" s="34" t="str">
        <f>IF(ISERROR(VLOOKUP(CONCATENATE($A69,$M$8,P$10),'Tariff Schedule Lookup Table'!$F$8:$G$286,2,FALSE))=TRUE,"",TEXT(VLOOKUP(CONCATENATE($A69,$M$8,P$10),'Tariff Schedule Lookup Table'!$F$8:$G$286,2,FALSE),"0000"))</f>
        <v/>
      </c>
      <c r="Q69" s="34" t="str">
        <f>IF(ISERROR(VLOOKUP(CONCATENATE($A69,$Q$8,Q$10),'Tariff Schedule Lookup Table'!$F$8:$G$286,2,FALSE))=TRUE,"",TEXT(VLOOKUP(CONCATENATE($A69,$Q$8,Q$10),'Tariff Schedule Lookup Table'!$F$8:$G$286,2,FALSE),"0000"))</f>
        <v/>
      </c>
      <c r="R69" s="34" t="str">
        <f>IF(ISERROR(VLOOKUP(CONCATENATE($A69,$Q$8,R$10),'Tariff Schedule Lookup Table'!$F$8:$G$286,2,FALSE))=TRUE,"",TEXT(VLOOKUP(CONCATENATE($A69,$Q$8,R$10),'Tariff Schedule Lookup Table'!$F$8:$G$286,2,FALSE),"0000"))</f>
        <v/>
      </c>
      <c r="S69" s="34" t="str">
        <f>IF(ISERROR(VLOOKUP(CONCATENATE($A69,$Q$8,S$10),'Tariff Schedule Lookup Table'!$F$8:$G$286,2,FALSE))=TRUE,"",TEXT(VLOOKUP(CONCATENATE($A69,$Q$8,S$10),'Tariff Schedule Lookup Table'!$F$8:$G$286,2,FALSE),"0000"))</f>
        <v/>
      </c>
      <c r="T69" s="34" t="str">
        <f>IF(ISERROR(VLOOKUP(CONCATENATE($A69,$Q$8,T$10),'Tariff Schedule Lookup Table'!$F$8:$G$286,2,FALSE))=TRUE,"",TEXT(VLOOKUP(CONCATENATE($A69,$Q$8,T$10),'Tariff Schedule Lookup Table'!$F$8:$G$286,2,FALSE),"0000"))</f>
        <v/>
      </c>
      <c r="U69" s="34" t="str">
        <f>IF(ISERROR(VLOOKUP(CONCATENATE($A69,$U$8,U$10),'Tariff Schedule Lookup Table'!$F$8:$G$286,2,FALSE))=TRUE,"",TEXT(VLOOKUP(CONCATENATE($A69,$U$8,U$10),'Tariff Schedule Lookup Table'!$F$8:$G$286,2,FALSE),"0000"))</f>
        <v/>
      </c>
      <c r="V69" s="34" t="str">
        <f>IF(ISERROR(VLOOKUP(CONCATENATE($A69,$U$8,V$10),'Tariff Schedule Lookup Table'!$F$8:$G$286,2,FALSE))=TRUE,"",TEXT(VLOOKUP(CONCATENATE($A69,$U$8,V$10),'Tariff Schedule Lookup Table'!$F$8:$G$286,2,FALSE),"0000"))</f>
        <v>1490</v>
      </c>
      <c r="W69" s="34" t="str">
        <f>IF(ISERROR(VLOOKUP(CONCATENATE($A69,$U$8,W$10),'Tariff Schedule Lookup Table'!$F$8:$G$286,2,FALSE))=TRUE,"",TEXT(VLOOKUP(CONCATENATE($A69,$U$8,W$10),'Tariff Schedule Lookup Table'!$F$8:$G$286,2,FALSE),"0000"))</f>
        <v>0860</v>
      </c>
      <c r="X69" s="34" t="str">
        <f>IF(ISERROR(VLOOKUP(CONCATENATE($A69,$U$8,X$10),'Tariff Schedule Lookup Table'!$F$8:$G$286,2,FALSE))=TRUE,"",TEXT(VLOOKUP(CONCATENATE($A69,$U$8,X$10),'Tariff Schedule Lookup Table'!$F$8:$G$186,2,FALSE),"0000"))</f>
        <v>0870</v>
      </c>
      <c r="Y69" s="6"/>
      <c r="Z69" s="6"/>
      <c r="AA69" s="6"/>
      <c r="AB69" s="6"/>
      <c r="AC69" s="6"/>
    </row>
    <row r="70" spans="1:29" x14ac:dyDescent="0.2">
      <c r="A70" s="6" t="s">
        <v>1086</v>
      </c>
      <c r="B70" s="35" t="s">
        <v>2098</v>
      </c>
      <c r="C70" s="197" t="str">
        <f>VLOOKUP(LEFT(B70,7),'Tariff Schedule Lookup Table'!$A$8:$D$186,3,FALSE)</f>
        <v>310 (Retrofit)</v>
      </c>
      <c r="D70" s="199" t="str">
        <f>VLOOKUP(LEFT(B70,7),'Tariff Schedule Lookup Table'!$A$8:$D$186,2,FALSE)</f>
        <v>High Pressure Sodium 310 (Retrofit)</v>
      </c>
      <c r="E70" s="6" t="s">
        <v>996</v>
      </c>
      <c r="F70" s="37">
        <f>VLOOKUP(LEFT(B70,7),'Tariff Schedule Lookup Table'!$A$8:$D$186,4,FALSE)</f>
        <v>350</v>
      </c>
      <c r="G70" s="33">
        <f>VLOOKUP($B70,'Maintenance Costs'!$A$20:$AG$176,32,FALSE)</f>
        <v>76.700910966352481</v>
      </c>
      <c r="H70" s="67">
        <f>IF(VLOOKUP($B70,'Maintenance Costs'!$A$20:$AG$176,33,FALSE)=0,"",VLOOKUP($B70,'Maintenance Costs'!$A$20:$AG$176,33,FALSE))</f>
        <v>65.825701074858159</v>
      </c>
      <c r="I70" s="34" t="str">
        <f>IF(ISERROR(VLOOKUP(CONCATENATE($A70,$I$8,I$10),'Tariff Schedule Lookup Table'!$F$8:$G$286,2,FALSE))=TRUE,"",TEXT(VLOOKUP(CONCATENATE($A70,$I$8,I$10),'Tariff Schedule Lookup Table'!$F$8:$G$286,2,FALSE),"0000"))</f>
        <v>0070</v>
      </c>
      <c r="J70" s="34" t="str">
        <f>IF(ISERROR(VLOOKUP(CONCATENATE($A70,$I$8,J$10),'Tariff Schedule Lookup Table'!$F$8:$G$286,2,FALSE))=TRUE,"",TEXT(VLOOKUP(CONCATENATE($A70,$I$8,J$10),'Tariff Schedule Lookup Table'!$F$8:$G$286,2,FALSE),"0000"))</f>
        <v>1030</v>
      </c>
      <c r="K70" s="34" t="str">
        <f>IF(ISERROR(VLOOKUP(CONCATENATE($A70,$I$8,K$10),'Tariff Schedule Lookup Table'!$F$8:$G$286,2,FALSE))=TRUE,"",TEXT(VLOOKUP(CONCATENATE($A70,$I$8,K$10),'Tariff Schedule Lookup Table'!$F$8:$G$286,2,FALSE),"0000"))</f>
        <v/>
      </c>
      <c r="L70" s="34" t="str">
        <f>IF(ISERROR(VLOOKUP(CONCATENATE($A70,$I$8,L$10),'Tariff Schedule Lookup Table'!$F$8:$G$286,2,FALSE))=TRUE,"",TEXT(VLOOKUP(CONCATENATE($A70,$I$8,L$10),'Tariff Schedule Lookup Table'!$F$8:$G$286,2,FALSE),"0000"))</f>
        <v/>
      </c>
      <c r="M70" s="34" t="str">
        <f>IF(ISERROR(VLOOKUP(CONCATENATE($A70,$M$8,M$10),'Tariff Schedule Lookup Table'!$F$8:$G$286,2,FALSE))=TRUE,"",TEXT(VLOOKUP(CONCATENATE($A70,$M$8,M$10),'Tariff Schedule Lookup Table'!$F$8:$G$286,2,FALSE),"0000"))</f>
        <v>0240</v>
      </c>
      <c r="N70" s="34" t="str">
        <f>IF(ISERROR(VLOOKUP(CONCATENATE($A70,$M$8,N$10),'Tariff Schedule Lookup Table'!$F$8:$G$286,2,FALSE))=TRUE,"",TEXT(VLOOKUP(CONCATENATE($A70,$M$8,N$10),'Tariff Schedule Lookup Table'!$F$8:$G$286,2,FALSE),"0000"))</f>
        <v>0770</v>
      </c>
      <c r="O70" s="34" t="str">
        <f>IF(ISERROR(VLOOKUP(CONCATENATE($A70,$M$8,O$10),'Tariff Schedule Lookup Table'!$F$8:$G$286,2,FALSE))=TRUE,"",TEXT(VLOOKUP(CONCATENATE($A70,$M$8,O$10),'Tariff Schedule Lookup Table'!$F$8:$G$286,2,FALSE),"0000"))</f>
        <v/>
      </c>
      <c r="P70" s="34" t="str">
        <f>IF(ISERROR(VLOOKUP(CONCATENATE($A70,$M$8,P$10),'Tariff Schedule Lookup Table'!$F$8:$G$286,2,FALSE))=TRUE,"",TEXT(VLOOKUP(CONCATENATE($A70,$M$8,P$10),'Tariff Schedule Lookup Table'!$F$8:$G$286,2,FALSE),"0000"))</f>
        <v>1060</v>
      </c>
      <c r="Q70" s="34" t="str">
        <f>IF(ISERROR(VLOOKUP(CONCATENATE($A70,$Q$8,Q$10),'Tariff Schedule Lookup Table'!$F$8:$G$286,2,FALSE))=TRUE,"",TEXT(VLOOKUP(CONCATENATE($A70,$Q$8,Q$10),'Tariff Schedule Lookup Table'!$F$8:$G$286,2,FALSE),"0000"))</f>
        <v>0330</v>
      </c>
      <c r="R70" s="34" t="str">
        <f>IF(ISERROR(VLOOKUP(CONCATENATE($A70,$Q$8,R$10),'Tariff Schedule Lookup Table'!$F$8:$G$286,2,FALSE))=TRUE,"",TEXT(VLOOKUP(CONCATENATE($A70,$Q$8,R$10),'Tariff Schedule Lookup Table'!$F$8:$G$286,2,FALSE),"0000"))</f>
        <v>0400</v>
      </c>
      <c r="S70" s="34" t="str">
        <f>IF(ISERROR(VLOOKUP(CONCATENATE($A70,$Q$8,S$10),'Tariff Schedule Lookup Table'!$F$8:$G$286,2,FALSE))=TRUE,"",TEXT(VLOOKUP(CONCATENATE($A70,$Q$8,S$10),'Tariff Schedule Lookup Table'!$F$8:$G$286,2,FALSE),"0000"))</f>
        <v>0440</v>
      </c>
      <c r="T70" s="34" t="str">
        <f>IF(ISERROR(VLOOKUP(CONCATENATE($A70,$Q$8,T$10),'Tariff Schedule Lookup Table'!$F$8:$G$286,2,FALSE))=TRUE,"",TEXT(VLOOKUP(CONCATENATE($A70,$Q$8,T$10),'Tariff Schedule Lookup Table'!$F$8:$G$286,2,FALSE),"0000"))</f>
        <v>0480</v>
      </c>
      <c r="U70" s="34" t="str">
        <f>IF(ISERROR(VLOOKUP(CONCATENATE($A70,$U$8,U$10),'Tariff Schedule Lookup Table'!$F$8:$G$286,2,FALSE))=TRUE,"",TEXT(VLOOKUP(CONCATENATE($A70,$U$8,U$10),'Tariff Schedule Lookup Table'!$F$8:$G$286,2,FALSE),"0000"))</f>
        <v/>
      </c>
      <c r="V70" s="34" t="str">
        <f>IF(ISERROR(VLOOKUP(CONCATENATE($A70,$U$8,V$10),'Tariff Schedule Lookup Table'!$F$8:$G$286,2,FALSE))=TRUE,"",TEXT(VLOOKUP(CONCATENATE($A70,$U$8,V$10),'Tariff Schedule Lookup Table'!$F$8:$G$286,2,FALSE),"0000"))</f>
        <v>0520</v>
      </c>
      <c r="W70" s="34" t="str">
        <f>IF(ISERROR(VLOOKUP(CONCATENATE($A70,$U$8,W$10),'Tariff Schedule Lookup Table'!$F$8:$G$286,2,FALSE))=TRUE,"",TEXT(VLOOKUP(CONCATENATE($A70,$U$8,W$10),'Tariff Schedule Lookup Table'!$F$8:$G$286,2,FALSE),"0000"))</f>
        <v>0560</v>
      </c>
      <c r="X70" s="34" t="str">
        <f>IF(ISERROR(VLOOKUP(CONCATENATE($A70,$U$8,X$10),'Tariff Schedule Lookup Table'!$F$8:$G$286,2,FALSE))=TRUE,"",TEXT(VLOOKUP(CONCATENATE($A70,$U$8,X$10),'Tariff Schedule Lookup Table'!$F$8:$G$186,2,FALSE),"0000"))</f>
        <v>0600</v>
      </c>
      <c r="Y70" s="6"/>
      <c r="Z70" s="6"/>
      <c r="AA70" s="6"/>
      <c r="AB70" s="6"/>
      <c r="AC70" s="6"/>
    </row>
    <row r="71" spans="1:29" x14ac:dyDescent="0.2">
      <c r="A71" s="6" t="s">
        <v>1086</v>
      </c>
      <c r="B71" s="35" t="s">
        <v>160</v>
      </c>
      <c r="C71" s="197" t="str">
        <f>VLOOKUP(LEFT(B71,7),'Tariff Schedule Lookup Table'!$A$8:$D$186,3,FALSE)</f>
        <v>2x310</v>
      </c>
      <c r="D71" s="199" t="str">
        <f>VLOOKUP(LEFT(B71,7),'Tariff Schedule Lookup Table'!$A$8:$D$186,2,FALSE)</f>
        <v>High Pressure Sodium 2x310</v>
      </c>
      <c r="E71" s="6" t="s">
        <v>996</v>
      </c>
      <c r="F71" s="37">
        <f>VLOOKUP(LEFT(B71,7),'Tariff Schedule Lookup Table'!$A$8:$D$186,4,FALSE)</f>
        <v>700</v>
      </c>
      <c r="G71" s="33">
        <f>VLOOKUP($B71,'Maintenance Costs'!$A$20:$AG$176,32,FALSE)</f>
        <v>87.703224886352473</v>
      </c>
      <c r="H71" s="67">
        <f>IF(VLOOKUP($B71,'Maintenance Costs'!$A$20:$AG$176,33,FALSE)=0,"",VLOOKUP($B71,'Maintenance Costs'!$A$20:$AG$176,33,FALSE))</f>
        <v>83.376148793991476</v>
      </c>
      <c r="I71" s="34" t="str">
        <f>IF(ISERROR(VLOOKUP(CONCATENATE($A71,$I$8,I$10),'Tariff Schedule Lookup Table'!$F$8:$G$286,2,FALSE))=TRUE,"",TEXT(VLOOKUP(CONCATENATE($A71,$I$8,I$10),'Tariff Schedule Lookup Table'!$F$8:$G$286,2,FALSE),"0000"))</f>
        <v>0070</v>
      </c>
      <c r="J71" s="34" t="str">
        <f>IF(ISERROR(VLOOKUP(CONCATENATE($A71,$I$8,J$10),'Tariff Schedule Lookup Table'!$F$8:$G$286,2,FALSE))=TRUE,"",TEXT(VLOOKUP(CONCATENATE($A71,$I$8,J$10),'Tariff Schedule Lookup Table'!$F$8:$G$286,2,FALSE),"0000"))</f>
        <v>1030</v>
      </c>
      <c r="K71" s="34" t="str">
        <f>IF(ISERROR(VLOOKUP(CONCATENATE($A71,$I$8,K$10),'Tariff Schedule Lookup Table'!$F$8:$G$286,2,FALSE))=TRUE,"",TEXT(VLOOKUP(CONCATENATE($A71,$I$8,K$10),'Tariff Schedule Lookup Table'!$F$8:$G$286,2,FALSE),"0000"))</f>
        <v/>
      </c>
      <c r="L71" s="34" t="str">
        <f>IF(ISERROR(VLOOKUP(CONCATENATE($A71,$I$8,L$10),'Tariff Schedule Lookup Table'!$F$8:$G$286,2,FALSE))=TRUE,"",TEXT(VLOOKUP(CONCATENATE($A71,$I$8,L$10),'Tariff Schedule Lookup Table'!$F$8:$G$286,2,FALSE),"0000"))</f>
        <v/>
      </c>
      <c r="M71" s="34" t="str">
        <f>IF(ISERROR(VLOOKUP(CONCATENATE($A71,$M$8,M$10),'Tariff Schedule Lookup Table'!$F$8:$G$286,2,FALSE))=TRUE,"",TEXT(VLOOKUP(CONCATENATE($A71,$M$8,M$10),'Tariff Schedule Lookup Table'!$F$8:$G$286,2,FALSE),"0000"))</f>
        <v>0240</v>
      </c>
      <c r="N71" s="34" t="str">
        <f>IF(ISERROR(VLOOKUP(CONCATENATE($A71,$M$8,N$10),'Tariff Schedule Lookup Table'!$F$8:$G$286,2,FALSE))=TRUE,"",TEXT(VLOOKUP(CONCATENATE($A71,$M$8,N$10),'Tariff Schedule Lookup Table'!$F$8:$G$286,2,FALSE),"0000"))</f>
        <v>0770</v>
      </c>
      <c r="O71" s="34" t="str">
        <f>IF(ISERROR(VLOOKUP(CONCATENATE($A71,$M$8,O$10),'Tariff Schedule Lookup Table'!$F$8:$G$286,2,FALSE))=TRUE,"",TEXT(VLOOKUP(CONCATENATE($A71,$M$8,O$10),'Tariff Schedule Lookup Table'!$F$8:$G$286,2,FALSE),"0000"))</f>
        <v/>
      </c>
      <c r="P71" s="34" t="str">
        <f>IF(ISERROR(VLOOKUP(CONCATENATE($A71,$M$8,P$10),'Tariff Schedule Lookup Table'!$F$8:$G$286,2,FALSE))=TRUE,"",TEXT(VLOOKUP(CONCATENATE($A71,$M$8,P$10),'Tariff Schedule Lookup Table'!$F$8:$G$286,2,FALSE),"0000"))</f>
        <v>1060</v>
      </c>
      <c r="Q71" s="34" t="str">
        <f>IF(ISERROR(VLOOKUP(CONCATENATE($A71,$Q$8,Q$10),'Tariff Schedule Lookup Table'!$F$8:$G$286,2,FALSE))=TRUE,"",TEXT(VLOOKUP(CONCATENATE($A71,$Q$8,Q$10),'Tariff Schedule Lookup Table'!$F$8:$G$286,2,FALSE),"0000"))</f>
        <v>0330</v>
      </c>
      <c r="R71" s="34" t="str">
        <f>IF(ISERROR(VLOOKUP(CONCATENATE($A71,$Q$8,R$10),'Tariff Schedule Lookup Table'!$F$8:$G$286,2,FALSE))=TRUE,"",TEXT(VLOOKUP(CONCATENATE($A71,$Q$8,R$10),'Tariff Schedule Lookup Table'!$F$8:$G$286,2,FALSE),"0000"))</f>
        <v>0400</v>
      </c>
      <c r="S71" s="34" t="str">
        <f>IF(ISERROR(VLOOKUP(CONCATENATE($A71,$Q$8,S$10),'Tariff Schedule Lookup Table'!$F$8:$G$286,2,FALSE))=TRUE,"",TEXT(VLOOKUP(CONCATENATE($A71,$Q$8,S$10),'Tariff Schedule Lookup Table'!$F$8:$G$286,2,FALSE),"0000"))</f>
        <v>0440</v>
      </c>
      <c r="T71" s="34" t="str">
        <f>IF(ISERROR(VLOOKUP(CONCATENATE($A71,$Q$8,T$10),'Tariff Schedule Lookup Table'!$F$8:$G$286,2,FALSE))=TRUE,"",TEXT(VLOOKUP(CONCATENATE($A71,$Q$8,T$10),'Tariff Schedule Lookup Table'!$F$8:$G$286,2,FALSE),"0000"))</f>
        <v>0480</v>
      </c>
      <c r="U71" s="34" t="str">
        <f>IF(ISERROR(VLOOKUP(CONCATENATE($A71,$U$8,U$10),'Tariff Schedule Lookup Table'!$F$8:$G$286,2,FALSE))=TRUE,"",TEXT(VLOOKUP(CONCATENATE($A71,$U$8,U$10),'Tariff Schedule Lookup Table'!$F$8:$G$286,2,FALSE),"0000"))</f>
        <v/>
      </c>
      <c r="V71" s="34" t="str">
        <f>IF(ISERROR(VLOOKUP(CONCATENATE($A71,$U$8,V$10),'Tariff Schedule Lookup Table'!$F$8:$G$286,2,FALSE))=TRUE,"",TEXT(VLOOKUP(CONCATENATE($A71,$U$8,V$10),'Tariff Schedule Lookup Table'!$F$8:$G$286,2,FALSE),"0000"))</f>
        <v>0520</v>
      </c>
      <c r="W71" s="34" t="str">
        <f>IF(ISERROR(VLOOKUP(CONCATENATE($A71,$U$8,W$10),'Tariff Schedule Lookup Table'!$F$8:$G$286,2,FALSE))=TRUE,"",TEXT(VLOOKUP(CONCATENATE($A71,$U$8,W$10),'Tariff Schedule Lookup Table'!$F$8:$G$286,2,FALSE),"0000"))</f>
        <v>0560</v>
      </c>
      <c r="X71" s="34" t="str">
        <f>IF(ISERROR(VLOOKUP(CONCATENATE($A71,$U$8,X$10),'Tariff Schedule Lookup Table'!$F$8:$G$286,2,FALSE))=TRUE,"",TEXT(VLOOKUP(CONCATENATE($A71,$U$8,X$10),'Tariff Schedule Lookup Table'!$F$8:$G$186,2,FALSE),"0000"))</f>
        <v>0600</v>
      </c>
      <c r="Y71" s="6"/>
      <c r="Z71" s="6"/>
      <c r="AA71" s="6"/>
      <c r="AB71" s="6"/>
      <c r="AC71" s="6"/>
    </row>
    <row r="72" spans="1:29" x14ac:dyDescent="0.2">
      <c r="A72" s="6" t="s">
        <v>1086</v>
      </c>
      <c r="B72" s="35" t="s">
        <v>2099</v>
      </c>
      <c r="C72" s="197">
        <f>VLOOKUP(LEFT(B72,7),'Tariff Schedule Lookup Table'!$A$8:$D$186,3,FALSE)</f>
        <v>360</v>
      </c>
      <c r="D72" s="199" t="str">
        <f>VLOOKUP(LEFT(B72,7),'Tariff Schedule Lookup Table'!$A$8:$D$186,2,FALSE)</f>
        <v>High Pressure Sodium 360</v>
      </c>
      <c r="E72" s="6" t="s">
        <v>996</v>
      </c>
      <c r="F72" s="37">
        <f>VLOOKUP(LEFT(B72,7),'Tariff Schedule Lookup Table'!$A$8:$D$186,4,FALSE)</f>
        <v>396</v>
      </c>
      <c r="G72" s="33">
        <f>VLOOKUP($B72,'Maintenance Costs'!$A$20:$AG$176,32,FALSE)</f>
        <v>79.550488866352481</v>
      </c>
      <c r="H72" s="67">
        <f>IF(VLOOKUP($B72,'Maintenance Costs'!$A$20:$AG$176,33,FALSE)=0,"",VLOOKUP($B72,'Maintenance Costs'!$A$20:$AG$176,33,FALSE))</f>
        <v>70.417216134374826</v>
      </c>
      <c r="I72" s="34" t="str">
        <f>IF(ISERROR(VLOOKUP(CONCATENATE($A72,$I$8,I$10),'Tariff Schedule Lookup Table'!$F$8:$G$286,2,FALSE))=TRUE,"",TEXT(VLOOKUP(CONCATENATE($A72,$I$8,I$10),'Tariff Schedule Lookup Table'!$F$8:$G$286,2,FALSE),"0000"))</f>
        <v>0070</v>
      </c>
      <c r="J72" s="34" t="str">
        <f>IF(ISERROR(VLOOKUP(CONCATENATE($A72,$I$8,J$10),'Tariff Schedule Lookup Table'!$F$8:$G$286,2,FALSE))=TRUE,"",TEXT(VLOOKUP(CONCATENATE($A72,$I$8,J$10),'Tariff Schedule Lookup Table'!$F$8:$G$286,2,FALSE),"0000"))</f>
        <v>1030</v>
      </c>
      <c r="K72" s="34" t="str">
        <f>IF(ISERROR(VLOOKUP(CONCATENATE($A72,$I$8,K$10),'Tariff Schedule Lookup Table'!$F$8:$G$286,2,FALSE))=TRUE,"",TEXT(VLOOKUP(CONCATENATE($A72,$I$8,K$10),'Tariff Schedule Lookup Table'!$F$8:$G$286,2,FALSE),"0000"))</f>
        <v/>
      </c>
      <c r="L72" s="34" t="str">
        <f>IF(ISERROR(VLOOKUP(CONCATENATE($A72,$I$8,L$10),'Tariff Schedule Lookup Table'!$F$8:$G$286,2,FALSE))=TRUE,"",TEXT(VLOOKUP(CONCATENATE($A72,$I$8,L$10),'Tariff Schedule Lookup Table'!$F$8:$G$286,2,FALSE),"0000"))</f>
        <v/>
      </c>
      <c r="M72" s="34" t="str">
        <f>IF(ISERROR(VLOOKUP(CONCATENATE($A72,$M$8,M$10),'Tariff Schedule Lookup Table'!$F$8:$G$286,2,FALSE))=TRUE,"",TEXT(VLOOKUP(CONCATENATE($A72,$M$8,M$10),'Tariff Schedule Lookup Table'!$F$8:$G$286,2,FALSE),"0000"))</f>
        <v>0240</v>
      </c>
      <c r="N72" s="34" t="str">
        <f>IF(ISERROR(VLOOKUP(CONCATENATE($A72,$M$8,N$10),'Tariff Schedule Lookup Table'!$F$8:$G$286,2,FALSE))=TRUE,"",TEXT(VLOOKUP(CONCATENATE($A72,$M$8,N$10),'Tariff Schedule Lookup Table'!$F$8:$G$286,2,FALSE),"0000"))</f>
        <v>0770</v>
      </c>
      <c r="O72" s="34" t="str">
        <f>IF(ISERROR(VLOOKUP(CONCATENATE($A72,$M$8,O$10),'Tariff Schedule Lookup Table'!$F$8:$G$286,2,FALSE))=TRUE,"",TEXT(VLOOKUP(CONCATENATE($A72,$M$8,O$10),'Tariff Schedule Lookup Table'!$F$8:$G$286,2,FALSE),"0000"))</f>
        <v/>
      </c>
      <c r="P72" s="34" t="str">
        <f>IF(ISERROR(VLOOKUP(CONCATENATE($A72,$M$8,P$10),'Tariff Schedule Lookup Table'!$F$8:$G$286,2,FALSE))=TRUE,"",TEXT(VLOOKUP(CONCATENATE($A72,$M$8,P$10),'Tariff Schedule Lookup Table'!$F$8:$G$286,2,FALSE),"0000"))</f>
        <v>1060</v>
      </c>
      <c r="Q72" s="34" t="str">
        <f>IF(ISERROR(VLOOKUP(CONCATENATE($A72,$Q$8,Q$10),'Tariff Schedule Lookup Table'!$F$8:$G$286,2,FALSE))=TRUE,"",TEXT(VLOOKUP(CONCATENATE($A72,$Q$8,Q$10),'Tariff Schedule Lookup Table'!$F$8:$G$286,2,FALSE),"0000"))</f>
        <v>0330</v>
      </c>
      <c r="R72" s="34" t="str">
        <f>IF(ISERROR(VLOOKUP(CONCATENATE($A72,$Q$8,R$10),'Tariff Schedule Lookup Table'!$F$8:$G$286,2,FALSE))=TRUE,"",TEXT(VLOOKUP(CONCATENATE($A72,$Q$8,R$10),'Tariff Schedule Lookup Table'!$F$8:$G$286,2,FALSE),"0000"))</f>
        <v>0400</v>
      </c>
      <c r="S72" s="34" t="str">
        <f>IF(ISERROR(VLOOKUP(CONCATENATE($A72,$Q$8,S$10),'Tariff Schedule Lookup Table'!$F$8:$G$286,2,FALSE))=TRUE,"",TEXT(VLOOKUP(CONCATENATE($A72,$Q$8,S$10),'Tariff Schedule Lookup Table'!$F$8:$G$286,2,FALSE),"0000"))</f>
        <v>0440</v>
      </c>
      <c r="T72" s="34" t="str">
        <f>IF(ISERROR(VLOOKUP(CONCATENATE($A72,$Q$8,T$10),'Tariff Schedule Lookup Table'!$F$8:$G$286,2,FALSE))=TRUE,"",TEXT(VLOOKUP(CONCATENATE($A72,$Q$8,T$10),'Tariff Schedule Lookup Table'!$F$8:$G$286,2,FALSE),"0000"))</f>
        <v>0480</v>
      </c>
      <c r="U72" s="34" t="str">
        <f>IF(ISERROR(VLOOKUP(CONCATENATE($A72,$U$8,U$10),'Tariff Schedule Lookup Table'!$F$8:$G$286,2,FALSE))=TRUE,"",TEXT(VLOOKUP(CONCATENATE($A72,$U$8,U$10),'Tariff Schedule Lookup Table'!$F$8:$G$286,2,FALSE),"0000"))</f>
        <v/>
      </c>
      <c r="V72" s="34" t="str">
        <f>IF(ISERROR(VLOOKUP(CONCATENATE($A72,$U$8,V$10),'Tariff Schedule Lookup Table'!$F$8:$G$286,2,FALSE))=TRUE,"",TEXT(VLOOKUP(CONCATENATE($A72,$U$8,V$10),'Tariff Schedule Lookup Table'!$F$8:$G$286,2,FALSE),"0000"))</f>
        <v>0520</v>
      </c>
      <c r="W72" s="34" t="str">
        <f>IF(ISERROR(VLOOKUP(CONCATENATE($A72,$U$8,W$10),'Tariff Schedule Lookup Table'!$F$8:$G$286,2,FALSE))=TRUE,"",TEXT(VLOOKUP(CONCATENATE($A72,$U$8,W$10),'Tariff Schedule Lookup Table'!$F$8:$G$286,2,FALSE),"0000"))</f>
        <v>0560</v>
      </c>
      <c r="X72" s="34" t="str">
        <f>IF(ISERROR(VLOOKUP(CONCATENATE($A72,$U$8,X$10),'Tariff Schedule Lookup Table'!$F$8:$G$286,2,FALSE))=TRUE,"",TEXT(VLOOKUP(CONCATENATE($A72,$U$8,X$10),'Tariff Schedule Lookup Table'!$F$8:$G$186,2,FALSE),"0000"))</f>
        <v>0600</v>
      </c>
      <c r="Y72" s="6"/>
      <c r="Z72" s="6"/>
      <c r="AA72" s="6"/>
      <c r="AB72" s="6"/>
      <c r="AC72" s="6"/>
    </row>
    <row r="73" spans="1:29" x14ac:dyDescent="0.2">
      <c r="A73" s="6" t="s">
        <v>1092</v>
      </c>
      <c r="B73" s="35" t="s">
        <v>2099</v>
      </c>
      <c r="C73" s="197">
        <f>VLOOKUP(LEFT(B73,7),'Tariff Schedule Lookup Table'!$A$8:$D$186,3,FALSE)</f>
        <v>360</v>
      </c>
      <c r="D73" s="199" t="str">
        <f>VLOOKUP(LEFT(B73,7),'Tariff Schedule Lookup Table'!$A$8:$D$186,2,FALSE)</f>
        <v>High Pressure Sodium 360</v>
      </c>
      <c r="E73" s="6" t="s">
        <v>1077</v>
      </c>
      <c r="F73" s="37">
        <f>VLOOKUP(LEFT(B73,7),'Tariff Schedule Lookup Table'!$A$8:$D$186,4,FALSE)</f>
        <v>396</v>
      </c>
      <c r="G73" s="33">
        <f>VLOOKUP($B73,'Maintenance Costs'!$A$20:$AG$176,32,FALSE)</f>
        <v>79.550488866352481</v>
      </c>
      <c r="H73" s="67">
        <f>IF(VLOOKUP($B73,'Maintenance Costs'!$A$20:$AG$176,33,FALSE)=0,"",VLOOKUP($B73,'Maintenance Costs'!$A$20:$AG$176,33,FALSE))</f>
        <v>70.417216134374826</v>
      </c>
      <c r="I73" s="34" t="str">
        <f>IF(ISERROR(VLOOKUP(CONCATENATE($A73,$I$8,I$10),'Tariff Schedule Lookup Table'!$F$8:$G$286,2,FALSE))=TRUE,"",TEXT(VLOOKUP(CONCATENATE($A73,$I$8,I$10),'Tariff Schedule Lookup Table'!$F$8:$G$286,2,FALSE),"0000"))</f>
        <v>0620</v>
      </c>
      <c r="J73" s="34" t="str">
        <f>IF(ISERROR(VLOOKUP(CONCATENATE($A73,$I$8,J$10),'Tariff Schedule Lookup Table'!$F$8:$G$286,2,FALSE))=TRUE,"",TEXT(VLOOKUP(CONCATENATE($A73,$I$8,J$10),'Tariff Schedule Lookup Table'!$F$8:$G$286,2,FALSE),"0000"))</f>
        <v>0660</v>
      </c>
      <c r="K73" s="34" t="str">
        <f>IF(ISERROR(VLOOKUP(CONCATENATE($A73,$I$8,K$10),'Tariff Schedule Lookup Table'!$F$8:$G$286,2,FALSE))=TRUE,"",TEXT(VLOOKUP(CONCATENATE($A73,$I$8,K$10),'Tariff Schedule Lookup Table'!$F$8:$G$286,2,FALSE),"0000"))</f>
        <v/>
      </c>
      <c r="L73" s="34" t="str">
        <f>IF(ISERROR(VLOOKUP(CONCATENATE($A73,$I$8,L$10),'Tariff Schedule Lookup Table'!$F$8:$G$286,2,FALSE))=TRUE,"",TEXT(VLOOKUP(CONCATENATE($A73,$I$8,L$10),'Tariff Schedule Lookup Table'!$F$8:$G$286,2,FALSE),"0000"))</f>
        <v/>
      </c>
      <c r="M73" s="34" t="str">
        <f>IF(ISERROR(VLOOKUP(CONCATENATE($A73,$M$8,M$10),'Tariff Schedule Lookup Table'!$F$8:$G$286,2,FALSE))=TRUE,"",TEXT(VLOOKUP(CONCATENATE($A73,$M$8,M$10),'Tariff Schedule Lookup Table'!$F$8:$G$286,2,FALSE),"0000"))</f>
        <v>1100</v>
      </c>
      <c r="N73" s="34" t="str">
        <f>IF(ISERROR(VLOOKUP(CONCATENATE($A73,$M$8,N$10),'Tariff Schedule Lookup Table'!$F$8:$G$286,2,FALSE))=TRUE,"",TEXT(VLOOKUP(CONCATENATE($A73,$M$8,N$10),'Tariff Schedule Lookup Table'!$F$8:$G$286,2,FALSE),"0000"))</f>
        <v>0900</v>
      </c>
      <c r="O73" s="34" t="str">
        <f>IF(ISERROR(VLOOKUP(CONCATENATE($A73,$M$8,O$10),'Tariff Schedule Lookup Table'!$F$8:$G$286,2,FALSE))=TRUE,"",TEXT(VLOOKUP(CONCATENATE($A73,$M$8,O$10),'Tariff Schedule Lookup Table'!$F$8:$G$286,2,FALSE),"0000"))</f>
        <v>1250</v>
      </c>
      <c r="P73" s="34" t="str">
        <f>IF(ISERROR(VLOOKUP(CONCATENATE($A73,$M$8,P$10),'Tariff Schedule Lookup Table'!$F$8:$G$286,2,FALSE))=TRUE,"",TEXT(VLOOKUP(CONCATENATE($A73,$M$8,P$10),'Tariff Schedule Lookup Table'!$F$8:$G$286,2,FALSE),"0000"))</f>
        <v/>
      </c>
      <c r="Q73" s="34" t="str">
        <f>IF(ISERROR(VLOOKUP(CONCATENATE($A73,$Q$8,Q$10),'Tariff Schedule Lookup Table'!$F$8:$G$286,2,FALSE))=TRUE,"",TEXT(VLOOKUP(CONCATENATE($A73,$Q$8,Q$10),'Tariff Schedule Lookup Table'!$F$8:$G$286,2,FALSE),"0000"))</f>
        <v>1170</v>
      </c>
      <c r="R73" s="34" t="str">
        <f>IF(ISERROR(VLOOKUP(CONCATENATE($A73,$Q$8,R$10),'Tariff Schedule Lookup Table'!$F$8:$G$286,2,FALSE))=TRUE,"",TEXT(VLOOKUP(CONCATENATE($A73,$Q$8,R$10),'Tariff Schedule Lookup Table'!$F$8:$G$286,2,FALSE),"0000"))</f>
        <v>1130</v>
      </c>
      <c r="S73" s="34" t="str">
        <f>IF(ISERROR(VLOOKUP(CONCATENATE($A73,$Q$8,S$10),'Tariff Schedule Lookup Table'!$F$8:$G$286,2,FALSE))=TRUE,"",TEXT(VLOOKUP(CONCATENATE($A73,$Q$8,S$10),'Tariff Schedule Lookup Table'!$F$8:$G$286,2,FALSE),"0000"))</f>
        <v/>
      </c>
      <c r="T73" s="34" t="str">
        <f>IF(ISERROR(VLOOKUP(CONCATENATE($A73,$Q$8,T$10),'Tariff Schedule Lookup Table'!$F$8:$G$286,2,FALSE))=TRUE,"",TEXT(VLOOKUP(CONCATENATE($A73,$Q$8,T$10),'Tariff Schedule Lookup Table'!$F$8:$G$286,2,FALSE),"0000"))</f>
        <v/>
      </c>
      <c r="U73" s="34" t="str">
        <f>IF(ISERROR(VLOOKUP(CONCATENATE($A73,$U$8,U$10),'Tariff Schedule Lookup Table'!$F$8:$G$286,2,FALSE))=TRUE,"",TEXT(VLOOKUP(CONCATENATE($A73,$U$8,U$10),'Tariff Schedule Lookup Table'!$F$8:$G$286,2,FALSE),"0000"))</f>
        <v/>
      </c>
      <c r="V73" s="34" t="str">
        <f>IF(ISERROR(VLOOKUP(CONCATENATE($A73,$U$8,V$10),'Tariff Schedule Lookup Table'!$F$8:$G$286,2,FALSE))=TRUE,"",TEXT(VLOOKUP(CONCATENATE($A73,$U$8,V$10),'Tariff Schedule Lookup Table'!$F$8:$G$286,2,FALSE),"0000"))</f>
        <v>0260</v>
      </c>
      <c r="W73" s="34" t="str">
        <f>IF(ISERROR(VLOOKUP(CONCATENATE($A73,$U$8,W$10),'Tariff Schedule Lookup Table'!$F$8:$G$286,2,FALSE))=TRUE,"",TEXT(VLOOKUP(CONCATENATE($A73,$U$8,W$10),'Tariff Schedule Lookup Table'!$F$8:$G$286,2,FALSE),"0000"))</f>
        <v>0270</v>
      </c>
      <c r="X73" s="34" t="str">
        <f>IF(ISERROR(VLOOKUP(CONCATENATE($A73,$U$8,X$10),'Tariff Schedule Lookup Table'!$F$8:$G$286,2,FALSE))=TRUE,"",TEXT(VLOOKUP(CONCATENATE($A73,$U$8,X$10),'Tariff Schedule Lookup Table'!$F$8:$G$186,2,FALSE),"0000"))</f>
        <v>0280</v>
      </c>
      <c r="Y73" s="6"/>
      <c r="Z73" s="6"/>
      <c r="AA73" s="6"/>
      <c r="AB73" s="6"/>
      <c r="AC73" s="6"/>
    </row>
    <row r="74" spans="1:29" x14ac:dyDescent="0.2">
      <c r="A74" s="6" t="s">
        <v>1086</v>
      </c>
      <c r="B74" s="35" t="s">
        <v>2100</v>
      </c>
      <c r="C74" s="197">
        <f>VLOOKUP(LEFT(B74,7),'Tariff Schedule Lookup Table'!$A$8:$D$186,3,FALSE)</f>
        <v>400</v>
      </c>
      <c r="D74" s="199" t="str">
        <f>VLOOKUP(LEFT(B74,7),'Tariff Schedule Lookup Table'!$A$8:$D$186,2,FALSE)</f>
        <v>High Pressure Sodium 400</v>
      </c>
      <c r="E74" s="6" t="s">
        <v>996</v>
      </c>
      <c r="F74" s="37">
        <f>VLOOKUP(LEFT(B74,7),'Tariff Schedule Lookup Table'!$A$8:$D$186,4,FALSE)</f>
        <v>440</v>
      </c>
      <c r="G74" s="33">
        <f>VLOOKUP($B74,'Maintenance Costs'!$A$20:$AG$176,32,FALSE)</f>
        <v>79.550488866352481</v>
      </c>
      <c r="H74" s="67">
        <f>IF(VLOOKUP($B74,'Maintenance Costs'!$A$20:$AG$176,33,FALSE)=0,"",VLOOKUP($B74,'Maintenance Costs'!$A$20:$AG$176,33,FALSE))</f>
        <v>70.417216134374826</v>
      </c>
      <c r="I74" s="34" t="str">
        <f>IF(ISERROR(VLOOKUP(CONCATENATE($A74,$I$8,I$10),'Tariff Schedule Lookup Table'!$F$8:$G$286,2,FALSE))=TRUE,"",TEXT(VLOOKUP(CONCATENATE($A74,$I$8,I$10),'Tariff Schedule Lookup Table'!$F$8:$G$286,2,FALSE),"0000"))</f>
        <v>0070</v>
      </c>
      <c r="J74" s="34" t="str">
        <f>IF(ISERROR(VLOOKUP(CONCATENATE($A74,$I$8,J$10),'Tariff Schedule Lookup Table'!$F$8:$G$286,2,FALSE))=TRUE,"",TEXT(VLOOKUP(CONCATENATE($A74,$I$8,J$10),'Tariff Schedule Lookup Table'!$F$8:$G$286,2,FALSE),"0000"))</f>
        <v>1030</v>
      </c>
      <c r="K74" s="34" t="str">
        <f>IF(ISERROR(VLOOKUP(CONCATENATE($A74,$I$8,K$10),'Tariff Schedule Lookup Table'!$F$8:$G$286,2,FALSE))=TRUE,"",TEXT(VLOOKUP(CONCATENATE($A74,$I$8,K$10),'Tariff Schedule Lookup Table'!$F$8:$G$286,2,FALSE),"0000"))</f>
        <v/>
      </c>
      <c r="L74" s="34" t="str">
        <f>IF(ISERROR(VLOOKUP(CONCATENATE($A74,$I$8,L$10),'Tariff Schedule Lookup Table'!$F$8:$G$286,2,FALSE))=TRUE,"",TEXT(VLOOKUP(CONCATENATE($A74,$I$8,L$10),'Tariff Schedule Lookup Table'!$F$8:$G$286,2,FALSE),"0000"))</f>
        <v/>
      </c>
      <c r="M74" s="34" t="str">
        <f>IF(ISERROR(VLOOKUP(CONCATENATE($A74,$M$8,M$10),'Tariff Schedule Lookup Table'!$F$8:$G$286,2,FALSE))=TRUE,"",TEXT(VLOOKUP(CONCATENATE($A74,$M$8,M$10),'Tariff Schedule Lookup Table'!$F$8:$G$286,2,FALSE),"0000"))</f>
        <v>0240</v>
      </c>
      <c r="N74" s="34" t="str">
        <f>IF(ISERROR(VLOOKUP(CONCATENATE($A74,$M$8,N$10),'Tariff Schedule Lookup Table'!$F$8:$G$286,2,FALSE))=TRUE,"",TEXT(VLOOKUP(CONCATENATE($A74,$M$8,N$10),'Tariff Schedule Lookup Table'!$F$8:$G$286,2,FALSE),"0000"))</f>
        <v>0770</v>
      </c>
      <c r="O74" s="34" t="str">
        <f>IF(ISERROR(VLOOKUP(CONCATENATE($A74,$M$8,O$10),'Tariff Schedule Lookup Table'!$F$8:$G$286,2,FALSE))=TRUE,"",TEXT(VLOOKUP(CONCATENATE($A74,$M$8,O$10),'Tariff Schedule Lookup Table'!$F$8:$G$286,2,FALSE),"0000"))</f>
        <v/>
      </c>
      <c r="P74" s="34" t="str">
        <f>IF(ISERROR(VLOOKUP(CONCATENATE($A74,$M$8,P$10),'Tariff Schedule Lookup Table'!$F$8:$G$286,2,FALSE))=TRUE,"",TEXT(VLOOKUP(CONCATENATE($A74,$M$8,P$10),'Tariff Schedule Lookup Table'!$F$8:$G$286,2,FALSE),"0000"))</f>
        <v>1060</v>
      </c>
      <c r="Q74" s="34" t="str">
        <f>IF(ISERROR(VLOOKUP(CONCATENATE($A74,$Q$8,Q$10),'Tariff Schedule Lookup Table'!$F$8:$G$286,2,FALSE))=TRUE,"",TEXT(VLOOKUP(CONCATENATE($A74,$Q$8,Q$10),'Tariff Schedule Lookup Table'!$F$8:$G$286,2,FALSE),"0000"))</f>
        <v>0330</v>
      </c>
      <c r="R74" s="34" t="str">
        <f>IF(ISERROR(VLOOKUP(CONCATENATE($A74,$Q$8,R$10),'Tariff Schedule Lookup Table'!$F$8:$G$286,2,FALSE))=TRUE,"",TEXT(VLOOKUP(CONCATENATE($A74,$Q$8,R$10),'Tariff Schedule Lookup Table'!$F$8:$G$286,2,FALSE),"0000"))</f>
        <v>0400</v>
      </c>
      <c r="S74" s="34" t="str">
        <f>IF(ISERROR(VLOOKUP(CONCATENATE($A74,$Q$8,S$10),'Tariff Schedule Lookup Table'!$F$8:$G$286,2,FALSE))=TRUE,"",TEXT(VLOOKUP(CONCATENATE($A74,$Q$8,S$10),'Tariff Schedule Lookup Table'!$F$8:$G$286,2,FALSE),"0000"))</f>
        <v>0440</v>
      </c>
      <c r="T74" s="34" t="str">
        <f>IF(ISERROR(VLOOKUP(CONCATENATE($A74,$Q$8,T$10),'Tariff Schedule Lookup Table'!$F$8:$G$286,2,FALSE))=TRUE,"",TEXT(VLOOKUP(CONCATENATE($A74,$Q$8,T$10),'Tariff Schedule Lookup Table'!$F$8:$G$286,2,FALSE),"0000"))</f>
        <v>0480</v>
      </c>
      <c r="U74" s="34" t="str">
        <f>IF(ISERROR(VLOOKUP(CONCATENATE($A74,$U$8,U$10),'Tariff Schedule Lookup Table'!$F$8:$G$286,2,FALSE))=TRUE,"",TEXT(VLOOKUP(CONCATENATE($A74,$U$8,U$10),'Tariff Schedule Lookup Table'!$F$8:$G$286,2,FALSE),"0000"))</f>
        <v/>
      </c>
      <c r="V74" s="34" t="str">
        <f>IF(ISERROR(VLOOKUP(CONCATENATE($A74,$U$8,V$10),'Tariff Schedule Lookup Table'!$F$8:$G$286,2,FALSE))=TRUE,"",TEXT(VLOOKUP(CONCATENATE($A74,$U$8,V$10),'Tariff Schedule Lookup Table'!$F$8:$G$286,2,FALSE),"0000"))</f>
        <v>0520</v>
      </c>
      <c r="W74" s="34" t="str">
        <f>IF(ISERROR(VLOOKUP(CONCATENATE($A74,$U$8,W$10),'Tariff Schedule Lookup Table'!$F$8:$G$286,2,FALSE))=TRUE,"",TEXT(VLOOKUP(CONCATENATE($A74,$U$8,W$10),'Tariff Schedule Lookup Table'!$F$8:$G$286,2,FALSE),"0000"))</f>
        <v>0560</v>
      </c>
      <c r="X74" s="34" t="str">
        <f>IF(ISERROR(VLOOKUP(CONCATENATE($A74,$U$8,X$10),'Tariff Schedule Lookup Table'!$F$8:$G$286,2,FALSE))=TRUE,"",TEXT(VLOOKUP(CONCATENATE($A74,$U$8,X$10),'Tariff Schedule Lookup Table'!$F$8:$G$186,2,FALSE),"0000"))</f>
        <v>0600</v>
      </c>
      <c r="Y74" s="6"/>
      <c r="Z74" s="6"/>
      <c r="AA74" s="6"/>
      <c r="AB74" s="6"/>
      <c r="AC74" s="6"/>
    </row>
    <row r="75" spans="1:29" x14ac:dyDescent="0.2">
      <c r="A75" s="6" t="s">
        <v>1092</v>
      </c>
      <c r="B75" s="35" t="s">
        <v>2100</v>
      </c>
      <c r="C75" s="197">
        <f>VLOOKUP(LEFT(B75,7),'Tariff Schedule Lookup Table'!$A$8:$D$186,3,FALSE)</f>
        <v>400</v>
      </c>
      <c r="D75" s="199" t="str">
        <f>VLOOKUP(LEFT(B75,7),'Tariff Schedule Lookup Table'!$A$8:$D$186,2,FALSE)</f>
        <v>High Pressure Sodium 400</v>
      </c>
      <c r="E75" s="6" t="s">
        <v>1077</v>
      </c>
      <c r="F75" s="37">
        <f>VLOOKUP(LEFT(B75,7),'Tariff Schedule Lookup Table'!$A$8:$D$186,4,FALSE)</f>
        <v>440</v>
      </c>
      <c r="G75" s="33">
        <f>VLOOKUP($B75,'Maintenance Costs'!$A$20:$AG$176,32,FALSE)</f>
        <v>79.550488866352481</v>
      </c>
      <c r="H75" s="67">
        <f>IF(VLOOKUP($B75,'Maintenance Costs'!$A$20:$AG$176,33,FALSE)=0,"",VLOOKUP($B75,'Maintenance Costs'!$A$20:$AG$176,33,FALSE))</f>
        <v>70.417216134374826</v>
      </c>
      <c r="I75" s="34" t="str">
        <f>IF(ISERROR(VLOOKUP(CONCATENATE($A75,$I$8,I$10),'Tariff Schedule Lookup Table'!$F$8:$G$286,2,FALSE))=TRUE,"",TEXT(VLOOKUP(CONCATENATE($A75,$I$8,I$10),'Tariff Schedule Lookup Table'!$F$8:$G$286,2,FALSE),"0000"))</f>
        <v>0620</v>
      </c>
      <c r="J75" s="34" t="str">
        <f>IF(ISERROR(VLOOKUP(CONCATENATE($A75,$I$8,J$10),'Tariff Schedule Lookup Table'!$F$8:$G$286,2,FALSE))=TRUE,"",TEXT(VLOOKUP(CONCATENATE($A75,$I$8,J$10),'Tariff Schedule Lookup Table'!$F$8:$G$286,2,FALSE),"0000"))</f>
        <v>0660</v>
      </c>
      <c r="K75" s="34" t="str">
        <f>IF(ISERROR(VLOOKUP(CONCATENATE($A75,$I$8,K$10),'Tariff Schedule Lookup Table'!$F$8:$G$286,2,FALSE))=TRUE,"",TEXT(VLOOKUP(CONCATENATE($A75,$I$8,K$10),'Tariff Schedule Lookup Table'!$F$8:$G$286,2,FALSE),"0000"))</f>
        <v/>
      </c>
      <c r="L75" s="34" t="str">
        <f>IF(ISERROR(VLOOKUP(CONCATENATE($A75,$I$8,L$10),'Tariff Schedule Lookup Table'!$F$8:$G$286,2,FALSE))=TRUE,"",TEXT(VLOOKUP(CONCATENATE($A75,$I$8,L$10),'Tariff Schedule Lookup Table'!$F$8:$G$286,2,FALSE),"0000"))</f>
        <v/>
      </c>
      <c r="M75" s="34" t="str">
        <f>IF(ISERROR(VLOOKUP(CONCATENATE($A75,$M$8,M$10),'Tariff Schedule Lookup Table'!$F$8:$G$286,2,FALSE))=TRUE,"",TEXT(VLOOKUP(CONCATENATE($A75,$M$8,M$10),'Tariff Schedule Lookup Table'!$F$8:$G$286,2,FALSE),"0000"))</f>
        <v>1100</v>
      </c>
      <c r="N75" s="34" t="str">
        <f>IF(ISERROR(VLOOKUP(CONCATENATE($A75,$M$8,N$10),'Tariff Schedule Lookup Table'!$F$8:$G$286,2,FALSE))=TRUE,"",TEXT(VLOOKUP(CONCATENATE($A75,$M$8,N$10),'Tariff Schedule Lookup Table'!$F$8:$G$286,2,FALSE),"0000"))</f>
        <v>0900</v>
      </c>
      <c r="O75" s="34" t="str">
        <f>IF(ISERROR(VLOOKUP(CONCATENATE($A75,$M$8,O$10),'Tariff Schedule Lookup Table'!$F$8:$G$286,2,FALSE))=TRUE,"",TEXT(VLOOKUP(CONCATENATE($A75,$M$8,O$10),'Tariff Schedule Lookup Table'!$F$8:$G$286,2,FALSE),"0000"))</f>
        <v>1250</v>
      </c>
      <c r="P75" s="34" t="str">
        <f>IF(ISERROR(VLOOKUP(CONCATENATE($A75,$M$8,P$10),'Tariff Schedule Lookup Table'!$F$8:$G$286,2,FALSE))=TRUE,"",TEXT(VLOOKUP(CONCATENATE($A75,$M$8,P$10),'Tariff Schedule Lookup Table'!$F$8:$G$286,2,FALSE),"0000"))</f>
        <v/>
      </c>
      <c r="Q75" s="34" t="str">
        <f>IF(ISERROR(VLOOKUP(CONCATENATE($A75,$Q$8,Q$10),'Tariff Schedule Lookup Table'!$F$8:$G$286,2,FALSE))=TRUE,"",TEXT(VLOOKUP(CONCATENATE($A75,$Q$8,Q$10),'Tariff Schedule Lookup Table'!$F$8:$G$286,2,FALSE),"0000"))</f>
        <v>1170</v>
      </c>
      <c r="R75" s="34" t="str">
        <f>IF(ISERROR(VLOOKUP(CONCATENATE($A75,$Q$8,R$10),'Tariff Schedule Lookup Table'!$F$8:$G$286,2,FALSE))=TRUE,"",TEXT(VLOOKUP(CONCATENATE($A75,$Q$8,R$10),'Tariff Schedule Lookup Table'!$F$8:$G$286,2,FALSE),"0000"))</f>
        <v>1130</v>
      </c>
      <c r="S75" s="34" t="str">
        <f>IF(ISERROR(VLOOKUP(CONCATENATE($A75,$Q$8,S$10),'Tariff Schedule Lookup Table'!$F$8:$G$286,2,FALSE))=TRUE,"",TEXT(VLOOKUP(CONCATENATE($A75,$Q$8,S$10),'Tariff Schedule Lookup Table'!$F$8:$G$286,2,FALSE),"0000"))</f>
        <v/>
      </c>
      <c r="T75" s="34" t="str">
        <f>IF(ISERROR(VLOOKUP(CONCATENATE($A75,$Q$8,T$10),'Tariff Schedule Lookup Table'!$F$8:$G$286,2,FALSE))=TRUE,"",TEXT(VLOOKUP(CONCATENATE($A75,$Q$8,T$10),'Tariff Schedule Lookup Table'!$F$8:$G$286,2,FALSE),"0000"))</f>
        <v/>
      </c>
      <c r="U75" s="34" t="str">
        <f>IF(ISERROR(VLOOKUP(CONCATENATE($A75,$U$8,U$10),'Tariff Schedule Lookup Table'!$F$8:$G$286,2,FALSE))=TRUE,"",TEXT(VLOOKUP(CONCATENATE($A75,$U$8,U$10),'Tariff Schedule Lookup Table'!$F$8:$G$286,2,FALSE),"0000"))</f>
        <v/>
      </c>
      <c r="V75" s="34" t="str">
        <f>IF(ISERROR(VLOOKUP(CONCATENATE($A75,$U$8,V$10),'Tariff Schedule Lookup Table'!$F$8:$G$286,2,FALSE))=TRUE,"",TEXT(VLOOKUP(CONCATENATE($A75,$U$8,V$10),'Tariff Schedule Lookup Table'!$F$8:$G$286,2,FALSE),"0000"))</f>
        <v>0260</v>
      </c>
      <c r="W75" s="34" t="str">
        <f>IF(ISERROR(VLOOKUP(CONCATENATE($A75,$U$8,W$10),'Tariff Schedule Lookup Table'!$F$8:$G$286,2,FALSE))=TRUE,"",TEXT(VLOOKUP(CONCATENATE($A75,$U$8,W$10),'Tariff Schedule Lookup Table'!$F$8:$G$286,2,FALSE),"0000"))</f>
        <v>0270</v>
      </c>
      <c r="X75" s="34" t="str">
        <f>IF(ISERROR(VLOOKUP(CONCATENATE($A75,$U$8,X$10),'Tariff Schedule Lookup Table'!$F$8:$G$286,2,FALSE))=TRUE,"",TEXT(VLOOKUP(CONCATENATE($A75,$U$8,X$10),'Tariff Schedule Lookup Table'!$F$8:$G$186,2,FALSE),"0000"))</f>
        <v>0280</v>
      </c>
      <c r="Y75" s="6"/>
      <c r="Z75" s="6"/>
      <c r="AA75" s="6"/>
      <c r="AB75" s="6"/>
      <c r="AC75" s="6"/>
    </row>
    <row r="76" spans="1:29" x14ac:dyDescent="0.2">
      <c r="A76" s="6" t="s">
        <v>1095</v>
      </c>
      <c r="B76" s="35" t="s">
        <v>2100</v>
      </c>
      <c r="C76" s="197">
        <f>VLOOKUP(LEFT(B76,7),'Tariff Schedule Lookup Table'!$A$8:$D$186,3,FALSE)</f>
        <v>400</v>
      </c>
      <c r="D76" s="199" t="str">
        <f>VLOOKUP(LEFT(B76,7),'Tariff Schedule Lookup Table'!$A$8:$D$186,2,FALSE)</f>
        <v>High Pressure Sodium 400</v>
      </c>
      <c r="E76" s="6" t="s">
        <v>1096</v>
      </c>
      <c r="F76" s="37">
        <f>VLOOKUP(LEFT(B76,7),'Tariff Schedule Lookup Table'!$A$8:$D$186,4,FALSE)</f>
        <v>440</v>
      </c>
      <c r="G76" s="33">
        <f>VLOOKUP($B76,'Maintenance Costs'!$A$20:$AG$176,32,FALSE)</f>
        <v>79.550488866352481</v>
      </c>
      <c r="H76" s="67">
        <f>IF(VLOOKUP($B76,'Maintenance Costs'!$A$20:$AG$176,33,FALSE)=0,"",VLOOKUP($B76,'Maintenance Costs'!$A$20:$AG$176,33,FALSE))</f>
        <v>70.417216134374826</v>
      </c>
      <c r="I76" s="34" t="str">
        <f>IF(ISERROR(VLOOKUP(CONCATENATE($A76,$I$8,I$10),'Tariff Schedule Lookup Table'!$F$8:$G$286,2,FALSE))=TRUE,"",TEXT(VLOOKUP(CONCATENATE($A76,$I$8,I$10),'Tariff Schedule Lookup Table'!$F$8:$G$286,2,FALSE),"0000"))</f>
        <v/>
      </c>
      <c r="J76" s="34" t="str">
        <f>IF(ISERROR(VLOOKUP(CONCATENATE($A76,$I$8,J$10),'Tariff Schedule Lookup Table'!$F$8:$G$286,2,FALSE))=TRUE,"",TEXT(VLOOKUP(CONCATENATE($A76,$I$8,J$10),'Tariff Schedule Lookup Table'!$F$8:$G$286,2,FALSE),"0000"))</f>
        <v/>
      </c>
      <c r="K76" s="34" t="str">
        <f>IF(ISERROR(VLOOKUP(CONCATENATE($A76,$I$8,K$10),'Tariff Schedule Lookup Table'!$F$8:$G$286,2,FALSE))=TRUE,"",TEXT(VLOOKUP(CONCATENATE($A76,$I$8,K$10),'Tariff Schedule Lookup Table'!$F$8:$G$286,2,FALSE),"0000"))</f>
        <v/>
      </c>
      <c r="L76" s="34" t="str">
        <f>IF(ISERROR(VLOOKUP(CONCATENATE($A76,$I$8,L$10),'Tariff Schedule Lookup Table'!$F$8:$G$286,2,FALSE))=TRUE,"",TEXT(VLOOKUP(CONCATENATE($A76,$I$8,L$10),'Tariff Schedule Lookup Table'!$F$8:$G$286,2,FALSE),"0000"))</f>
        <v/>
      </c>
      <c r="M76" s="34" t="str">
        <f>IF(ISERROR(VLOOKUP(CONCATENATE($A76,$M$8,M$10),'Tariff Schedule Lookup Table'!$F$8:$G$286,2,FALSE))=TRUE,"",TEXT(VLOOKUP(CONCATENATE($A76,$M$8,M$10),'Tariff Schedule Lookup Table'!$F$8:$G$286,2,FALSE),"0000"))</f>
        <v/>
      </c>
      <c r="N76" s="34" t="str">
        <f>IF(ISERROR(VLOOKUP(CONCATENATE($A76,$M$8,N$10),'Tariff Schedule Lookup Table'!$F$8:$G$286,2,FALSE))=TRUE,"",TEXT(VLOOKUP(CONCATENATE($A76,$M$8,N$10),'Tariff Schedule Lookup Table'!$F$8:$G$286,2,FALSE),"0000"))</f>
        <v/>
      </c>
      <c r="O76" s="34" t="str">
        <f>IF(ISERROR(VLOOKUP(CONCATENATE($A76,$M$8,O$10),'Tariff Schedule Lookup Table'!$F$8:$G$286,2,FALSE))=TRUE,"",TEXT(VLOOKUP(CONCATENATE($A76,$M$8,O$10),'Tariff Schedule Lookup Table'!$F$8:$G$286,2,FALSE),"0000"))</f>
        <v/>
      </c>
      <c r="P76" s="34" t="str">
        <f>IF(ISERROR(VLOOKUP(CONCATENATE($A76,$M$8,P$10),'Tariff Schedule Lookup Table'!$F$8:$G$286,2,FALSE))=TRUE,"",TEXT(VLOOKUP(CONCATENATE($A76,$M$8,P$10),'Tariff Schedule Lookup Table'!$F$8:$G$286,2,FALSE),"0000"))</f>
        <v/>
      </c>
      <c r="Q76" s="34" t="str">
        <f>IF(ISERROR(VLOOKUP(CONCATENATE($A76,$Q$8,Q$10),'Tariff Schedule Lookup Table'!$F$8:$G$286,2,FALSE))=TRUE,"",TEXT(VLOOKUP(CONCATENATE($A76,$Q$8,Q$10),'Tariff Schedule Lookup Table'!$F$8:$G$286,2,FALSE),"0000"))</f>
        <v/>
      </c>
      <c r="R76" s="34" t="str">
        <f>IF(ISERROR(VLOOKUP(CONCATENATE($A76,$Q$8,R$10),'Tariff Schedule Lookup Table'!$F$8:$G$286,2,FALSE))=TRUE,"",TEXT(VLOOKUP(CONCATENATE($A76,$Q$8,R$10),'Tariff Schedule Lookup Table'!$F$8:$G$286,2,FALSE),"0000"))</f>
        <v/>
      </c>
      <c r="S76" s="34" t="str">
        <f>IF(ISERROR(VLOOKUP(CONCATENATE($A76,$Q$8,S$10),'Tariff Schedule Lookup Table'!$F$8:$G$286,2,FALSE))=TRUE,"",TEXT(VLOOKUP(CONCATENATE($A76,$Q$8,S$10),'Tariff Schedule Lookup Table'!$F$8:$G$286,2,FALSE),"0000"))</f>
        <v/>
      </c>
      <c r="T76" s="34" t="str">
        <f>IF(ISERROR(VLOOKUP(CONCATENATE($A76,$Q$8,T$10),'Tariff Schedule Lookup Table'!$F$8:$G$286,2,FALSE))=TRUE,"",TEXT(VLOOKUP(CONCATENATE($A76,$Q$8,T$10),'Tariff Schedule Lookup Table'!$F$8:$G$286,2,FALSE),"0000"))</f>
        <v/>
      </c>
      <c r="U76" s="34" t="str">
        <f>IF(ISERROR(VLOOKUP(CONCATENATE($A76,$U$8,U$10),'Tariff Schedule Lookup Table'!$F$8:$G$286,2,FALSE))=TRUE,"",TEXT(VLOOKUP(CONCATENATE($A76,$U$8,U$10),'Tariff Schedule Lookup Table'!$F$8:$G$286,2,FALSE),"0000"))</f>
        <v/>
      </c>
      <c r="V76" s="34" t="str">
        <f>IF(ISERROR(VLOOKUP(CONCATENATE($A76,$U$8,V$10),'Tariff Schedule Lookup Table'!$F$8:$G$286,2,FALSE))=TRUE,"",TEXT(VLOOKUP(CONCATENATE($A76,$U$8,V$10),'Tariff Schedule Lookup Table'!$F$8:$G$286,2,FALSE),"0000"))</f>
        <v/>
      </c>
      <c r="W76" s="34" t="str">
        <f>IF(ISERROR(VLOOKUP(CONCATENATE($A76,$U$8,W$10),'Tariff Schedule Lookup Table'!$F$8:$G$286,2,FALSE))=TRUE,"",TEXT(VLOOKUP(CONCATENATE($A76,$U$8,W$10),'Tariff Schedule Lookup Table'!$F$8:$G$286,2,FALSE),"0000"))</f>
        <v/>
      </c>
      <c r="X76" s="34" t="str">
        <f>IF(ISERROR(VLOOKUP(CONCATENATE($A76,$U$8,X$10),'Tariff Schedule Lookup Table'!$F$8:$G$286,2,FALSE))=TRUE,"",TEXT(VLOOKUP(CONCATENATE($A76,$U$8,X$10),'Tariff Schedule Lookup Table'!$F$8:$G$186,2,FALSE),"0000"))</f>
        <v/>
      </c>
      <c r="Y76" s="6"/>
      <c r="Z76" s="6"/>
      <c r="AA76" s="6"/>
      <c r="AB76" s="6"/>
      <c r="AC76" s="6"/>
    </row>
    <row r="77" spans="1:29" x14ac:dyDescent="0.2">
      <c r="A77" s="6" t="s">
        <v>1086</v>
      </c>
      <c r="B77" s="35" t="s">
        <v>2101</v>
      </c>
      <c r="C77" s="197">
        <f>VLOOKUP(LEFT(B77,7),'Tariff Schedule Lookup Table'!$A$8:$D$186,3,FALSE)</f>
        <v>400</v>
      </c>
      <c r="D77" s="199" t="str">
        <f>VLOOKUP(LEFT(B77,7),'Tariff Schedule Lookup Table'!$A$8:$D$186,2,FALSE)</f>
        <v>High Pressure Sodium 400</v>
      </c>
      <c r="E77" s="6" t="s">
        <v>996</v>
      </c>
      <c r="F77" s="37">
        <f>VLOOKUP(LEFT(B77,7),'Tariff Schedule Lookup Table'!$A$8:$D$186,4,FALSE)</f>
        <v>440</v>
      </c>
      <c r="G77" s="33">
        <f>VLOOKUP($B77,'Maintenance Costs'!$A$20:$AG$176,32,FALSE)</f>
        <v>58.126261889403139</v>
      </c>
      <c r="H77" s="67">
        <f>IF(VLOOKUP($B77,'Maintenance Costs'!$A$20:$AG$176,33,FALSE)=0,"",VLOOKUP($B77,'Maintenance Costs'!$A$20:$AG$176,33,FALSE))</f>
        <v>79.483554865488543</v>
      </c>
      <c r="I77" s="34" t="str">
        <f>IF(ISERROR(VLOOKUP(CONCATENATE($A77,$I$8,I$10),'Tariff Schedule Lookup Table'!$F$8:$G$286,2,FALSE))=TRUE,"",TEXT(VLOOKUP(CONCATENATE($A77,$I$8,I$10),'Tariff Schedule Lookup Table'!$F$8:$G$286,2,FALSE),"0000"))</f>
        <v>0070</v>
      </c>
      <c r="J77" s="34" t="str">
        <f>IF(ISERROR(VLOOKUP(CONCATENATE($A77,$I$8,J$10),'Tariff Schedule Lookup Table'!$F$8:$G$286,2,FALSE))=TRUE,"",TEXT(VLOOKUP(CONCATENATE($A77,$I$8,J$10),'Tariff Schedule Lookup Table'!$F$8:$G$286,2,FALSE),"0000"))</f>
        <v>1030</v>
      </c>
      <c r="K77" s="34" t="str">
        <f>IF(ISERROR(VLOOKUP(CONCATENATE($A77,$I$8,K$10),'Tariff Schedule Lookup Table'!$F$8:$G$286,2,FALSE))=TRUE,"",TEXT(VLOOKUP(CONCATENATE($A77,$I$8,K$10),'Tariff Schedule Lookup Table'!$F$8:$G$286,2,FALSE),"0000"))</f>
        <v/>
      </c>
      <c r="L77" s="34" t="str">
        <f>IF(ISERROR(VLOOKUP(CONCATENATE($A77,$I$8,L$10),'Tariff Schedule Lookup Table'!$F$8:$G$286,2,FALSE))=TRUE,"",TEXT(VLOOKUP(CONCATENATE($A77,$I$8,L$10),'Tariff Schedule Lookup Table'!$F$8:$G$286,2,FALSE),"0000"))</f>
        <v/>
      </c>
      <c r="M77" s="34" t="str">
        <f>IF(ISERROR(VLOOKUP(CONCATENATE($A77,$M$8,M$10),'Tariff Schedule Lookup Table'!$F$8:$G$286,2,FALSE))=TRUE,"",TEXT(VLOOKUP(CONCATENATE($A77,$M$8,M$10),'Tariff Schedule Lookup Table'!$F$8:$G$286,2,FALSE),"0000"))</f>
        <v>0240</v>
      </c>
      <c r="N77" s="34" t="str">
        <f>IF(ISERROR(VLOOKUP(CONCATENATE($A77,$M$8,N$10),'Tariff Schedule Lookup Table'!$F$8:$G$286,2,FALSE))=TRUE,"",TEXT(VLOOKUP(CONCATENATE($A77,$M$8,N$10),'Tariff Schedule Lookup Table'!$F$8:$G$286,2,FALSE),"0000"))</f>
        <v>0770</v>
      </c>
      <c r="O77" s="34" t="str">
        <f>IF(ISERROR(VLOOKUP(CONCATENATE($A77,$M$8,O$10),'Tariff Schedule Lookup Table'!$F$8:$G$286,2,FALSE))=TRUE,"",TEXT(VLOOKUP(CONCATENATE($A77,$M$8,O$10),'Tariff Schedule Lookup Table'!$F$8:$G$286,2,FALSE),"0000"))</f>
        <v/>
      </c>
      <c r="P77" s="34" t="str">
        <f>IF(ISERROR(VLOOKUP(CONCATENATE($A77,$M$8,P$10),'Tariff Schedule Lookup Table'!$F$8:$G$286,2,FALSE))=TRUE,"",TEXT(VLOOKUP(CONCATENATE($A77,$M$8,P$10),'Tariff Schedule Lookup Table'!$F$8:$G$286,2,FALSE),"0000"))</f>
        <v>1060</v>
      </c>
      <c r="Q77" s="34" t="str">
        <f>IF(ISERROR(VLOOKUP(CONCATENATE($A77,$Q$8,Q$10),'Tariff Schedule Lookup Table'!$F$8:$G$286,2,FALSE))=TRUE,"",TEXT(VLOOKUP(CONCATENATE($A77,$Q$8,Q$10),'Tariff Schedule Lookup Table'!$F$8:$G$286,2,FALSE),"0000"))</f>
        <v>0330</v>
      </c>
      <c r="R77" s="34" t="str">
        <f>IF(ISERROR(VLOOKUP(CONCATENATE($A77,$Q$8,R$10),'Tariff Schedule Lookup Table'!$F$8:$G$286,2,FALSE))=TRUE,"",TEXT(VLOOKUP(CONCATENATE($A77,$Q$8,R$10),'Tariff Schedule Lookup Table'!$F$8:$G$286,2,FALSE),"0000"))</f>
        <v>0400</v>
      </c>
      <c r="S77" s="34" t="str">
        <f>IF(ISERROR(VLOOKUP(CONCATENATE($A77,$Q$8,S$10),'Tariff Schedule Lookup Table'!$F$8:$G$286,2,FALSE))=TRUE,"",TEXT(VLOOKUP(CONCATENATE($A77,$Q$8,S$10),'Tariff Schedule Lookup Table'!$F$8:$G$286,2,FALSE),"0000"))</f>
        <v>0440</v>
      </c>
      <c r="T77" s="34" t="str">
        <f>IF(ISERROR(VLOOKUP(CONCATENATE($A77,$Q$8,T$10),'Tariff Schedule Lookup Table'!$F$8:$G$286,2,FALSE))=TRUE,"",TEXT(VLOOKUP(CONCATENATE($A77,$Q$8,T$10),'Tariff Schedule Lookup Table'!$F$8:$G$286,2,FALSE),"0000"))</f>
        <v>0480</v>
      </c>
      <c r="U77" s="34" t="str">
        <f>IF(ISERROR(VLOOKUP(CONCATENATE($A77,$U$8,U$10),'Tariff Schedule Lookup Table'!$F$8:$G$286,2,FALSE))=TRUE,"",TEXT(VLOOKUP(CONCATENATE($A77,$U$8,U$10),'Tariff Schedule Lookup Table'!$F$8:$G$286,2,FALSE),"0000"))</f>
        <v/>
      </c>
      <c r="V77" s="34" t="str">
        <f>IF(ISERROR(VLOOKUP(CONCATENATE($A77,$U$8,V$10),'Tariff Schedule Lookup Table'!$F$8:$G$286,2,FALSE))=TRUE,"",TEXT(VLOOKUP(CONCATENATE($A77,$U$8,V$10),'Tariff Schedule Lookup Table'!$F$8:$G$286,2,FALSE),"0000"))</f>
        <v>0520</v>
      </c>
      <c r="W77" s="34" t="str">
        <f>IF(ISERROR(VLOOKUP(CONCATENATE($A77,$U$8,W$10),'Tariff Schedule Lookup Table'!$F$8:$G$286,2,FALSE))=TRUE,"",TEXT(VLOOKUP(CONCATENATE($A77,$U$8,W$10),'Tariff Schedule Lookup Table'!$F$8:$G$286,2,FALSE),"0000"))</f>
        <v>0560</v>
      </c>
      <c r="X77" s="34" t="str">
        <f>IF(ISERROR(VLOOKUP(CONCATENATE($A77,$U$8,X$10),'Tariff Schedule Lookup Table'!$F$8:$G$286,2,FALSE))=TRUE,"",TEXT(VLOOKUP(CONCATENATE($A77,$U$8,X$10),'Tariff Schedule Lookup Table'!$F$8:$G$186,2,FALSE),"0000"))</f>
        <v>0600</v>
      </c>
      <c r="Y77" s="6"/>
      <c r="Z77" s="6"/>
      <c r="AA77" s="6"/>
      <c r="AB77" s="6"/>
      <c r="AC77" s="6"/>
    </row>
    <row r="78" spans="1:29" x14ac:dyDescent="0.2">
      <c r="A78" s="6" t="s">
        <v>1092</v>
      </c>
      <c r="B78" s="35" t="s">
        <v>2101</v>
      </c>
      <c r="C78" s="197">
        <f>VLOOKUP(LEFT(B78,7),'Tariff Schedule Lookup Table'!$A$8:$D$186,3,FALSE)</f>
        <v>400</v>
      </c>
      <c r="D78" s="199" t="str">
        <f>VLOOKUP(LEFT(B78,7),'Tariff Schedule Lookup Table'!$A$8:$D$186,2,FALSE)</f>
        <v>High Pressure Sodium 400</v>
      </c>
      <c r="E78" s="6" t="s">
        <v>1077</v>
      </c>
      <c r="F78" s="37">
        <f>VLOOKUP(LEFT(B78,7),'Tariff Schedule Lookup Table'!$A$8:$D$186,4,FALSE)</f>
        <v>440</v>
      </c>
      <c r="G78" s="33">
        <f>VLOOKUP($B78,'Maintenance Costs'!$A$20:$AG$176,32,FALSE)</f>
        <v>58.126261889403139</v>
      </c>
      <c r="H78" s="67">
        <f>IF(VLOOKUP($B78,'Maintenance Costs'!$A$20:$AG$176,33,FALSE)=0,"",VLOOKUP($B78,'Maintenance Costs'!$A$20:$AG$176,33,FALSE))</f>
        <v>79.483554865488543</v>
      </c>
      <c r="I78" s="34" t="str">
        <f>IF(ISERROR(VLOOKUP(CONCATENATE($A78,$I$8,I$10),'Tariff Schedule Lookup Table'!$F$8:$G$286,2,FALSE))=TRUE,"",TEXT(VLOOKUP(CONCATENATE($A78,$I$8,I$10),'Tariff Schedule Lookup Table'!$F$8:$G$286,2,FALSE),"0000"))</f>
        <v>0620</v>
      </c>
      <c r="J78" s="34" t="str">
        <f>IF(ISERROR(VLOOKUP(CONCATENATE($A78,$I$8,J$10),'Tariff Schedule Lookup Table'!$F$8:$G$286,2,FALSE))=TRUE,"",TEXT(VLOOKUP(CONCATENATE($A78,$I$8,J$10),'Tariff Schedule Lookup Table'!$F$8:$G$286,2,FALSE),"0000"))</f>
        <v>0660</v>
      </c>
      <c r="K78" s="34" t="str">
        <f>IF(ISERROR(VLOOKUP(CONCATENATE($A78,$I$8,K$10),'Tariff Schedule Lookup Table'!$F$8:$G$286,2,FALSE))=TRUE,"",TEXT(VLOOKUP(CONCATENATE($A78,$I$8,K$10),'Tariff Schedule Lookup Table'!$F$8:$G$286,2,FALSE),"0000"))</f>
        <v/>
      </c>
      <c r="L78" s="34" t="str">
        <f>IF(ISERROR(VLOOKUP(CONCATENATE($A78,$I$8,L$10),'Tariff Schedule Lookup Table'!$F$8:$G$286,2,FALSE))=TRUE,"",TEXT(VLOOKUP(CONCATENATE($A78,$I$8,L$10),'Tariff Schedule Lookup Table'!$F$8:$G$286,2,FALSE),"0000"))</f>
        <v/>
      </c>
      <c r="M78" s="34" t="str">
        <f>IF(ISERROR(VLOOKUP(CONCATENATE($A78,$M$8,M$10),'Tariff Schedule Lookup Table'!$F$8:$G$286,2,FALSE))=TRUE,"",TEXT(VLOOKUP(CONCATENATE($A78,$M$8,M$10),'Tariff Schedule Lookup Table'!$F$8:$G$286,2,FALSE),"0000"))</f>
        <v>1100</v>
      </c>
      <c r="N78" s="34" t="str">
        <f>IF(ISERROR(VLOOKUP(CONCATENATE($A78,$M$8,N$10),'Tariff Schedule Lookup Table'!$F$8:$G$286,2,FALSE))=TRUE,"",TEXT(VLOOKUP(CONCATENATE($A78,$M$8,N$10),'Tariff Schedule Lookup Table'!$F$8:$G$286,2,FALSE),"0000"))</f>
        <v>0900</v>
      </c>
      <c r="O78" s="34" t="str">
        <f>IF(ISERROR(VLOOKUP(CONCATENATE($A78,$M$8,O$10),'Tariff Schedule Lookup Table'!$F$8:$G$286,2,FALSE))=TRUE,"",TEXT(VLOOKUP(CONCATENATE($A78,$M$8,O$10),'Tariff Schedule Lookup Table'!$F$8:$G$286,2,FALSE),"0000"))</f>
        <v>1250</v>
      </c>
      <c r="P78" s="34" t="str">
        <f>IF(ISERROR(VLOOKUP(CONCATENATE($A78,$M$8,P$10),'Tariff Schedule Lookup Table'!$F$8:$G$286,2,FALSE))=TRUE,"",TEXT(VLOOKUP(CONCATENATE($A78,$M$8,P$10),'Tariff Schedule Lookup Table'!$F$8:$G$286,2,FALSE),"0000"))</f>
        <v/>
      </c>
      <c r="Q78" s="34" t="str">
        <f>IF(ISERROR(VLOOKUP(CONCATENATE($A78,$Q$8,Q$10),'Tariff Schedule Lookup Table'!$F$8:$G$286,2,FALSE))=TRUE,"",TEXT(VLOOKUP(CONCATENATE($A78,$Q$8,Q$10),'Tariff Schedule Lookup Table'!$F$8:$G$286,2,FALSE),"0000"))</f>
        <v>1170</v>
      </c>
      <c r="R78" s="34" t="str">
        <f>IF(ISERROR(VLOOKUP(CONCATENATE($A78,$Q$8,R$10),'Tariff Schedule Lookup Table'!$F$8:$G$286,2,FALSE))=TRUE,"",TEXT(VLOOKUP(CONCATENATE($A78,$Q$8,R$10),'Tariff Schedule Lookup Table'!$F$8:$G$286,2,FALSE),"0000"))</f>
        <v>1130</v>
      </c>
      <c r="S78" s="34" t="str">
        <f>IF(ISERROR(VLOOKUP(CONCATENATE($A78,$Q$8,S$10),'Tariff Schedule Lookup Table'!$F$8:$G$286,2,FALSE))=TRUE,"",TEXT(VLOOKUP(CONCATENATE($A78,$Q$8,S$10),'Tariff Schedule Lookup Table'!$F$8:$G$286,2,FALSE),"0000"))</f>
        <v/>
      </c>
      <c r="T78" s="34" t="str">
        <f>IF(ISERROR(VLOOKUP(CONCATENATE($A78,$Q$8,T$10),'Tariff Schedule Lookup Table'!$F$8:$G$286,2,FALSE))=TRUE,"",TEXT(VLOOKUP(CONCATENATE($A78,$Q$8,T$10),'Tariff Schedule Lookup Table'!$F$8:$G$286,2,FALSE),"0000"))</f>
        <v/>
      </c>
      <c r="U78" s="34" t="str">
        <f>IF(ISERROR(VLOOKUP(CONCATENATE($A78,$U$8,U$10),'Tariff Schedule Lookup Table'!$F$8:$G$286,2,FALSE))=TRUE,"",TEXT(VLOOKUP(CONCATENATE($A78,$U$8,U$10),'Tariff Schedule Lookup Table'!$F$8:$G$286,2,FALSE),"0000"))</f>
        <v/>
      </c>
      <c r="V78" s="34" t="str">
        <f>IF(ISERROR(VLOOKUP(CONCATENATE($A78,$U$8,V$10),'Tariff Schedule Lookup Table'!$F$8:$G$286,2,FALSE))=TRUE,"",TEXT(VLOOKUP(CONCATENATE($A78,$U$8,V$10),'Tariff Schedule Lookup Table'!$F$8:$G$286,2,FALSE),"0000"))</f>
        <v>0260</v>
      </c>
      <c r="W78" s="34" t="str">
        <f>IF(ISERROR(VLOOKUP(CONCATENATE($A78,$U$8,W$10),'Tariff Schedule Lookup Table'!$F$8:$G$286,2,FALSE))=TRUE,"",TEXT(VLOOKUP(CONCATENATE($A78,$U$8,W$10),'Tariff Schedule Lookup Table'!$F$8:$G$286,2,FALSE),"0000"))</f>
        <v>0270</v>
      </c>
      <c r="X78" s="34" t="str">
        <f>IF(ISERROR(VLOOKUP(CONCATENATE($A78,$U$8,X$10),'Tariff Schedule Lookup Table'!$F$8:$G$286,2,FALSE))=TRUE,"",TEXT(VLOOKUP(CONCATENATE($A78,$U$8,X$10),'Tariff Schedule Lookup Table'!$F$8:$G$186,2,FALSE),"0000"))</f>
        <v>0280</v>
      </c>
      <c r="Y78" s="6"/>
      <c r="Z78" s="6"/>
      <c r="AA78" s="6"/>
      <c r="AB78" s="6"/>
      <c r="AC78" s="6"/>
    </row>
    <row r="79" spans="1:29" x14ac:dyDescent="0.2">
      <c r="A79" s="6" t="s">
        <v>1081</v>
      </c>
      <c r="B79" s="35" t="s">
        <v>2102</v>
      </c>
      <c r="C79" s="197" t="str">
        <f>VLOOKUP(LEFT(B79,7),'Tariff Schedule Lookup Table'!$A$8:$D$186,3,FALSE)</f>
        <v>2x400</v>
      </c>
      <c r="D79" s="199" t="str">
        <f>VLOOKUP(LEFT(B79,7),'Tariff Schedule Lookup Table'!$A$8:$D$186,2,FALSE)</f>
        <v>High Pressure Sodium 2x400</v>
      </c>
      <c r="E79" s="6" t="s">
        <v>1077</v>
      </c>
      <c r="F79" s="37">
        <f>VLOOKUP(LEFT(B79,7),'Tariff Schedule Lookup Table'!$A$8:$D$186,4,FALSE)</f>
        <v>880</v>
      </c>
      <c r="G79" s="33">
        <f>VLOOKUP($B79,'Maintenance Costs'!$A$20:$AG$176,32,FALSE)</f>
        <v>93.402380686352473</v>
      </c>
      <c r="H79" s="67">
        <f>IF(VLOOKUP($B79,'Maintenance Costs'!$A$20:$AG$176,33,FALSE)=0,"",VLOOKUP($B79,'Maintenance Costs'!$A$20:$AG$176,33,FALSE))</f>
        <v>92.559178913024837</v>
      </c>
      <c r="I79" s="34" t="str">
        <f>IF(ISERROR(VLOOKUP(CONCATENATE($A79,$I$8,I$10),'Tariff Schedule Lookup Table'!$F$8:$G$286,2,FALSE))=TRUE,"",TEXT(VLOOKUP(CONCATENATE($A79,$I$8,I$10),'Tariff Schedule Lookup Table'!$F$8:$G$286,2,FALSE),"0000"))</f>
        <v/>
      </c>
      <c r="J79" s="34" t="str">
        <f>IF(ISERROR(VLOOKUP(CONCATENATE($A79,$I$8,J$10),'Tariff Schedule Lookup Table'!$F$8:$G$286,2,FALSE))=TRUE,"",TEXT(VLOOKUP(CONCATENATE($A79,$I$8,J$10),'Tariff Schedule Lookup Table'!$F$8:$G$286,2,FALSE),"0000"))</f>
        <v/>
      </c>
      <c r="K79" s="34" t="str">
        <f>IF(ISERROR(VLOOKUP(CONCATENATE($A79,$I$8,K$10),'Tariff Schedule Lookup Table'!$F$8:$G$286,2,FALSE))=TRUE,"",TEXT(VLOOKUP(CONCATENATE($A79,$I$8,K$10),'Tariff Schedule Lookup Table'!$F$8:$G$286,2,FALSE),"0000"))</f>
        <v/>
      </c>
      <c r="L79" s="34" t="str">
        <f>IF(ISERROR(VLOOKUP(CONCATENATE($A79,$I$8,L$10),'Tariff Schedule Lookup Table'!$F$8:$G$286,2,FALSE))=TRUE,"",TEXT(VLOOKUP(CONCATENATE($A79,$I$8,L$10),'Tariff Schedule Lookup Table'!$F$8:$G$286,2,FALSE),"0000"))</f>
        <v/>
      </c>
      <c r="M79" s="34" t="str">
        <f>IF(ISERROR(VLOOKUP(CONCATENATE($A79,$M$8,M$10),'Tariff Schedule Lookup Table'!$F$8:$G$286,2,FALSE))=TRUE,"",TEXT(VLOOKUP(CONCATENATE($A79,$M$8,M$10),'Tariff Schedule Lookup Table'!$F$8:$G$286,2,FALSE),"0000"))</f>
        <v/>
      </c>
      <c r="N79" s="34" t="str">
        <f>IF(ISERROR(VLOOKUP(CONCATENATE($A79,$M$8,N$10),'Tariff Schedule Lookup Table'!$F$8:$G$286,2,FALSE))=TRUE,"",TEXT(VLOOKUP(CONCATENATE($A79,$M$8,N$10),'Tariff Schedule Lookup Table'!$F$8:$G$286,2,FALSE),"0000"))</f>
        <v/>
      </c>
      <c r="O79" s="34" t="str">
        <f>IF(ISERROR(VLOOKUP(CONCATENATE($A79,$M$8,O$10),'Tariff Schedule Lookup Table'!$F$8:$G$286,2,FALSE))=TRUE,"",TEXT(VLOOKUP(CONCATENATE($A79,$M$8,O$10),'Tariff Schedule Lookup Table'!$F$8:$G$286,2,FALSE),"0000"))</f>
        <v/>
      </c>
      <c r="P79" s="34" t="str">
        <f>IF(ISERROR(VLOOKUP(CONCATENATE($A79,$M$8,P$10),'Tariff Schedule Lookup Table'!$F$8:$G$286,2,FALSE))=TRUE,"",TEXT(VLOOKUP(CONCATENATE($A79,$M$8,P$10),'Tariff Schedule Lookup Table'!$F$8:$G$286,2,FALSE),"0000"))</f>
        <v/>
      </c>
      <c r="Q79" s="34" t="str">
        <f>IF(ISERROR(VLOOKUP(CONCATENATE($A79,$Q$8,Q$10),'Tariff Schedule Lookup Table'!$F$8:$G$286,2,FALSE))=TRUE,"",TEXT(VLOOKUP(CONCATENATE($A79,$Q$8,Q$10),'Tariff Schedule Lookup Table'!$F$8:$G$286,2,FALSE),"0000"))</f>
        <v/>
      </c>
      <c r="R79" s="34" t="str">
        <f>IF(ISERROR(VLOOKUP(CONCATENATE($A79,$Q$8,R$10),'Tariff Schedule Lookup Table'!$F$8:$G$286,2,FALSE))=TRUE,"",TEXT(VLOOKUP(CONCATENATE($A79,$Q$8,R$10),'Tariff Schedule Lookup Table'!$F$8:$G$286,2,FALSE),"0000"))</f>
        <v/>
      </c>
      <c r="S79" s="34" t="str">
        <f>IF(ISERROR(VLOOKUP(CONCATENATE($A79,$Q$8,S$10),'Tariff Schedule Lookup Table'!$F$8:$G$286,2,FALSE))=TRUE,"",TEXT(VLOOKUP(CONCATENATE($A79,$Q$8,S$10),'Tariff Schedule Lookup Table'!$F$8:$G$286,2,FALSE),"0000"))</f>
        <v/>
      </c>
      <c r="T79" s="34" t="str">
        <f>IF(ISERROR(VLOOKUP(CONCATENATE($A79,$Q$8,T$10),'Tariff Schedule Lookup Table'!$F$8:$G$286,2,FALSE))=TRUE,"",TEXT(VLOOKUP(CONCATENATE($A79,$Q$8,T$10),'Tariff Schedule Lookup Table'!$F$8:$G$286,2,FALSE),"0000"))</f>
        <v/>
      </c>
      <c r="U79" s="34" t="str">
        <f>IF(ISERROR(VLOOKUP(CONCATENATE($A79,$U$8,U$10),'Tariff Schedule Lookup Table'!$F$8:$G$286,2,FALSE))=TRUE,"",TEXT(VLOOKUP(CONCATENATE($A79,$U$8,U$10),'Tariff Schedule Lookup Table'!$F$8:$G$286,2,FALSE),"0000"))</f>
        <v/>
      </c>
      <c r="V79" s="34" t="str">
        <f>IF(ISERROR(VLOOKUP(CONCATENATE($A79,$U$8,V$10),'Tariff Schedule Lookup Table'!$F$8:$G$286,2,FALSE))=TRUE,"",TEXT(VLOOKUP(CONCATENATE($A79,$U$8,V$10),'Tariff Schedule Lookup Table'!$F$8:$G$286,2,FALSE),"0000"))</f>
        <v>1490</v>
      </c>
      <c r="W79" s="34" t="str">
        <f>IF(ISERROR(VLOOKUP(CONCATENATE($A79,$U$8,W$10),'Tariff Schedule Lookup Table'!$F$8:$G$286,2,FALSE))=TRUE,"",TEXT(VLOOKUP(CONCATENATE($A79,$U$8,W$10),'Tariff Schedule Lookup Table'!$F$8:$G$286,2,FALSE),"0000"))</f>
        <v>0860</v>
      </c>
      <c r="X79" s="34" t="str">
        <f>IF(ISERROR(VLOOKUP(CONCATENATE($A79,$U$8,X$10),'Tariff Schedule Lookup Table'!$F$8:$G$286,2,FALSE))=TRUE,"",TEXT(VLOOKUP(CONCATENATE($A79,$U$8,X$10),'Tariff Schedule Lookup Table'!$F$8:$G$186,2,FALSE),"0000"))</f>
        <v>0870</v>
      </c>
      <c r="Y79" s="6"/>
      <c r="Z79" s="6"/>
      <c r="AA79" s="6"/>
      <c r="AB79" s="6"/>
      <c r="AC79" s="6"/>
    </row>
    <row r="80" spans="1:29" x14ac:dyDescent="0.2">
      <c r="A80" s="6" t="s">
        <v>1081</v>
      </c>
      <c r="B80" s="35" t="s">
        <v>2103</v>
      </c>
      <c r="C80" s="197" t="str">
        <f>VLOOKUP(LEFT(B80,7),'Tariff Schedule Lookup Table'!$A$8:$D$186,3,FALSE)</f>
        <v>2x400</v>
      </c>
      <c r="D80" s="199" t="str">
        <f>VLOOKUP(LEFT(B80,7),'Tariff Schedule Lookup Table'!$A$8:$D$186,2,FALSE)</f>
        <v>High Pressure Sodium 2x400</v>
      </c>
      <c r="E80" s="6" t="s">
        <v>1077</v>
      </c>
      <c r="F80" s="37">
        <f>VLOOKUP(LEFT(B80,7),'Tariff Schedule Lookup Table'!$A$8:$D$186,4,FALSE)</f>
        <v>880</v>
      </c>
      <c r="G80" s="33">
        <f>VLOOKUP($B80,'Maintenance Costs'!$A$20:$AG$176,32,FALSE)</f>
        <v>74.645786729403142</v>
      </c>
      <c r="H80" s="67">
        <f>IF(VLOOKUP($B80,'Maintenance Costs'!$A$20:$AG$176,33,FALSE)=0,"",VLOOKUP($B80,'Maintenance Costs'!$A$20:$AG$176,33,FALSE))</f>
        <v>117.73802331465521</v>
      </c>
      <c r="I80" s="34" t="str">
        <f>IF(ISERROR(VLOOKUP(CONCATENATE($A80,$I$8,I$10),'Tariff Schedule Lookup Table'!$F$8:$G$286,2,FALSE))=TRUE,"",TEXT(VLOOKUP(CONCATENATE($A80,$I$8,I$10),'Tariff Schedule Lookup Table'!$F$8:$G$286,2,FALSE),"0000"))</f>
        <v/>
      </c>
      <c r="J80" s="34" t="str">
        <f>IF(ISERROR(VLOOKUP(CONCATENATE($A80,$I$8,J$10),'Tariff Schedule Lookup Table'!$F$8:$G$286,2,FALSE))=TRUE,"",TEXT(VLOOKUP(CONCATENATE($A80,$I$8,J$10),'Tariff Schedule Lookup Table'!$F$8:$G$286,2,FALSE),"0000"))</f>
        <v/>
      </c>
      <c r="K80" s="34" t="str">
        <f>IF(ISERROR(VLOOKUP(CONCATENATE($A80,$I$8,K$10),'Tariff Schedule Lookup Table'!$F$8:$G$286,2,FALSE))=TRUE,"",TEXT(VLOOKUP(CONCATENATE($A80,$I$8,K$10),'Tariff Schedule Lookup Table'!$F$8:$G$286,2,FALSE),"0000"))</f>
        <v/>
      </c>
      <c r="L80" s="34" t="str">
        <f>IF(ISERROR(VLOOKUP(CONCATENATE($A80,$I$8,L$10),'Tariff Schedule Lookup Table'!$F$8:$G$286,2,FALSE))=TRUE,"",TEXT(VLOOKUP(CONCATENATE($A80,$I$8,L$10),'Tariff Schedule Lookup Table'!$F$8:$G$286,2,FALSE),"0000"))</f>
        <v/>
      </c>
      <c r="M80" s="34" t="str">
        <f>IF(ISERROR(VLOOKUP(CONCATENATE($A80,$M$8,M$10),'Tariff Schedule Lookup Table'!$F$8:$G$286,2,FALSE))=TRUE,"",TEXT(VLOOKUP(CONCATENATE($A80,$M$8,M$10),'Tariff Schedule Lookup Table'!$F$8:$G$286,2,FALSE),"0000"))</f>
        <v/>
      </c>
      <c r="N80" s="34" t="str">
        <f>IF(ISERROR(VLOOKUP(CONCATENATE($A80,$M$8,N$10),'Tariff Schedule Lookup Table'!$F$8:$G$286,2,FALSE))=TRUE,"",TEXT(VLOOKUP(CONCATENATE($A80,$M$8,N$10),'Tariff Schedule Lookup Table'!$F$8:$G$286,2,FALSE),"0000"))</f>
        <v/>
      </c>
      <c r="O80" s="34" t="str">
        <f>IF(ISERROR(VLOOKUP(CONCATENATE($A80,$M$8,O$10),'Tariff Schedule Lookup Table'!$F$8:$G$286,2,FALSE))=TRUE,"",TEXT(VLOOKUP(CONCATENATE($A80,$M$8,O$10),'Tariff Schedule Lookup Table'!$F$8:$G$286,2,FALSE),"0000"))</f>
        <v/>
      </c>
      <c r="P80" s="34" t="str">
        <f>IF(ISERROR(VLOOKUP(CONCATENATE($A80,$M$8,P$10),'Tariff Schedule Lookup Table'!$F$8:$G$286,2,FALSE))=TRUE,"",TEXT(VLOOKUP(CONCATENATE($A80,$M$8,P$10),'Tariff Schedule Lookup Table'!$F$8:$G$286,2,FALSE),"0000"))</f>
        <v/>
      </c>
      <c r="Q80" s="34" t="str">
        <f>IF(ISERROR(VLOOKUP(CONCATENATE($A80,$Q$8,Q$10),'Tariff Schedule Lookup Table'!$F$8:$G$286,2,FALSE))=TRUE,"",TEXT(VLOOKUP(CONCATENATE($A80,$Q$8,Q$10),'Tariff Schedule Lookup Table'!$F$8:$G$286,2,FALSE),"0000"))</f>
        <v/>
      </c>
      <c r="R80" s="34" t="str">
        <f>IF(ISERROR(VLOOKUP(CONCATENATE($A80,$Q$8,R$10),'Tariff Schedule Lookup Table'!$F$8:$G$286,2,FALSE))=TRUE,"",TEXT(VLOOKUP(CONCATENATE($A80,$Q$8,R$10),'Tariff Schedule Lookup Table'!$F$8:$G$286,2,FALSE),"0000"))</f>
        <v/>
      </c>
      <c r="S80" s="34" t="str">
        <f>IF(ISERROR(VLOOKUP(CONCATENATE($A80,$Q$8,S$10),'Tariff Schedule Lookup Table'!$F$8:$G$286,2,FALSE))=TRUE,"",TEXT(VLOOKUP(CONCATENATE($A80,$Q$8,S$10),'Tariff Schedule Lookup Table'!$F$8:$G$286,2,FALSE),"0000"))</f>
        <v/>
      </c>
      <c r="T80" s="34" t="str">
        <f>IF(ISERROR(VLOOKUP(CONCATENATE($A80,$Q$8,T$10),'Tariff Schedule Lookup Table'!$F$8:$G$286,2,FALSE))=TRUE,"",TEXT(VLOOKUP(CONCATENATE($A80,$Q$8,T$10),'Tariff Schedule Lookup Table'!$F$8:$G$286,2,FALSE),"0000"))</f>
        <v/>
      </c>
      <c r="U80" s="34" t="str">
        <f>IF(ISERROR(VLOOKUP(CONCATENATE($A80,$U$8,U$10),'Tariff Schedule Lookup Table'!$F$8:$G$286,2,FALSE))=TRUE,"",TEXT(VLOOKUP(CONCATENATE($A80,$U$8,U$10),'Tariff Schedule Lookup Table'!$F$8:$G$286,2,FALSE),"0000"))</f>
        <v/>
      </c>
      <c r="V80" s="34" t="str">
        <f>IF(ISERROR(VLOOKUP(CONCATENATE($A80,$U$8,V$10),'Tariff Schedule Lookup Table'!$F$8:$G$286,2,FALSE))=TRUE,"",TEXT(VLOOKUP(CONCATENATE($A80,$U$8,V$10),'Tariff Schedule Lookup Table'!$F$8:$G$286,2,FALSE),"0000"))</f>
        <v>1490</v>
      </c>
      <c r="W80" s="34" t="str">
        <f>IF(ISERROR(VLOOKUP(CONCATENATE($A80,$U$8,W$10),'Tariff Schedule Lookup Table'!$F$8:$G$286,2,FALSE))=TRUE,"",TEXT(VLOOKUP(CONCATENATE($A80,$U$8,W$10),'Tariff Schedule Lookup Table'!$F$8:$G$286,2,FALSE),"0000"))</f>
        <v>0860</v>
      </c>
      <c r="X80" s="34" t="str">
        <f>IF(ISERROR(VLOOKUP(CONCATENATE($A80,$U$8,X$10),'Tariff Schedule Lookup Table'!$F$8:$G$286,2,FALSE))=TRUE,"",TEXT(VLOOKUP(CONCATENATE($A80,$U$8,X$10),'Tariff Schedule Lookup Table'!$F$8:$G$186,2,FALSE),"0000"))</f>
        <v>0870</v>
      </c>
      <c r="Y80" s="6"/>
      <c r="Z80" s="6"/>
      <c r="AA80" s="6"/>
      <c r="AB80" s="6"/>
      <c r="AC80" s="6"/>
    </row>
    <row r="81" spans="1:29" x14ac:dyDescent="0.2">
      <c r="A81" s="6" t="s">
        <v>1101</v>
      </c>
      <c r="B81" s="35" t="s">
        <v>2104</v>
      </c>
      <c r="C81" s="197" t="str">
        <f>VLOOKUP(LEFT(B81,7),'Tariff Schedule Lookup Table'!$A$8:$D$186,3,FALSE)</f>
        <v>3x400</v>
      </c>
      <c r="D81" s="199" t="str">
        <f>VLOOKUP(LEFT(B81,7),'Tariff Schedule Lookup Table'!$A$8:$D$186,2,FALSE)</f>
        <v>High Pressure Sodium 3x400</v>
      </c>
      <c r="E81" s="6" t="s">
        <v>1096</v>
      </c>
      <c r="F81" s="37">
        <f>VLOOKUP(LEFT(B81,7),'Tariff Schedule Lookup Table'!$A$8:$D$186,4,FALSE)</f>
        <v>1320</v>
      </c>
      <c r="G81" s="33">
        <f>VLOOKUP($B81,'Maintenance Costs'!$A$20:$AG$176,32,FALSE)</f>
        <v>107.25427250635248</v>
      </c>
      <c r="H81" s="67">
        <f>IF(VLOOKUP($B81,'Maintenance Costs'!$A$20:$AG$176,33,FALSE)=0,"",VLOOKUP($B81,'Maintenance Costs'!$A$20:$AG$176,33,FALSE))</f>
        <v>114.70114169167482</v>
      </c>
      <c r="I81" s="34" t="str">
        <f>IF(ISERROR(VLOOKUP(CONCATENATE($A81,$I$8,I$10),'Tariff Schedule Lookup Table'!$F$8:$G$286,2,FALSE))=TRUE,"",TEXT(VLOOKUP(CONCATENATE($A81,$I$8,I$10),'Tariff Schedule Lookup Table'!$F$8:$G$286,2,FALSE),"0000"))</f>
        <v/>
      </c>
      <c r="J81" s="34" t="str">
        <f>IF(ISERROR(VLOOKUP(CONCATENATE($A81,$I$8,J$10),'Tariff Schedule Lookup Table'!$F$8:$G$286,2,FALSE))=TRUE,"",TEXT(VLOOKUP(CONCATENATE($A81,$I$8,J$10),'Tariff Schedule Lookup Table'!$F$8:$G$286,2,FALSE),"0000"))</f>
        <v/>
      </c>
      <c r="K81" s="34" t="str">
        <f>IF(ISERROR(VLOOKUP(CONCATENATE($A81,$I$8,K$10),'Tariff Schedule Lookup Table'!$F$8:$G$286,2,FALSE))=TRUE,"",TEXT(VLOOKUP(CONCATENATE($A81,$I$8,K$10),'Tariff Schedule Lookup Table'!$F$8:$G$286,2,FALSE),"0000"))</f>
        <v/>
      </c>
      <c r="L81" s="34" t="str">
        <f>IF(ISERROR(VLOOKUP(CONCATENATE($A81,$I$8,L$10),'Tariff Schedule Lookup Table'!$F$8:$G$286,2,FALSE))=TRUE,"",TEXT(VLOOKUP(CONCATENATE($A81,$I$8,L$10),'Tariff Schedule Lookup Table'!$F$8:$G$286,2,FALSE),"0000"))</f>
        <v/>
      </c>
      <c r="M81" s="34" t="str">
        <f>IF(ISERROR(VLOOKUP(CONCATENATE($A81,$M$8,M$10),'Tariff Schedule Lookup Table'!$F$8:$G$286,2,FALSE))=TRUE,"",TEXT(VLOOKUP(CONCATENATE($A81,$M$8,M$10),'Tariff Schedule Lookup Table'!$F$8:$G$286,2,FALSE),"0000"))</f>
        <v/>
      </c>
      <c r="N81" s="34" t="str">
        <f>IF(ISERROR(VLOOKUP(CONCATENATE($A81,$M$8,N$10),'Tariff Schedule Lookup Table'!$F$8:$G$286,2,FALSE))=TRUE,"",TEXT(VLOOKUP(CONCATENATE($A81,$M$8,N$10),'Tariff Schedule Lookup Table'!$F$8:$G$286,2,FALSE),"0000"))</f>
        <v/>
      </c>
      <c r="O81" s="34" t="str">
        <f>IF(ISERROR(VLOOKUP(CONCATENATE($A81,$M$8,O$10),'Tariff Schedule Lookup Table'!$F$8:$G$286,2,FALSE))=TRUE,"",TEXT(VLOOKUP(CONCATENATE($A81,$M$8,O$10),'Tariff Schedule Lookup Table'!$F$8:$G$286,2,FALSE),"0000"))</f>
        <v/>
      </c>
      <c r="P81" s="34" t="str">
        <f>IF(ISERROR(VLOOKUP(CONCATENATE($A81,$M$8,P$10),'Tariff Schedule Lookup Table'!$F$8:$G$286,2,FALSE))=TRUE,"",TEXT(VLOOKUP(CONCATENATE($A81,$M$8,P$10),'Tariff Schedule Lookup Table'!$F$8:$G$286,2,FALSE),"0000"))</f>
        <v/>
      </c>
      <c r="Q81" s="34" t="str">
        <f>IF(ISERROR(VLOOKUP(CONCATENATE($A81,$Q$8,Q$10),'Tariff Schedule Lookup Table'!$F$8:$G$286,2,FALSE))=TRUE,"",TEXT(VLOOKUP(CONCATENATE($A81,$Q$8,Q$10),'Tariff Schedule Lookup Table'!$F$8:$G$286,2,FALSE),"0000"))</f>
        <v/>
      </c>
      <c r="R81" s="34" t="str">
        <f>IF(ISERROR(VLOOKUP(CONCATENATE($A81,$Q$8,R$10),'Tariff Schedule Lookup Table'!$F$8:$G$286,2,FALSE))=TRUE,"",TEXT(VLOOKUP(CONCATENATE($A81,$Q$8,R$10),'Tariff Schedule Lookup Table'!$F$8:$G$286,2,FALSE),"0000"))</f>
        <v/>
      </c>
      <c r="S81" s="34" t="str">
        <f>IF(ISERROR(VLOOKUP(CONCATENATE($A81,$Q$8,S$10),'Tariff Schedule Lookup Table'!$F$8:$G$286,2,FALSE))=TRUE,"",TEXT(VLOOKUP(CONCATENATE($A81,$Q$8,S$10),'Tariff Schedule Lookup Table'!$F$8:$G$286,2,FALSE),"0000"))</f>
        <v/>
      </c>
      <c r="T81" s="34" t="str">
        <f>IF(ISERROR(VLOOKUP(CONCATENATE($A81,$Q$8,T$10),'Tariff Schedule Lookup Table'!$F$8:$G$286,2,FALSE))=TRUE,"",TEXT(VLOOKUP(CONCATENATE($A81,$Q$8,T$10),'Tariff Schedule Lookup Table'!$F$8:$G$286,2,FALSE),"0000"))</f>
        <v/>
      </c>
      <c r="U81" s="34" t="str">
        <f>IF(ISERROR(VLOOKUP(CONCATENATE($A81,$U$8,U$10),'Tariff Schedule Lookup Table'!$F$8:$G$286,2,FALSE))=TRUE,"",TEXT(VLOOKUP(CONCATENATE($A81,$U$8,U$10),'Tariff Schedule Lookup Table'!$F$8:$G$286,2,FALSE),"0000"))</f>
        <v>1470</v>
      </c>
      <c r="V81" s="34" t="str">
        <f>IF(ISERROR(VLOOKUP(CONCATENATE($A81,$U$8,V$10),'Tariff Schedule Lookup Table'!$F$8:$G$286,2,FALSE))=TRUE,"",TEXT(VLOOKUP(CONCATENATE($A81,$U$8,V$10),'Tariff Schedule Lookup Table'!$F$8:$G$286,2,FALSE),"0000"))</f>
        <v/>
      </c>
      <c r="W81" s="34" t="str">
        <f>IF(ISERROR(VLOOKUP(CONCATENATE($A81,$U$8,W$10),'Tariff Schedule Lookup Table'!$F$8:$G$286,2,FALSE))=TRUE,"",TEXT(VLOOKUP(CONCATENATE($A81,$U$8,W$10),'Tariff Schedule Lookup Table'!$F$8:$G$286,2,FALSE),"0000"))</f>
        <v/>
      </c>
      <c r="X81" s="34" t="str">
        <f>IF(ISERROR(VLOOKUP(CONCATENATE($A81,$U$8,X$10),'Tariff Schedule Lookup Table'!$F$8:$G$286,2,FALSE))=TRUE,"",TEXT(VLOOKUP(CONCATENATE($A81,$U$8,X$10),'Tariff Schedule Lookup Table'!$F$8:$G$186,2,FALSE),"0000"))</f>
        <v/>
      </c>
      <c r="Y81" s="6"/>
      <c r="Z81" s="6"/>
      <c r="AA81" s="6"/>
      <c r="AB81" s="6"/>
      <c r="AC81" s="6"/>
    </row>
    <row r="82" spans="1:29" x14ac:dyDescent="0.2">
      <c r="A82" s="6" t="s">
        <v>1101</v>
      </c>
      <c r="B82" s="35" t="s">
        <v>163</v>
      </c>
      <c r="C82" s="197" t="str">
        <f>VLOOKUP(LEFT(B82,7),'Tariff Schedule Lookup Table'!$A$8:$D$186,3,FALSE)</f>
        <v>4x400</v>
      </c>
      <c r="D82" s="199" t="str">
        <f>VLOOKUP(LEFT(B82,7),'Tariff Schedule Lookup Table'!$A$8:$D$186,2,FALSE)</f>
        <v>High Pressure Sodium 4x400</v>
      </c>
      <c r="E82" s="6" t="s">
        <v>1096</v>
      </c>
      <c r="F82" s="37">
        <f>VLOOKUP(LEFT(B82,7),'Tariff Schedule Lookup Table'!$A$8:$D$186,4,FALSE)</f>
        <v>1760</v>
      </c>
      <c r="G82" s="33">
        <f>VLOOKUP($B82,'Maintenance Costs'!$A$20:$AG$176,32,FALSE)</f>
        <v>121.10616432635248</v>
      </c>
      <c r="H82" s="67">
        <f>IF(VLOOKUP($B82,'Maintenance Costs'!$A$20:$AG$176,33,FALSE)=0,"",VLOOKUP($B82,'Maintenance Costs'!$A$20:$AG$176,33,FALSE))</f>
        <v>136.84310447032485</v>
      </c>
      <c r="I82" s="34" t="str">
        <f>IF(ISERROR(VLOOKUP(CONCATENATE($A82,$I$8,I$10),'Tariff Schedule Lookup Table'!$F$8:$G$286,2,FALSE))=TRUE,"",TEXT(VLOOKUP(CONCATENATE($A82,$I$8,I$10),'Tariff Schedule Lookup Table'!$F$8:$G$286,2,FALSE),"0000"))</f>
        <v/>
      </c>
      <c r="J82" s="34" t="str">
        <f>IF(ISERROR(VLOOKUP(CONCATENATE($A82,$I$8,J$10),'Tariff Schedule Lookup Table'!$F$8:$G$286,2,FALSE))=TRUE,"",TEXT(VLOOKUP(CONCATENATE($A82,$I$8,J$10),'Tariff Schedule Lookup Table'!$F$8:$G$286,2,FALSE),"0000"))</f>
        <v/>
      </c>
      <c r="K82" s="34" t="str">
        <f>IF(ISERROR(VLOOKUP(CONCATENATE($A82,$I$8,K$10),'Tariff Schedule Lookup Table'!$F$8:$G$286,2,FALSE))=TRUE,"",TEXT(VLOOKUP(CONCATENATE($A82,$I$8,K$10),'Tariff Schedule Lookup Table'!$F$8:$G$286,2,FALSE),"0000"))</f>
        <v/>
      </c>
      <c r="L82" s="34" t="str">
        <f>IF(ISERROR(VLOOKUP(CONCATENATE($A82,$I$8,L$10),'Tariff Schedule Lookup Table'!$F$8:$G$286,2,FALSE))=TRUE,"",TEXT(VLOOKUP(CONCATENATE($A82,$I$8,L$10),'Tariff Schedule Lookup Table'!$F$8:$G$286,2,FALSE),"0000"))</f>
        <v/>
      </c>
      <c r="M82" s="34" t="str">
        <f>IF(ISERROR(VLOOKUP(CONCATENATE($A82,$M$8,M$10),'Tariff Schedule Lookup Table'!$F$8:$G$286,2,FALSE))=TRUE,"",TEXT(VLOOKUP(CONCATENATE($A82,$M$8,M$10),'Tariff Schedule Lookup Table'!$F$8:$G$286,2,FALSE),"0000"))</f>
        <v/>
      </c>
      <c r="N82" s="34" t="str">
        <f>IF(ISERROR(VLOOKUP(CONCATENATE($A82,$M$8,N$10),'Tariff Schedule Lookup Table'!$F$8:$G$286,2,FALSE))=TRUE,"",TEXT(VLOOKUP(CONCATENATE($A82,$M$8,N$10),'Tariff Schedule Lookup Table'!$F$8:$G$286,2,FALSE),"0000"))</f>
        <v/>
      </c>
      <c r="O82" s="34" t="str">
        <f>IF(ISERROR(VLOOKUP(CONCATENATE($A82,$M$8,O$10),'Tariff Schedule Lookup Table'!$F$8:$G$286,2,FALSE))=TRUE,"",TEXT(VLOOKUP(CONCATENATE($A82,$M$8,O$10),'Tariff Schedule Lookup Table'!$F$8:$G$286,2,FALSE),"0000"))</f>
        <v/>
      </c>
      <c r="P82" s="34" t="str">
        <f>IF(ISERROR(VLOOKUP(CONCATENATE($A82,$M$8,P$10),'Tariff Schedule Lookup Table'!$F$8:$G$286,2,FALSE))=TRUE,"",TEXT(VLOOKUP(CONCATENATE($A82,$M$8,P$10),'Tariff Schedule Lookup Table'!$F$8:$G$286,2,FALSE),"0000"))</f>
        <v/>
      </c>
      <c r="Q82" s="34" t="str">
        <f>IF(ISERROR(VLOOKUP(CONCATENATE($A82,$Q$8,Q$10),'Tariff Schedule Lookup Table'!$F$8:$G$286,2,FALSE))=TRUE,"",TEXT(VLOOKUP(CONCATENATE($A82,$Q$8,Q$10),'Tariff Schedule Lookup Table'!$F$8:$G$286,2,FALSE),"0000"))</f>
        <v/>
      </c>
      <c r="R82" s="34" t="str">
        <f>IF(ISERROR(VLOOKUP(CONCATENATE($A82,$Q$8,R$10),'Tariff Schedule Lookup Table'!$F$8:$G$286,2,FALSE))=TRUE,"",TEXT(VLOOKUP(CONCATENATE($A82,$Q$8,R$10),'Tariff Schedule Lookup Table'!$F$8:$G$286,2,FALSE),"0000"))</f>
        <v/>
      </c>
      <c r="S82" s="34" t="str">
        <f>IF(ISERROR(VLOOKUP(CONCATENATE($A82,$Q$8,S$10),'Tariff Schedule Lookup Table'!$F$8:$G$286,2,FALSE))=TRUE,"",TEXT(VLOOKUP(CONCATENATE($A82,$Q$8,S$10),'Tariff Schedule Lookup Table'!$F$8:$G$286,2,FALSE),"0000"))</f>
        <v/>
      </c>
      <c r="T82" s="34" t="str">
        <f>IF(ISERROR(VLOOKUP(CONCATENATE($A82,$Q$8,T$10),'Tariff Schedule Lookup Table'!$F$8:$G$286,2,FALSE))=TRUE,"",TEXT(VLOOKUP(CONCATENATE($A82,$Q$8,T$10),'Tariff Schedule Lookup Table'!$F$8:$G$286,2,FALSE),"0000"))</f>
        <v/>
      </c>
      <c r="U82" s="34" t="str">
        <f>IF(ISERROR(VLOOKUP(CONCATENATE($A82,$U$8,U$10),'Tariff Schedule Lookup Table'!$F$8:$G$286,2,FALSE))=TRUE,"",TEXT(VLOOKUP(CONCATENATE($A82,$U$8,U$10),'Tariff Schedule Lookup Table'!$F$8:$G$286,2,FALSE),"0000"))</f>
        <v>1470</v>
      </c>
      <c r="V82" s="34" t="str">
        <f>IF(ISERROR(VLOOKUP(CONCATENATE($A82,$U$8,V$10),'Tariff Schedule Lookup Table'!$F$8:$G$286,2,FALSE))=TRUE,"",TEXT(VLOOKUP(CONCATENATE($A82,$U$8,V$10),'Tariff Schedule Lookup Table'!$F$8:$G$286,2,FALSE),"0000"))</f>
        <v/>
      </c>
      <c r="W82" s="34" t="str">
        <f>IF(ISERROR(VLOOKUP(CONCATENATE($A82,$U$8,W$10),'Tariff Schedule Lookup Table'!$F$8:$G$286,2,FALSE))=TRUE,"",TEXT(VLOOKUP(CONCATENATE($A82,$U$8,W$10),'Tariff Schedule Lookup Table'!$F$8:$G$286,2,FALSE),"0000"))</f>
        <v/>
      </c>
      <c r="X82" s="34" t="str">
        <f>IF(ISERROR(VLOOKUP(CONCATENATE($A82,$U$8,X$10),'Tariff Schedule Lookup Table'!$F$8:$G$286,2,FALSE))=TRUE,"",TEXT(VLOOKUP(CONCATENATE($A82,$U$8,X$10),'Tariff Schedule Lookup Table'!$F$8:$G$186,2,FALSE),"0000"))</f>
        <v/>
      </c>
      <c r="Y82" s="6"/>
      <c r="Z82" s="6"/>
      <c r="AA82" s="6"/>
      <c r="AB82" s="6"/>
      <c r="AC82" s="6"/>
    </row>
    <row r="83" spans="1:29" x14ac:dyDescent="0.2">
      <c r="A83" s="6" t="s">
        <v>1103</v>
      </c>
      <c r="B83" s="35" t="s">
        <v>2105</v>
      </c>
      <c r="C83" s="197" t="str">
        <f>VLOOKUP(LEFT(B83,7),'Tariff Schedule Lookup Table'!$A$8:$D$186,3,FALSE)</f>
        <v>600 (Internal Ignitor)</v>
      </c>
      <c r="D83" s="199" t="str">
        <f>VLOOKUP(LEFT(B83,7),'Tariff Schedule Lookup Table'!$A$8:$D$186,2,FALSE)</f>
        <v>High Pressure Sodium 600 (Internal Ignitor)</v>
      </c>
      <c r="E83" s="6" t="s">
        <v>1106</v>
      </c>
      <c r="F83" s="37">
        <f>VLOOKUP(LEFT(B83,7),'Tariff Schedule Lookup Table'!$A$8:$D$186,4,FALSE)</f>
        <v>650</v>
      </c>
      <c r="G83" s="33">
        <f>VLOOKUP($B83,'Maintenance Costs'!$A$20:$AG$176,32,FALSE)</f>
        <v>100.63468966635247</v>
      </c>
      <c r="H83" s="67">
        <f>IF(VLOOKUP($B83,'Maintenance Costs'!$A$20:$AG$176,33,FALSE)=0,"",VLOOKUP($B83,'Maintenance Costs'!$A$20:$AG$176,33,FALSE))</f>
        <v>113.69657406354146</v>
      </c>
      <c r="I83" s="34" t="str">
        <f>IF(ISERROR(VLOOKUP(CONCATENATE($A83,$I$8,I$10),'Tariff Schedule Lookup Table'!$F$8:$G$286,2,FALSE))=TRUE,"",TEXT(VLOOKUP(CONCATENATE($A83,$I$8,I$10),'Tariff Schedule Lookup Table'!$F$8:$G$286,2,FALSE),"0000"))</f>
        <v>0190</v>
      </c>
      <c r="J83" s="34" t="str">
        <f>IF(ISERROR(VLOOKUP(CONCATENATE($A83,$I$8,J$10),'Tariff Schedule Lookup Table'!$F$8:$G$286,2,FALSE))=TRUE,"",TEXT(VLOOKUP(CONCATENATE($A83,$I$8,J$10),'Tariff Schedule Lookup Table'!$F$8:$G$286,2,FALSE),"0000"))</f>
        <v/>
      </c>
      <c r="K83" s="34" t="str">
        <f>IF(ISERROR(VLOOKUP(CONCATENATE($A83,$I$8,K$10),'Tariff Schedule Lookup Table'!$F$8:$G$286,2,FALSE))=TRUE,"",TEXT(VLOOKUP(CONCATENATE($A83,$I$8,K$10),'Tariff Schedule Lookup Table'!$F$8:$G$286,2,FALSE),"0000"))</f>
        <v/>
      </c>
      <c r="L83" s="34" t="str">
        <f>IF(ISERROR(VLOOKUP(CONCATENATE($A83,$I$8,L$10),'Tariff Schedule Lookup Table'!$F$8:$G$286,2,FALSE))=TRUE,"",TEXT(VLOOKUP(CONCATENATE($A83,$I$8,L$10),'Tariff Schedule Lookup Table'!$F$8:$G$286,2,FALSE),"0000"))</f>
        <v/>
      </c>
      <c r="M83" s="34" t="str">
        <f>IF(ISERROR(VLOOKUP(CONCATENATE($A83,$M$8,M$10),'Tariff Schedule Lookup Table'!$F$8:$G$286,2,FALSE))=TRUE,"",TEXT(VLOOKUP(CONCATENATE($A83,$M$8,M$10),'Tariff Schedule Lookup Table'!$F$8:$G$286,2,FALSE),"0000"))</f>
        <v>0250</v>
      </c>
      <c r="N83" s="34" t="str">
        <f>IF(ISERROR(VLOOKUP(CONCATENATE($A83,$M$8,N$10),'Tariff Schedule Lookup Table'!$F$8:$G$286,2,FALSE))=TRUE,"",TEXT(VLOOKUP(CONCATENATE($A83,$M$8,N$10),'Tariff Schedule Lookup Table'!$F$8:$G$286,2,FALSE),"0000"))</f>
        <v>0700</v>
      </c>
      <c r="O83" s="34" t="str">
        <f>IF(ISERROR(VLOOKUP(CONCATENATE($A83,$M$8,O$10),'Tariff Schedule Lookup Table'!$F$8:$G$286,2,FALSE))=TRUE,"",TEXT(VLOOKUP(CONCATENATE($A83,$M$8,O$10),'Tariff Schedule Lookup Table'!$F$8:$G$286,2,FALSE),"0000"))</f>
        <v/>
      </c>
      <c r="P83" s="34" t="str">
        <f>IF(ISERROR(VLOOKUP(CONCATENATE($A83,$M$8,P$10),'Tariff Schedule Lookup Table'!$F$8:$G$286,2,FALSE))=TRUE,"",TEXT(VLOOKUP(CONCATENATE($A83,$M$8,P$10),'Tariff Schedule Lookup Table'!$F$8:$G$286,2,FALSE),"0000"))</f>
        <v/>
      </c>
      <c r="Q83" s="34" t="str">
        <f>IF(ISERROR(VLOOKUP(CONCATENATE($A83,$Q$8,Q$10),'Tariff Schedule Lookup Table'!$F$8:$G$286,2,FALSE))=TRUE,"",TEXT(VLOOKUP(CONCATENATE($A83,$Q$8,Q$10),'Tariff Schedule Lookup Table'!$F$8:$G$286,2,FALSE),"0000"))</f>
        <v>0340</v>
      </c>
      <c r="R83" s="34" t="str">
        <f>IF(ISERROR(VLOOKUP(CONCATENATE($A83,$Q$8,R$10),'Tariff Schedule Lookup Table'!$F$8:$G$286,2,FALSE))=TRUE,"",TEXT(VLOOKUP(CONCATENATE($A83,$Q$8,R$10),'Tariff Schedule Lookup Table'!$F$8:$G$286,2,FALSE),"0000"))</f>
        <v/>
      </c>
      <c r="S83" s="34" t="str">
        <f>IF(ISERROR(VLOOKUP(CONCATENATE($A83,$Q$8,S$10),'Tariff Schedule Lookup Table'!$F$8:$G$286,2,FALSE))=TRUE,"",TEXT(VLOOKUP(CONCATENATE($A83,$Q$8,S$10),'Tariff Schedule Lookup Table'!$F$8:$G$286,2,FALSE),"0000"))</f>
        <v/>
      </c>
      <c r="T83" s="34" t="str">
        <f>IF(ISERROR(VLOOKUP(CONCATENATE($A83,$Q$8,T$10),'Tariff Schedule Lookup Table'!$F$8:$G$286,2,FALSE))=TRUE,"",TEXT(VLOOKUP(CONCATENATE($A83,$Q$8,T$10),'Tariff Schedule Lookup Table'!$F$8:$G$286,2,FALSE),"0000"))</f>
        <v/>
      </c>
      <c r="U83" s="34" t="str">
        <f>IF(ISERROR(VLOOKUP(CONCATENATE($A83,$U$8,U$10),'Tariff Schedule Lookup Table'!$F$8:$G$286,2,FALSE))=TRUE,"",TEXT(VLOOKUP(CONCATENATE($A83,$U$8,U$10),'Tariff Schedule Lookup Table'!$F$8:$G$286,2,FALSE),"0000"))</f>
        <v/>
      </c>
      <c r="V83" s="34" t="str">
        <f>IF(ISERROR(VLOOKUP(CONCATENATE($A83,$U$8,V$10),'Tariff Schedule Lookup Table'!$F$8:$G$286,2,FALSE))=TRUE,"",TEXT(VLOOKUP(CONCATENATE($A83,$U$8,V$10),'Tariff Schedule Lookup Table'!$F$8:$G$286,2,FALSE),"0000"))</f>
        <v/>
      </c>
      <c r="W83" s="34" t="str">
        <f>IF(ISERROR(VLOOKUP(CONCATENATE($A83,$U$8,W$10),'Tariff Schedule Lookup Table'!$F$8:$G$286,2,FALSE))=TRUE,"",TEXT(VLOOKUP(CONCATENATE($A83,$U$8,W$10),'Tariff Schedule Lookup Table'!$F$8:$G$286,2,FALSE),"0000"))</f>
        <v/>
      </c>
      <c r="X83" s="34" t="str">
        <f>IF(ISERROR(VLOOKUP(CONCATENATE($A83,$U$8,X$10),'Tariff Schedule Lookup Table'!$F$8:$G$286,2,FALSE))=TRUE,"",TEXT(VLOOKUP(CONCATENATE($A83,$U$8,X$10),'Tariff Schedule Lookup Table'!$F$8:$G$186,2,FALSE),"0000"))</f>
        <v/>
      </c>
      <c r="Y83" s="6"/>
      <c r="Z83" s="6"/>
      <c r="AA83" s="6"/>
      <c r="AB83" s="6"/>
      <c r="AC83" s="6"/>
    </row>
    <row r="84" spans="1:29" x14ac:dyDescent="0.2">
      <c r="A84" s="6" t="s">
        <v>1103</v>
      </c>
      <c r="B84" s="35" t="s">
        <v>220</v>
      </c>
      <c r="C84" s="197" t="str">
        <f>VLOOKUP(LEFT(B84,7),'Tariff Schedule Lookup Table'!$A$8:$D$186,3,FALSE)</f>
        <v>2x600</v>
      </c>
      <c r="D84" s="199" t="str">
        <f>VLOOKUP(LEFT(B84,7),'Tariff Schedule Lookup Table'!$A$8:$D$186,2,FALSE)</f>
        <v>High Pressure Sodium 2x600</v>
      </c>
      <c r="E84" s="6" t="s">
        <v>1106</v>
      </c>
      <c r="F84" s="37">
        <f>VLOOKUP(LEFT(B84,7),'Tariff Schedule Lookup Table'!$A$8:$D$186,4,FALSE)</f>
        <v>1300</v>
      </c>
      <c r="G84" s="33">
        <f>VLOOKUP($B84,'Maintenance Costs'!$A$20:$AG$176,32,FALSE)</f>
        <v>135.57078228635248</v>
      </c>
      <c r="H84" s="67">
        <f>IF(VLOOKUP($B84,'Maintenance Costs'!$A$20:$AG$176,33,FALSE)=0,"",VLOOKUP($B84,'Maintenance Costs'!$A$20:$AG$176,33,FALSE))</f>
        <v>179.11789477135812</v>
      </c>
      <c r="I84" s="34" t="str">
        <f>IF(ISERROR(VLOOKUP(CONCATENATE($A84,$I$8,I$10),'Tariff Schedule Lookup Table'!$F$8:$G$286,2,FALSE))=TRUE,"",TEXT(VLOOKUP(CONCATENATE($A84,$I$8,I$10),'Tariff Schedule Lookup Table'!$F$8:$G$286,2,FALSE),"0000"))</f>
        <v>0190</v>
      </c>
      <c r="J84" s="34" t="str">
        <f>IF(ISERROR(VLOOKUP(CONCATENATE($A84,$I$8,J$10),'Tariff Schedule Lookup Table'!$F$8:$G$286,2,FALSE))=TRUE,"",TEXT(VLOOKUP(CONCATENATE($A84,$I$8,J$10),'Tariff Schedule Lookup Table'!$F$8:$G$286,2,FALSE),"0000"))</f>
        <v/>
      </c>
      <c r="K84" s="34" t="str">
        <f>IF(ISERROR(VLOOKUP(CONCATENATE($A84,$I$8,K$10),'Tariff Schedule Lookup Table'!$F$8:$G$286,2,FALSE))=TRUE,"",TEXT(VLOOKUP(CONCATENATE($A84,$I$8,K$10),'Tariff Schedule Lookup Table'!$F$8:$G$286,2,FALSE),"0000"))</f>
        <v/>
      </c>
      <c r="L84" s="34" t="str">
        <f>IF(ISERROR(VLOOKUP(CONCATENATE($A84,$I$8,L$10),'Tariff Schedule Lookup Table'!$F$8:$G$286,2,FALSE))=TRUE,"",TEXT(VLOOKUP(CONCATENATE($A84,$I$8,L$10),'Tariff Schedule Lookup Table'!$F$8:$G$286,2,FALSE),"0000"))</f>
        <v/>
      </c>
      <c r="M84" s="34" t="str">
        <f>IF(ISERROR(VLOOKUP(CONCATENATE($A84,$M$8,M$10),'Tariff Schedule Lookup Table'!$F$8:$G$286,2,FALSE))=TRUE,"",TEXT(VLOOKUP(CONCATENATE($A84,$M$8,M$10),'Tariff Schedule Lookup Table'!$F$8:$G$286,2,FALSE),"0000"))</f>
        <v>0250</v>
      </c>
      <c r="N84" s="34" t="str">
        <f>IF(ISERROR(VLOOKUP(CONCATENATE($A84,$M$8,N$10),'Tariff Schedule Lookup Table'!$F$8:$G$286,2,FALSE))=TRUE,"",TEXT(VLOOKUP(CONCATENATE($A84,$M$8,N$10),'Tariff Schedule Lookup Table'!$F$8:$G$286,2,FALSE),"0000"))</f>
        <v>0700</v>
      </c>
      <c r="O84" s="34" t="str">
        <f>IF(ISERROR(VLOOKUP(CONCATENATE($A84,$M$8,O$10),'Tariff Schedule Lookup Table'!$F$8:$G$286,2,FALSE))=TRUE,"",TEXT(VLOOKUP(CONCATENATE($A84,$M$8,O$10),'Tariff Schedule Lookup Table'!$F$8:$G$286,2,FALSE),"0000"))</f>
        <v/>
      </c>
      <c r="P84" s="34" t="str">
        <f>IF(ISERROR(VLOOKUP(CONCATENATE($A84,$M$8,P$10),'Tariff Schedule Lookup Table'!$F$8:$G$286,2,FALSE))=TRUE,"",TEXT(VLOOKUP(CONCATENATE($A84,$M$8,P$10),'Tariff Schedule Lookup Table'!$F$8:$G$286,2,FALSE),"0000"))</f>
        <v/>
      </c>
      <c r="Q84" s="34" t="str">
        <f>IF(ISERROR(VLOOKUP(CONCATENATE($A84,$Q$8,Q$10),'Tariff Schedule Lookup Table'!$F$8:$G$286,2,FALSE))=TRUE,"",TEXT(VLOOKUP(CONCATENATE($A84,$Q$8,Q$10),'Tariff Schedule Lookup Table'!$F$8:$G$286,2,FALSE),"0000"))</f>
        <v>0340</v>
      </c>
      <c r="R84" s="34" t="str">
        <f>IF(ISERROR(VLOOKUP(CONCATENATE($A84,$Q$8,R$10),'Tariff Schedule Lookup Table'!$F$8:$G$286,2,FALSE))=TRUE,"",TEXT(VLOOKUP(CONCATENATE($A84,$Q$8,R$10),'Tariff Schedule Lookup Table'!$F$8:$G$286,2,FALSE),"0000"))</f>
        <v/>
      </c>
      <c r="S84" s="34" t="str">
        <f>IF(ISERROR(VLOOKUP(CONCATENATE($A84,$Q$8,S$10),'Tariff Schedule Lookup Table'!$F$8:$G$286,2,FALSE))=TRUE,"",TEXT(VLOOKUP(CONCATENATE($A84,$Q$8,S$10),'Tariff Schedule Lookup Table'!$F$8:$G$286,2,FALSE),"0000"))</f>
        <v/>
      </c>
      <c r="T84" s="34" t="str">
        <f>IF(ISERROR(VLOOKUP(CONCATENATE($A84,$Q$8,T$10),'Tariff Schedule Lookup Table'!$F$8:$G$286,2,FALSE))=TRUE,"",TEXT(VLOOKUP(CONCATENATE($A84,$Q$8,T$10),'Tariff Schedule Lookup Table'!$F$8:$G$286,2,FALSE),"0000"))</f>
        <v/>
      </c>
      <c r="U84" s="34" t="str">
        <f>IF(ISERROR(VLOOKUP(CONCATENATE($A84,$U$8,U$10),'Tariff Schedule Lookup Table'!$F$8:$G$286,2,FALSE))=TRUE,"",TEXT(VLOOKUP(CONCATENATE($A84,$U$8,U$10),'Tariff Schedule Lookup Table'!$F$8:$G$286,2,FALSE),"0000"))</f>
        <v/>
      </c>
      <c r="V84" s="34" t="str">
        <f>IF(ISERROR(VLOOKUP(CONCATENATE($A84,$U$8,V$10),'Tariff Schedule Lookup Table'!$F$8:$G$286,2,FALSE))=TRUE,"",TEXT(VLOOKUP(CONCATENATE($A84,$U$8,V$10),'Tariff Schedule Lookup Table'!$F$8:$G$286,2,FALSE),"0000"))</f>
        <v/>
      </c>
      <c r="W84" s="34" t="str">
        <f>IF(ISERROR(VLOOKUP(CONCATENATE($A84,$U$8,W$10),'Tariff Schedule Lookup Table'!$F$8:$G$286,2,FALSE))=TRUE,"",TEXT(VLOOKUP(CONCATENATE($A84,$U$8,W$10),'Tariff Schedule Lookup Table'!$F$8:$G$286,2,FALSE),"0000"))</f>
        <v/>
      </c>
      <c r="X84" s="34" t="str">
        <f>IF(ISERROR(VLOOKUP(CONCATENATE($A84,$U$8,X$10),'Tariff Schedule Lookup Table'!$F$8:$G$286,2,FALSE))=TRUE,"",TEXT(VLOOKUP(CONCATENATE($A84,$U$8,X$10),'Tariff Schedule Lookup Table'!$F$8:$G$186,2,FALSE),"0000"))</f>
        <v/>
      </c>
      <c r="Y84" s="6"/>
      <c r="Z84" s="6"/>
      <c r="AA84" s="6"/>
      <c r="AB84" s="6"/>
      <c r="AC84" s="6"/>
    </row>
    <row r="85" spans="1:29" x14ac:dyDescent="0.2">
      <c r="A85" s="6" t="s">
        <v>1103</v>
      </c>
      <c r="B85" s="35" t="s">
        <v>221</v>
      </c>
      <c r="C85" s="197" t="str">
        <f>VLOOKUP(LEFT(B85,7),'Tariff Schedule Lookup Table'!$A$8:$D$186,3,FALSE)</f>
        <v>4x600</v>
      </c>
      <c r="D85" s="199" t="str">
        <f>VLOOKUP(LEFT(B85,7),'Tariff Schedule Lookup Table'!$A$8:$D$186,2,FALSE)</f>
        <v>High Pressure Sodium 4x600</v>
      </c>
      <c r="E85" s="6" t="s">
        <v>1106</v>
      </c>
      <c r="F85" s="37">
        <f>VLOOKUP(LEFT(B85,7),'Tariff Schedule Lookup Table'!$A$8:$D$186,4,FALSE)</f>
        <v>2600</v>
      </c>
      <c r="G85" s="33">
        <f>VLOOKUP($B85,'Maintenance Costs'!$A$20:$AG$176,32,FALSE)</f>
        <v>205.4429675263525</v>
      </c>
      <c r="H85" s="67">
        <f>IF(VLOOKUP($B85,'Maintenance Costs'!$A$20:$AG$176,33,FALSE)=0,"",VLOOKUP($B85,'Maintenance Costs'!$A$20:$AG$176,33,FALSE))</f>
        <v>309.96053618699142</v>
      </c>
      <c r="I85" s="34" t="str">
        <f>IF(ISERROR(VLOOKUP(CONCATENATE($A85,$I$8,I$10),'Tariff Schedule Lookup Table'!$F$8:$G$286,2,FALSE))=TRUE,"",TEXT(VLOOKUP(CONCATENATE($A85,$I$8,I$10),'Tariff Schedule Lookup Table'!$F$8:$G$286,2,FALSE),"0000"))</f>
        <v>0190</v>
      </c>
      <c r="J85" s="34" t="str">
        <f>IF(ISERROR(VLOOKUP(CONCATENATE($A85,$I$8,J$10),'Tariff Schedule Lookup Table'!$F$8:$G$286,2,FALSE))=TRUE,"",TEXT(VLOOKUP(CONCATENATE($A85,$I$8,J$10),'Tariff Schedule Lookup Table'!$F$8:$G$286,2,FALSE),"0000"))</f>
        <v/>
      </c>
      <c r="K85" s="34" t="str">
        <f>IF(ISERROR(VLOOKUP(CONCATENATE($A85,$I$8,K$10),'Tariff Schedule Lookup Table'!$F$8:$G$286,2,FALSE))=TRUE,"",TEXT(VLOOKUP(CONCATENATE($A85,$I$8,K$10),'Tariff Schedule Lookup Table'!$F$8:$G$286,2,FALSE),"0000"))</f>
        <v/>
      </c>
      <c r="L85" s="34" t="str">
        <f>IF(ISERROR(VLOOKUP(CONCATENATE($A85,$I$8,L$10),'Tariff Schedule Lookup Table'!$F$8:$G$286,2,FALSE))=TRUE,"",TEXT(VLOOKUP(CONCATENATE($A85,$I$8,L$10),'Tariff Schedule Lookup Table'!$F$8:$G$286,2,FALSE),"0000"))</f>
        <v/>
      </c>
      <c r="M85" s="34" t="str">
        <f>IF(ISERROR(VLOOKUP(CONCATENATE($A85,$M$8,M$10),'Tariff Schedule Lookup Table'!$F$8:$G$286,2,FALSE))=TRUE,"",TEXT(VLOOKUP(CONCATENATE($A85,$M$8,M$10),'Tariff Schedule Lookup Table'!$F$8:$G$286,2,FALSE),"0000"))</f>
        <v>0250</v>
      </c>
      <c r="N85" s="34" t="str">
        <f>IF(ISERROR(VLOOKUP(CONCATENATE($A85,$M$8,N$10),'Tariff Schedule Lookup Table'!$F$8:$G$286,2,FALSE))=TRUE,"",TEXT(VLOOKUP(CONCATENATE($A85,$M$8,N$10),'Tariff Schedule Lookup Table'!$F$8:$G$286,2,FALSE),"0000"))</f>
        <v>0700</v>
      </c>
      <c r="O85" s="34" t="str">
        <f>IF(ISERROR(VLOOKUP(CONCATENATE($A85,$M$8,O$10),'Tariff Schedule Lookup Table'!$F$8:$G$286,2,FALSE))=TRUE,"",TEXT(VLOOKUP(CONCATENATE($A85,$M$8,O$10),'Tariff Schedule Lookup Table'!$F$8:$G$286,2,FALSE),"0000"))</f>
        <v/>
      </c>
      <c r="P85" s="34" t="str">
        <f>IF(ISERROR(VLOOKUP(CONCATENATE($A85,$M$8,P$10),'Tariff Schedule Lookup Table'!$F$8:$G$286,2,FALSE))=TRUE,"",TEXT(VLOOKUP(CONCATENATE($A85,$M$8,P$10),'Tariff Schedule Lookup Table'!$F$8:$G$286,2,FALSE),"0000"))</f>
        <v/>
      </c>
      <c r="Q85" s="34" t="str">
        <f>IF(ISERROR(VLOOKUP(CONCATENATE($A85,$Q$8,Q$10),'Tariff Schedule Lookup Table'!$F$8:$G$286,2,FALSE))=TRUE,"",TEXT(VLOOKUP(CONCATENATE($A85,$Q$8,Q$10),'Tariff Schedule Lookup Table'!$F$8:$G$286,2,FALSE),"0000"))</f>
        <v>0340</v>
      </c>
      <c r="R85" s="34" t="str">
        <f>IF(ISERROR(VLOOKUP(CONCATENATE($A85,$Q$8,R$10),'Tariff Schedule Lookup Table'!$F$8:$G$286,2,FALSE))=TRUE,"",TEXT(VLOOKUP(CONCATENATE($A85,$Q$8,R$10),'Tariff Schedule Lookup Table'!$F$8:$G$286,2,FALSE),"0000"))</f>
        <v/>
      </c>
      <c r="S85" s="34" t="str">
        <f>IF(ISERROR(VLOOKUP(CONCATENATE($A85,$Q$8,S$10),'Tariff Schedule Lookup Table'!$F$8:$G$286,2,FALSE))=TRUE,"",TEXT(VLOOKUP(CONCATENATE($A85,$Q$8,S$10),'Tariff Schedule Lookup Table'!$F$8:$G$286,2,FALSE),"0000"))</f>
        <v/>
      </c>
      <c r="T85" s="34" t="str">
        <f>IF(ISERROR(VLOOKUP(CONCATENATE($A85,$Q$8,T$10),'Tariff Schedule Lookup Table'!$F$8:$G$286,2,FALSE))=TRUE,"",TEXT(VLOOKUP(CONCATENATE($A85,$Q$8,T$10),'Tariff Schedule Lookup Table'!$F$8:$G$286,2,FALSE),"0000"))</f>
        <v/>
      </c>
      <c r="U85" s="34" t="str">
        <f>IF(ISERROR(VLOOKUP(CONCATENATE($A85,$U$8,U$10),'Tariff Schedule Lookup Table'!$F$8:$G$286,2,FALSE))=TRUE,"",TEXT(VLOOKUP(CONCATENATE($A85,$U$8,U$10),'Tariff Schedule Lookup Table'!$F$8:$G$286,2,FALSE),"0000"))</f>
        <v/>
      </c>
      <c r="V85" s="34" t="str">
        <f>IF(ISERROR(VLOOKUP(CONCATENATE($A85,$U$8,V$10),'Tariff Schedule Lookup Table'!$F$8:$G$286,2,FALSE))=TRUE,"",TEXT(VLOOKUP(CONCATENATE($A85,$U$8,V$10),'Tariff Schedule Lookup Table'!$F$8:$G$286,2,FALSE),"0000"))</f>
        <v/>
      </c>
      <c r="W85" s="34" t="str">
        <f>IF(ISERROR(VLOOKUP(CONCATENATE($A85,$U$8,W$10),'Tariff Schedule Lookup Table'!$F$8:$G$286,2,FALSE))=TRUE,"",TEXT(VLOOKUP(CONCATENATE($A85,$U$8,W$10),'Tariff Schedule Lookup Table'!$F$8:$G$286,2,FALSE),"0000"))</f>
        <v/>
      </c>
      <c r="X85" s="34" t="str">
        <f>IF(ISERROR(VLOOKUP(CONCATENATE($A85,$U$8,X$10),'Tariff Schedule Lookup Table'!$F$8:$G$286,2,FALSE))=TRUE,"",TEXT(VLOOKUP(CONCATENATE($A85,$U$8,X$10),'Tariff Schedule Lookup Table'!$F$8:$G$186,2,FALSE),"0000"))</f>
        <v/>
      </c>
      <c r="Y85" s="6"/>
      <c r="Z85" s="6"/>
      <c r="AA85" s="6"/>
      <c r="AB85" s="6"/>
      <c r="AC85" s="6"/>
    </row>
    <row r="86" spans="1:29" x14ac:dyDescent="0.2">
      <c r="A86" s="6" t="s">
        <v>1103</v>
      </c>
      <c r="B86" s="35" t="s">
        <v>165</v>
      </c>
      <c r="C86" s="197" t="str">
        <f>VLOOKUP(LEFT(B86,7),'Tariff Schedule Lookup Table'!$A$8:$D$186,3,FALSE)</f>
        <v>6x600</v>
      </c>
      <c r="D86" s="199" t="str">
        <f>VLOOKUP(LEFT(B86,7),'Tariff Schedule Lookup Table'!$A$8:$D$186,2,FALSE)</f>
        <v>High Pressure Sodium 6x600</v>
      </c>
      <c r="E86" s="6" t="s">
        <v>1106</v>
      </c>
      <c r="F86" s="37">
        <f>VLOOKUP(LEFT(B86,7),'Tariff Schedule Lookup Table'!$A$8:$D$186,4,FALSE)</f>
        <v>3900</v>
      </c>
      <c r="G86" s="33">
        <f>VLOOKUP($B86,'Maintenance Costs'!$A$20:$AG$176,32,FALSE)</f>
        <v>275.31515276635241</v>
      </c>
      <c r="H86" s="67">
        <f>IF(VLOOKUP($B86,'Maintenance Costs'!$A$20:$AG$176,33,FALSE)=0,"",VLOOKUP($B86,'Maintenance Costs'!$A$20:$AG$176,33,FALSE))</f>
        <v>440.80317760262477</v>
      </c>
      <c r="I86" s="34" t="str">
        <f>IF(ISERROR(VLOOKUP(CONCATENATE($A86,$I$8,I$10),'Tariff Schedule Lookup Table'!$F$8:$G$286,2,FALSE))=TRUE,"",TEXT(VLOOKUP(CONCATENATE($A86,$I$8,I$10),'Tariff Schedule Lookup Table'!$F$8:$G$286,2,FALSE),"0000"))</f>
        <v>0190</v>
      </c>
      <c r="J86" s="34" t="str">
        <f>IF(ISERROR(VLOOKUP(CONCATENATE($A86,$I$8,J$10),'Tariff Schedule Lookup Table'!$F$8:$G$286,2,FALSE))=TRUE,"",TEXT(VLOOKUP(CONCATENATE($A86,$I$8,J$10),'Tariff Schedule Lookup Table'!$F$8:$G$286,2,FALSE),"0000"))</f>
        <v/>
      </c>
      <c r="K86" s="34" t="str">
        <f>IF(ISERROR(VLOOKUP(CONCATENATE($A86,$I$8,K$10),'Tariff Schedule Lookup Table'!$F$8:$G$286,2,FALSE))=TRUE,"",TEXT(VLOOKUP(CONCATENATE($A86,$I$8,K$10),'Tariff Schedule Lookup Table'!$F$8:$G$286,2,FALSE),"0000"))</f>
        <v/>
      </c>
      <c r="L86" s="34" t="str">
        <f>IF(ISERROR(VLOOKUP(CONCATENATE($A86,$I$8,L$10),'Tariff Schedule Lookup Table'!$F$8:$G$286,2,FALSE))=TRUE,"",TEXT(VLOOKUP(CONCATENATE($A86,$I$8,L$10),'Tariff Schedule Lookup Table'!$F$8:$G$286,2,FALSE),"0000"))</f>
        <v/>
      </c>
      <c r="M86" s="34" t="str">
        <f>IF(ISERROR(VLOOKUP(CONCATENATE($A86,$M$8,M$10),'Tariff Schedule Lookup Table'!$F$8:$G$286,2,FALSE))=TRUE,"",TEXT(VLOOKUP(CONCATENATE($A86,$M$8,M$10),'Tariff Schedule Lookup Table'!$F$8:$G$286,2,FALSE),"0000"))</f>
        <v>0250</v>
      </c>
      <c r="N86" s="34" t="str">
        <f>IF(ISERROR(VLOOKUP(CONCATENATE($A86,$M$8,N$10),'Tariff Schedule Lookup Table'!$F$8:$G$286,2,FALSE))=TRUE,"",TEXT(VLOOKUP(CONCATENATE($A86,$M$8,N$10),'Tariff Schedule Lookup Table'!$F$8:$G$286,2,FALSE),"0000"))</f>
        <v>0700</v>
      </c>
      <c r="O86" s="34" t="str">
        <f>IF(ISERROR(VLOOKUP(CONCATENATE($A86,$M$8,O$10),'Tariff Schedule Lookup Table'!$F$8:$G$286,2,FALSE))=TRUE,"",TEXT(VLOOKUP(CONCATENATE($A86,$M$8,O$10),'Tariff Schedule Lookup Table'!$F$8:$G$286,2,FALSE),"0000"))</f>
        <v/>
      </c>
      <c r="P86" s="34" t="str">
        <f>IF(ISERROR(VLOOKUP(CONCATENATE($A86,$M$8,P$10),'Tariff Schedule Lookup Table'!$F$8:$G$286,2,FALSE))=TRUE,"",TEXT(VLOOKUP(CONCATENATE($A86,$M$8,P$10),'Tariff Schedule Lookup Table'!$F$8:$G$286,2,FALSE),"0000"))</f>
        <v/>
      </c>
      <c r="Q86" s="34" t="str">
        <f>IF(ISERROR(VLOOKUP(CONCATENATE($A86,$Q$8,Q$10),'Tariff Schedule Lookup Table'!$F$8:$G$286,2,FALSE))=TRUE,"",TEXT(VLOOKUP(CONCATENATE($A86,$Q$8,Q$10),'Tariff Schedule Lookup Table'!$F$8:$G$286,2,FALSE),"0000"))</f>
        <v>0340</v>
      </c>
      <c r="R86" s="34" t="str">
        <f>IF(ISERROR(VLOOKUP(CONCATENATE($A86,$Q$8,R$10),'Tariff Schedule Lookup Table'!$F$8:$G$286,2,FALSE))=TRUE,"",TEXT(VLOOKUP(CONCATENATE($A86,$Q$8,R$10),'Tariff Schedule Lookup Table'!$F$8:$G$286,2,FALSE),"0000"))</f>
        <v/>
      </c>
      <c r="S86" s="34" t="str">
        <f>IF(ISERROR(VLOOKUP(CONCATENATE($A86,$Q$8,S$10),'Tariff Schedule Lookup Table'!$F$8:$G$286,2,FALSE))=TRUE,"",TEXT(VLOOKUP(CONCATENATE($A86,$Q$8,S$10),'Tariff Schedule Lookup Table'!$F$8:$G$286,2,FALSE),"0000"))</f>
        <v/>
      </c>
      <c r="T86" s="34" t="str">
        <f>IF(ISERROR(VLOOKUP(CONCATENATE($A86,$Q$8,T$10),'Tariff Schedule Lookup Table'!$F$8:$G$286,2,FALSE))=TRUE,"",TEXT(VLOOKUP(CONCATENATE($A86,$Q$8,T$10),'Tariff Schedule Lookup Table'!$F$8:$G$286,2,FALSE),"0000"))</f>
        <v/>
      </c>
      <c r="U86" s="34" t="str">
        <f>IF(ISERROR(VLOOKUP(CONCATENATE($A86,$U$8,U$10),'Tariff Schedule Lookup Table'!$F$8:$G$286,2,FALSE))=TRUE,"",TEXT(VLOOKUP(CONCATENATE($A86,$U$8,U$10),'Tariff Schedule Lookup Table'!$F$8:$G$286,2,FALSE),"0000"))</f>
        <v/>
      </c>
      <c r="V86" s="34" t="str">
        <f>IF(ISERROR(VLOOKUP(CONCATENATE($A86,$U$8,V$10),'Tariff Schedule Lookup Table'!$F$8:$G$286,2,FALSE))=TRUE,"",TEXT(VLOOKUP(CONCATENATE($A86,$U$8,V$10),'Tariff Schedule Lookup Table'!$F$8:$G$286,2,FALSE),"0000"))</f>
        <v/>
      </c>
      <c r="W86" s="34" t="str">
        <f>IF(ISERROR(VLOOKUP(CONCATENATE($A86,$U$8,W$10),'Tariff Schedule Lookup Table'!$F$8:$G$286,2,FALSE))=TRUE,"",TEXT(VLOOKUP(CONCATENATE($A86,$U$8,W$10),'Tariff Schedule Lookup Table'!$F$8:$G$286,2,FALSE),"0000"))</f>
        <v/>
      </c>
      <c r="X86" s="34" t="str">
        <f>IF(ISERROR(VLOOKUP(CONCATENATE($A86,$U$8,X$10),'Tariff Schedule Lookup Table'!$F$8:$G$286,2,FALSE))=TRUE,"",TEXT(VLOOKUP(CONCATENATE($A86,$U$8,X$10),'Tariff Schedule Lookup Table'!$F$8:$G$186,2,FALSE),"0000"))</f>
        <v/>
      </c>
      <c r="Y86" s="6"/>
      <c r="Z86" s="6"/>
      <c r="AA86" s="6"/>
      <c r="AB86" s="6"/>
      <c r="AC86" s="6"/>
    </row>
    <row r="87" spans="1:29" x14ac:dyDescent="0.2">
      <c r="A87" s="6" t="s">
        <v>1107</v>
      </c>
      <c r="B87" s="35" t="s">
        <v>2106</v>
      </c>
      <c r="C87" s="197">
        <f>VLOOKUP(LEFT(B87,7),'Tariff Schedule Lookup Table'!$A$8:$D$186,3,FALSE)</f>
        <v>1000</v>
      </c>
      <c r="D87" s="199" t="str">
        <f>VLOOKUP(LEFT(B87,7),'Tariff Schedule Lookup Table'!$A$8:$D$186,2,FALSE)</f>
        <v>High Pressure Sodium 1000</v>
      </c>
      <c r="E87" s="6" t="s">
        <v>1077</v>
      </c>
      <c r="F87" s="37">
        <f>VLOOKUP(LEFT(B87,7),'Tariff Schedule Lookup Table'!$A$8:$D$186,4,FALSE)</f>
        <v>1064</v>
      </c>
      <c r="G87" s="33">
        <f>VLOOKUP($B87,'Maintenance Costs'!$A$20:$AG$176,32,FALSE)</f>
        <v>141.09548505435251</v>
      </c>
      <c r="H87" s="67">
        <f>IF(VLOOKUP($B87,'Maintenance Costs'!$A$20:$AG$176,33,FALSE)=0,"",VLOOKUP($B87,'Maintenance Costs'!$A$20:$AG$176,33,FALSE))</f>
        <v>191.43332361993816</v>
      </c>
      <c r="I87" s="34" t="str">
        <f>IF(ISERROR(VLOOKUP(CONCATENATE($A87,$I$8,I$10),'Tariff Schedule Lookup Table'!$F$8:$G$286,2,FALSE))=TRUE,"",TEXT(VLOOKUP(CONCATENATE($A87,$I$8,I$10),'Tariff Schedule Lookup Table'!$F$8:$G$286,2,FALSE),"0000"))</f>
        <v>0120</v>
      </c>
      <c r="J87" s="34" t="str">
        <f>IF(ISERROR(VLOOKUP(CONCATENATE($A87,$I$8,J$10),'Tariff Schedule Lookup Table'!$F$8:$G$286,2,FALSE))=TRUE,"",TEXT(VLOOKUP(CONCATENATE($A87,$I$8,J$10),'Tariff Schedule Lookup Table'!$F$8:$G$286,2,FALSE),"0000"))</f>
        <v>1040</v>
      </c>
      <c r="K87" s="34" t="str">
        <f>IF(ISERROR(VLOOKUP(CONCATENATE($A87,$I$8,K$10),'Tariff Schedule Lookup Table'!$F$8:$G$286,2,FALSE))=TRUE,"",TEXT(VLOOKUP(CONCATENATE($A87,$I$8,K$10),'Tariff Schedule Lookup Table'!$F$8:$G$286,2,FALSE),"0000"))</f>
        <v/>
      </c>
      <c r="L87" s="34" t="str">
        <f>IF(ISERROR(VLOOKUP(CONCATENATE($A87,$I$8,L$10),'Tariff Schedule Lookup Table'!$F$8:$G$286,2,FALSE))=TRUE,"",TEXT(VLOOKUP(CONCATENATE($A87,$I$8,L$10),'Tariff Schedule Lookup Table'!$F$8:$G$286,2,FALSE),"0000"))</f>
        <v/>
      </c>
      <c r="M87" s="34" t="str">
        <f>IF(ISERROR(VLOOKUP(CONCATENATE($A87,$M$8,M$10),'Tariff Schedule Lookup Table'!$F$8:$G$286,2,FALSE))=TRUE,"",TEXT(VLOOKUP(CONCATENATE($A87,$M$8,M$10),'Tariff Schedule Lookup Table'!$F$8:$G$286,2,FALSE),"0000"))</f>
        <v>1110</v>
      </c>
      <c r="N87" s="34" t="str">
        <f>IF(ISERROR(VLOOKUP(CONCATENATE($A87,$M$8,N$10),'Tariff Schedule Lookup Table'!$F$8:$G$286,2,FALSE))=TRUE,"",TEXT(VLOOKUP(CONCATENATE($A87,$M$8,N$10),'Tariff Schedule Lookup Table'!$F$8:$G$286,2,FALSE),"0000"))</f>
        <v/>
      </c>
      <c r="O87" s="34" t="str">
        <f>IF(ISERROR(VLOOKUP(CONCATENATE($A87,$M$8,O$10),'Tariff Schedule Lookup Table'!$F$8:$G$286,2,FALSE))=TRUE,"",TEXT(VLOOKUP(CONCATENATE($A87,$M$8,O$10),'Tariff Schedule Lookup Table'!$F$8:$G$286,2,FALSE),"0000"))</f>
        <v/>
      </c>
      <c r="P87" s="34" t="str">
        <f>IF(ISERROR(VLOOKUP(CONCATENATE($A87,$M$8,P$10),'Tariff Schedule Lookup Table'!$F$8:$G$286,2,FALSE))=TRUE,"",TEXT(VLOOKUP(CONCATENATE($A87,$M$8,P$10),'Tariff Schedule Lookup Table'!$F$8:$G$286,2,FALSE),"0000"))</f>
        <v/>
      </c>
      <c r="Q87" s="34" t="str">
        <f>IF(ISERROR(VLOOKUP(CONCATENATE($A87,$Q$8,Q$10),'Tariff Schedule Lookup Table'!$F$8:$G$286,2,FALSE))=TRUE,"",TEXT(VLOOKUP(CONCATENATE($A87,$Q$8,Q$10),'Tariff Schedule Lookup Table'!$F$8:$G$286,2,FALSE),"0000"))</f>
        <v/>
      </c>
      <c r="R87" s="34" t="str">
        <f>IF(ISERROR(VLOOKUP(CONCATENATE($A87,$Q$8,R$10),'Tariff Schedule Lookup Table'!$F$8:$G$286,2,FALSE))=TRUE,"",TEXT(VLOOKUP(CONCATENATE($A87,$Q$8,R$10),'Tariff Schedule Lookup Table'!$F$8:$G$286,2,FALSE),"0000"))</f>
        <v/>
      </c>
      <c r="S87" s="34" t="str">
        <f>IF(ISERROR(VLOOKUP(CONCATENATE($A87,$Q$8,S$10),'Tariff Schedule Lookup Table'!$F$8:$G$286,2,FALSE))=TRUE,"",TEXT(VLOOKUP(CONCATENATE($A87,$Q$8,S$10),'Tariff Schedule Lookup Table'!$F$8:$G$286,2,FALSE),"0000"))</f>
        <v/>
      </c>
      <c r="T87" s="34" t="str">
        <f>IF(ISERROR(VLOOKUP(CONCATENATE($A87,$Q$8,T$10),'Tariff Schedule Lookup Table'!$F$8:$G$286,2,FALSE))=TRUE,"",TEXT(VLOOKUP(CONCATENATE($A87,$Q$8,T$10),'Tariff Schedule Lookup Table'!$F$8:$G$286,2,FALSE),"0000"))</f>
        <v/>
      </c>
      <c r="U87" s="34" t="str">
        <f>IF(ISERROR(VLOOKUP(CONCATENATE($A87,$U$8,U$10),'Tariff Schedule Lookup Table'!$F$8:$G$286,2,FALSE))=TRUE,"",TEXT(VLOOKUP(CONCATENATE($A87,$U$8,U$10),'Tariff Schedule Lookup Table'!$F$8:$G$286,2,FALSE),"0000"))</f>
        <v/>
      </c>
      <c r="V87" s="34" t="str">
        <f>IF(ISERROR(VLOOKUP(CONCATENATE($A87,$U$8,V$10),'Tariff Schedule Lookup Table'!$F$8:$G$286,2,FALSE))=TRUE,"",TEXT(VLOOKUP(CONCATENATE($A87,$U$8,V$10),'Tariff Schedule Lookup Table'!$F$8:$G$286,2,FALSE),"0000"))</f>
        <v>0850</v>
      </c>
      <c r="W87" s="34" t="str">
        <f>IF(ISERROR(VLOOKUP(CONCATENATE($A87,$U$8,W$10),'Tariff Schedule Lookup Table'!$F$8:$G$286,2,FALSE))=TRUE,"",TEXT(VLOOKUP(CONCATENATE($A87,$U$8,W$10),'Tariff Schedule Lookup Table'!$F$8:$G$286,2,FALSE),"0000"))</f>
        <v>0840</v>
      </c>
      <c r="X87" s="34" t="str">
        <f>IF(ISERROR(VLOOKUP(CONCATENATE($A87,$U$8,X$10),'Tariff Schedule Lookup Table'!$F$8:$G$286,2,FALSE))=TRUE,"",TEXT(VLOOKUP(CONCATENATE($A87,$U$8,X$10),'Tariff Schedule Lookup Table'!$F$8:$G$186,2,FALSE),"0000"))</f>
        <v>1050</v>
      </c>
      <c r="Y87" s="6"/>
      <c r="Z87" s="6"/>
      <c r="AA87" s="6"/>
      <c r="AB87" s="6"/>
      <c r="AC87" s="6"/>
    </row>
    <row r="88" spans="1:29" x14ac:dyDescent="0.2">
      <c r="A88" s="6" t="s">
        <v>1107</v>
      </c>
      <c r="B88" s="35" t="s">
        <v>222</v>
      </c>
      <c r="C88" s="197" t="str">
        <f>VLOOKUP(LEFT(B88,7),'Tariff Schedule Lookup Table'!$A$8:$D$186,3,FALSE)</f>
        <v>4x1000</v>
      </c>
      <c r="D88" s="199" t="str">
        <f>VLOOKUP(LEFT(B88,7),'Tariff Schedule Lookup Table'!$A$8:$D$186,2,FALSE)</f>
        <v>High Pressure Sodium 4x1000</v>
      </c>
      <c r="E88" s="6" t="s">
        <v>1077</v>
      </c>
      <c r="F88" s="37">
        <f>VLOOKUP(LEFT(B88,7),'Tariff Schedule Lookup Table'!$A$8:$D$186,4,FALSE)</f>
        <v>4256</v>
      </c>
      <c r="G88" s="33">
        <f>VLOOKUP($B88,'Maintenance Costs'!$A$20:$AG$176,32,FALSE)</f>
        <v>141.09548505435251</v>
      </c>
      <c r="H88" s="67">
        <f>IF(VLOOKUP($B88,'Maintenance Costs'!$A$20:$AG$176,33,FALSE)=0,"",VLOOKUP($B88,'Maintenance Costs'!$A$20:$AG$176,33,FALSE))</f>
        <v>191.43332361993816</v>
      </c>
      <c r="I88" s="34" t="str">
        <f>IF(ISERROR(VLOOKUP(CONCATENATE($A88,$I$8,I$10),'Tariff Schedule Lookup Table'!$F$8:$G$286,2,FALSE))=TRUE,"",TEXT(VLOOKUP(CONCATENATE($A88,$I$8,I$10),'Tariff Schedule Lookup Table'!$F$8:$G$286,2,FALSE),"0000"))</f>
        <v>0120</v>
      </c>
      <c r="J88" s="34" t="str">
        <f>IF(ISERROR(VLOOKUP(CONCATENATE($A88,$I$8,J$10),'Tariff Schedule Lookup Table'!$F$8:$G$286,2,FALSE))=TRUE,"",TEXT(VLOOKUP(CONCATENATE($A88,$I$8,J$10),'Tariff Schedule Lookup Table'!$F$8:$G$286,2,FALSE),"0000"))</f>
        <v>1040</v>
      </c>
      <c r="K88" s="34" t="str">
        <f>IF(ISERROR(VLOOKUP(CONCATENATE($A88,$I$8,K$10),'Tariff Schedule Lookup Table'!$F$8:$G$286,2,FALSE))=TRUE,"",TEXT(VLOOKUP(CONCATENATE($A88,$I$8,K$10),'Tariff Schedule Lookup Table'!$F$8:$G$286,2,FALSE),"0000"))</f>
        <v/>
      </c>
      <c r="L88" s="34" t="str">
        <f>IF(ISERROR(VLOOKUP(CONCATENATE($A88,$I$8,L$10),'Tariff Schedule Lookup Table'!$F$8:$G$286,2,FALSE))=TRUE,"",TEXT(VLOOKUP(CONCATENATE($A88,$I$8,L$10),'Tariff Schedule Lookup Table'!$F$8:$G$286,2,FALSE),"0000"))</f>
        <v/>
      </c>
      <c r="M88" s="34" t="str">
        <f>IF(ISERROR(VLOOKUP(CONCATENATE($A88,$M$8,M$10),'Tariff Schedule Lookup Table'!$F$8:$G$286,2,FALSE))=TRUE,"",TEXT(VLOOKUP(CONCATENATE($A88,$M$8,M$10),'Tariff Schedule Lookup Table'!$F$8:$G$286,2,FALSE),"0000"))</f>
        <v>1110</v>
      </c>
      <c r="N88" s="34" t="str">
        <f>IF(ISERROR(VLOOKUP(CONCATENATE($A88,$M$8,N$10),'Tariff Schedule Lookup Table'!$F$8:$G$286,2,FALSE))=TRUE,"",TEXT(VLOOKUP(CONCATENATE($A88,$M$8,N$10),'Tariff Schedule Lookup Table'!$F$8:$G$286,2,FALSE),"0000"))</f>
        <v/>
      </c>
      <c r="O88" s="34" t="str">
        <f>IF(ISERROR(VLOOKUP(CONCATENATE($A88,$M$8,O$10),'Tariff Schedule Lookup Table'!$F$8:$G$286,2,FALSE))=TRUE,"",TEXT(VLOOKUP(CONCATENATE($A88,$M$8,O$10),'Tariff Schedule Lookup Table'!$F$8:$G$286,2,FALSE),"0000"))</f>
        <v/>
      </c>
      <c r="P88" s="34" t="str">
        <f>IF(ISERROR(VLOOKUP(CONCATENATE($A88,$M$8,P$10),'Tariff Schedule Lookup Table'!$F$8:$G$286,2,FALSE))=TRUE,"",TEXT(VLOOKUP(CONCATENATE($A88,$M$8,P$10),'Tariff Schedule Lookup Table'!$F$8:$G$286,2,FALSE),"0000"))</f>
        <v/>
      </c>
      <c r="Q88" s="34" t="str">
        <f>IF(ISERROR(VLOOKUP(CONCATENATE($A88,$Q$8,Q$10),'Tariff Schedule Lookup Table'!$F$8:$G$286,2,FALSE))=TRUE,"",TEXT(VLOOKUP(CONCATENATE($A88,$Q$8,Q$10),'Tariff Schedule Lookup Table'!$F$8:$G$286,2,FALSE),"0000"))</f>
        <v/>
      </c>
      <c r="R88" s="34" t="str">
        <f>IF(ISERROR(VLOOKUP(CONCATENATE($A88,$Q$8,R$10),'Tariff Schedule Lookup Table'!$F$8:$G$286,2,FALSE))=TRUE,"",TEXT(VLOOKUP(CONCATENATE($A88,$Q$8,R$10),'Tariff Schedule Lookup Table'!$F$8:$G$286,2,FALSE),"0000"))</f>
        <v/>
      </c>
      <c r="S88" s="34" t="str">
        <f>IF(ISERROR(VLOOKUP(CONCATENATE($A88,$Q$8,S$10),'Tariff Schedule Lookup Table'!$F$8:$G$286,2,FALSE))=TRUE,"",TEXT(VLOOKUP(CONCATENATE($A88,$Q$8,S$10),'Tariff Schedule Lookup Table'!$F$8:$G$286,2,FALSE),"0000"))</f>
        <v/>
      </c>
      <c r="T88" s="34" t="str">
        <f>IF(ISERROR(VLOOKUP(CONCATENATE($A88,$Q$8,T$10),'Tariff Schedule Lookup Table'!$F$8:$G$286,2,FALSE))=TRUE,"",TEXT(VLOOKUP(CONCATENATE($A88,$Q$8,T$10),'Tariff Schedule Lookup Table'!$F$8:$G$286,2,FALSE),"0000"))</f>
        <v/>
      </c>
      <c r="U88" s="34" t="str">
        <f>IF(ISERROR(VLOOKUP(CONCATENATE($A88,$U$8,U$10),'Tariff Schedule Lookup Table'!$F$8:$G$286,2,FALSE))=TRUE,"",TEXT(VLOOKUP(CONCATENATE($A88,$U$8,U$10),'Tariff Schedule Lookup Table'!$F$8:$G$286,2,FALSE),"0000"))</f>
        <v/>
      </c>
      <c r="V88" s="34" t="str">
        <f>IF(ISERROR(VLOOKUP(CONCATENATE($A88,$U$8,V$10),'Tariff Schedule Lookup Table'!$F$8:$G$286,2,FALSE))=TRUE,"",TEXT(VLOOKUP(CONCATENATE($A88,$U$8,V$10),'Tariff Schedule Lookup Table'!$F$8:$G$286,2,FALSE),"0000"))</f>
        <v>0850</v>
      </c>
      <c r="W88" s="34" t="str">
        <f>IF(ISERROR(VLOOKUP(CONCATENATE($A88,$U$8,W$10),'Tariff Schedule Lookup Table'!$F$8:$G$286,2,FALSE))=TRUE,"",TEXT(VLOOKUP(CONCATENATE($A88,$U$8,W$10),'Tariff Schedule Lookup Table'!$F$8:$G$286,2,FALSE),"0000"))</f>
        <v>0840</v>
      </c>
      <c r="X88" s="34" t="str">
        <f>IF(ISERROR(VLOOKUP(CONCATENATE($A88,$U$8,X$10),'Tariff Schedule Lookup Table'!$F$8:$G$286,2,FALSE))=TRUE,"",TEXT(VLOOKUP(CONCATENATE($A88,$U$8,X$10),'Tariff Schedule Lookup Table'!$F$8:$G$186,2,FALSE),"0000"))</f>
        <v>1050</v>
      </c>
      <c r="Y88" s="6"/>
      <c r="Z88" s="6"/>
      <c r="AA88" s="6"/>
      <c r="AB88" s="6"/>
      <c r="AC88" s="6"/>
    </row>
    <row r="89" spans="1:29" x14ac:dyDescent="0.2">
      <c r="A89" s="40" t="s">
        <v>993</v>
      </c>
      <c r="B89" s="35" t="s">
        <v>2107</v>
      </c>
      <c r="C89" s="197">
        <f>VLOOKUP(LEFT(B89,7),'Tariff Schedule Lookup Table'!$A$8:$D$186,3,FALSE)</f>
        <v>30</v>
      </c>
      <c r="D89" s="199" t="str">
        <f>VLOOKUP(LEFT(B89,7),'Tariff Schedule Lookup Table'!$A$8:$D$186,2,FALSE)</f>
        <v>Incandescent 30</v>
      </c>
      <c r="E89" s="6" t="s">
        <v>996</v>
      </c>
      <c r="F89" s="37">
        <f>VLOOKUP(LEFT(B89,7),'Tariff Schedule Lookup Table'!$A$8:$D$186,4,FALSE)</f>
        <v>30</v>
      </c>
      <c r="G89" s="33">
        <f>VLOOKUP($B89,'Maintenance Costs'!$A$20:$AG$176,32,FALSE)</f>
        <v>128.40216156024582</v>
      </c>
      <c r="H89" s="67">
        <f>IF(VLOOKUP($B89,'Maintenance Costs'!$A$20:$AG$176,33,FALSE)=0,"",VLOOKUP($B89,'Maintenance Costs'!$A$20:$AG$176,33,FALSE))</f>
        <v>18.153005213350784</v>
      </c>
      <c r="I89" s="34" t="str">
        <f>IF(ISERROR(VLOOKUP(CONCATENATE($A89,$I$8,I$10),'Tariff Schedule Lookup Table'!$F$8:$G$286,2,FALSE))=TRUE,"",TEXT(VLOOKUP(CONCATENATE($A89,$I$8,I$10),'Tariff Schedule Lookup Table'!$F$8:$G$286,2,FALSE),"0000"))</f>
        <v>0010</v>
      </c>
      <c r="J89" s="34" t="str">
        <f>IF(ISERROR(VLOOKUP(CONCATENATE($A89,$I$8,J$10),'Tariff Schedule Lookup Table'!$F$8:$G$286,2,FALSE))=TRUE,"",TEXT(VLOOKUP(CONCATENATE($A89,$I$8,J$10),'Tariff Schedule Lookup Table'!$F$8:$G$286,2,FALSE),"0000"))</f>
        <v>0740</v>
      </c>
      <c r="K89" s="34" t="str">
        <f>IF(ISERROR(VLOOKUP(CONCATENATE($A89,$I$8,K$10),'Tariff Schedule Lookup Table'!$F$8:$G$286,2,FALSE))=TRUE,"",TEXT(VLOOKUP(CONCATENATE($A89,$I$8,K$10),'Tariff Schedule Lookup Table'!$F$8:$G$286,2,FALSE),"0000"))</f>
        <v>0820</v>
      </c>
      <c r="L89" s="34" t="str">
        <f>IF(ISERROR(VLOOKUP(CONCATENATE($A89,$I$8,L$10),'Tariff Schedule Lookup Table'!$F$8:$G$286,2,FALSE))=TRUE,"",TEXT(VLOOKUP(CONCATENATE($A89,$I$8,L$10),'Tariff Schedule Lookup Table'!$F$8:$G$286,2,FALSE),"0000"))</f>
        <v>0830</v>
      </c>
      <c r="M89" s="34" t="str">
        <f>IF(ISERROR(VLOOKUP(CONCATENATE($A89,$M$8,M$10),'Tariff Schedule Lookup Table'!$F$8:$G$286,2,FALSE))=TRUE,"",TEXT(VLOOKUP(CONCATENATE($A89,$M$8,M$10),'Tariff Schedule Lookup Table'!$F$8:$G$286,2,FALSE),"0000"))</f>
        <v>0810</v>
      </c>
      <c r="N89" s="34" t="str">
        <f>IF(ISERROR(VLOOKUP(CONCATENATE($A89,$M$8,N$10),'Tariff Schedule Lookup Table'!$F$8:$G$286,2,FALSE))=TRUE,"",TEXT(VLOOKUP(CONCATENATE($A89,$M$8,N$10),'Tariff Schedule Lookup Table'!$F$8:$G$286,2,FALSE),"0000"))</f>
        <v>1260</v>
      </c>
      <c r="O89" s="34" t="str">
        <f>IF(ISERROR(VLOOKUP(CONCATENATE($A89,$M$8,O$10),'Tariff Schedule Lookup Table'!$F$8:$G$286,2,FALSE))=TRUE,"",TEXT(VLOOKUP(CONCATENATE($A89,$M$8,O$10),'Tariff Schedule Lookup Table'!$F$8:$G$286,2,FALSE),"0000"))</f>
        <v/>
      </c>
      <c r="P89" s="34" t="str">
        <f>IF(ISERROR(VLOOKUP(CONCATENATE($A89,$M$8,P$10),'Tariff Schedule Lookup Table'!$F$8:$G$286,2,FALSE))=TRUE,"",TEXT(VLOOKUP(CONCATENATE($A89,$M$8,P$10),'Tariff Schedule Lookup Table'!$F$8:$G$286,2,FALSE),"0000"))</f>
        <v/>
      </c>
      <c r="Q89" s="34" t="str">
        <f>IF(ISERROR(VLOOKUP(CONCATENATE($A89,$Q$8,Q$10),'Tariff Schedule Lookup Table'!$F$8:$G$286,2,FALSE))=TRUE,"",TEXT(VLOOKUP(CONCATENATE($A89,$Q$8,Q$10),'Tariff Schedule Lookup Table'!$F$8:$G$286,2,FALSE),"0000"))</f>
        <v>0990</v>
      </c>
      <c r="R89" s="34" t="str">
        <f>IF(ISERROR(VLOOKUP(CONCATENATE($A89,$Q$8,R$10),'Tariff Schedule Lookup Table'!$F$8:$G$286,2,FALSE))=TRUE,"",TEXT(VLOOKUP(CONCATENATE($A89,$Q$8,R$10),'Tariff Schedule Lookup Table'!$F$8:$G$286,2,FALSE),"0000"))</f>
        <v>1000</v>
      </c>
      <c r="S89" s="34" t="str">
        <f>IF(ISERROR(VLOOKUP(CONCATENATE($A89,$Q$8,S$10),'Tariff Schedule Lookup Table'!$F$8:$G$286,2,FALSE))=TRUE,"",TEXT(VLOOKUP(CONCATENATE($A89,$Q$8,S$10),'Tariff Schedule Lookup Table'!$F$8:$G$286,2,FALSE),"0000"))</f>
        <v>1460</v>
      </c>
      <c r="T89" s="34" t="str">
        <f>IF(ISERROR(VLOOKUP(CONCATENATE($A89,$Q$8,T$10),'Tariff Schedule Lookup Table'!$F$8:$G$286,2,FALSE))=TRUE,"",TEXT(VLOOKUP(CONCATENATE($A89,$Q$8,T$10),'Tariff Schedule Lookup Table'!$F$8:$G$286,2,FALSE),"0000"))</f>
        <v>1500</v>
      </c>
      <c r="U89" s="34" t="str">
        <f>IF(ISERROR(VLOOKUP(CONCATENATE($A89,$U$8,U$10),'Tariff Schedule Lookup Table'!$F$8:$G$286,2,FALSE))=TRUE,"",TEXT(VLOOKUP(CONCATENATE($A89,$U$8,U$10),'Tariff Schedule Lookup Table'!$F$8:$G$286,2,FALSE),"0000"))</f>
        <v/>
      </c>
      <c r="V89" s="34" t="str">
        <f>IF(ISERROR(VLOOKUP(CONCATENATE($A89,$U$8,V$10),'Tariff Schedule Lookup Table'!$F$8:$G$286,2,FALSE))=TRUE,"",TEXT(VLOOKUP(CONCATENATE($A89,$U$8,V$10),'Tariff Schedule Lookup Table'!$F$8:$G$286,2,FALSE),"0000"))</f>
        <v/>
      </c>
      <c r="W89" s="34" t="str">
        <f>IF(ISERROR(VLOOKUP(CONCATENATE($A89,$U$8,W$10),'Tariff Schedule Lookup Table'!$F$8:$G$286,2,FALSE))=TRUE,"",TEXT(VLOOKUP(CONCATENATE($A89,$U$8,W$10),'Tariff Schedule Lookup Table'!$F$8:$G$286,2,FALSE),"0000"))</f>
        <v/>
      </c>
      <c r="X89" s="34" t="str">
        <f>IF(ISERROR(VLOOKUP(CONCATENATE($A89,$U$8,X$10),'Tariff Schedule Lookup Table'!$F$8:$G$286,2,FALSE))=TRUE,"",TEXT(VLOOKUP(CONCATENATE($A89,$U$8,X$10),'Tariff Schedule Lookup Table'!$F$8:$G$186,2,FALSE),"0000"))</f>
        <v/>
      </c>
      <c r="Y89" s="6"/>
      <c r="Z89" s="6"/>
      <c r="AA89" s="6"/>
      <c r="AB89" s="6"/>
      <c r="AC89" s="6"/>
    </row>
    <row r="90" spans="1:29" x14ac:dyDescent="0.2">
      <c r="A90" s="40" t="s">
        <v>993</v>
      </c>
      <c r="B90" s="35" t="s">
        <v>2108</v>
      </c>
      <c r="C90" s="197">
        <f>VLOOKUP(LEFT(B90,7),'Tariff Schedule Lookup Table'!$A$8:$D$186,3,FALSE)</f>
        <v>40</v>
      </c>
      <c r="D90" s="199" t="str">
        <f>VLOOKUP(LEFT(B90,7),'Tariff Schedule Lookup Table'!$A$8:$D$186,2,FALSE)</f>
        <v>Incandescent 40</v>
      </c>
      <c r="E90" s="6" t="s">
        <v>996</v>
      </c>
      <c r="F90" s="37">
        <f>VLOOKUP(LEFT(B90,7),'Tariff Schedule Lookup Table'!$A$8:$D$186,4,FALSE)</f>
        <v>40</v>
      </c>
      <c r="G90" s="33">
        <f>VLOOKUP($B90,'Maintenance Costs'!$A$20:$AG$176,32,FALSE)</f>
        <v>128.40216156024582</v>
      </c>
      <c r="H90" s="67">
        <f>IF(VLOOKUP($B90,'Maintenance Costs'!$A$20:$AG$176,33,FALSE)=0,"",VLOOKUP($B90,'Maintenance Costs'!$A$20:$AG$176,33,FALSE))</f>
        <v>18.153005213350784</v>
      </c>
      <c r="I90" s="34" t="str">
        <f>IF(ISERROR(VLOOKUP(CONCATENATE($A90,$I$8,I$10),'Tariff Schedule Lookup Table'!$F$8:$G$286,2,FALSE))=TRUE,"",TEXT(VLOOKUP(CONCATENATE($A90,$I$8,I$10),'Tariff Schedule Lookup Table'!$F$8:$G$286,2,FALSE),"0000"))</f>
        <v>0010</v>
      </c>
      <c r="J90" s="34" t="str">
        <f>IF(ISERROR(VLOOKUP(CONCATENATE($A90,$I$8,J$10),'Tariff Schedule Lookup Table'!$F$8:$G$286,2,FALSE))=TRUE,"",TEXT(VLOOKUP(CONCATENATE($A90,$I$8,J$10),'Tariff Schedule Lookup Table'!$F$8:$G$286,2,FALSE),"0000"))</f>
        <v>0740</v>
      </c>
      <c r="K90" s="34" t="str">
        <f>IF(ISERROR(VLOOKUP(CONCATENATE($A90,$I$8,K$10),'Tariff Schedule Lookup Table'!$F$8:$G$286,2,FALSE))=TRUE,"",TEXT(VLOOKUP(CONCATENATE($A90,$I$8,K$10),'Tariff Schedule Lookup Table'!$F$8:$G$286,2,FALSE),"0000"))</f>
        <v>0820</v>
      </c>
      <c r="L90" s="34" t="str">
        <f>IF(ISERROR(VLOOKUP(CONCATENATE($A90,$I$8,L$10),'Tariff Schedule Lookup Table'!$F$8:$G$286,2,FALSE))=TRUE,"",TEXT(VLOOKUP(CONCATENATE($A90,$I$8,L$10),'Tariff Schedule Lookup Table'!$F$8:$G$286,2,FALSE),"0000"))</f>
        <v>0830</v>
      </c>
      <c r="M90" s="34" t="str">
        <f>IF(ISERROR(VLOOKUP(CONCATENATE($A90,$M$8,M$10),'Tariff Schedule Lookup Table'!$F$8:$G$286,2,FALSE))=TRUE,"",TEXT(VLOOKUP(CONCATENATE($A90,$M$8,M$10),'Tariff Schedule Lookup Table'!$F$8:$G$286,2,FALSE),"0000"))</f>
        <v>0810</v>
      </c>
      <c r="N90" s="34" t="str">
        <f>IF(ISERROR(VLOOKUP(CONCATENATE($A90,$M$8,N$10),'Tariff Schedule Lookup Table'!$F$8:$G$286,2,FALSE))=TRUE,"",TEXT(VLOOKUP(CONCATENATE($A90,$M$8,N$10),'Tariff Schedule Lookup Table'!$F$8:$G$286,2,FALSE),"0000"))</f>
        <v>1260</v>
      </c>
      <c r="O90" s="34" t="str">
        <f>IF(ISERROR(VLOOKUP(CONCATENATE($A90,$M$8,O$10),'Tariff Schedule Lookup Table'!$F$8:$G$286,2,FALSE))=TRUE,"",TEXT(VLOOKUP(CONCATENATE($A90,$M$8,O$10),'Tariff Schedule Lookup Table'!$F$8:$G$286,2,FALSE),"0000"))</f>
        <v/>
      </c>
      <c r="P90" s="34" t="str">
        <f>IF(ISERROR(VLOOKUP(CONCATENATE($A90,$M$8,P$10),'Tariff Schedule Lookup Table'!$F$8:$G$286,2,FALSE))=TRUE,"",TEXT(VLOOKUP(CONCATENATE($A90,$M$8,P$10),'Tariff Schedule Lookup Table'!$F$8:$G$286,2,FALSE),"0000"))</f>
        <v/>
      </c>
      <c r="Q90" s="34" t="str">
        <f>IF(ISERROR(VLOOKUP(CONCATENATE($A90,$Q$8,Q$10),'Tariff Schedule Lookup Table'!$F$8:$G$286,2,FALSE))=TRUE,"",TEXT(VLOOKUP(CONCATENATE($A90,$Q$8,Q$10),'Tariff Schedule Lookup Table'!$F$8:$G$286,2,FALSE),"0000"))</f>
        <v>0990</v>
      </c>
      <c r="R90" s="34" t="str">
        <f>IF(ISERROR(VLOOKUP(CONCATENATE($A90,$Q$8,R$10),'Tariff Schedule Lookup Table'!$F$8:$G$286,2,FALSE))=TRUE,"",TEXT(VLOOKUP(CONCATENATE($A90,$Q$8,R$10),'Tariff Schedule Lookup Table'!$F$8:$G$286,2,FALSE),"0000"))</f>
        <v>1000</v>
      </c>
      <c r="S90" s="34" t="str">
        <f>IF(ISERROR(VLOOKUP(CONCATENATE($A90,$Q$8,S$10),'Tariff Schedule Lookup Table'!$F$8:$G$286,2,FALSE))=TRUE,"",TEXT(VLOOKUP(CONCATENATE($A90,$Q$8,S$10),'Tariff Schedule Lookup Table'!$F$8:$G$286,2,FALSE),"0000"))</f>
        <v>1460</v>
      </c>
      <c r="T90" s="34" t="str">
        <f>IF(ISERROR(VLOOKUP(CONCATENATE($A90,$Q$8,T$10),'Tariff Schedule Lookup Table'!$F$8:$G$286,2,FALSE))=TRUE,"",TEXT(VLOOKUP(CONCATENATE($A90,$Q$8,T$10),'Tariff Schedule Lookup Table'!$F$8:$G$286,2,FALSE),"0000"))</f>
        <v>1500</v>
      </c>
      <c r="U90" s="34" t="str">
        <f>IF(ISERROR(VLOOKUP(CONCATENATE($A90,$U$8,U$10),'Tariff Schedule Lookup Table'!$F$8:$G$286,2,FALSE))=TRUE,"",TEXT(VLOOKUP(CONCATENATE($A90,$U$8,U$10),'Tariff Schedule Lookup Table'!$F$8:$G$286,2,FALSE),"0000"))</f>
        <v/>
      </c>
      <c r="V90" s="34" t="str">
        <f>IF(ISERROR(VLOOKUP(CONCATENATE($A90,$U$8,V$10),'Tariff Schedule Lookup Table'!$F$8:$G$286,2,FALSE))=TRUE,"",TEXT(VLOOKUP(CONCATENATE($A90,$U$8,V$10),'Tariff Schedule Lookup Table'!$F$8:$G$286,2,FALSE),"0000"))</f>
        <v/>
      </c>
      <c r="W90" s="34" t="str">
        <f>IF(ISERROR(VLOOKUP(CONCATENATE($A90,$U$8,W$10),'Tariff Schedule Lookup Table'!$F$8:$G$286,2,FALSE))=TRUE,"",TEXT(VLOOKUP(CONCATENATE($A90,$U$8,W$10),'Tariff Schedule Lookup Table'!$F$8:$G$286,2,FALSE),"0000"))</f>
        <v/>
      </c>
      <c r="X90" s="34" t="str">
        <f>IF(ISERROR(VLOOKUP(CONCATENATE($A90,$U$8,X$10),'Tariff Schedule Lookup Table'!$F$8:$G$286,2,FALSE))=TRUE,"",TEXT(VLOOKUP(CONCATENATE($A90,$U$8,X$10),'Tariff Schedule Lookup Table'!$F$8:$G$186,2,FALSE),"0000"))</f>
        <v/>
      </c>
      <c r="Y90" s="6"/>
      <c r="Z90" s="6"/>
      <c r="AA90" s="6"/>
      <c r="AB90" s="6"/>
      <c r="AC90" s="6"/>
    </row>
    <row r="91" spans="1:29" x14ac:dyDescent="0.2">
      <c r="A91" s="40" t="s">
        <v>993</v>
      </c>
      <c r="B91" s="35" t="s">
        <v>2109</v>
      </c>
      <c r="C91" s="197">
        <f>VLOOKUP(LEFT(B91,7),'Tariff Schedule Lookup Table'!$A$8:$D$186,3,FALSE)</f>
        <v>60</v>
      </c>
      <c r="D91" s="199" t="str">
        <f>VLOOKUP(LEFT(B91,7),'Tariff Schedule Lookup Table'!$A$8:$D$186,2,FALSE)</f>
        <v>Incandescent 60</v>
      </c>
      <c r="E91" s="6" t="s">
        <v>996</v>
      </c>
      <c r="F91" s="37">
        <f>VLOOKUP(LEFT(B91,7),'Tariff Schedule Lookup Table'!$A$8:$D$186,4,FALSE)</f>
        <v>60</v>
      </c>
      <c r="G91" s="33">
        <f>VLOOKUP($B91,'Maintenance Costs'!$A$20:$AG$176,32,FALSE)</f>
        <v>128.40216156024582</v>
      </c>
      <c r="H91" s="67">
        <f>IF(VLOOKUP($B91,'Maintenance Costs'!$A$20:$AG$176,33,FALSE)=0,"",VLOOKUP($B91,'Maintenance Costs'!$A$20:$AG$176,33,FALSE))</f>
        <v>18.153005213350784</v>
      </c>
      <c r="I91" s="34" t="str">
        <f>IF(ISERROR(VLOOKUP(CONCATENATE($A91,$I$8,I$10),'Tariff Schedule Lookup Table'!$F$8:$G$286,2,FALSE))=TRUE,"",TEXT(VLOOKUP(CONCATENATE($A91,$I$8,I$10),'Tariff Schedule Lookup Table'!$F$8:$G$286,2,FALSE),"0000"))</f>
        <v>0010</v>
      </c>
      <c r="J91" s="34" t="str">
        <f>IF(ISERROR(VLOOKUP(CONCATENATE($A91,$I$8,J$10),'Tariff Schedule Lookup Table'!$F$8:$G$286,2,FALSE))=TRUE,"",TEXT(VLOOKUP(CONCATENATE($A91,$I$8,J$10),'Tariff Schedule Lookup Table'!$F$8:$G$286,2,FALSE),"0000"))</f>
        <v>0740</v>
      </c>
      <c r="K91" s="34" t="str">
        <f>IF(ISERROR(VLOOKUP(CONCATENATE($A91,$I$8,K$10),'Tariff Schedule Lookup Table'!$F$8:$G$286,2,FALSE))=TRUE,"",TEXT(VLOOKUP(CONCATENATE($A91,$I$8,K$10),'Tariff Schedule Lookup Table'!$F$8:$G$286,2,FALSE),"0000"))</f>
        <v>0820</v>
      </c>
      <c r="L91" s="34" t="str">
        <f>IF(ISERROR(VLOOKUP(CONCATENATE($A91,$I$8,L$10),'Tariff Schedule Lookup Table'!$F$8:$G$286,2,FALSE))=TRUE,"",TEXT(VLOOKUP(CONCATENATE($A91,$I$8,L$10),'Tariff Schedule Lookup Table'!$F$8:$G$286,2,FALSE),"0000"))</f>
        <v>0830</v>
      </c>
      <c r="M91" s="34" t="str">
        <f>IF(ISERROR(VLOOKUP(CONCATENATE($A91,$M$8,M$10),'Tariff Schedule Lookup Table'!$F$8:$G$286,2,FALSE))=TRUE,"",TEXT(VLOOKUP(CONCATENATE($A91,$M$8,M$10),'Tariff Schedule Lookup Table'!$F$8:$G$286,2,FALSE),"0000"))</f>
        <v>0810</v>
      </c>
      <c r="N91" s="34" t="str">
        <f>IF(ISERROR(VLOOKUP(CONCATENATE($A91,$M$8,N$10),'Tariff Schedule Lookup Table'!$F$8:$G$286,2,FALSE))=TRUE,"",TEXT(VLOOKUP(CONCATENATE($A91,$M$8,N$10),'Tariff Schedule Lookup Table'!$F$8:$G$286,2,FALSE),"0000"))</f>
        <v>1260</v>
      </c>
      <c r="O91" s="34" t="str">
        <f>IF(ISERROR(VLOOKUP(CONCATENATE($A91,$M$8,O$10),'Tariff Schedule Lookup Table'!$F$8:$G$286,2,FALSE))=TRUE,"",TEXT(VLOOKUP(CONCATENATE($A91,$M$8,O$10),'Tariff Schedule Lookup Table'!$F$8:$G$286,2,FALSE),"0000"))</f>
        <v/>
      </c>
      <c r="P91" s="34" t="str">
        <f>IF(ISERROR(VLOOKUP(CONCATENATE($A91,$M$8,P$10),'Tariff Schedule Lookup Table'!$F$8:$G$286,2,FALSE))=TRUE,"",TEXT(VLOOKUP(CONCATENATE($A91,$M$8,P$10),'Tariff Schedule Lookup Table'!$F$8:$G$286,2,FALSE),"0000"))</f>
        <v/>
      </c>
      <c r="Q91" s="34" t="str">
        <f>IF(ISERROR(VLOOKUP(CONCATENATE($A91,$Q$8,Q$10),'Tariff Schedule Lookup Table'!$F$8:$G$286,2,FALSE))=TRUE,"",TEXT(VLOOKUP(CONCATENATE($A91,$Q$8,Q$10),'Tariff Schedule Lookup Table'!$F$8:$G$286,2,FALSE),"0000"))</f>
        <v>0990</v>
      </c>
      <c r="R91" s="34" t="str">
        <f>IF(ISERROR(VLOOKUP(CONCATENATE($A91,$Q$8,R$10),'Tariff Schedule Lookup Table'!$F$8:$G$286,2,FALSE))=TRUE,"",TEXT(VLOOKUP(CONCATENATE($A91,$Q$8,R$10),'Tariff Schedule Lookup Table'!$F$8:$G$286,2,FALSE),"0000"))</f>
        <v>1000</v>
      </c>
      <c r="S91" s="34" t="str">
        <f>IF(ISERROR(VLOOKUP(CONCATENATE($A91,$Q$8,S$10),'Tariff Schedule Lookup Table'!$F$8:$G$286,2,FALSE))=TRUE,"",TEXT(VLOOKUP(CONCATENATE($A91,$Q$8,S$10),'Tariff Schedule Lookup Table'!$F$8:$G$286,2,FALSE),"0000"))</f>
        <v>1460</v>
      </c>
      <c r="T91" s="34" t="str">
        <f>IF(ISERROR(VLOOKUP(CONCATENATE($A91,$Q$8,T$10),'Tariff Schedule Lookup Table'!$F$8:$G$286,2,FALSE))=TRUE,"",TEXT(VLOOKUP(CONCATENATE($A91,$Q$8,T$10),'Tariff Schedule Lookup Table'!$F$8:$G$286,2,FALSE),"0000"))</f>
        <v>1500</v>
      </c>
      <c r="U91" s="34" t="str">
        <f>IF(ISERROR(VLOOKUP(CONCATENATE($A91,$U$8,U$10),'Tariff Schedule Lookup Table'!$F$8:$G$286,2,FALSE))=TRUE,"",TEXT(VLOOKUP(CONCATENATE($A91,$U$8,U$10),'Tariff Schedule Lookup Table'!$F$8:$G$286,2,FALSE),"0000"))</f>
        <v/>
      </c>
      <c r="V91" s="34" t="str">
        <f>IF(ISERROR(VLOOKUP(CONCATENATE($A91,$U$8,V$10),'Tariff Schedule Lookup Table'!$F$8:$G$286,2,FALSE))=TRUE,"",TEXT(VLOOKUP(CONCATENATE($A91,$U$8,V$10),'Tariff Schedule Lookup Table'!$F$8:$G$286,2,FALSE),"0000"))</f>
        <v/>
      </c>
      <c r="W91" s="34" t="str">
        <f>IF(ISERROR(VLOOKUP(CONCATENATE($A91,$U$8,W$10),'Tariff Schedule Lookup Table'!$F$8:$G$286,2,FALSE))=TRUE,"",TEXT(VLOOKUP(CONCATENATE($A91,$U$8,W$10),'Tariff Schedule Lookup Table'!$F$8:$G$286,2,FALSE),"0000"))</f>
        <v/>
      </c>
      <c r="X91" s="34" t="str">
        <f>IF(ISERROR(VLOOKUP(CONCATENATE($A91,$U$8,X$10),'Tariff Schedule Lookup Table'!$F$8:$G$286,2,FALSE))=TRUE,"",TEXT(VLOOKUP(CONCATENATE($A91,$U$8,X$10),'Tariff Schedule Lookup Table'!$F$8:$G$186,2,FALSE),"0000"))</f>
        <v/>
      </c>
      <c r="Y91" s="6"/>
      <c r="Z91" s="6"/>
      <c r="AA91" s="6"/>
      <c r="AB91" s="6"/>
      <c r="AC91" s="6"/>
    </row>
    <row r="92" spans="1:29" x14ac:dyDescent="0.2">
      <c r="A92" s="40" t="s">
        <v>993</v>
      </c>
      <c r="B92" s="35" t="s">
        <v>2110</v>
      </c>
      <c r="C92" s="197">
        <f>VLOOKUP(LEFT(B92,7),'Tariff Schedule Lookup Table'!$A$8:$D$186,3,FALSE)</f>
        <v>75</v>
      </c>
      <c r="D92" s="199" t="str">
        <f>VLOOKUP(LEFT(B92,7),'Tariff Schedule Lookup Table'!$A$8:$D$186,2,FALSE)</f>
        <v>Incandescent 75</v>
      </c>
      <c r="E92" s="6" t="s">
        <v>996</v>
      </c>
      <c r="F92" s="37">
        <f>VLOOKUP(LEFT(B92,7),'Tariff Schedule Lookup Table'!$A$8:$D$186,4,FALSE)</f>
        <v>75</v>
      </c>
      <c r="G92" s="33">
        <f>VLOOKUP($B92,'Maintenance Costs'!$A$20:$AG$176,32,FALSE)</f>
        <v>128.40216156024582</v>
      </c>
      <c r="H92" s="67">
        <f>IF(VLOOKUP($B92,'Maintenance Costs'!$A$20:$AG$176,33,FALSE)=0,"",VLOOKUP($B92,'Maintenance Costs'!$A$20:$AG$176,33,FALSE))</f>
        <v>18.153005213350784</v>
      </c>
      <c r="I92" s="34" t="str">
        <f>IF(ISERROR(VLOOKUP(CONCATENATE($A92,$I$8,I$10),'Tariff Schedule Lookup Table'!$F$8:$G$286,2,FALSE))=TRUE,"",TEXT(VLOOKUP(CONCATENATE($A92,$I$8,I$10),'Tariff Schedule Lookup Table'!$F$8:$G$286,2,FALSE),"0000"))</f>
        <v>0010</v>
      </c>
      <c r="J92" s="34" t="str">
        <f>IF(ISERROR(VLOOKUP(CONCATENATE($A92,$I$8,J$10),'Tariff Schedule Lookup Table'!$F$8:$G$286,2,FALSE))=TRUE,"",TEXT(VLOOKUP(CONCATENATE($A92,$I$8,J$10),'Tariff Schedule Lookup Table'!$F$8:$G$286,2,FALSE),"0000"))</f>
        <v>0740</v>
      </c>
      <c r="K92" s="34" t="str">
        <f>IF(ISERROR(VLOOKUP(CONCATENATE($A92,$I$8,K$10),'Tariff Schedule Lookup Table'!$F$8:$G$286,2,FALSE))=TRUE,"",TEXT(VLOOKUP(CONCATENATE($A92,$I$8,K$10),'Tariff Schedule Lookup Table'!$F$8:$G$286,2,FALSE),"0000"))</f>
        <v>0820</v>
      </c>
      <c r="L92" s="34" t="str">
        <f>IF(ISERROR(VLOOKUP(CONCATENATE($A92,$I$8,L$10),'Tariff Schedule Lookup Table'!$F$8:$G$286,2,FALSE))=TRUE,"",TEXT(VLOOKUP(CONCATENATE($A92,$I$8,L$10),'Tariff Schedule Lookup Table'!$F$8:$G$286,2,FALSE),"0000"))</f>
        <v>0830</v>
      </c>
      <c r="M92" s="34" t="str">
        <f>IF(ISERROR(VLOOKUP(CONCATENATE($A92,$M$8,M$10),'Tariff Schedule Lookup Table'!$F$8:$G$286,2,FALSE))=TRUE,"",TEXT(VLOOKUP(CONCATENATE($A92,$M$8,M$10),'Tariff Schedule Lookup Table'!$F$8:$G$286,2,FALSE),"0000"))</f>
        <v>0810</v>
      </c>
      <c r="N92" s="34" t="str">
        <f>IF(ISERROR(VLOOKUP(CONCATENATE($A92,$M$8,N$10),'Tariff Schedule Lookup Table'!$F$8:$G$286,2,FALSE))=TRUE,"",TEXT(VLOOKUP(CONCATENATE($A92,$M$8,N$10),'Tariff Schedule Lookup Table'!$F$8:$G$286,2,FALSE),"0000"))</f>
        <v>1260</v>
      </c>
      <c r="O92" s="34" t="str">
        <f>IF(ISERROR(VLOOKUP(CONCATENATE($A92,$M$8,O$10),'Tariff Schedule Lookup Table'!$F$8:$G$286,2,FALSE))=TRUE,"",TEXT(VLOOKUP(CONCATENATE($A92,$M$8,O$10),'Tariff Schedule Lookup Table'!$F$8:$G$286,2,FALSE),"0000"))</f>
        <v/>
      </c>
      <c r="P92" s="34" t="str">
        <f>IF(ISERROR(VLOOKUP(CONCATENATE($A92,$M$8,P$10),'Tariff Schedule Lookup Table'!$F$8:$G$286,2,FALSE))=TRUE,"",TEXT(VLOOKUP(CONCATENATE($A92,$M$8,P$10),'Tariff Schedule Lookup Table'!$F$8:$G$286,2,FALSE),"0000"))</f>
        <v/>
      </c>
      <c r="Q92" s="34" t="str">
        <f>IF(ISERROR(VLOOKUP(CONCATENATE($A92,$Q$8,Q$10),'Tariff Schedule Lookup Table'!$F$8:$G$286,2,FALSE))=TRUE,"",TEXT(VLOOKUP(CONCATENATE($A92,$Q$8,Q$10),'Tariff Schedule Lookup Table'!$F$8:$G$286,2,FALSE),"0000"))</f>
        <v>0990</v>
      </c>
      <c r="R92" s="34" t="str">
        <f>IF(ISERROR(VLOOKUP(CONCATENATE($A92,$Q$8,R$10),'Tariff Schedule Lookup Table'!$F$8:$G$286,2,FALSE))=TRUE,"",TEXT(VLOOKUP(CONCATENATE($A92,$Q$8,R$10),'Tariff Schedule Lookup Table'!$F$8:$G$286,2,FALSE),"0000"))</f>
        <v>1000</v>
      </c>
      <c r="S92" s="34" t="str">
        <f>IF(ISERROR(VLOOKUP(CONCATENATE($A92,$Q$8,S$10),'Tariff Schedule Lookup Table'!$F$8:$G$286,2,FALSE))=TRUE,"",TEXT(VLOOKUP(CONCATENATE($A92,$Q$8,S$10),'Tariff Schedule Lookup Table'!$F$8:$G$286,2,FALSE),"0000"))</f>
        <v>1460</v>
      </c>
      <c r="T92" s="34" t="str">
        <f>IF(ISERROR(VLOOKUP(CONCATENATE($A92,$Q$8,T$10),'Tariff Schedule Lookup Table'!$F$8:$G$286,2,FALSE))=TRUE,"",TEXT(VLOOKUP(CONCATENATE($A92,$Q$8,T$10),'Tariff Schedule Lookup Table'!$F$8:$G$286,2,FALSE),"0000"))</f>
        <v>1500</v>
      </c>
      <c r="U92" s="34" t="str">
        <f>IF(ISERROR(VLOOKUP(CONCATENATE($A92,$U$8,U$10),'Tariff Schedule Lookup Table'!$F$8:$G$286,2,FALSE))=TRUE,"",TEXT(VLOOKUP(CONCATENATE($A92,$U$8,U$10),'Tariff Schedule Lookup Table'!$F$8:$G$286,2,FALSE),"0000"))</f>
        <v/>
      </c>
      <c r="V92" s="34" t="str">
        <f>IF(ISERROR(VLOOKUP(CONCATENATE($A92,$U$8,V$10),'Tariff Schedule Lookup Table'!$F$8:$G$286,2,FALSE))=TRUE,"",TEXT(VLOOKUP(CONCATENATE($A92,$U$8,V$10),'Tariff Schedule Lookup Table'!$F$8:$G$286,2,FALSE),"0000"))</f>
        <v/>
      </c>
      <c r="W92" s="34" t="str">
        <f>IF(ISERROR(VLOOKUP(CONCATENATE($A92,$U$8,W$10),'Tariff Schedule Lookup Table'!$F$8:$G$286,2,FALSE))=TRUE,"",TEXT(VLOOKUP(CONCATENATE($A92,$U$8,W$10),'Tariff Schedule Lookup Table'!$F$8:$G$286,2,FALSE),"0000"))</f>
        <v/>
      </c>
      <c r="X92" s="34" t="str">
        <f>IF(ISERROR(VLOOKUP(CONCATENATE($A92,$U$8,X$10),'Tariff Schedule Lookup Table'!$F$8:$G$286,2,FALSE))=TRUE,"",TEXT(VLOOKUP(CONCATENATE($A92,$U$8,X$10),'Tariff Schedule Lookup Table'!$F$8:$G$186,2,FALSE),"0000"))</f>
        <v/>
      </c>
      <c r="Y92" s="6"/>
      <c r="Z92" s="6"/>
      <c r="AA92" s="6"/>
      <c r="AB92" s="6"/>
      <c r="AC92" s="6"/>
    </row>
    <row r="93" spans="1:29" x14ac:dyDescent="0.2">
      <c r="A93" s="40" t="s">
        <v>993</v>
      </c>
      <c r="B93" s="35" t="s">
        <v>2111</v>
      </c>
      <c r="C93" s="197">
        <f>VLOOKUP(LEFT(B93,7),'Tariff Schedule Lookup Table'!$A$8:$D$186,3,FALSE)</f>
        <v>100</v>
      </c>
      <c r="D93" s="199" t="str">
        <f>VLOOKUP(LEFT(B93,7),'Tariff Schedule Lookup Table'!$A$8:$D$186,2,FALSE)</f>
        <v>Incandescent 100</v>
      </c>
      <c r="E93" s="6" t="s">
        <v>996</v>
      </c>
      <c r="F93" s="37">
        <f>VLOOKUP(LEFT(B93,7),'Tariff Schedule Lookup Table'!$A$8:$D$186,4,FALSE)</f>
        <v>100</v>
      </c>
      <c r="G93" s="33">
        <f>VLOOKUP($B93,'Maintenance Costs'!$A$20:$AG$176,32,FALSE)</f>
        <v>128.40216156024582</v>
      </c>
      <c r="H93" s="67">
        <f>IF(VLOOKUP($B93,'Maintenance Costs'!$A$20:$AG$176,33,FALSE)=0,"",VLOOKUP($B93,'Maintenance Costs'!$A$20:$AG$176,33,FALSE))</f>
        <v>18.153005213350784</v>
      </c>
      <c r="I93" s="34" t="str">
        <f>IF(ISERROR(VLOOKUP(CONCATENATE($A93,$I$8,I$10),'Tariff Schedule Lookup Table'!$F$8:$G$286,2,FALSE))=TRUE,"",TEXT(VLOOKUP(CONCATENATE($A93,$I$8,I$10),'Tariff Schedule Lookup Table'!$F$8:$G$286,2,FALSE),"0000"))</f>
        <v>0010</v>
      </c>
      <c r="J93" s="34" t="str">
        <f>IF(ISERROR(VLOOKUP(CONCATENATE($A93,$I$8,J$10),'Tariff Schedule Lookup Table'!$F$8:$G$286,2,FALSE))=TRUE,"",TEXT(VLOOKUP(CONCATENATE($A93,$I$8,J$10),'Tariff Schedule Lookup Table'!$F$8:$G$286,2,FALSE),"0000"))</f>
        <v>0740</v>
      </c>
      <c r="K93" s="34" t="str">
        <f>IF(ISERROR(VLOOKUP(CONCATENATE($A93,$I$8,K$10),'Tariff Schedule Lookup Table'!$F$8:$G$286,2,FALSE))=TRUE,"",TEXT(VLOOKUP(CONCATENATE($A93,$I$8,K$10),'Tariff Schedule Lookup Table'!$F$8:$G$286,2,FALSE),"0000"))</f>
        <v>0820</v>
      </c>
      <c r="L93" s="34" t="str">
        <f>IF(ISERROR(VLOOKUP(CONCATENATE($A93,$I$8,L$10),'Tariff Schedule Lookup Table'!$F$8:$G$286,2,FALSE))=TRUE,"",TEXT(VLOOKUP(CONCATENATE($A93,$I$8,L$10),'Tariff Schedule Lookup Table'!$F$8:$G$286,2,FALSE),"0000"))</f>
        <v>0830</v>
      </c>
      <c r="M93" s="34" t="str">
        <f>IF(ISERROR(VLOOKUP(CONCATENATE($A93,$M$8,M$10),'Tariff Schedule Lookup Table'!$F$8:$G$286,2,FALSE))=TRUE,"",TEXT(VLOOKUP(CONCATENATE($A93,$M$8,M$10),'Tariff Schedule Lookup Table'!$F$8:$G$286,2,FALSE),"0000"))</f>
        <v>0810</v>
      </c>
      <c r="N93" s="34" t="str">
        <f>IF(ISERROR(VLOOKUP(CONCATENATE($A93,$M$8,N$10),'Tariff Schedule Lookup Table'!$F$8:$G$286,2,FALSE))=TRUE,"",TEXT(VLOOKUP(CONCATENATE($A93,$M$8,N$10),'Tariff Schedule Lookup Table'!$F$8:$G$286,2,FALSE),"0000"))</f>
        <v>1260</v>
      </c>
      <c r="O93" s="34" t="str">
        <f>IF(ISERROR(VLOOKUP(CONCATENATE($A93,$M$8,O$10),'Tariff Schedule Lookup Table'!$F$8:$G$286,2,FALSE))=TRUE,"",TEXT(VLOOKUP(CONCATENATE($A93,$M$8,O$10),'Tariff Schedule Lookup Table'!$F$8:$G$286,2,FALSE),"0000"))</f>
        <v/>
      </c>
      <c r="P93" s="34" t="str">
        <f>IF(ISERROR(VLOOKUP(CONCATENATE($A93,$M$8,P$10),'Tariff Schedule Lookup Table'!$F$8:$G$286,2,FALSE))=TRUE,"",TEXT(VLOOKUP(CONCATENATE($A93,$M$8,P$10),'Tariff Schedule Lookup Table'!$F$8:$G$286,2,FALSE),"0000"))</f>
        <v/>
      </c>
      <c r="Q93" s="34" t="str">
        <f>IF(ISERROR(VLOOKUP(CONCATENATE($A93,$Q$8,Q$10),'Tariff Schedule Lookup Table'!$F$8:$G$286,2,FALSE))=TRUE,"",TEXT(VLOOKUP(CONCATENATE($A93,$Q$8,Q$10),'Tariff Schedule Lookup Table'!$F$8:$G$286,2,FALSE),"0000"))</f>
        <v>0990</v>
      </c>
      <c r="R93" s="34" t="str">
        <f>IF(ISERROR(VLOOKUP(CONCATENATE($A93,$Q$8,R$10),'Tariff Schedule Lookup Table'!$F$8:$G$286,2,FALSE))=TRUE,"",TEXT(VLOOKUP(CONCATENATE($A93,$Q$8,R$10),'Tariff Schedule Lookup Table'!$F$8:$G$286,2,FALSE),"0000"))</f>
        <v>1000</v>
      </c>
      <c r="S93" s="34" t="str">
        <f>IF(ISERROR(VLOOKUP(CONCATENATE($A93,$Q$8,S$10),'Tariff Schedule Lookup Table'!$F$8:$G$286,2,FALSE))=TRUE,"",TEXT(VLOOKUP(CONCATENATE($A93,$Q$8,S$10),'Tariff Schedule Lookup Table'!$F$8:$G$286,2,FALSE),"0000"))</f>
        <v>1460</v>
      </c>
      <c r="T93" s="34" t="str">
        <f>IF(ISERROR(VLOOKUP(CONCATENATE($A93,$Q$8,T$10),'Tariff Schedule Lookup Table'!$F$8:$G$286,2,FALSE))=TRUE,"",TEXT(VLOOKUP(CONCATENATE($A93,$Q$8,T$10),'Tariff Schedule Lookup Table'!$F$8:$G$286,2,FALSE),"0000"))</f>
        <v>1500</v>
      </c>
      <c r="U93" s="34" t="str">
        <f>IF(ISERROR(VLOOKUP(CONCATENATE($A93,$U$8,U$10),'Tariff Schedule Lookup Table'!$F$8:$G$286,2,FALSE))=TRUE,"",TEXT(VLOOKUP(CONCATENATE($A93,$U$8,U$10),'Tariff Schedule Lookup Table'!$F$8:$G$286,2,FALSE),"0000"))</f>
        <v/>
      </c>
      <c r="V93" s="34" t="str">
        <f>IF(ISERROR(VLOOKUP(CONCATENATE($A93,$U$8,V$10),'Tariff Schedule Lookup Table'!$F$8:$G$286,2,FALSE))=TRUE,"",TEXT(VLOOKUP(CONCATENATE($A93,$U$8,V$10),'Tariff Schedule Lookup Table'!$F$8:$G$286,2,FALSE),"0000"))</f>
        <v/>
      </c>
      <c r="W93" s="34" t="str">
        <f>IF(ISERROR(VLOOKUP(CONCATENATE($A93,$U$8,W$10),'Tariff Schedule Lookup Table'!$F$8:$G$286,2,FALSE))=TRUE,"",TEXT(VLOOKUP(CONCATENATE($A93,$U$8,W$10),'Tariff Schedule Lookup Table'!$F$8:$G$286,2,FALSE),"0000"))</f>
        <v/>
      </c>
      <c r="X93" s="34" t="str">
        <f>IF(ISERROR(VLOOKUP(CONCATENATE($A93,$U$8,X$10),'Tariff Schedule Lookup Table'!$F$8:$G$286,2,FALSE))=TRUE,"",TEXT(VLOOKUP(CONCATENATE($A93,$U$8,X$10),'Tariff Schedule Lookup Table'!$F$8:$G$186,2,FALSE),"0000"))</f>
        <v/>
      </c>
      <c r="Y93" s="6"/>
      <c r="Z93" s="6"/>
      <c r="AA93" s="6"/>
      <c r="AB93" s="6"/>
      <c r="AC93" s="6"/>
    </row>
    <row r="94" spans="1:29" x14ac:dyDescent="0.2">
      <c r="A94" s="40" t="s">
        <v>993</v>
      </c>
      <c r="B94" s="35" t="s">
        <v>223</v>
      </c>
      <c r="C94" s="197" t="str">
        <f>VLOOKUP(LEFT(B94,7),'Tariff Schedule Lookup Table'!$A$8:$D$186,3,FALSE)</f>
        <v>3x100</v>
      </c>
      <c r="D94" s="199" t="str">
        <f>VLOOKUP(LEFT(B94,7),'Tariff Schedule Lookup Table'!$A$8:$D$186,2,FALSE)</f>
        <v>Incandescent 3x100</v>
      </c>
      <c r="E94" s="6" t="s">
        <v>996</v>
      </c>
      <c r="F94" s="37">
        <f>VLOOKUP(LEFT(B94,7),'Tariff Schedule Lookup Table'!$A$8:$D$186,4,FALSE)</f>
        <v>300</v>
      </c>
      <c r="G94" s="33">
        <f>VLOOKUP($B94,'Maintenance Costs'!$A$20:$AG$176,32,FALSE)</f>
        <v>129.87377456024583</v>
      </c>
      <c r="H94" s="67">
        <f>IF(VLOOKUP($B94,'Maintenance Costs'!$A$20:$AG$176,33,FALSE)=0,"",VLOOKUP($B94,'Maintenance Costs'!$A$20:$AG$176,33,FALSE))</f>
        <v>19.150562612284116</v>
      </c>
      <c r="I94" s="34" t="str">
        <f>IF(ISERROR(VLOOKUP(CONCATENATE($A94,$I$8,I$10),'Tariff Schedule Lookup Table'!$F$8:$G$286,2,FALSE))=TRUE,"",TEXT(VLOOKUP(CONCATENATE($A94,$I$8,I$10),'Tariff Schedule Lookup Table'!$F$8:$G$286,2,FALSE),"0000"))</f>
        <v>0010</v>
      </c>
      <c r="J94" s="34" t="str">
        <f>IF(ISERROR(VLOOKUP(CONCATENATE($A94,$I$8,J$10),'Tariff Schedule Lookup Table'!$F$8:$G$286,2,FALSE))=TRUE,"",TEXT(VLOOKUP(CONCATENATE($A94,$I$8,J$10),'Tariff Schedule Lookup Table'!$F$8:$G$286,2,FALSE),"0000"))</f>
        <v>0740</v>
      </c>
      <c r="K94" s="34" t="str">
        <f>IF(ISERROR(VLOOKUP(CONCATENATE($A94,$I$8,K$10),'Tariff Schedule Lookup Table'!$F$8:$G$286,2,FALSE))=TRUE,"",TEXT(VLOOKUP(CONCATENATE($A94,$I$8,K$10),'Tariff Schedule Lookup Table'!$F$8:$G$286,2,FALSE),"0000"))</f>
        <v>0820</v>
      </c>
      <c r="L94" s="34" t="str">
        <f>IF(ISERROR(VLOOKUP(CONCATENATE($A94,$I$8,L$10),'Tariff Schedule Lookup Table'!$F$8:$G$286,2,FALSE))=TRUE,"",TEXT(VLOOKUP(CONCATENATE($A94,$I$8,L$10),'Tariff Schedule Lookup Table'!$F$8:$G$286,2,FALSE),"0000"))</f>
        <v>0830</v>
      </c>
      <c r="M94" s="34" t="str">
        <f>IF(ISERROR(VLOOKUP(CONCATENATE($A94,$M$8,M$10),'Tariff Schedule Lookup Table'!$F$8:$G$286,2,FALSE))=TRUE,"",TEXT(VLOOKUP(CONCATENATE($A94,$M$8,M$10),'Tariff Schedule Lookup Table'!$F$8:$G$286,2,FALSE),"0000"))</f>
        <v>0810</v>
      </c>
      <c r="N94" s="34" t="str">
        <f>IF(ISERROR(VLOOKUP(CONCATENATE($A94,$M$8,N$10),'Tariff Schedule Lookup Table'!$F$8:$G$286,2,FALSE))=TRUE,"",TEXT(VLOOKUP(CONCATENATE($A94,$M$8,N$10),'Tariff Schedule Lookup Table'!$F$8:$G$286,2,FALSE),"0000"))</f>
        <v>1260</v>
      </c>
      <c r="O94" s="34" t="str">
        <f>IF(ISERROR(VLOOKUP(CONCATENATE($A94,$M$8,O$10),'Tariff Schedule Lookup Table'!$F$8:$G$286,2,FALSE))=TRUE,"",TEXT(VLOOKUP(CONCATENATE($A94,$M$8,O$10),'Tariff Schedule Lookup Table'!$F$8:$G$286,2,FALSE),"0000"))</f>
        <v/>
      </c>
      <c r="P94" s="34" t="str">
        <f>IF(ISERROR(VLOOKUP(CONCATENATE($A94,$M$8,P$10),'Tariff Schedule Lookup Table'!$F$8:$G$286,2,FALSE))=TRUE,"",TEXT(VLOOKUP(CONCATENATE($A94,$M$8,P$10),'Tariff Schedule Lookup Table'!$F$8:$G$286,2,FALSE),"0000"))</f>
        <v/>
      </c>
      <c r="Q94" s="34" t="str">
        <f>IF(ISERROR(VLOOKUP(CONCATENATE($A94,$Q$8,Q$10),'Tariff Schedule Lookup Table'!$F$8:$G$286,2,FALSE))=TRUE,"",TEXT(VLOOKUP(CONCATENATE($A94,$Q$8,Q$10),'Tariff Schedule Lookup Table'!$F$8:$G$286,2,FALSE),"0000"))</f>
        <v>0990</v>
      </c>
      <c r="R94" s="34" t="str">
        <f>IF(ISERROR(VLOOKUP(CONCATENATE($A94,$Q$8,R$10),'Tariff Schedule Lookup Table'!$F$8:$G$286,2,FALSE))=TRUE,"",TEXT(VLOOKUP(CONCATENATE($A94,$Q$8,R$10),'Tariff Schedule Lookup Table'!$F$8:$G$286,2,FALSE),"0000"))</f>
        <v>1000</v>
      </c>
      <c r="S94" s="34" t="str">
        <f>IF(ISERROR(VLOOKUP(CONCATENATE($A94,$Q$8,S$10),'Tariff Schedule Lookup Table'!$F$8:$G$286,2,FALSE))=TRUE,"",TEXT(VLOOKUP(CONCATENATE($A94,$Q$8,S$10),'Tariff Schedule Lookup Table'!$F$8:$G$286,2,FALSE),"0000"))</f>
        <v>1460</v>
      </c>
      <c r="T94" s="34" t="str">
        <f>IF(ISERROR(VLOOKUP(CONCATENATE($A94,$Q$8,T$10),'Tariff Schedule Lookup Table'!$F$8:$G$286,2,FALSE))=TRUE,"",TEXT(VLOOKUP(CONCATENATE($A94,$Q$8,T$10),'Tariff Schedule Lookup Table'!$F$8:$G$286,2,FALSE),"0000"))</f>
        <v>1500</v>
      </c>
      <c r="U94" s="34" t="str">
        <f>IF(ISERROR(VLOOKUP(CONCATENATE($A94,$U$8,U$10),'Tariff Schedule Lookup Table'!$F$8:$G$286,2,FALSE))=TRUE,"",TEXT(VLOOKUP(CONCATENATE($A94,$U$8,U$10),'Tariff Schedule Lookup Table'!$F$8:$G$286,2,FALSE),"0000"))</f>
        <v/>
      </c>
      <c r="V94" s="34" t="str">
        <f>IF(ISERROR(VLOOKUP(CONCATENATE($A94,$U$8,V$10),'Tariff Schedule Lookup Table'!$F$8:$G$286,2,FALSE))=TRUE,"",TEXT(VLOOKUP(CONCATENATE($A94,$U$8,V$10),'Tariff Schedule Lookup Table'!$F$8:$G$286,2,FALSE),"0000"))</f>
        <v/>
      </c>
      <c r="W94" s="34" t="str">
        <f>IF(ISERROR(VLOOKUP(CONCATENATE($A94,$U$8,W$10),'Tariff Schedule Lookup Table'!$F$8:$G$286,2,FALSE))=TRUE,"",TEXT(VLOOKUP(CONCATENATE($A94,$U$8,W$10),'Tariff Schedule Lookup Table'!$F$8:$G$286,2,FALSE),"0000"))</f>
        <v/>
      </c>
      <c r="X94" s="34" t="str">
        <f>IF(ISERROR(VLOOKUP(CONCATENATE($A94,$U$8,X$10),'Tariff Schedule Lookup Table'!$F$8:$G$286,2,FALSE))=TRUE,"",TEXT(VLOOKUP(CONCATENATE($A94,$U$8,X$10),'Tariff Schedule Lookup Table'!$F$8:$G$186,2,FALSE),"0000"))</f>
        <v/>
      </c>
      <c r="Y94" s="6"/>
      <c r="Z94" s="6"/>
      <c r="AA94" s="6"/>
      <c r="AB94" s="6"/>
      <c r="AC94" s="6"/>
    </row>
    <row r="95" spans="1:29" x14ac:dyDescent="0.2">
      <c r="A95" s="40" t="s">
        <v>993</v>
      </c>
      <c r="B95" s="35" t="s">
        <v>2112</v>
      </c>
      <c r="C95" s="197">
        <f>VLOOKUP(LEFT(B95,7),'Tariff Schedule Lookup Table'!$A$8:$D$186,3,FALSE)</f>
        <v>130</v>
      </c>
      <c r="D95" s="199" t="str">
        <f>VLOOKUP(LEFT(B95,7),'Tariff Schedule Lookup Table'!$A$8:$D$186,2,FALSE)</f>
        <v>Incandescent 130</v>
      </c>
      <c r="E95" s="6" t="s">
        <v>996</v>
      </c>
      <c r="F95" s="37">
        <f>VLOOKUP(LEFT(B95,7),'Tariff Schedule Lookup Table'!$A$8:$D$186,4,FALSE)</f>
        <v>130</v>
      </c>
      <c r="G95" s="33">
        <f>VLOOKUP($B95,'Maintenance Costs'!$A$20:$AG$176,32,FALSE)</f>
        <v>128.40216156024582</v>
      </c>
      <c r="H95" s="67">
        <f>IF(VLOOKUP($B95,'Maintenance Costs'!$A$20:$AG$176,33,FALSE)=0,"",VLOOKUP($B95,'Maintenance Costs'!$A$20:$AG$176,33,FALSE))</f>
        <v>18.153005213350784</v>
      </c>
      <c r="I95" s="34" t="str">
        <f>IF(ISERROR(VLOOKUP(CONCATENATE($A95,$I$8,I$10),'Tariff Schedule Lookup Table'!$F$8:$G$286,2,FALSE))=TRUE,"",TEXT(VLOOKUP(CONCATENATE($A95,$I$8,I$10),'Tariff Schedule Lookup Table'!$F$8:$G$286,2,FALSE),"0000"))</f>
        <v>0010</v>
      </c>
      <c r="J95" s="34" t="str">
        <f>IF(ISERROR(VLOOKUP(CONCATENATE($A95,$I$8,J$10),'Tariff Schedule Lookup Table'!$F$8:$G$286,2,FALSE))=TRUE,"",TEXT(VLOOKUP(CONCATENATE($A95,$I$8,J$10),'Tariff Schedule Lookup Table'!$F$8:$G$286,2,FALSE),"0000"))</f>
        <v>0740</v>
      </c>
      <c r="K95" s="34" t="str">
        <f>IF(ISERROR(VLOOKUP(CONCATENATE($A95,$I$8,K$10),'Tariff Schedule Lookup Table'!$F$8:$G$286,2,FALSE))=TRUE,"",TEXT(VLOOKUP(CONCATENATE($A95,$I$8,K$10),'Tariff Schedule Lookup Table'!$F$8:$G$286,2,FALSE),"0000"))</f>
        <v>0820</v>
      </c>
      <c r="L95" s="34" t="str">
        <f>IF(ISERROR(VLOOKUP(CONCATENATE($A95,$I$8,L$10),'Tariff Schedule Lookup Table'!$F$8:$G$286,2,FALSE))=TRUE,"",TEXT(VLOOKUP(CONCATENATE($A95,$I$8,L$10),'Tariff Schedule Lookup Table'!$F$8:$G$286,2,FALSE),"0000"))</f>
        <v>0830</v>
      </c>
      <c r="M95" s="34" t="str">
        <f>IF(ISERROR(VLOOKUP(CONCATENATE($A95,$M$8,M$10),'Tariff Schedule Lookup Table'!$F$8:$G$286,2,FALSE))=TRUE,"",TEXT(VLOOKUP(CONCATENATE($A95,$M$8,M$10),'Tariff Schedule Lookup Table'!$F$8:$G$286,2,FALSE),"0000"))</f>
        <v>0810</v>
      </c>
      <c r="N95" s="34" t="str">
        <f>IF(ISERROR(VLOOKUP(CONCATENATE($A95,$M$8,N$10),'Tariff Schedule Lookup Table'!$F$8:$G$286,2,FALSE))=TRUE,"",TEXT(VLOOKUP(CONCATENATE($A95,$M$8,N$10),'Tariff Schedule Lookup Table'!$F$8:$G$286,2,FALSE),"0000"))</f>
        <v>1260</v>
      </c>
      <c r="O95" s="34" t="str">
        <f>IF(ISERROR(VLOOKUP(CONCATENATE($A95,$M$8,O$10),'Tariff Schedule Lookup Table'!$F$8:$G$286,2,FALSE))=TRUE,"",TEXT(VLOOKUP(CONCATENATE($A95,$M$8,O$10),'Tariff Schedule Lookup Table'!$F$8:$G$286,2,FALSE),"0000"))</f>
        <v/>
      </c>
      <c r="P95" s="34" t="str">
        <f>IF(ISERROR(VLOOKUP(CONCATENATE($A95,$M$8,P$10),'Tariff Schedule Lookup Table'!$F$8:$G$286,2,FALSE))=TRUE,"",TEXT(VLOOKUP(CONCATENATE($A95,$M$8,P$10),'Tariff Schedule Lookup Table'!$F$8:$G$286,2,FALSE),"0000"))</f>
        <v/>
      </c>
      <c r="Q95" s="34" t="str">
        <f>IF(ISERROR(VLOOKUP(CONCATENATE($A95,$Q$8,Q$10),'Tariff Schedule Lookup Table'!$F$8:$G$286,2,FALSE))=TRUE,"",TEXT(VLOOKUP(CONCATENATE($A95,$Q$8,Q$10),'Tariff Schedule Lookup Table'!$F$8:$G$286,2,FALSE),"0000"))</f>
        <v>0990</v>
      </c>
      <c r="R95" s="34" t="str">
        <f>IF(ISERROR(VLOOKUP(CONCATENATE($A95,$Q$8,R$10),'Tariff Schedule Lookup Table'!$F$8:$G$286,2,FALSE))=TRUE,"",TEXT(VLOOKUP(CONCATENATE($A95,$Q$8,R$10),'Tariff Schedule Lookup Table'!$F$8:$G$286,2,FALSE),"0000"))</f>
        <v>1000</v>
      </c>
      <c r="S95" s="34" t="str">
        <f>IF(ISERROR(VLOOKUP(CONCATENATE($A95,$Q$8,S$10),'Tariff Schedule Lookup Table'!$F$8:$G$286,2,FALSE))=TRUE,"",TEXT(VLOOKUP(CONCATENATE($A95,$Q$8,S$10),'Tariff Schedule Lookup Table'!$F$8:$G$286,2,FALSE),"0000"))</f>
        <v>1460</v>
      </c>
      <c r="T95" s="34" t="str">
        <f>IF(ISERROR(VLOOKUP(CONCATENATE($A95,$Q$8,T$10),'Tariff Schedule Lookup Table'!$F$8:$G$286,2,FALSE))=TRUE,"",TEXT(VLOOKUP(CONCATENATE($A95,$Q$8,T$10),'Tariff Schedule Lookup Table'!$F$8:$G$286,2,FALSE),"0000"))</f>
        <v>1500</v>
      </c>
      <c r="U95" s="34" t="str">
        <f>IF(ISERROR(VLOOKUP(CONCATENATE($A95,$U$8,U$10),'Tariff Schedule Lookup Table'!$F$8:$G$286,2,FALSE))=TRUE,"",TEXT(VLOOKUP(CONCATENATE($A95,$U$8,U$10),'Tariff Schedule Lookup Table'!$F$8:$G$286,2,FALSE),"0000"))</f>
        <v/>
      </c>
      <c r="V95" s="34" t="str">
        <f>IF(ISERROR(VLOOKUP(CONCATENATE($A95,$U$8,V$10),'Tariff Schedule Lookup Table'!$F$8:$G$286,2,FALSE))=TRUE,"",TEXT(VLOOKUP(CONCATENATE($A95,$U$8,V$10),'Tariff Schedule Lookup Table'!$F$8:$G$286,2,FALSE),"0000"))</f>
        <v/>
      </c>
      <c r="W95" s="34" t="str">
        <f>IF(ISERROR(VLOOKUP(CONCATENATE($A95,$U$8,W$10),'Tariff Schedule Lookup Table'!$F$8:$G$286,2,FALSE))=TRUE,"",TEXT(VLOOKUP(CONCATENATE($A95,$U$8,W$10),'Tariff Schedule Lookup Table'!$F$8:$G$286,2,FALSE),"0000"))</f>
        <v/>
      </c>
      <c r="X95" s="34" t="str">
        <f>IF(ISERROR(VLOOKUP(CONCATENATE($A95,$U$8,X$10),'Tariff Schedule Lookup Table'!$F$8:$G$286,2,FALSE))=TRUE,"",TEXT(VLOOKUP(CONCATENATE($A95,$U$8,X$10),'Tariff Schedule Lookup Table'!$F$8:$G$186,2,FALSE),"0000"))</f>
        <v/>
      </c>
      <c r="Y95" s="6"/>
      <c r="Z95" s="6"/>
      <c r="AA95" s="6"/>
      <c r="AB95" s="6"/>
      <c r="AC95" s="6"/>
    </row>
    <row r="96" spans="1:29" x14ac:dyDescent="0.2">
      <c r="A96" s="40" t="s">
        <v>993</v>
      </c>
      <c r="B96" s="35" t="s">
        <v>2113</v>
      </c>
      <c r="C96" s="197">
        <f>VLOOKUP(LEFT(B96,7),'Tariff Schedule Lookup Table'!$A$8:$D$186,3,FALSE)</f>
        <v>150</v>
      </c>
      <c r="D96" s="199" t="str">
        <f>VLOOKUP(LEFT(B96,7),'Tariff Schedule Lookup Table'!$A$8:$D$186,2,FALSE)</f>
        <v>Incandescent 150</v>
      </c>
      <c r="E96" s="6" t="s">
        <v>996</v>
      </c>
      <c r="F96" s="37">
        <f>VLOOKUP(LEFT(B96,7),'Tariff Schedule Lookup Table'!$A$8:$D$186,4,FALSE)</f>
        <v>150</v>
      </c>
      <c r="G96" s="33">
        <f>VLOOKUP($B96,'Maintenance Costs'!$A$20:$AG$176,32,FALSE)</f>
        <v>128.40216156024582</v>
      </c>
      <c r="H96" s="67">
        <f>IF(VLOOKUP($B96,'Maintenance Costs'!$A$20:$AG$176,33,FALSE)=0,"",VLOOKUP($B96,'Maintenance Costs'!$A$20:$AG$176,33,FALSE))</f>
        <v>20.903227435573008</v>
      </c>
      <c r="I96" s="34" t="str">
        <f>IF(ISERROR(VLOOKUP(CONCATENATE($A96,$I$8,I$10),'Tariff Schedule Lookup Table'!$F$8:$G$286,2,FALSE))=TRUE,"",TEXT(VLOOKUP(CONCATENATE($A96,$I$8,I$10),'Tariff Schedule Lookup Table'!$F$8:$G$286,2,FALSE),"0000"))</f>
        <v>0010</v>
      </c>
      <c r="J96" s="34" t="str">
        <f>IF(ISERROR(VLOOKUP(CONCATENATE($A96,$I$8,J$10),'Tariff Schedule Lookup Table'!$F$8:$G$286,2,FALSE))=TRUE,"",TEXT(VLOOKUP(CONCATENATE($A96,$I$8,J$10),'Tariff Schedule Lookup Table'!$F$8:$G$286,2,FALSE),"0000"))</f>
        <v>0740</v>
      </c>
      <c r="K96" s="34" t="str">
        <f>IF(ISERROR(VLOOKUP(CONCATENATE($A96,$I$8,K$10),'Tariff Schedule Lookup Table'!$F$8:$G$286,2,FALSE))=TRUE,"",TEXT(VLOOKUP(CONCATENATE($A96,$I$8,K$10),'Tariff Schedule Lookup Table'!$F$8:$G$286,2,FALSE),"0000"))</f>
        <v>0820</v>
      </c>
      <c r="L96" s="34" t="str">
        <f>IF(ISERROR(VLOOKUP(CONCATENATE($A96,$I$8,L$10),'Tariff Schedule Lookup Table'!$F$8:$G$286,2,FALSE))=TRUE,"",TEXT(VLOOKUP(CONCATENATE($A96,$I$8,L$10),'Tariff Schedule Lookup Table'!$F$8:$G$286,2,FALSE),"0000"))</f>
        <v>0830</v>
      </c>
      <c r="M96" s="34" t="str">
        <f>IF(ISERROR(VLOOKUP(CONCATENATE($A96,$M$8,M$10),'Tariff Schedule Lookup Table'!$F$8:$G$286,2,FALSE))=TRUE,"",TEXT(VLOOKUP(CONCATENATE($A96,$M$8,M$10),'Tariff Schedule Lookup Table'!$F$8:$G$286,2,FALSE),"0000"))</f>
        <v>0810</v>
      </c>
      <c r="N96" s="34" t="str">
        <f>IF(ISERROR(VLOOKUP(CONCATENATE($A96,$M$8,N$10),'Tariff Schedule Lookup Table'!$F$8:$G$286,2,FALSE))=TRUE,"",TEXT(VLOOKUP(CONCATENATE($A96,$M$8,N$10),'Tariff Schedule Lookup Table'!$F$8:$G$286,2,FALSE),"0000"))</f>
        <v>1260</v>
      </c>
      <c r="O96" s="34" t="str">
        <f>IF(ISERROR(VLOOKUP(CONCATENATE($A96,$M$8,O$10),'Tariff Schedule Lookup Table'!$F$8:$G$286,2,FALSE))=TRUE,"",TEXT(VLOOKUP(CONCATENATE($A96,$M$8,O$10),'Tariff Schedule Lookup Table'!$F$8:$G$286,2,FALSE),"0000"))</f>
        <v/>
      </c>
      <c r="P96" s="34" t="str">
        <f>IF(ISERROR(VLOOKUP(CONCATENATE($A96,$M$8,P$10),'Tariff Schedule Lookup Table'!$F$8:$G$286,2,FALSE))=TRUE,"",TEXT(VLOOKUP(CONCATENATE($A96,$M$8,P$10),'Tariff Schedule Lookup Table'!$F$8:$G$286,2,FALSE),"0000"))</f>
        <v/>
      </c>
      <c r="Q96" s="34" t="str">
        <f>IF(ISERROR(VLOOKUP(CONCATENATE($A96,$Q$8,Q$10),'Tariff Schedule Lookup Table'!$F$8:$G$286,2,FALSE))=TRUE,"",TEXT(VLOOKUP(CONCATENATE($A96,$Q$8,Q$10),'Tariff Schedule Lookup Table'!$F$8:$G$286,2,FALSE),"0000"))</f>
        <v>0990</v>
      </c>
      <c r="R96" s="34" t="str">
        <f>IF(ISERROR(VLOOKUP(CONCATENATE($A96,$Q$8,R$10),'Tariff Schedule Lookup Table'!$F$8:$G$286,2,FALSE))=TRUE,"",TEXT(VLOOKUP(CONCATENATE($A96,$Q$8,R$10),'Tariff Schedule Lookup Table'!$F$8:$G$286,2,FALSE),"0000"))</f>
        <v>1000</v>
      </c>
      <c r="S96" s="34" t="str">
        <f>IF(ISERROR(VLOOKUP(CONCATENATE($A96,$Q$8,S$10),'Tariff Schedule Lookup Table'!$F$8:$G$286,2,FALSE))=TRUE,"",TEXT(VLOOKUP(CONCATENATE($A96,$Q$8,S$10),'Tariff Schedule Lookup Table'!$F$8:$G$286,2,FALSE),"0000"))</f>
        <v>1460</v>
      </c>
      <c r="T96" s="34" t="str">
        <f>IF(ISERROR(VLOOKUP(CONCATENATE($A96,$Q$8,T$10),'Tariff Schedule Lookup Table'!$F$8:$G$286,2,FALSE))=TRUE,"",TEXT(VLOOKUP(CONCATENATE($A96,$Q$8,T$10),'Tariff Schedule Lookup Table'!$F$8:$G$286,2,FALSE),"0000"))</f>
        <v>1500</v>
      </c>
      <c r="U96" s="34" t="str">
        <f>IF(ISERROR(VLOOKUP(CONCATENATE($A96,$U$8,U$10),'Tariff Schedule Lookup Table'!$F$8:$G$286,2,FALSE))=TRUE,"",TEXT(VLOOKUP(CONCATENATE($A96,$U$8,U$10),'Tariff Schedule Lookup Table'!$F$8:$G$286,2,FALSE),"0000"))</f>
        <v/>
      </c>
      <c r="V96" s="34" t="str">
        <f>IF(ISERROR(VLOOKUP(CONCATENATE($A96,$U$8,V$10),'Tariff Schedule Lookup Table'!$F$8:$G$286,2,FALSE))=TRUE,"",TEXT(VLOOKUP(CONCATENATE($A96,$U$8,V$10),'Tariff Schedule Lookup Table'!$F$8:$G$286,2,FALSE),"0000"))</f>
        <v/>
      </c>
      <c r="W96" s="34" t="str">
        <f>IF(ISERROR(VLOOKUP(CONCATENATE($A96,$U$8,W$10),'Tariff Schedule Lookup Table'!$F$8:$G$286,2,FALSE))=TRUE,"",TEXT(VLOOKUP(CONCATENATE($A96,$U$8,W$10),'Tariff Schedule Lookup Table'!$F$8:$G$286,2,FALSE),"0000"))</f>
        <v/>
      </c>
      <c r="X96" s="34" t="str">
        <f>IF(ISERROR(VLOOKUP(CONCATENATE($A96,$U$8,X$10),'Tariff Schedule Lookup Table'!$F$8:$G$286,2,FALSE))=TRUE,"",TEXT(VLOOKUP(CONCATENATE($A96,$U$8,X$10),'Tariff Schedule Lookup Table'!$F$8:$G$186,2,FALSE),"0000"))</f>
        <v/>
      </c>
      <c r="Y96" s="6"/>
      <c r="Z96" s="6"/>
      <c r="AA96" s="6"/>
      <c r="AB96" s="6"/>
      <c r="AC96" s="6"/>
    </row>
    <row r="97" spans="1:42" x14ac:dyDescent="0.2">
      <c r="A97" s="40" t="s">
        <v>993</v>
      </c>
      <c r="B97" s="35" t="s">
        <v>2114</v>
      </c>
      <c r="C97" s="197">
        <f>VLOOKUP(LEFT(B97,7),'Tariff Schedule Lookup Table'!$A$8:$D$186,3,FALSE)</f>
        <v>200</v>
      </c>
      <c r="D97" s="199" t="str">
        <f>VLOOKUP(LEFT(B97,7),'Tariff Schedule Lookup Table'!$A$8:$D$186,2,FALSE)</f>
        <v>Incandescent 200</v>
      </c>
      <c r="E97" s="6" t="s">
        <v>996</v>
      </c>
      <c r="F97" s="37">
        <f>VLOOKUP(LEFT(B97,7),'Tariff Schedule Lookup Table'!$A$8:$D$186,4,FALSE)</f>
        <v>200</v>
      </c>
      <c r="G97" s="33">
        <f>VLOOKUP($B97,'Maintenance Costs'!$A$20:$AG$176,32,FALSE)</f>
        <v>128.40216156024582</v>
      </c>
      <c r="H97" s="67">
        <f>IF(VLOOKUP($B97,'Maintenance Costs'!$A$20:$AG$176,33,FALSE)=0,"",VLOOKUP($B97,'Maintenance Costs'!$A$20:$AG$176,33,FALSE))</f>
        <v>20.903227435573008</v>
      </c>
      <c r="I97" s="34" t="str">
        <f>IF(ISERROR(VLOOKUP(CONCATENATE($A97,$I$8,I$10),'Tariff Schedule Lookup Table'!$F$8:$G$286,2,FALSE))=TRUE,"",TEXT(VLOOKUP(CONCATENATE($A97,$I$8,I$10),'Tariff Schedule Lookup Table'!$F$8:$G$286,2,FALSE),"0000"))</f>
        <v>0010</v>
      </c>
      <c r="J97" s="34" t="str">
        <f>IF(ISERROR(VLOOKUP(CONCATENATE($A97,$I$8,J$10),'Tariff Schedule Lookup Table'!$F$8:$G$286,2,FALSE))=TRUE,"",TEXT(VLOOKUP(CONCATENATE($A97,$I$8,J$10),'Tariff Schedule Lookup Table'!$F$8:$G$286,2,FALSE),"0000"))</f>
        <v>0740</v>
      </c>
      <c r="K97" s="34" t="str">
        <f>IF(ISERROR(VLOOKUP(CONCATENATE($A97,$I$8,K$10),'Tariff Schedule Lookup Table'!$F$8:$G$286,2,FALSE))=TRUE,"",TEXT(VLOOKUP(CONCATENATE($A97,$I$8,K$10),'Tariff Schedule Lookup Table'!$F$8:$G$286,2,FALSE),"0000"))</f>
        <v>0820</v>
      </c>
      <c r="L97" s="34" t="str">
        <f>IF(ISERROR(VLOOKUP(CONCATENATE($A97,$I$8,L$10),'Tariff Schedule Lookup Table'!$F$8:$G$286,2,FALSE))=TRUE,"",TEXT(VLOOKUP(CONCATENATE($A97,$I$8,L$10),'Tariff Schedule Lookup Table'!$F$8:$G$286,2,FALSE),"0000"))</f>
        <v>0830</v>
      </c>
      <c r="M97" s="34" t="str">
        <f>IF(ISERROR(VLOOKUP(CONCATENATE($A97,$M$8,M$10),'Tariff Schedule Lookup Table'!$F$8:$G$286,2,FALSE))=TRUE,"",TEXT(VLOOKUP(CONCATENATE($A97,$M$8,M$10),'Tariff Schedule Lookup Table'!$F$8:$G$286,2,FALSE),"0000"))</f>
        <v>0810</v>
      </c>
      <c r="N97" s="34" t="str">
        <f>IF(ISERROR(VLOOKUP(CONCATENATE($A97,$M$8,N$10),'Tariff Schedule Lookup Table'!$F$8:$G$286,2,FALSE))=TRUE,"",TEXT(VLOOKUP(CONCATENATE($A97,$M$8,N$10),'Tariff Schedule Lookup Table'!$F$8:$G$286,2,FALSE),"0000"))</f>
        <v>1260</v>
      </c>
      <c r="O97" s="34" t="str">
        <f>IF(ISERROR(VLOOKUP(CONCATENATE($A97,$M$8,O$10),'Tariff Schedule Lookup Table'!$F$8:$G$286,2,FALSE))=TRUE,"",TEXT(VLOOKUP(CONCATENATE($A97,$M$8,O$10),'Tariff Schedule Lookup Table'!$F$8:$G$286,2,FALSE),"0000"))</f>
        <v/>
      </c>
      <c r="P97" s="34" t="str">
        <f>IF(ISERROR(VLOOKUP(CONCATENATE($A97,$M$8,P$10),'Tariff Schedule Lookup Table'!$F$8:$G$286,2,FALSE))=TRUE,"",TEXT(VLOOKUP(CONCATENATE($A97,$M$8,P$10),'Tariff Schedule Lookup Table'!$F$8:$G$286,2,FALSE),"0000"))</f>
        <v/>
      </c>
      <c r="Q97" s="34" t="str">
        <f>IF(ISERROR(VLOOKUP(CONCATENATE($A97,$Q$8,Q$10),'Tariff Schedule Lookup Table'!$F$8:$G$286,2,FALSE))=TRUE,"",TEXT(VLOOKUP(CONCATENATE($A97,$Q$8,Q$10),'Tariff Schedule Lookup Table'!$F$8:$G$286,2,FALSE),"0000"))</f>
        <v>0990</v>
      </c>
      <c r="R97" s="34" t="str">
        <f>IF(ISERROR(VLOOKUP(CONCATENATE($A97,$Q$8,R$10),'Tariff Schedule Lookup Table'!$F$8:$G$286,2,FALSE))=TRUE,"",TEXT(VLOOKUP(CONCATENATE($A97,$Q$8,R$10),'Tariff Schedule Lookup Table'!$F$8:$G$286,2,FALSE),"0000"))</f>
        <v>1000</v>
      </c>
      <c r="S97" s="34" t="str">
        <f>IF(ISERROR(VLOOKUP(CONCATENATE($A97,$Q$8,S$10),'Tariff Schedule Lookup Table'!$F$8:$G$286,2,FALSE))=TRUE,"",TEXT(VLOOKUP(CONCATENATE($A97,$Q$8,S$10),'Tariff Schedule Lookup Table'!$F$8:$G$286,2,FALSE),"0000"))</f>
        <v>1460</v>
      </c>
      <c r="T97" s="34" t="str">
        <f>IF(ISERROR(VLOOKUP(CONCATENATE($A97,$Q$8,T$10),'Tariff Schedule Lookup Table'!$F$8:$G$286,2,FALSE))=TRUE,"",TEXT(VLOOKUP(CONCATENATE($A97,$Q$8,T$10),'Tariff Schedule Lookup Table'!$F$8:$G$286,2,FALSE),"0000"))</f>
        <v>1500</v>
      </c>
      <c r="U97" s="34" t="str">
        <f>IF(ISERROR(VLOOKUP(CONCATENATE($A97,$U$8,U$10),'Tariff Schedule Lookup Table'!$F$8:$G$286,2,FALSE))=TRUE,"",TEXT(VLOOKUP(CONCATENATE($A97,$U$8,U$10),'Tariff Schedule Lookup Table'!$F$8:$G$286,2,FALSE),"0000"))</f>
        <v/>
      </c>
      <c r="V97" s="34" t="str">
        <f>IF(ISERROR(VLOOKUP(CONCATENATE($A97,$U$8,V$10),'Tariff Schedule Lookup Table'!$F$8:$G$286,2,FALSE))=TRUE,"",TEXT(VLOOKUP(CONCATENATE($A97,$U$8,V$10),'Tariff Schedule Lookup Table'!$F$8:$G$286,2,FALSE),"0000"))</f>
        <v/>
      </c>
      <c r="W97" s="34" t="str">
        <f>IF(ISERROR(VLOOKUP(CONCATENATE($A97,$U$8,W$10),'Tariff Schedule Lookup Table'!$F$8:$G$286,2,FALSE))=TRUE,"",TEXT(VLOOKUP(CONCATENATE($A97,$U$8,W$10),'Tariff Schedule Lookup Table'!$F$8:$G$286,2,FALSE),"0000"))</f>
        <v/>
      </c>
      <c r="X97" s="34" t="str">
        <f>IF(ISERROR(VLOOKUP(CONCATENATE($A97,$U$8,X$10),'Tariff Schedule Lookup Table'!$F$8:$G$286,2,FALSE))=TRUE,"",TEXT(VLOOKUP(CONCATENATE($A97,$U$8,X$10),'Tariff Schedule Lookup Table'!$F$8:$G$186,2,FALSE),"0000"))</f>
        <v/>
      </c>
      <c r="Y97" s="6"/>
      <c r="Z97" s="6"/>
      <c r="AA97" s="6"/>
      <c r="AB97" s="6"/>
      <c r="AC97" s="6"/>
    </row>
    <row r="98" spans="1:42" x14ac:dyDescent="0.2">
      <c r="A98" s="40" t="s">
        <v>993</v>
      </c>
      <c r="B98" s="35" t="s">
        <v>2115</v>
      </c>
      <c r="C98" s="197">
        <f>VLOOKUP(LEFT(B98,7),'Tariff Schedule Lookup Table'!$A$8:$D$186,3,FALSE)</f>
        <v>300</v>
      </c>
      <c r="D98" s="199" t="str">
        <f>VLOOKUP(LEFT(B98,7),'Tariff Schedule Lookup Table'!$A$8:$D$186,2,FALSE)</f>
        <v>Incandescent 300</v>
      </c>
      <c r="E98" s="6" t="s">
        <v>996</v>
      </c>
      <c r="F98" s="37">
        <f>VLOOKUP(LEFT(B98,7),'Tariff Schedule Lookup Table'!$A$8:$D$186,4,FALSE)</f>
        <v>300</v>
      </c>
      <c r="G98" s="33">
        <f>VLOOKUP($B98,'Maintenance Costs'!$A$20:$AG$176,32,FALSE)</f>
        <v>128.40216156024582</v>
      </c>
      <c r="H98" s="67">
        <f>IF(VLOOKUP($B98,'Maintenance Costs'!$A$20:$AG$176,33,FALSE)=0,"",VLOOKUP($B98,'Maintenance Costs'!$A$20:$AG$176,33,FALSE))</f>
        <v>20.903227435573008</v>
      </c>
      <c r="I98" s="34" t="str">
        <f>IF(ISERROR(VLOOKUP(CONCATENATE($A98,$I$8,I$10),'Tariff Schedule Lookup Table'!$F$8:$G$286,2,FALSE))=TRUE,"",TEXT(VLOOKUP(CONCATENATE($A98,$I$8,I$10),'Tariff Schedule Lookup Table'!$F$8:$G$286,2,FALSE),"0000"))</f>
        <v>0010</v>
      </c>
      <c r="J98" s="34" t="str">
        <f>IF(ISERROR(VLOOKUP(CONCATENATE($A98,$I$8,J$10),'Tariff Schedule Lookup Table'!$F$8:$G$286,2,FALSE))=TRUE,"",TEXT(VLOOKUP(CONCATENATE($A98,$I$8,J$10),'Tariff Schedule Lookup Table'!$F$8:$G$286,2,FALSE),"0000"))</f>
        <v>0740</v>
      </c>
      <c r="K98" s="34" t="str">
        <f>IF(ISERROR(VLOOKUP(CONCATENATE($A98,$I$8,K$10),'Tariff Schedule Lookup Table'!$F$8:$G$286,2,FALSE))=TRUE,"",TEXT(VLOOKUP(CONCATENATE($A98,$I$8,K$10),'Tariff Schedule Lookup Table'!$F$8:$G$286,2,FALSE),"0000"))</f>
        <v>0820</v>
      </c>
      <c r="L98" s="34" t="str">
        <f>IF(ISERROR(VLOOKUP(CONCATENATE($A98,$I$8,L$10),'Tariff Schedule Lookup Table'!$F$8:$G$286,2,FALSE))=TRUE,"",TEXT(VLOOKUP(CONCATENATE($A98,$I$8,L$10),'Tariff Schedule Lookup Table'!$F$8:$G$286,2,FALSE),"0000"))</f>
        <v>0830</v>
      </c>
      <c r="M98" s="34" t="str">
        <f>IF(ISERROR(VLOOKUP(CONCATENATE($A98,$M$8,M$10),'Tariff Schedule Lookup Table'!$F$8:$G$286,2,FALSE))=TRUE,"",TEXT(VLOOKUP(CONCATENATE($A98,$M$8,M$10),'Tariff Schedule Lookup Table'!$F$8:$G$286,2,FALSE),"0000"))</f>
        <v>0810</v>
      </c>
      <c r="N98" s="34" t="str">
        <f>IF(ISERROR(VLOOKUP(CONCATENATE($A98,$M$8,N$10),'Tariff Schedule Lookup Table'!$F$8:$G$286,2,FALSE))=TRUE,"",TEXT(VLOOKUP(CONCATENATE($A98,$M$8,N$10),'Tariff Schedule Lookup Table'!$F$8:$G$286,2,FALSE),"0000"))</f>
        <v>1260</v>
      </c>
      <c r="O98" s="34" t="str">
        <f>IF(ISERROR(VLOOKUP(CONCATENATE($A98,$M$8,O$10),'Tariff Schedule Lookup Table'!$F$8:$G$286,2,FALSE))=TRUE,"",TEXT(VLOOKUP(CONCATENATE($A98,$M$8,O$10),'Tariff Schedule Lookup Table'!$F$8:$G$286,2,FALSE),"0000"))</f>
        <v/>
      </c>
      <c r="P98" s="34" t="str">
        <f>IF(ISERROR(VLOOKUP(CONCATENATE($A98,$M$8,P$10),'Tariff Schedule Lookup Table'!$F$8:$G$286,2,FALSE))=TRUE,"",TEXT(VLOOKUP(CONCATENATE($A98,$M$8,P$10),'Tariff Schedule Lookup Table'!$F$8:$G$286,2,FALSE),"0000"))</f>
        <v/>
      </c>
      <c r="Q98" s="34" t="str">
        <f>IF(ISERROR(VLOOKUP(CONCATENATE($A98,$Q$8,Q$10),'Tariff Schedule Lookup Table'!$F$8:$G$286,2,FALSE))=TRUE,"",TEXT(VLOOKUP(CONCATENATE($A98,$Q$8,Q$10),'Tariff Schedule Lookup Table'!$F$8:$G$286,2,FALSE),"0000"))</f>
        <v>0990</v>
      </c>
      <c r="R98" s="34" t="str">
        <f>IF(ISERROR(VLOOKUP(CONCATENATE($A98,$Q$8,R$10),'Tariff Schedule Lookup Table'!$F$8:$G$286,2,FALSE))=TRUE,"",TEXT(VLOOKUP(CONCATENATE($A98,$Q$8,R$10),'Tariff Schedule Lookup Table'!$F$8:$G$286,2,FALSE),"0000"))</f>
        <v>1000</v>
      </c>
      <c r="S98" s="34" t="str">
        <f>IF(ISERROR(VLOOKUP(CONCATENATE($A98,$Q$8,S$10),'Tariff Schedule Lookup Table'!$F$8:$G$286,2,FALSE))=TRUE,"",TEXT(VLOOKUP(CONCATENATE($A98,$Q$8,S$10),'Tariff Schedule Lookup Table'!$F$8:$G$286,2,FALSE),"0000"))</f>
        <v>1460</v>
      </c>
      <c r="T98" s="34" t="str">
        <f>IF(ISERROR(VLOOKUP(CONCATENATE($A98,$Q$8,T$10),'Tariff Schedule Lookup Table'!$F$8:$G$286,2,FALSE))=TRUE,"",TEXT(VLOOKUP(CONCATENATE($A98,$Q$8,T$10),'Tariff Schedule Lookup Table'!$F$8:$G$286,2,FALSE),"0000"))</f>
        <v>1500</v>
      </c>
      <c r="U98" s="34" t="str">
        <f>IF(ISERROR(VLOOKUP(CONCATENATE($A98,$U$8,U$10),'Tariff Schedule Lookup Table'!$F$8:$G$286,2,FALSE))=TRUE,"",TEXT(VLOOKUP(CONCATENATE($A98,$U$8,U$10),'Tariff Schedule Lookup Table'!$F$8:$G$286,2,FALSE),"0000"))</f>
        <v/>
      </c>
      <c r="V98" s="34" t="str">
        <f>IF(ISERROR(VLOOKUP(CONCATENATE($A98,$U$8,V$10),'Tariff Schedule Lookup Table'!$F$8:$G$286,2,FALSE))=TRUE,"",TEXT(VLOOKUP(CONCATENATE($A98,$U$8,V$10),'Tariff Schedule Lookup Table'!$F$8:$G$286,2,FALSE),"0000"))</f>
        <v/>
      </c>
      <c r="W98" s="34" t="str">
        <f>IF(ISERROR(VLOOKUP(CONCATENATE($A98,$U$8,W$10),'Tariff Schedule Lookup Table'!$F$8:$G$286,2,FALSE))=TRUE,"",TEXT(VLOOKUP(CONCATENATE($A98,$U$8,W$10),'Tariff Schedule Lookup Table'!$F$8:$G$286,2,FALSE),"0000"))</f>
        <v/>
      </c>
      <c r="X98" s="34" t="str">
        <f>IF(ISERROR(VLOOKUP(CONCATENATE($A98,$U$8,X$10),'Tariff Schedule Lookup Table'!$F$8:$G$286,2,FALSE))=TRUE,"",TEXT(VLOOKUP(CONCATENATE($A98,$U$8,X$10),'Tariff Schedule Lookup Table'!$F$8:$G$186,2,FALSE),"0000"))</f>
        <v/>
      </c>
      <c r="Y98" s="6"/>
      <c r="Z98" s="6"/>
      <c r="AA98" s="6"/>
      <c r="AB98" s="6"/>
      <c r="AC98" s="6"/>
    </row>
    <row r="99" spans="1:42" x14ac:dyDescent="0.2">
      <c r="A99" s="40" t="s">
        <v>1128</v>
      </c>
      <c r="B99" s="35" t="s">
        <v>2116</v>
      </c>
      <c r="C99" s="197">
        <f>VLOOKUP(LEFT(B99,7),'Tariff Schedule Lookup Table'!$A$8:$D$186,3,FALSE)</f>
        <v>500</v>
      </c>
      <c r="D99" s="199" t="str">
        <f>VLOOKUP(LEFT(B99,7),'Tariff Schedule Lookup Table'!$A$8:$D$186,2,FALSE)</f>
        <v>Incandescent 500</v>
      </c>
      <c r="E99" s="6" t="s">
        <v>1131</v>
      </c>
      <c r="F99" s="37">
        <f>VLOOKUP(LEFT(B99,7),'Tariff Schedule Lookup Table'!$A$8:$D$186,4,FALSE)</f>
        <v>500</v>
      </c>
      <c r="G99" s="33">
        <f>VLOOKUP($B99,'Maintenance Costs'!$A$20:$AG$176,32,FALSE)</f>
        <v>128.40216156024582</v>
      </c>
      <c r="H99" s="67">
        <f>IF(VLOOKUP($B99,'Maintenance Costs'!$A$20:$AG$176,33,FALSE)=0,"",VLOOKUP($B99,'Maintenance Costs'!$A$20:$AG$176,33,FALSE))</f>
        <v>20.903227435573008</v>
      </c>
      <c r="I99" s="34" t="str">
        <f>IF(ISERROR(VLOOKUP(CONCATENATE($A99,$I$8,I$10),'Tariff Schedule Lookup Table'!$F$8:$G$286,2,FALSE))=TRUE,"",TEXT(VLOOKUP(CONCATENATE($A99,$I$8,I$10),'Tariff Schedule Lookup Table'!$F$8:$G$286,2,FALSE),"0000"))</f>
        <v/>
      </c>
      <c r="J99" s="34" t="str">
        <f>IF(ISERROR(VLOOKUP(CONCATENATE($A99,$I$8,J$10),'Tariff Schedule Lookup Table'!$F$8:$G$286,2,FALSE))=TRUE,"",TEXT(VLOOKUP(CONCATENATE($A99,$I$8,J$10),'Tariff Schedule Lookup Table'!$F$8:$G$286,2,FALSE),"0000"))</f>
        <v/>
      </c>
      <c r="K99" s="34" t="str">
        <f>IF(ISERROR(VLOOKUP(CONCATENATE($A99,$I$8,K$10),'Tariff Schedule Lookup Table'!$F$8:$G$286,2,FALSE))=TRUE,"",TEXT(VLOOKUP(CONCATENATE($A99,$I$8,K$10),'Tariff Schedule Lookup Table'!$F$8:$G$286,2,FALSE),"0000"))</f>
        <v/>
      </c>
      <c r="L99" s="34" t="str">
        <f>IF(ISERROR(VLOOKUP(CONCATENATE($A99,$I$8,L$10),'Tariff Schedule Lookup Table'!$F$8:$G$286,2,FALSE))=TRUE,"",TEXT(VLOOKUP(CONCATENATE($A99,$I$8,L$10),'Tariff Schedule Lookup Table'!$F$8:$G$286,2,FALSE),"0000"))</f>
        <v/>
      </c>
      <c r="M99" s="34" t="str">
        <f>IF(ISERROR(VLOOKUP(CONCATENATE($A99,$M$8,M$10),'Tariff Schedule Lookup Table'!$F$8:$G$286,2,FALSE))=TRUE,"",TEXT(VLOOKUP(CONCATENATE($A99,$M$8,M$10),'Tariff Schedule Lookup Table'!$F$8:$G$286,2,FALSE),"0000"))</f>
        <v/>
      </c>
      <c r="N99" s="34" t="str">
        <f>IF(ISERROR(VLOOKUP(CONCATENATE($A99,$M$8,N$10),'Tariff Schedule Lookup Table'!$F$8:$G$286,2,FALSE))=TRUE,"",TEXT(VLOOKUP(CONCATENATE($A99,$M$8,N$10),'Tariff Schedule Lookup Table'!$F$8:$G$286,2,FALSE),"0000"))</f>
        <v/>
      </c>
      <c r="O99" s="34" t="str">
        <f>IF(ISERROR(VLOOKUP(CONCATENATE($A99,$M$8,O$10),'Tariff Schedule Lookup Table'!$F$8:$G$286,2,FALSE))=TRUE,"",TEXT(VLOOKUP(CONCATENATE($A99,$M$8,O$10),'Tariff Schedule Lookup Table'!$F$8:$G$286,2,FALSE),"0000"))</f>
        <v/>
      </c>
      <c r="P99" s="34" t="str">
        <f>IF(ISERROR(VLOOKUP(CONCATENATE($A99,$M$8,P$10),'Tariff Schedule Lookup Table'!$F$8:$G$286,2,FALSE))=TRUE,"",TEXT(VLOOKUP(CONCATENATE($A99,$M$8,P$10),'Tariff Schedule Lookup Table'!$F$8:$G$286,2,FALSE),"0000"))</f>
        <v/>
      </c>
      <c r="Q99" s="34" t="str">
        <f>IF(ISERROR(VLOOKUP(CONCATENATE($A99,$Q$8,Q$10),'Tariff Schedule Lookup Table'!$F$8:$G$286,2,FALSE))=TRUE,"",TEXT(VLOOKUP(CONCATENATE($A99,$Q$8,Q$10),'Tariff Schedule Lookup Table'!$F$8:$G$286,2,FALSE),"0000"))</f>
        <v/>
      </c>
      <c r="R99" s="34" t="str">
        <f>IF(ISERROR(VLOOKUP(CONCATENATE($A99,$Q$8,R$10),'Tariff Schedule Lookup Table'!$F$8:$G$286,2,FALSE))=TRUE,"",TEXT(VLOOKUP(CONCATENATE($A99,$Q$8,R$10),'Tariff Schedule Lookup Table'!$F$8:$G$286,2,FALSE),"0000"))</f>
        <v/>
      </c>
      <c r="S99" s="34" t="str">
        <f>IF(ISERROR(VLOOKUP(CONCATENATE($A99,$Q$8,S$10),'Tariff Schedule Lookup Table'!$F$8:$G$286,2,FALSE))=TRUE,"",TEXT(VLOOKUP(CONCATENATE($A99,$Q$8,S$10),'Tariff Schedule Lookup Table'!$F$8:$G$286,2,FALSE),"0000"))</f>
        <v/>
      </c>
      <c r="T99" s="34" t="str">
        <f>IF(ISERROR(VLOOKUP(CONCATENATE($A99,$Q$8,T$10),'Tariff Schedule Lookup Table'!$F$8:$G$286,2,FALSE))=TRUE,"",TEXT(VLOOKUP(CONCATENATE($A99,$Q$8,T$10),'Tariff Schedule Lookup Table'!$F$8:$G$286,2,FALSE),"0000"))</f>
        <v/>
      </c>
      <c r="U99" s="34" t="str">
        <f>IF(ISERROR(VLOOKUP(CONCATENATE($A99,$U$8,U$10),'Tariff Schedule Lookup Table'!$F$8:$G$286,2,FALSE))=TRUE,"",TEXT(VLOOKUP(CONCATENATE($A99,$U$8,U$10),'Tariff Schedule Lookup Table'!$F$8:$G$286,2,FALSE),"0000"))</f>
        <v/>
      </c>
      <c r="V99" s="34" t="str">
        <f>IF(ISERROR(VLOOKUP(CONCATENATE($A99,$U$8,V$10),'Tariff Schedule Lookup Table'!$F$8:$G$286,2,FALSE))=TRUE,"",TEXT(VLOOKUP(CONCATENATE($A99,$U$8,V$10),'Tariff Schedule Lookup Table'!$F$8:$G$286,2,FALSE),"0000"))</f>
        <v/>
      </c>
      <c r="W99" s="34" t="str">
        <f>IF(ISERROR(VLOOKUP(CONCATENATE($A99,$U$8,W$10),'Tariff Schedule Lookup Table'!$F$8:$G$286,2,FALSE))=TRUE,"",TEXT(VLOOKUP(CONCATENATE($A99,$U$8,W$10),'Tariff Schedule Lookup Table'!$F$8:$G$286,2,FALSE),"0000"))</f>
        <v/>
      </c>
      <c r="X99" s="34" t="str">
        <f>IF(ISERROR(VLOOKUP(CONCATENATE($A99,$U$8,X$10),'Tariff Schedule Lookup Table'!$F$8:$G$286,2,FALSE))=TRUE,"",TEXT(VLOOKUP(CONCATENATE($A99,$U$8,X$10),'Tariff Schedule Lookup Table'!$F$8:$G$186,2,FALSE),"0000"))</f>
        <v/>
      </c>
      <c r="Y99" s="6"/>
      <c r="Z99" s="6"/>
      <c r="AA99" s="6"/>
      <c r="AB99" s="6"/>
      <c r="AC99" s="6"/>
    </row>
    <row r="100" spans="1:42" x14ac:dyDescent="0.2">
      <c r="A100" s="40" t="s">
        <v>993</v>
      </c>
      <c r="B100" s="39" t="s">
        <v>2116</v>
      </c>
      <c r="C100" s="197">
        <f>VLOOKUP(LEFT(B100,7),'Tariff Schedule Lookup Table'!$A$8:$D$186,3,FALSE)</f>
        <v>500</v>
      </c>
      <c r="D100" s="199" t="str">
        <f>VLOOKUP(LEFT(B100,7),'Tariff Schedule Lookup Table'!$A$8:$D$186,2,FALSE)</f>
        <v>Incandescent 500</v>
      </c>
      <c r="E100" s="6" t="s">
        <v>996</v>
      </c>
      <c r="F100" s="37">
        <f>VLOOKUP(LEFT(B100,7),'Tariff Schedule Lookup Table'!$A$8:$D$186,4,FALSE)</f>
        <v>500</v>
      </c>
      <c r="G100" s="33">
        <f>VLOOKUP($B100,'Maintenance Costs'!$A$20:$AG$176,32,FALSE)</f>
        <v>128.40216156024582</v>
      </c>
      <c r="H100" s="67">
        <f>IF(VLOOKUP($B100,'Maintenance Costs'!$A$20:$AG$176,33,FALSE)=0,"",VLOOKUP($B100,'Maintenance Costs'!$A$20:$AG$176,33,FALSE))</f>
        <v>20.903227435573008</v>
      </c>
      <c r="I100" s="34" t="str">
        <f>IF(ISERROR(VLOOKUP(CONCATENATE($A100,$I$8,I$10),'Tariff Schedule Lookup Table'!$F$8:$G$286,2,FALSE))=TRUE,"",TEXT(VLOOKUP(CONCATENATE($A100,$I$8,I$10),'Tariff Schedule Lookup Table'!$F$8:$G$286,2,FALSE),"0000"))</f>
        <v>0010</v>
      </c>
      <c r="J100" s="34" t="str">
        <f>IF(ISERROR(VLOOKUP(CONCATENATE($A100,$I$8,J$10),'Tariff Schedule Lookup Table'!$F$8:$G$286,2,FALSE))=TRUE,"",TEXT(VLOOKUP(CONCATENATE($A100,$I$8,J$10),'Tariff Schedule Lookup Table'!$F$8:$G$286,2,FALSE),"0000"))</f>
        <v>0740</v>
      </c>
      <c r="K100" s="34" t="str">
        <f>IF(ISERROR(VLOOKUP(CONCATENATE($A100,$I$8,K$10),'Tariff Schedule Lookup Table'!$F$8:$G$286,2,FALSE))=TRUE,"",TEXT(VLOOKUP(CONCATENATE($A100,$I$8,K$10),'Tariff Schedule Lookup Table'!$F$8:$G$286,2,FALSE),"0000"))</f>
        <v>0820</v>
      </c>
      <c r="L100" s="34" t="str">
        <f>IF(ISERROR(VLOOKUP(CONCATENATE($A100,$I$8,L$10),'Tariff Schedule Lookup Table'!$F$8:$G$286,2,FALSE))=TRUE,"",TEXT(VLOOKUP(CONCATENATE($A100,$I$8,L$10),'Tariff Schedule Lookup Table'!$F$8:$G$286,2,FALSE),"0000"))</f>
        <v>0830</v>
      </c>
      <c r="M100" s="34" t="str">
        <f>IF(ISERROR(VLOOKUP(CONCATENATE($A100,$M$8,M$10),'Tariff Schedule Lookup Table'!$F$8:$G$286,2,FALSE))=TRUE,"",TEXT(VLOOKUP(CONCATENATE($A100,$M$8,M$10),'Tariff Schedule Lookup Table'!$F$8:$G$286,2,FALSE),"0000"))</f>
        <v>0810</v>
      </c>
      <c r="N100" s="34" t="str">
        <f>IF(ISERROR(VLOOKUP(CONCATENATE($A100,$M$8,N$10),'Tariff Schedule Lookup Table'!$F$8:$G$286,2,FALSE))=TRUE,"",TEXT(VLOOKUP(CONCATENATE($A100,$M$8,N$10),'Tariff Schedule Lookup Table'!$F$8:$G$286,2,FALSE),"0000"))</f>
        <v>1260</v>
      </c>
      <c r="O100" s="34" t="str">
        <f>IF(ISERROR(VLOOKUP(CONCATENATE($A100,$M$8,O$10),'Tariff Schedule Lookup Table'!$F$8:$G$286,2,FALSE))=TRUE,"",TEXT(VLOOKUP(CONCATENATE($A100,$M$8,O$10),'Tariff Schedule Lookup Table'!$F$8:$G$286,2,FALSE),"0000"))</f>
        <v/>
      </c>
      <c r="P100" s="34" t="str">
        <f>IF(ISERROR(VLOOKUP(CONCATENATE($A100,$M$8,P$10),'Tariff Schedule Lookup Table'!$F$8:$G$286,2,FALSE))=TRUE,"",TEXT(VLOOKUP(CONCATENATE($A100,$M$8,P$10),'Tariff Schedule Lookup Table'!$F$8:$G$286,2,FALSE),"0000"))</f>
        <v/>
      </c>
      <c r="Q100" s="34" t="str">
        <f>IF(ISERROR(VLOOKUP(CONCATENATE($A100,$Q$8,Q$10),'Tariff Schedule Lookup Table'!$F$8:$G$286,2,FALSE))=TRUE,"",TEXT(VLOOKUP(CONCATENATE($A100,$Q$8,Q$10),'Tariff Schedule Lookup Table'!$F$8:$G$286,2,FALSE),"0000"))</f>
        <v>0990</v>
      </c>
      <c r="R100" s="34" t="str">
        <f>IF(ISERROR(VLOOKUP(CONCATENATE($A100,$Q$8,R$10),'Tariff Schedule Lookup Table'!$F$8:$G$286,2,FALSE))=TRUE,"",TEXT(VLOOKUP(CONCATENATE($A100,$Q$8,R$10),'Tariff Schedule Lookup Table'!$F$8:$G$286,2,FALSE),"0000"))</f>
        <v>1000</v>
      </c>
      <c r="S100" s="34" t="str">
        <f>IF(ISERROR(VLOOKUP(CONCATENATE($A100,$Q$8,S$10),'Tariff Schedule Lookup Table'!$F$8:$G$286,2,FALSE))=TRUE,"",TEXT(VLOOKUP(CONCATENATE($A100,$Q$8,S$10),'Tariff Schedule Lookup Table'!$F$8:$G$286,2,FALSE),"0000"))</f>
        <v>1460</v>
      </c>
      <c r="T100" s="34" t="str">
        <f>IF(ISERROR(VLOOKUP(CONCATENATE($A100,$Q$8,T$10),'Tariff Schedule Lookup Table'!$F$8:$G$286,2,FALSE))=TRUE,"",TEXT(VLOOKUP(CONCATENATE($A100,$Q$8,T$10),'Tariff Schedule Lookup Table'!$F$8:$G$286,2,FALSE),"0000"))</f>
        <v>1500</v>
      </c>
      <c r="U100" s="34" t="str">
        <f>IF(ISERROR(VLOOKUP(CONCATENATE($A100,$U$8,U$10),'Tariff Schedule Lookup Table'!$F$8:$G$286,2,FALSE))=TRUE,"",TEXT(VLOOKUP(CONCATENATE($A100,$U$8,U$10),'Tariff Schedule Lookup Table'!$F$8:$G$286,2,FALSE),"0000"))</f>
        <v/>
      </c>
      <c r="V100" s="34" t="str">
        <f>IF(ISERROR(VLOOKUP(CONCATENATE($A100,$U$8,V$10),'Tariff Schedule Lookup Table'!$F$8:$G$286,2,FALSE))=TRUE,"",TEXT(VLOOKUP(CONCATENATE($A100,$U$8,V$10),'Tariff Schedule Lookup Table'!$F$8:$G$286,2,FALSE),"0000"))</f>
        <v/>
      </c>
      <c r="W100" s="34" t="str">
        <f>IF(ISERROR(VLOOKUP(CONCATENATE($A100,$U$8,W$10),'Tariff Schedule Lookup Table'!$F$8:$G$286,2,FALSE))=TRUE,"",TEXT(VLOOKUP(CONCATENATE($A100,$U$8,W$10),'Tariff Schedule Lookup Table'!$F$8:$G$286,2,FALSE),"0000"))</f>
        <v/>
      </c>
      <c r="X100" s="34" t="str">
        <f>IF(ISERROR(VLOOKUP(CONCATENATE($A100,$U$8,X$10),'Tariff Schedule Lookup Table'!$F$8:$G$286,2,FALSE))=TRUE,"",TEXT(VLOOKUP(CONCATENATE($A100,$U$8,X$10),'Tariff Schedule Lookup Table'!$F$8:$G$186,2,FALSE),"0000"))</f>
        <v/>
      </c>
      <c r="Y100" s="6"/>
      <c r="Z100" s="6"/>
      <c r="AA100" s="6"/>
      <c r="AB100" s="6"/>
      <c r="AC100" s="6"/>
    </row>
    <row r="101" spans="1:42" x14ac:dyDescent="0.2">
      <c r="A101" s="40" t="s">
        <v>993</v>
      </c>
      <c r="B101" s="35" t="s">
        <v>224</v>
      </c>
      <c r="C101" s="197">
        <f>VLOOKUP(LEFT(B101,7),'Tariff Schedule Lookup Table'!$A$8:$D$186,3,FALSE)</f>
        <v>750</v>
      </c>
      <c r="D101" s="199" t="str">
        <f>VLOOKUP(LEFT(B101,7),'Tariff Schedule Lookup Table'!$A$8:$D$186,2,FALSE)</f>
        <v>Incandescent 750</v>
      </c>
      <c r="E101" s="6" t="s">
        <v>996</v>
      </c>
      <c r="F101" s="37">
        <f>VLOOKUP(LEFT(B101,7),'Tariff Schedule Lookup Table'!$A$8:$D$186,4,FALSE)</f>
        <v>750</v>
      </c>
      <c r="G101" s="33">
        <f>VLOOKUP($B101,'Maintenance Costs'!$A$20:$AG$176,32,FALSE)</f>
        <v>128.40216156024582</v>
      </c>
      <c r="H101" s="67">
        <f>IF(VLOOKUP($B101,'Maintenance Costs'!$A$20:$AG$176,33,FALSE)=0,"",VLOOKUP($B101,'Maintenance Costs'!$A$20:$AG$176,33,FALSE))</f>
        <v>20.903227435573008</v>
      </c>
      <c r="I101" s="34" t="str">
        <f>IF(ISERROR(VLOOKUP(CONCATENATE($A101,$I$8,I$10),'Tariff Schedule Lookup Table'!$F$8:$G$286,2,FALSE))=TRUE,"",TEXT(VLOOKUP(CONCATENATE($A101,$I$8,I$10),'Tariff Schedule Lookup Table'!$F$8:$G$286,2,FALSE),"0000"))</f>
        <v>0010</v>
      </c>
      <c r="J101" s="34" t="str">
        <f>IF(ISERROR(VLOOKUP(CONCATENATE($A101,$I$8,J$10),'Tariff Schedule Lookup Table'!$F$8:$G$286,2,FALSE))=TRUE,"",TEXT(VLOOKUP(CONCATENATE($A101,$I$8,J$10),'Tariff Schedule Lookup Table'!$F$8:$G$286,2,FALSE),"0000"))</f>
        <v>0740</v>
      </c>
      <c r="K101" s="34" t="str">
        <f>IF(ISERROR(VLOOKUP(CONCATENATE($A101,$I$8,K$10),'Tariff Schedule Lookup Table'!$F$8:$G$286,2,FALSE))=TRUE,"",TEXT(VLOOKUP(CONCATENATE($A101,$I$8,K$10),'Tariff Schedule Lookup Table'!$F$8:$G$286,2,FALSE),"0000"))</f>
        <v>0820</v>
      </c>
      <c r="L101" s="34" t="str">
        <f>IF(ISERROR(VLOOKUP(CONCATENATE($A101,$I$8,L$10),'Tariff Schedule Lookup Table'!$F$8:$G$286,2,FALSE))=TRUE,"",TEXT(VLOOKUP(CONCATENATE($A101,$I$8,L$10),'Tariff Schedule Lookup Table'!$F$8:$G$286,2,FALSE),"0000"))</f>
        <v>0830</v>
      </c>
      <c r="M101" s="34" t="str">
        <f>IF(ISERROR(VLOOKUP(CONCATENATE($A101,$M$8,M$10),'Tariff Schedule Lookup Table'!$F$8:$G$286,2,FALSE))=TRUE,"",TEXT(VLOOKUP(CONCATENATE($A101,$M$8,M$10),'Tariff Schedule Lookup Table'!$F$8:$G$286,2,FALSE),"0000"))</f>
        <v>0810</v>
      </c>
      <c r="N101" s="34" t="str">
        <f>IF(ISERROR(VLOOKUP(CONCATENATE($A101,$M$8,N$10),'Tariff Schedule Lookup Table'!$F$8:$G$286,2,FALSE))=TRUE,"",TEXT(VLOOKUP(CONCATENATE($A101,$M$8,N$10),'Tariff Schedule Lookup Table'!$F$8:$G$286,2,FALSE),"0000"))</f>
        <v>1260</v>
      </c>
      <c r="O101" s="34" t="str">
        <f>IF(ISERROR(VLOOKUP(CONCATENATE($A101,$M$8,O$10),'Tariff Schedule Lookup Table'!$F$8:$G$286,2,FALSE))=TRUE,"",TEXT(VLOOKUP(CONCATENATE($A101,$M$8,O$10),'Tariff Schedule Lookup Table'!$F$8:$G$286,2,FALSE),"0000"))</f>
        <v/>
      </c>
      <c r="P101" s="34" t="str">
        <f>IF(ISERROR(VLOOKUP(CONCATENATE($A101,$M$8,P$10),'Tariff Schedule Lookup Table'!$F$8:$G$286,2,FALSE))=TRUE,"",TEXT(VLOOKUP(CONCATENATE($A101,$M$8,P$10),'Tariff Schedule Lookup Table'!$F$8:$G$286,2,FALSE),"0000"))</f>
        <v/>
      </c>
      <c r="Q101" s="34" t="str">
        <f>IF(ISERROR(VLOOKUP(CONCATENATE($A101,$Q$8,Q$10),'Tariff Schedule Lookup Table'!$F$8:$G$286,2,FALSE))=TRUE,"",TEXT(VLOOKUP(CONCATENATE($A101,$Q$8,Q$10),'Tariff Schedule Lookup Table'!$F$8:$G$286,2,FALSE),"0000"))</f>
        <v>0990</v>
      </c>
      <c r="R101" s="34" t="str">
        <f>IF(ISERROR(VLOOKUP(CONCATENATE($A101,$Q$8,R$10),'Tariff Schedule Lookup Table'!$F$8:$G$286,2,FALSE))=TRUE,"",TEXT(VLOOKUP(CONCATENATE($A101,$Q$8,R$10),'Tariff Schedule Lookup Table'!$F$8:$G$286,2,FALSE),"0000"))</f>
        <v>1000</v>
      </c>
      <c r="S101" s="34" t="str">
        <f>IF(ISERROR(VLOOKUP(CONCATENATE($A101,$Q$8,S$10),'Tariff Schedule Lookup Table'!$F$8:$G$286,2,FALSE))=TRUE,"",TEXT(VLOOKUP(CONCATENATE($A101,$Q$8,S$10),'Tariff Schedule Lookup Table'!$F$8:$G$286,2,FALSE),"0000"))</f>
        <v>1460</v>
      </c>
      <c r="T101" s="34" t="str">
        <f>IF(ISERROR(VLOOKUP(CONCATENATE($A101,$Q$8,T$10),'Tariff Schedule Lookup Table'!$F$8:$G$286,2,FALSE))=TRUE,"",TEXT(VLOOKUP(CONCATENATE($A101,$Q$8,T$10),'Tariff Schedule Lookup Table'!$F$8:$G$286,2,FALSE),"0000"))</f>
        <v>1500</v>
      </c>
      <c r="U101" s="34" t="str">
        <f>IF(ISERROR(VLOOKUP(CONCATENATE($A101,$U$8,U$10),'Tariff Schedule Lookup Table'!$F$8:$G$286,2,FALSE))=TRUE,"",TEXT(VLOOKUP(CONCATENATE($A101,$U$8,U$10),'Tariff Schedule Lookup Table'!$F$8:$G$286,2,FALSE),"0000"))</f>
        <v/>
      </c>
      <c r="V101" s="34" t="str">
        <f>IF(ISERROR(VLOOKUP(CONCATENATE($A101,$U$8,V$10),'Tariff Schedule Lookup Table'!$F$8:$G$286,2,FALSE))=TRUE,"",TEXT(VLOOKUP(CONCATENATE($A101,$U$8,V$10),'Tariff Schedule Lookup Table'!$F$8:$G$286,2,FALSE),"0000"))</f>
        <v/>
      </c>
      <c r="W101" s="34" t="str">
        <f>IF(ISERROR(VLOOKUP(CONCATENATE($A101,$U$8,W$10),'Tariff Schedule Lookup Table'!$F$8:$G$286,2,FALSE))=TRUE,"",TEXT(VLOOKUP(CONCATENATE($A101,$U$8,W$10),'Tariff Schedule Lookup Table'!$F$8:$G$286,2,FALSE),"0000"))</f>
        <v/>
      </c>
      <c r="X101" s="34" t="str">
        <f>IF(ISERROR(VLOOKUP(CONCATENATE($A101,$U$8,X$10),'Tariff Schedule Lookup Table'!$F$8:$G$286,2,FALSE))=TRUE,"",TEXT(VLOOKUP(CONCATENATE($A101,$U$8,X$10),'Tariff Schedule Lookup Table'!$F$8:$G$186,2,FALSE),"0000"))</f>
        <v/>
      </c>
      <c r="Y101" s="6"/>
      <c r="Z101" s="6"/>
      <c r="AA101" s="6"/>
      <c r="AB101" s="6"/>
      <c r="AC101" s="6"/>
    </row>
    <row r="102" spans="1:42" x14ac:dyDescent="0.2">
      <c r="A102" s="40" t="s">
        <v>993</v>
      </c>
      <c r="B102" s="35" t="s">
        <v>2117</v>
      </c>
      <c r="C102" s="197">
        <f>VLOOKUP(LEFT(B102,7),'Tariff Schedule Lookup Table'!$A$8:$D$186,3,FALSE)</f>
        <v>800</v>
      </c>
      <c r="D102" s="199" t="str">
        <f>VLOOKUP(LEFT(B102,7),'Tariff Schedule Lookup Table'!$A$8:$D$186,2,FALSE)</f>
        <v>Incandescent 800</v>
      </c>
      <c r="E102" s="6" t="s">
        <v>996</v>
      </c>
      <c r="F102" s="37">
        <f>VLOOKUP(LEFT(B102,7),'Tariff Schedule Lookup Table'!$A$8:$D$186,4,FALSE)</f>
        <v>800</v>
      </c>
      <c r="G102" s="33">
        <f>VLOOKUP($B102,'Maintenance Costs'!$A$20:$AG$176,32,FALSE)</f>
        <v>128.40216156024582</v>
      </c>
      <c r="H102" s="67">
        <f>IF(VLOOKUP($B102,'Maintenance Costs'!$A$20:$AG$176,33,FALSE)=0,"",VLOOKUP($B102,'Maintenance Costs'!$A$20:$AG$176,33,FALSE))</f>
        <v>20.903227435573008</v>
      </c>
      <c r="I102" s="34" t="str">
        <f>IF(ISERROR(VLOOKUP(CONCATENATE($A102,$I$8,I$10),'Tariff Schedule Lookup Table'!$F$8:$G$286,2,FALSE))=TRUE,"",TEXT(VLOOKUP(CONCATENATE($A102,$I$8,I$10),'Tariff Schedule Lookup Table'!$F$8:$G$286,2,FALSE),"0000"))</f>
        <v>0010</v>
      </c>
      <c r="J102" s="34" t="str">
        <f>IF(ISERROR(VLOOKUP(CONCATENATE($A102,$I$8,J$10),'Tariff Schedule Lookup Table'!$F$8:$G$286,2,FALSE))=TRUE,"",TEXT(VLOOKUP(CONCATENATE($A102,$I$8,J$10),'Tariff Schedule Lookup Table'!$F$8:$G$286,2,FALSE),"0000"))</f>
        <v>0740</v>
      </c>
      <c r="K102" s="34" t="str">
        <f>IF(ISERROR(VLOOKUP(CONCATENATE($A102,$I$8,K$10),'Tariff Schedule Lookup Table'!$F$8:$G$286,2,FALSE))=TRUE,"",TEXT(VLOOKUP(CONCATENATE($A102,$I$8,K$10),'Tariff Schedule Lookup Table'!$F$8:$G$286,2,FALSE),"0000"))</f>
        <v>0820</v>
      </c>
      <c r="L102" s="34" t="str">
        <f>IF(ISERROR(VLOOKUP(CONCATENATE($A102,$I$8,L$10),'Tariff Schedule Lookup Table'!$F$8:$G$286,2,FALSE))=TRUE,"",TEXT(VLOOKUP(CONCATENATE($A102,$I$8,L$10),'Tariff Schedule Lookup Table'!$F$8:$G$286,2,FALSE),"0000"))</f>
        <v>0830</v>
      </c>
      <c r="M102" s="34" t="str">
        <f>IF(ISERROR(VLOOKUP(CONCATENATE($A102,$M$8,M$10),'Tariff Schedule Lookup Table'!$F$8:$G$286,2,FALSE))=TRUE,"",TEXT(VLOOKUP(CONCATENATE($A102,$M$8,M$10),'Tariff Schedule Lookup Table'!$F$8:$G$286,2,FALSE),"0000"))</f>
        <v>0810</v>
      </c>
      <c r="N102" s="34" t="str">
        <f>IF(ISERROR(VLOOKUP(CONCATENATE($A102,$M$8,N$10),'Tariff Schedule Lookup Table'!$F$8:$G$286,2,FALSE))=TRUE,"",TEXT(VLOOKUP(CONCATENATE($A102,$M$8,N$10),'Tariff Schedule Lookup Table'!$F$8:$G$286,2,FALSE),"0000"))</f>
        <v>1260</v>
      </c>
      <c r="O102" s="34" t="str">
        <f>IF(ISERROR(VLOOKUP(CONCATENATE($A102,$M$8,O$10),'Tariff Schedule Lookup Table'!$F$8:$G$286,2,FALSE))=TRUE,"",TEXT(VLOOKUP(CONCATENATE($A102,$M$8,O$10),'Tariff Schedule Lookup Table'!$F$8:$G$286,2,FALSE),"0000"))</f>
        <v/>
      </c>
      <c r="P102" s="34" t="str">
        <f>IF(ISERROR(VLOOKUP(CONCATENATE($A102,$M$8,P$10),'Tariff Schedule Lookup Table'!$F$8:$G$286,2,FALSE))=TRUE,"",TEXT(VLOOKUP(CONCATENATE($A102,$M$8,P$10),'Tariff Schedule Lookup Table'!$F$8:$G$286,2,FALSE),"0000"))</f>
        <v/>
      </c>
      <c r="Q102" s="34" t="str">
        <f>IF(ISERROR(VLOOKUP(CONCATENATE($A102,$Q$8,Q$10),'Tariff Schedule Lookup Table'!$F$8:$G$286,2,FALSE))=TRUE,"",TEXT(VLOOKUP(CONCATENATE($A102,$Q$8,Q$10),'Tariff Schedule Lookup Table'!$F$8:$G$286,2,FALSE),"0000"))</f>
        <v>0990</v>
      </c>
      <c r="R102" s="34" t="str">
        <f>IF(ISERROR(VLOOKUP(CONCATENATE($A102,$Q$8,R$10),'Tariff Schedule Lookup Table'!$F$8:$G$286,2,FALSE))=TRUE,"",TEXT(VLOOKUP(CONCATENATE($A102,$Q$8,R$10),'Tariff Schedule Lookup Table'!$F$8:$G$286,2,FALSE),"0000"))</f>
        <v>1000</v>
      </c>
      <c r="S102" s="34" t="str">
        <f>IF(ISERROR(VLOOKUP(CONCATENATE($A102,$Q$8,S$10),'Tariff Schedule Lookup Table'!$F$8:$G$286,2,FALSE))=TRUE,"",TEXT(VLOOKUP(CONCATENATE($A102,$Q$8,S$10),'Tariff Schedule Lookup Table'!$F$8:$G$286,2,FALSE),"0000"))</f>
        <v>1460</v>
      </c>
      <c r="T102" s="34" t="str">
        <f>IF(ISERROR(VLOOKUP(CONCATENATE($A102,$Q$8,T$10),'Tariff Schedule Lookup Table'!$F$8:$G$286,2,FALSE))=TRUE,"",TEXT(VLOOKUP(CONCATENATE($A102,$Q$8,T$10),'Tariff Schedule Lookup Table'!$F$8:$G$286,2,FALSE),"0000"))</f>
        <v>1500</v>
      </c>
      <c r="U102" s="34" t="str">
        <f>IF(ISERROR(VLOOKUP(CONCATENATE($A102,$U$8,U$10),'Tariff Schedule Lookup Table'!$F$8:$G$286,2,FALSE))=TRUE,"",TEXT(VLOOKUP(CONCATENATE($A102,$U$8,U$10),'Tariff Schedule Lookup Table'!$F$8:$G$286,2,FALSE),"0000"))</f>
        <v/>
      </c>
      <c r="V102" s="34" t="str">
        <f>IF(ISERROR(VLOOKUP(CONCATENATE($A102,$U$8,V$10),'Tariff Schedule Lookup Table'!$F$8:$G$286,2,FALSE))=TRUE,"",TEXT(VLOOKUP(CONCATENATE($A102,$U$8,V$10),'Tariff Schedule Lookup Table'!$F$8:$G$286,2,FALSE),"0000"))</f>
        <v/>
      </c>
      <c r="W102" s="34" t="str">
        <f>IF(ISERROR(VLOOKUP(CONCATENATE($A102,$U$8,W$10),'Tariff Schedule Lookup Table'!$F$8:$G$286,2,FALSE))=TRUE,"",TEXT(VLOOKUP(CONCATENATE($A102,$U$8,W$10),'Tariff Schedule Lookup Table'!$F$8:$G$286,2,FALSE),"0000"))</f>
        <v/>
      </c>
      <c r="X102" s="34" t="str">
        <f>IF(ISERROR(VLOOKUP(CONCATENATE($A102,$U$8,X$10),'Tariff Schedule Lookup Table'!$F$8:$G$286,2,FALSE))=TRUE,"",TEXT(VLOOKUP(CONCATENATE($A102,$U$8,X$10),'Tariff Schedule Lookup Table'!$F$8:$G$186,2,FALSE),"0000"))</f>
        <v/>
      </c>
      <c r="Y102" s="6"/>
      <c r="Z102" s="6"/>
      <c r="AA102" s="6"/>
      <c r="AB102" s="6"/>
      <c r="AC102" s="6"/>
    </row>
    <row r="103" spans="1:42" x14ac:dyDescent="0.2">
      <c r="A103" s="40" t="s">
        <v>983</v>
      </c>
      <c r="B103" s="35" t="s">
        <v>2118</v>
      </c>
      <c r="C103" s="197">
        <f>VLOOKUP(LEFT(B103,7),'Tariff Schedule Lookup Table'!$A$8:$D$186,3,FALSE)</f>
        <v>1000</v>
      </c>
      <c r="D103" s="199" t="str">
        <f>VLOOKUP(LEFT(B103,7),'Tariff Schedule Lookup Table'!$A$8:$D$186,2,FALSE)</f>
        <v>Incandescent 1000</v>
      </c>
      <c r="E103" s="6" t="s">
        <v>1077</v>
      </c>
      <c r="F103" s="37">
        <f>VLOOKUP(LEFT(B103,7),'Tariff Schedule Lookup Table'!$A$8:$D$186,4,FALSE)</f>
        <v>1000</v>
      </c>
      <c r="G103" s="33">
        <f>VLOOKUP($B103,'Maintenance Costs'!$A$20:$AG$176,32,FALSE)</f>
        <v>128.40216156024582</v>
      </c>
      <c r="H103" s="67">
        <f>IF(VLOOKUP($B103,'Maintenance Costs'!$A$20:$AG$176,33,FALSE)=0,"",VLOOKUP($B103,'Maintenance Costs'!$A$20:$AG$176,33,FALSE))</f>
        <v>20.903227435573008</v>
      </c>
      <c r="I103" s="498" t="s">
        <v>1136</v>
      </c>
      <c r="J103" s="498"/>
      <c r="K103" s="498"/>
      <c r="L103" s="498"/>
      <c r="M103" s="498"/>
      <c r="N103" s="498"/>
      <c r="O103" s="498"/>
      <c r="P103" s="498"/>
      <c r="Q103" s="498"/>
      <c r="R103" s="498"/>
      <c r="S103" s="498"/>
      <c r="T103" s="498"/>
      <c r="U103" s="498"/>
      <c r="V103" s="498"/>
      <c r="W103" s="498"/>
      <c r="X103" s="498"/>
      <c r="Y103" s="6" t="s">
        <v>1136</v>
      </c>
      <c r="Z103" s="6"/>
      <c r="AA103" s="6"/>
      <c r="AB103" s="6"/>
      <c r="AC103" s="6"/>
      <c r="AP103" t="s">
        <v>1136</v>
      </c>
    </row>
    <row r="104" spans="1:42" x14ac:dyDescent="0.2">
      <c r="A104" s="40" t="s">
        <v>983</v>
      </c>
      <c r="B104" s="35" t="s">
        <v>225</v>
      </c>
      <c r="C104" s="197">
        <f>VLOOKUP(LEFT(B104,7),'Tariff Schedule Lookup Table'!$A$8:$D$186,3,FALSE)</f>
        <v>1440</v>
      </c>
      <c r="D104" s="199" t="str">
        <f>VLOOKUP(LEFT(B104,7),'Tariff Schedule Lookup Table'!$A$8:$D$186,2,FALSE)</f>
        <v>Incandescent 1440</v>
      </c>
      <c r="E104" s="6" t="s">
        <v>1077</v>
      </c>
      <c r="F104" s="37">
        <f>VLOOKUP(LEFT(B104,7),'Tariff Schedule Lookup Table'!$A$8:$D$186,4,FALSE)</f>
        <v>1440</v>
      </c>
      <c r="G104" s="33">
        <f>VLOOKUP($B104,'Maintenance Costs'!$A$20:$AG$176,32,FALSE)</f>
        <v>128.40216156024582</v>
      </c>
      <c r="H104" s="67">
        <f>IF(VLOOKUP($B104,'Maintenance Costs'!$A$20:$AG$176,33,FALSE)=0,"",VLOOKUP($B104,'Maintenance Costs'!$A$20:$AG$176,33,FALSE))</f>
        <v>20.903227435573008</v>
      </c>
      <c r="I104" s="498" t="s">
        <v>1136</v>
      </c>
      <c r="J104" s="498"/>
      <c r="K104" s="498"/>
      <c r="L104" s="498"/>
      <c r="M104" s="498"/>
      <c r="N104" s="498"/>
      <c r="O104" s="498"/>
      <c r="P104" s="498"/>
      <c r="Q104" s="498"/>
      <c r="R104" s="498"/>
      <c r="S104" s="498"/>
      <c r="T104" s="498"/>
      <c r="U104" s="498"/>
      <c r="V104" s="498"/>
      <c r="W104" s="498"/>
      <c r="X104" s="498"/>
      <c r="Y104" s="6" t="s">
        <v>1136</v>
      </c>
      <c r="Z104" s="6"/>
      <c r="AA104" s="6"/>
      <c r="AB104" s="6"/>
      <c r="AC104" s="6"/>
      <c r="AP104" t="s">
        <v>1136</v>
      </c>
    </row>
    <row r="105" spans="1:42" x14ac:dyDescent="0.2">
      <c r="A105" s="40" t="s">
        <v>1092</v>
      </c>
      <c r="B105" s="35" t="s">
        <v>2119</v>
      </c>
      <c r="C105" s="197">
        <f>VLOOKUP(LEFT(B105,7),'Tariff Schedule Lookup Table'!$A$8:$D$186,3,FALSE)</f>
        <v>1500</v>
      </c>
      <c r="D105" s="199" t="str">
        <f>VLOOKUP(LEFT(B105,7),'Tariff Schedule Lookup Table'!$A$8:$D$186,2,FALSE)</f>
        <v>Incandescent 1500</v>
      </c>
      <c r="E105" s="6" t="s">
        <v>1077</v>
      </c>
      <c r="F105" s="37">
        <f>VLOOKUP(LEFT(B105,7),'Tariff Schedule Lookup Table'!$A$8:$D$186,4,FALSE)</f>
        <v>1500</v>
      </c>
      <c r="G105" s="33">
        <f>VLOOKUP($B105,'Maintenance Costs'!$A$20:$AG$176,32,FALSE)</f>
        <v>128.40216156024582</v>
      </c>
      <c r="H105" s="67">
        <f>IF(VLOOKUP($B105,'Maintenance Costs'!$A$20:$AG$176,33,FALSE)=0,"",VLOOKUP($B105,'Maintenance Costs'!$A$20:$AG$176,33,FALSE))</f>
        <v>20.903227435573008</v>
      </c>
      <c r="I105" s="34" t="str">
        <f>IF(ISERROR(VLOOKUP(CONCATENATE($A105,$I$8,I$10),'Tariff Schedule Lookup Table'!$F$8:$G$286,2,FALSE))=TRUE,"",TEXT(VLOOKUP(CONCATENATE($A105,$I$8,I$10),'Tariff Schedule Lookup Table'!$F$8:$G$286,2,FALSE),"0000"))</f>
        <v>0620</v>
      </c>
      <c r="J105" s="34" t="str">
        <f>IF(ISERROR(VLOOKUP(CONCATENATE($A105,$I$8,J$10),'Tariff Schedule Lookup Table'!$F$8:$G$286,2,FALSE))=TRUE,"",TEXT(VLOOKUP(CONCATENATE($A105,$I$8,J$10),'Tariff Schedule Lookup Table'!$F$8:$G$286,2,FALSE),"0000"))</f>
        <v>0660</v>
      </c>
      <c r="K105" s="34" t="str">
        <f>IF(ISERROR(VLOOKUP(CONCATENATE($A105,$I$8,K$10),'Tariff Schedule Lookup Table'!$F$8:$G$286,2,FALSE))=TRUE,"",TEXT(VLOOKUP(CONCATENATE($A105,$I$8,K$10),'Tariff Schedule Lookup Table'!$F$8:$G$286,2,FALSE),"0000"))</f>
        <v/>
      </c>
      <c r="L105" s="34" t="str">
        <f>IF(ISERROR(VLOOKUP(CONCATENATE($A105,$I$8,L$10),'Tariff Schedule Lookup Table'!$F$8:$G$286,2,FALSE))=TRUE,"",TEXT(VLOOKUP(CONCATENATE($A105,$I$8,L$10),'Tariff Schedule Lookup Table'!$F$8:$G$286,2,FALSE),"0000"))</f>
        <v/>
      </c>
      <c r="M105" s="34" t="str">
        <f>IF(ISERROR(VLOOKUP(CONCATENATE($A105,$M$8,M$10),'Tariff Schedule Lookup Table'!$F$8:$G$286,2,FALSE))=TRUE,"",TEXT(VLOOKUP(CONCATENATE($A105,$M$8,M$10),'Tariff Schedule Lookup Table'!$F$8:$G$286,2,FALSE),"0000"))</f>
        <v>1100</v>
      </c>
      <c r="N105" s="34" t="str">
        <f>IF(ISERROR(VLOOKUP(CONCATENATE($A105,$M$8,N$10),'Tariff Schedule Lookup Table'!$F$8:$G$286,2,FALSE))=TRUE,"",TEXT(VLOOKUP(CONCATENATE($A105,$M$8,N$10),'Tariff Schedule Lookup Table'!$F$8:$G$286,2,FALSE),"0000"))</f>
        <v>0900</v>
      </c>
      <c r="O105" s="34" t="str">
        <f>IF(ISERROR(VLOOKUP(CONCATENATE($A105,$M$8,O$10),'Tariff Schedule Lookup Table'!$F$8:$G$286,2,FALSE))=TRUE,"",TEXT(VLOOKUP(CONCATENATE($A105,$M$8,O$10),'Tariff Schedule Lookup Table'!$F$8:$G$286,2,FALSE),"0000"))</f>
        <v>1250</v>
      </c>
      <c r="P105" s="34" t="str">
        <f>IF(ISERROR(VLOOKUP(CONCATENATE($A105,$M$8,P$10),'Tariff Schedule Lookup Table'!$F$8:$G$286,2,FALSE))=TRUE,"",TEXT(VLOOKUP(CONCATENATE($A105,$M$8,P$10),'Tariff Schedule Lookup Table'!$F$8:$G$286,2,FALSE),"0000"))</f>
        <v/>
      </c>
      <c r="Q105" s="34" t="str">
        <f>IF(ISERROR(VLOOKUP(CONCATENATE($A105,$Q$8,Q$10),'Tariff Schedule Lookup Table'!$F$8:$G$286,2,FALSE))=TRUE,"",TEXT(VLOOKUP(CONCATENATE($A105,$Q$8,Q$10),'Tariff Schedule Lookup Table'!$F$8:$G$286,2,FALSE),"0000"))</f>
        <v>1170</v>
      </c>
      <c r="R105" s="34" t="str">
        <f>IF(ISERROR(VLOOKUP(CONCATENATE($A105,$Q$8,R$10),'Tariff Schedule Lookup Table'!$F$8:$G$286,2,FALSE))=TRUE,"",TEXT(VLOOKUP(CONCATENATE($A105,$Q$8,R$10),'Tariff Schedule Lookup Table'!$F$8:$G$286,2,FALSE),"0000"))</f>
        <v>1130</v>
      </c>
      <c r="S105" s="34" t="str">
        <f>IF(ISERROR(VLOOKUP(CONCATENATE($A105,$Q$8,S$10),'Tariff Schedule Lookup Table'!$F$8:$G$286,2,FALSE))=TRUE,"",TEXT(VLOOKUP(CONCATENATE($A105,$Q$8,S$10),'Tariff Schedule Lookup Table'!$F$8:$G$286,2,FALSE),"0000"))</f>
        <v/>
      </c>
      <c r="T105" s="34" t="str">
        <f>IF(ISERROR(VLOOKUP(CONCATENATE($A105,$Q$8,T$10),'Tariff Schedule Lookup Table'!$F$8:$G$286,2,FALSE))=TRUE,"",TEXT(VLOOKUP(CONCATENATE($A105,$Q$8,T$10),'Tariff Schedule Lookup Table'!$F$8:$G$286,2,FALSE),"0000"))</f>
        <v/>
      </c>
      <c r="U105" s="34" t="str">
        <f>IF(ISERROR(VLOOKUP(CONCATENATE($A105,$U$8,U$10),'Tariff Schedule Lookup Table'!$F$8:$G$286,2,FALSE))=TRUE,"",TEXT(VLOOKUP(CONCATENATE($A105,$U$8,U$10),'Tariff Schedule Lookup Table'!$F$8:$G$286,2,FALSE),"0000"))</f>
        <v/>
      </c>
      <c r="V105" s="34" t="str">
        <f>IF(ISERROR(VLOOKUP(CONCATENATE($A105,$U$8,V$10),'Tariff Schedule Lookup Table'!$F$8:$G$286,2,FALSE))=TRUE,"",TEXT(VLOOKUP(CONCATENATE($A105,$U$8,V$10),'Tariff Schedule Lookup Table'!$F$8:$G$286,2,FALSE),"0000"))</f>
        <v>0260</v>
      </c>
      <c r="W105" s="34" t="str">
        <f>IF(ISERROR(VLOOKUP(CONCATENATE($A105,$U$8,W$10),'Tariff Schedule Lookup Table'!$F$8:$G$286,2,FALSE))=TRUE,"",TEXT(VLOOKUP(CONCATENATE($A105,$U$8,W$10),'Tariff Schedule Lookup Table'!$F$8:$G$286,2,FALSE),"0000"))</f>
        <v>0270</v>
      </c>
      <c r="X105" s="34" t="str">
        <f>IF(ISERROR(VLOOKUP(CONCATENATE($A105,$U$8,X$10),'Tariff Schedule Lookup Table'!$F$8:$G$286,2,FALSE))=TRUE,"",TEXT(VLOOKUP(CONCATENATE($A105,$U$8,X$10),'Tariff Schedule Lookup Table'!$F$8:$G$186,2,FALSE),"0000"))</f>
        <v>0280</v>
      </c>
      <c r="Y105" s="6"/>
      <c r="Z105" s="6"/>
      <c r="AA105" s="6"/>
      <c r="AB105" s="6"/>
      <c r="AC105" s="6"/>
    </row>
    <row r="106" spans="1:42" x14ac:dyDescent="0.2">
      <c r="A106" s="40" t="s">
        <v>1092</v>
      </c>
      <c r="B106" s="35" t="s">
        <v>226</v>
      </c>
      <c r="C106" s="197">
        <f>VLOOKUP(LEFT(B106,7),'Tariff Schedule Lookup Table'!$A$8:$D$186,3,FALSE)</f>
        <v>2880</v>
      </c>
      <c r="D106" s="199" t="str">
        <f>VLOOKUP(LEFT(B106,7),'Tariff Schedule Lookup Table'!$A$8:$D$186,2,FALSE)</f>
        <v>Incandescent 2880</v>
      </c>
      <c r="E106" s="6" t="s">
        <v>1077</v>
      </c>
      <c r="F106" s="37">
        <f>VLOOKUP(LEFT(B106,7),'Tariff Schedule Lookup Table'!$A$8:$D$186,4,FALSE)</f>
        <v>2880</v>
      </c>
      <c r="G106" s="33">
        <f>VLOOKUP($B106,'Maintenance Costs'!$A$20:$AG$176,32,FALSE)</f>
        <v>128.40216156024582</v>
      </c>
      <c r="H106" s="67">
        <f>IF(VLOOKUP($B106,'Maintenance Costs'!$A$20:$AG$176,33,FALSE)=0,"",VLOOKUP($B106,'Maintenance Costs'!$A$20:$AG$176,33,FALSE))</f>
        <v>20.903227435573008</v>
      </c>
      <c r="I106" s="34" t="str">
        <f>IF(ISERROR(VLOOKUP(CONCATENATE($A106,$I$8,I$10),'Tariff Schedule Lookup Table'!$F$8:$G$286,2,FALSE))=TRUE,"",TEXT(VLOOKUP(CONCATENATE($A106,$I$8,I$10),'Tariff Schedule Lookup Table'!$F$8:$G$286,2,FALSE),"0000"))</f>
        <v>0620</v>
      </c>
      <c r="J106" s="34" t="str">
        <f>IF(ISERROR(VLOOKUP(CONCATENATE($A106,$I$8,J$10),'Tariff Schedule Lookup Table'!$F$8:$G$286,2,FALSE))=TRUE,"",TEXT(VLOOKUP(CONCATENATE($A106,$I$8,J$10),'Tariff Schedule Lookup Table'!$F$8:$G$286,2,FALSE),"0000"))</f>
        <v>0660</v>
      </c>
      <c r="K106" s="34" t="str">
        <f>IF(ISERROR(VLOOKUP(CONCATENATE($A106,$I$8,K$10),'Tariff Schedule Lookup Table'!$F$8:$G$286,2,FALSE))=TRUE,"",TEXT(VLOOKUP(CONCATENATE($A106,$I$8,K$10),'Tariff Schedule Lookup Table'!$F$8:$G$286,2,FALSE),"0000"))</f>
        <v/>
      </c>
      <c r="L106" s="34" t="str">
        <f>IF(ISERROR(VLOOKUP(CONCATENATE($A106,$I$8,L$10),'Tariff Schedule Lookup Table'!$F$8:$G$286,2,FALSE))=TRUE,"",TEXT(VLOOKUP(CONCATENATE($A106,$I$8,L$10),'Tariff Schedule Lookup Table'!$F$8:$G$286,2,FALSE),"0000"))</f>
        <v/>
      </c>
      <c r="M106" s="34" t="str">
        <f>IF(ISERROR(VLOOKUP(CONCATENATE($A106,$M$8,M$10),'Tariff Schedule Lookup Table'!$F$8:$G$286,2,FALSE))=TRUE,"",TEXT(VLOOKUP(CONCATENATE($A106,$M$8,M$10),'Tariff Schedule Lookup Table'!$F$8:$G$286,2,FALSE),"0000"))</f>
        <v>1100</v>
      </c>
      <c r="N106" s="34" t="str">
        <f>IF(ISERROR(VLOOKUP(CONCATENATE($A106,$M$8,N$10),'Tariff Schedule Lookup Table'!$F$8:$G$286,2,FALSE))=TRUE,"",TEXT(VLOOKUP(CONCATENATE($A106,$M$8,N$10),'Tariff Schedule Lookup Table'!$F$8:$G$286,2,FALSE),"0000"))</f>
        <v>0900</v>
      </c>
      <c r="O106" s="34" t="str">
        <f>IF(ISERROR(VLOOKUP(CONCATENATE($A106,$M$8,O$10),'Tariff Schedule Lookup Table'!$F$8:$G$286,2,FALSE))=TRUE,"",TEXT(VLOOKUP(CONCATENATE($A106,$M$8,O$10),'Tariff Schedule Lookup Table'!$F$8:$G$286,2,FALSE),"0000"))</f>
        <v>1250</v>
      </c>
      <c r="P106" s="34" t="str">
        <f>IF(ISERROR(VLOOKUP(CONCATENATE($A106,$M$8,P$10),'Tariff Schedule Lookup Table'!$F$8:$G$286,2,FALSE))=TRUE,"",TEXT(VLOOKUP(CONCATENATE($A106,$M$8,P$10),'Tariff Schedule Lookup Table'!$F$8:$G$286,2,FALSE),"0000"))</f>
        <v/>
      </c>
      <c r="Q106" s="34" t="str">
        <f>IF(ISERROR(VLOOKUP(CONCATENATE($A106,$Q$8,Q$10),'Tariff Schedule Lookup Table'!$F$8:$G$286,2,FALSE))=TRUE,"",TEXT(VLOOKUP(CONCATENATE($A106,$Q$8,Q$10),'Tariff Schedule Lookup Table'!$F$8:$G$286,2,FALSE),"0000"))</f>
        <v>1170</v>
      </c>
      <c r="R106" s="34" t="str">
        <f>IF(ISERROR(VLOOKUP(CONCATENATE($A106,$Q$8,R$10),'Tariff Schedule Lookup Table'!$F$8:$G$286,2,FALSE))=TRUE,"",TEXT(VLOOKUP(CONCATENATE($A106,$Q$8,R$10),'Tariff Schedule Lookup Table'!$F$8:$G$286,2,FALSE),"0000"))</f>
        <v>1130</v>
      </c>
      <c r="S106" s="34" t="str">
        <f>IF(ISERROR(VLOOKUP(CONCATENATE($A106,$Q$8,S$10),'Tariff Schedule Lookup Table'!$F$8:$G$286,2,FALSE))=TRUE,"",TEXT(VLOOKUP(CONCATENATE($A106,$Q$8,S$10),'Tariff Schedule Lookup Table'!$F$8:$G$286,2,FALSE),"0000"))</f>
        <v/>
      </c>
      <c r="T106" s="34" t="str">
        <f>IF(ISERROR(VLOOKUP(CONCATENATE($A106,$Q$8,T$10),'Tariff Schedule Lookup Table'!$F$8:$G$286,2,FALSE))=TRUE,"",TEXT(VLOOKUP(CONCATENATE($A106,$Q$8,T$10),'Tariff Schedule Lookup Table'!$F$8:$G$286,2,FALSE),"0000"))</f>
        <v/>
      </c>
      <c r="U106" s="34" t="str">
        <f>IF(ISERROR(VLOOKUP(CONCATENATE($A106,$U$8,U$10),'Tariff Schedule Lookup Table'!$F$8:$G$286,2,FALSE))=TRUE,"",TEXT(VLOOKUP(CONCATENATE($A106,$U$8,U$10),'Tariff Schedule Lookup Table'!$F$8:$G$286,2,FALSE),"0000"))</f>
        <v/>
      </c>
      <c r="V106" s="34" t="str">
        <f>IF(ISERROR(VLOOKUP(CONCATENATE($A106,$U$8,V$10),'Tariff Schedule Lookup Table'!$F$8:$G$286,2,FALSE))=TRUE,"",TEXT(VLOOKUP(CONCATENATE($A106,$U$8,V$10),'Tariff Schedule Lookup Table'!$F$8:$G$286,2,FALSE),"0000"))</f>
        <v>0260</v>
      </c>
      <c r="W106" s="34" t="str">
        <f>IF(ISERROR(VLOOKUP(CONCATENATE($A106,$U$8,W$10),'Tariff Schedule Lookup Table'!$F$8:$G$286,2,FALSE))=TRUE,"",TEXT(VLOOKUP(CONCATENATE($A106,$U$8,W$10),'Tariff Schedule Lookup Table'!$F$8:$G$286,2,FALSE),"0000"))</f>
        <v>0270</v>
      </c>
      <c r="X106" s="34" t="str">
        <f>IF(ISERROR(VLOOKUP(CONCATENATE($A106,$U$8,X$10),'Tariff Schedule Lookup Table'!$F$8:$G$286,2,FALSE))=TRUE,"",TEXT(VLOOKUP(CONCATENATE($A106,$U$8,X$10),'Tariff Schedule Lookup Table'!$F$8:$G$186,2,FALSE),"0000"))</f>
        <v>0280</v>
      </c>
      <c r="Y106" s="6"/>
      <c r="Z106" s="6"/>
      <c r="AA106" s="6"/>
      <c r="AB106" s="6"/>
      <c r="AC106" s="6"/>
    </row>
    <row r="107" spans="1:42" x14ac:dyDescent="0.2">
      <c r="A107" s="6" t="s">
        <v>1044</v>
      </c>
      <c r="B107" s="35" t="s">
        <v>2120</v>
      </c>
      <c r="C107" s="197">
        <f>VLOOKUP(LEFT(B107,7),'Tariff Schedule Lookup Table'!$A$8:$D$186,3,FALSE)</f>
        <v>18</v>
      </c>
      <c r="D107" s="199" t="str">
        <f>VLOOKUP(LEFT(B107,7),'Tariff Schedule Lookup Table'!$A$8:$D$186,2,FALSE)</f>
        <v>Low Pressure Sodium 18</v>
      </c>
      <c r="E107" s="6" t="s">
        <v>996</v>
      </c>
      <c r="F107" s="37">
        <f>VLOOKUP(LEFT(B107,7),'Tariff Schedule Lookup Table'!$A$8:$D$186,4,FALSE)</f>
        <v>29</v>
      </c>
      <c r="G107" s="33">
        <f>VLOOKUP($B107,'Maintenance Costs'!$A$20:$AG$176,32,FALSE)</f>
        <v>88.213472891112488</v>
      </c>
      <c r="H107" s="67">
        <f>IF(VLOOKUP($B107,'Maintenance Costs'!$A$20:$AG$176,33,FALSE)=0,"",VLOOKUP($B107,'Maintenance Costs'!$A$20:$AG$176,33,FALSE))</f>
        <v>52.323726597751772</v>
      </c>
      <c r="I107" s="34" t="str">
        <f>IF(ISERROR(VLOOKUP(CONCATENATE($A107,$I$8,I$10),'Tariff Schedule Lookup Table'!$F$8:$G$286,2,FALSE))=TRUE,"",TEXT(VLOOKUP(CONCATENATE($A107,$I$8,I$10),'Tariff Schedule Lookup Table'!$F$8:$G$286,2,FALSE),"0000"))</f>
        <v>0040</v>
      </c>
      <c r="J107" s="34" t="str">
        <f>IF(ISERROR(VLOOKUP(CONCATENATE($A107,$I$8,J$10),'Tariff Schedule Lookup Table'!$F$8:$G$286,2,FALSE))=TRUE,"",TEXT(VLOOKUP(CONCATENATE($A107,$I$8,J$10),'Tariff Schedule Lookup Table'!$F$8:$G$286,2,FALSE),"0000"))</f>
        <v>0890</v>
      </c>
      <c r="K107" s="34" t="str">
        <f>IF(ISERROR(VLOOKUP(CONCATENATE($A107,$I$8,K$10),'Tariff Schedule Lookup Table'!$F$8:$G$286,2,FALSE))=TRUE,"",TEXT(VLOOKUP(CONCATENATE($A107,$I$8,K$10),'Tariff Schedule Lookup Table'!$F$8:$G$286,2,FALSE),"0000"))</f>
        <v>0750</v>
      </c>
      <c r="L107" s="34" t="str">
        <f>IF(ISERROR(VLOOKUP(CONCATENATE($A107,$I$8,L$10),'Tariff Schedule Lookup Table'!$F$8:$G$286,2,FALSE))=TRUE,"",TEXT(VLOOKUP(CONCATENATE($A107,$I$8,L$10),'Tariff Schedule Lookup Table'!$F$8:$G$286,2,FALSE),"0000"))</f>
        <v>0920</v>
      </c>
      <c r="M107" s="34" t="str">
        <f>IF(ISERROR(VLOOKUP(CONCATENATE($A107,$M$8,M$10),'Tariff Schedule Lookup Table'!$F$8:$G$286,2,FALSE))=TRUE,"",TEXT(VLOOKUP(CONCATENATE($A107,$M$8,M$10),'Tariff Schedule Lookup Table'!$F$8:$G$286,2,FALSE),"0000"))</f>
        <v>0350</v>
      </c>
      <c r="N107" s="34" t="str">
        <f>IF(ISERROR(VLOOKUP(CONCATENATE($A107,$M$8,N$10),'Tariff Schedule Lookup Table'!$F$8:$G$286,2,FALSE))=TRUE,"",TEXT(VLOOKUP(CONCATENATE($A107,$M$8,N$10),'Tariff Schedule Lookup Table'!$F$8:$G$286,2,FALSE),"0000"))</f>
        <v>0910</v>
      </c>
      <c r="O107" s="34" t="str">
        <f>IF(ISERROR(VLOOKUP(CONCATENATE($A107,$M$8,O$10),'Tariff Schedule Lookup Table'!$F$8:$G$286,2,FALSE))=TRUE,"",TEXT(VLOOKUP(CONCATENATE($A107,$M$8,O$10),'Tariff Schedule Lookup Table'!$F$8:$G$286,2,FALSE),"0000"))</f>
        <v/>
      </c>
      <c r="P107" s="34" t="str">
        <f>IF(ISERROR(VLOOKUP(CONCATENATE($A107,$M$8,P$10),'Tariff Schedule Lookup Table'!$F$8:$G$286,2,FALSE))=TRUE,"",TEXT(VLOOKUP(CONCATENATE($A107,$M$8,P$10),'Tariff Schedule Lookup Table'!$F$8:$G$286,2,FALSE),"0000"))</f>
        <v/>
      </c>
      <c r="Q107" s="34" t="str">
        <f>IF(ISERROR(VLOOKUP(CONCATENATE($A107,$Q$8,Q$10),'Tariff Schedule Lookup Table'!$F$8:$G$286,2,FALSE))=TRUE,"",TEXT(VLOOKUP(CONCATENATE($A107,$Q$8,Q$10),'Tariff Schedule Lookup Table'!$F$8:$G$286,2,FALSE),"0000"))</f>
        <v>0360</v>
      </c>
      <c r="R107" s="34" t="str">
        <f>IF(ISERROR(VLOOKUP(CONCATENATE($A107,$Q$8,R$10),'Tariff Schedule Lookup Table'!$F$8:$G$286,2,FALSE))=TRUE,"",TEXT(VLOOKUP(CONCATENATE($A107,$Q$8,R$10),'Tariff Schedule Lookup Table'!$F$8:$G$286,2,FALSE),"0000"))</f>
        <v>0730</v>
      </c>
      <c r="S107" s="34" t="str">
        <f>IF(ISERROR(VLOOKUP(CONCATENATE($A107,$Q$8,S$10),'Tariff Schedule Lookup Table'!$F$8:$G$286,2,FALSE))=TRUE,"",TEXT(VLOOKUP(CONCATENATE($A107,$Q$8,S$10),'Tariff Schedule Lookup Table'!$F$8:$G$286,2,FALSE),"0000"))</f>
        <v/>
      </c>
      <c r="T107" s="34" t="str">
        <f>IF(ISERROR(VLOOKUP(CONCATENATE($A107,$Q$8,T$10),'Tariff Schedule Lookup Table'!$F$8:$G$286,2,FALSE))=TRUE,"",TEXT(VLOOKUP(CONCATENATE($A107,$Q$8,T$10),'Tariff Schedule Lookup Table'!$F$8:$G$286,2,FALSE),"0000"))</f>
        <v>0880</v>
      </c>
      <c r="U107" s="34" t="str">
        <f>IF(ISERROR(VLOOKUP(CONCATENATE($A107,$U$8,U$10),'Tariff Schedule Lookup Table'!$F$8:$G$286,2,FALSE))=TRUE,"",TEXT(VLOOKUP(CONCATENATE($A107,$U$8,U$10),'Tariff Schedule Lookup Table'!$F$8:$G$286,2,FALSE),"0000"))</f>
        <v/>
      </c>
      <c r="V107" s="34" t="str">
        <f>IF(ISERROR(VLOOKUP(CONCATENATE($A107,$U$8,V$10),'Tariff Schedule Lookup Table'!$F$8:$G$286,2,FALSE))=TRUE,"",TEXT(VLOOKUP(CONCATENATE($A107,$U$8,V$10),'Tariff Schedule Lookup Table'!$F$8:$G$286,2,FALSE),"0000"))</f>
        <v/>
      </c>
      <c r="W107" s="34" t="str">
        <f>IF(ISERROR(VLOOKUP(CONCATENATE($A107,$U$8,W$10),'Tariff Schedule Lookup Table'!$F$8:$G$286,2,FALSE))=TRUE,"",TEXT(VLOOKUP(CONCATENATE($A107,$U$8,W$10),'Tariff Schedule Lookup Table'!$F$8:$G$286,2,FALSE),"0000"))</f>
        <v/>
      </c>
      <c r="X107" s="34" t="str">
        <f>IF(ISERROR(VLOOKUP(CONCATENATE($A107,$U$8,X$10),'Tariff Schedule Lookup Table'!$F$8:$G$286,2,FALSE))=TRUE,"",TEXT(VLOOKUP(CONCATENATE($A107,$U$8,X$10),'Tariff Schedule Lookup Table'!$F$8:$G$186,2,FALSE),"0000"))</f>
        <v/>
      </c>
      <c r="Y107" s="6"/>
      <c r="Z107" s="6"/>
      <c r="AA107" s="6"/>
      <c r="AB107" s="6"/>
      <c r="AC107" s="6"/>
    </row>
    <row r="108" spans="1:42" x14ac:dyDescent="0.2">
      <c r="A108" s="6" t="s">
        <v>1044</v>
      </c>
      <c r="B108" s="35" t="s">
        <v>2121</v>
      </c>
      <c r="C108" s="197">
        <f>VLOOKUP(LEFT(B108,7),'Tariff Schedule Lookup Table'!$A$8:$D$186,3,FALSE)</f>
        <v>35</v>
      </c>
      <c r="D108" s="199" t="str">
        <f>VLOOKUP(LEFT(B108,7),'Tariff Schedule Lookup Table'!$A$8:$D$186,2,FALSE)</f>
        <v>Low Pressure Sodium 35</v>
      </c>
      <c r="E108" s="6" t="s">
        <v>996</v>
      </c>
      <c r="F108" s="37">
        <f>VLOOKUP(LEFT(B108,7),'Tariff Schedule Lookup Table'!$A$8:$D$186,4,FALSE)</f>
        <v>60</v>
      </c>
      <c r="G108" s="33">
        <f>VLOOKUP($B108,'Maintenance Costs'!$A$20:$AG$176,32,FALSE)</f>
        <v>88.213472891112488</v>
      </c>
      <c r="H108" s="67">
        <f>IF(VLOOKUP($B108,'Maintenance Costs'!$A$20:$AG$176,33,FALSE)=0,"",VLOOKUP($B108,'Maintenance Costs'!$A$20:$AG$176,33,FALSE))</f>
        <v>52.323726597751772</v>
      </c>
      <c r="I108" s="34" t="str">
        <f>IF(ISERROR(VLOOKUP(CONCATENATE($A108,$I$8,I$10),'Tariff Schedule Lookup Table'!$F$8:$G$286,2,FALSE))=TRUE,"",TEXT(VLOOKUP(CONCATENATE($A108,$I$8,I$10),'Tariff Schedule Lookup Table'!$F$8:$G$286,2,FALSE),"0000"))</f>
        <v>0040</v>
      </c>
      <c r="J108" s="34" t="str">
        <f>IF(ISERROR(VLOOKUP(CONCATENATE($A108,$I$8,J$10),'Tariff Schedule Lookup Table'!$F$8:$G$286,2,FALSE))=TRUE,"",TEXT(VLOOKUP(CONCATENATE($A108,$I$8,J$10),'Tariff Schedule Lookup Table'!$F$8:$G$286,2,FALSE),"0000"))</f>
        <v>0890</v>
      </c>
      <c r="K108" s="34" t="str">
        <f>IF(ISERROR(VLOOKUP(CONCATENATE($A108,$I$8,K$10),'Tariff Schedule Lookup Table'!$F$8:$G$286,2,FALSE))=TRUE,"",TEXT(VLOOKUP(CONCATENATE($A108,$I$8,K$10),'Tariff Schedule Lookup Table'!$F$8:$G$286,2,FALSE),"0000"))</f>
        <v>0750</v>
      </c>
      <c r="L108" s="34" t="str">
        <f>IF(ISERROR(VLOOKUP(CONCATENATE($A108,$I$8,L$10),'Tariff Schedule Lookup Table'!$F$8:$G$286,2,FALSE))=TRUE,"",TEXT(VLOOKUP(CONCATENATE($A108,$I$8,L$10),'Tariff Schedule Lookup Table'!$F$8:$G$286,2,FALSE),"0000"))</f>
        <v>0920</v>
      </c>
      <c r="M108" s="34" t="str">
        <f>IF(ISERROR(VLOOKUP(CONCATENATE($A108,$M$8,M$10),'Tariff Schedule Lookup Table'!$F$8:$G$286,2,FALSE))=TRUE,"",TEXT(VLOOKUP(CONCATENATE($A108,$M$8,M$10),'Tariff Schedule Lookup Table'!$F$8:$G$286,2,FALSE),"0000"))</f>
        <v>0350</v>
      </c>
      <c r="N108" s="34" t="str">
        <f>IF(ISERROR(VLOOKUP(CONCATENATE($A108,$M$8,N$10),'Tariff Schedule Lookup Table'!$F$8:$G$286,2,FALSE))=TRUE,"",TEXT(VLOOKUP(CONCATENATE($A108,$M$8,N$10),'Tariff Schedule Lookup Table'!$F$8:$G$286,2,FALSE),"0000"))</f>
        <v>0910</v>
      </c>
      <c r="O108" s="34" t="str">
        <f>IF(ISERROR(VLOOKUP(CONCATENATE($A108,$M$8,O$10),'Tariff Schedule Lookup Table'!$F$8:$G$286,2,FALSE))=TRUE,"",TEXT(VLOOKUP(CONCATENATE($A108,$M$8,O$10),'Tariff Schedule Lookup Table'!$F$8:$G$286,2,FALSE),"0000"))</f>
        <v/>
      </c>
      <c r="P108" s="34" t="str">
        <f>IF(ISERROR(VLOOKUP(CONCATENATE($A108,$M$8,P$10),'Tariff Schedule Lookup Table'!$F$8:$G$286,2,FALSE))=TRUE,"",TEXT(VLOOKUP(CONCATENATE($A108,$M$8,P$10),'Tariff Schedule Lookup Table'!$F$8:$G$286,2,FALSE),"0000"))</f>
        <v/>
      </c>
      <c r="Q108" s="34" t="str">
        <f>IF(ISERROR(VLOOKUP(CONCATENATE($A108,$Q$8,Q$10),'Tariff Schedule Lookup Table'!$F$8:$G$286,2,FALSE))=TRUE,"",TEXT(VLOOKUP(CONCATENATE($A108,$Q$8,Q$10),'Tariff Schedule Lookup Table'!$F$8:$G$286,2,FALSE),"0000"))</f>
        <v>0360</v>
      </c>
      <c r="R108" s="34" t="str">
        <f>IF(ISERROR(VLOOKUP(CONCATENATE($A108,$Q$8,R$10),'Tariff Schedule Lookup Table'!$F$8:$G$286,2,FALSE))=TRUE,"",TEXT(VLOOKUP(CONCATENATE($A108,$Q$8,R$10),'Tariff Schedule Lookup Table'!$F$8:$G$286,2,FALSE),"0000"))</f>
        <v>0730</v>
      </c>
      <c r="S108" s="34" t="str">
        <f>IF(ISERROR(VLOOKUP(CONCATENATE($A108,$Q$8,S$10),'Tariff Schedule Lookup Table'!$F$8:$G$286,2,FALSE))=TRUE,"",TEXT(VLOOKUP(CONCATENATE($A108,$Q$8,S$10),'Tariff Schedule Lookup Table'!$F$8:$G$286,2,FALSE),"0000"))</f>
        <v/>
      </c>
      <c r="T108" s="34" t="str">
        <f>IF(ISERROR(VLOOKUP(CONCATENATE($A108,$Q$8,T$10),'Tariff Schedule Lookup Table'!$F$8:$G$286,2,FALSE))=TRUE,"",TEXT(VLOOKUP(CONCATENATE($A108,$Q$8,T$10),'Tariff Schedule Lookup Table'!$F$8:$G$286,2,FALSE),"0000"))</f>
        <v>0880</v>
      </c>
      <c r="U108" s="34" t="str">
        <f>IF(ISERROR(VLOOKUP(CONCATENATE($A108,$U$8,U$10),'Tariff Schedule Lookup Table'!$F$8:$G$286,2,FALSE))=TRUE,"",TEXT(VLOOKUP(CONCATENATE($A108,$U$8,U$10),'Tariff Schedule Lookup Table'!$F$8:$G$286,2,FALSE),"0000"))</f>
        <v/>
      </c>
      <c r="V108" s="34" t="str">
        <f>IF(ISERROR(VLOOKUP(CONCATENATE($A108,$U$8,V$10),'Tariff Schedule Lookup Table'!$F$8:$G$286,2,FALSE))=TRUE,"",TEXT(VLOOKUP(CONCATENATE($A108,$U$8,V$10),'Tariff Schedule Lookup Table'!$F$8:$G$286,2,FALSE),"0000"))</f>
        <v/>
      </c>
      <c r="W108" s="34" t="str">
        <f>IF(ISERROR(VLOOKUP(CONCATENATE($A108,$U$8,W$10),'Tariff Schedule Lookup Table'!$F$8:$G$286,2,FALSE))=TRUE,"",TEXT(VLOOKUP(CONCATENATE($A108,$U$8,W$10),'Tariff Schedule Lookup Table'!$F$8:$G$286,2,FALSE),"0000"))</f>
        <v/>
      </c>
      <c r="X108" s="34" t="str">
        <f>IF(ISERROR(VLOOKUP(CONCATENATE($A108,$U$8,X$10),'Tariff Schedule Lookup Table'!$F$8:$G$286,2,FALSE))=TRUE,"",TEXT(VLOOKUP(CONCATENATE($A108,$U$8,X$10),'Tariff Schedule Lookup Table'!$F$8:$G$186,2,FALSE),"0000"))</f>
        <v/>
      </c>
      <c r="Y108" s="6"/>
      <c r="Z108" s="6"/>
      <c r="AA108" s="6"/>
      <c r="AB108" s="6"/>
      <c r="AC108" s="6"/>
    </row>
    <row r="109" spans="1:42" x14ac:dyDescent="0.2">
      <c r="A109" s="6" t="s">
        <v>1044</v>
      </c>
      <c r="B109" s="35" t="s">
        <v>2122</v>
      </c>
      <c r="C109" s="197">
        <f>VLOOKUP(LEFT(B109,7),'Tariff Schedule Lookup Table'!$A$8:$D$186,3,FALSE)</f>
        <v>55</v>
      </c>
      <c r="D109" s="199" t="str">
        <f>VLOOKUP(LEFT(B109,7),'Tariff Schedule Lookup Table'!$A$8:$D$186,2,FALSE)</f>
        <v>Low Pressure Sodium 55</v>
      </c>
      <c r="E109" s="6" t="s">
        <v>996</v>
      </c>
      <c r="F109" s="37">
        <f>VLOOKUP(LEFT(B109,7),'Tariff Schedule Lookup Table'!$A$8:$D$186,4,FALSE)</f>
        <v>80</v>
      </c>
      <c r="G109" s="33">
        <f>VLOOKUP($B109,'Maintenance Costs'!$A$20:$AG$176,32,FALSE)</f>
        <v>88.213472891112488</v>
      </c>
      <c r="H109" s="67">
        <f>IF(VLOOKUP($B109,'Maintenance Costs'!$A$20:$AG$176,33,FALSE)=0,"",VLOOKUP($B109,'Maintenance Costs'!$A$20:$AG$176,33,FALSE))</f>
        <v>52.323726597751772</v>
      </c>
      <c r="I109" s="34" t="str">
        <f>IF(ISERROR(VLOOKUP(CONCATENATE($A109,$I$8,I$10),'Tariff Schedule Lookup Table'!$F$8:$G$286,2,FALSE))=TRUE,"",TEXT(VLOOKUP(CONCATENATE($A109,$I$8,I$10),'Tariff Schedule Lookup Table'!$F$8:$G$286,2,FALSE),"0000"))</f>
        <v>0040</v>
      </c>
      <c r="J109" s="34" t="str">
        <f>IF(ISERROR(VLOOKUP(CONCATENATE($A109,$I$8,J$10),'Tariff Schedule Lookup Table'!$F$8:$G$286,2,FALSE))=TRUE,"",TEXT(VLOOKUP(CONCATENATE($A109,$I$8,J$10),'Tariff Schedule Lookup Table'!$F$8:$G$286,2,FALSE),"0000"))</f>
        <v>0890</v>
      </c>
      <c r="K109" s="34" t="str">
        <f>IF(ISERROR(VLOOKUP(CONCATENATE($A109,$I$8,K$10),'Tariff Schedule Lookup Table'!$F$8:$G$286,2,FALSE))=TRUE,"",TEXT(VLOOKUP(CONCATENATE($A109,$I$8,K$10),'Tariff Schedule Lookup Table'!$F$8:$G$286,2,FALSE),"0000"))</f>
        <v>0750</v>
      </c>
      <c r="L109" s="34" t="str">
        <f>IF(ISERROR(VLOOKUP(CONCATENATE($A109,$I$8,L$10),'Tariff Schedule Lookup Table'!$F$8:$G$286,2,FALSE))=TRUE,"",TEXT(VLOOKUP(CONCATENATE($A109,$I$8,L$10),'Tariff Schedule Lookup Table'!$F$8:$G$286,2,FALSE),"0000"))</f>
        <v>0920</v>
      </c>
      <c r="M109" s="34" t="str">
        <f>IF(ISERROR(VLOOKUP(CONCATENATE($A109,$M$8,M$10),'Tariff Schedule Lookup Table'!$F$8:$G$286,2,FALSE))=TRUE,"",TEXT(VLOOKUP(CONCATENATE($A109,$M$8,M$10),'Tariff Schedule Lookup Table'!$F$8:$G$286,2,FALSE),"0000"))</f>
        <v>0350</v>
      </c>
      <c r="N109" s="34" t="str">
        <f>IF(ISERROR(VLOOKUP(CONCATENATE($A109,$M$8,N$10),'Tariff Schedule Lookup Table'!$F$8:$G$286,2,FALSE))=TRUE,"",TEXT(VLOOKUP(CONCATENATE($A109,$M$8,N$10),'Tariff Schedule Lookup Table'!$F$8:$G$286,2,FALSE),"0000"))</f>
        <v>0910</v>
      </c>
      <c r="O109" s="34" t="str">
        <f>IF(ISERROR(VLOOKUP(CONCATENATE($A109,$M$8,O$10),'Tariff Schedule Lookup Table'!$F$8:$G$286,2,FALSE))=TRUE,"",TEXT(VLOOKUP(CONCATENATE($A109,$M$8,O$10),'Tariff Schedule Lookup Table'!$F$8:$G$286,2,FALSE),"0000"))</f>
        <v/>
      </c>
      <c r="P109" s="34" t="str">
        <f>IF(ISERROR(VLOOKUP(CONCATENATE($A109,$M$8,P$10),'Tariff Schedule Lookup Table'!$F$8:$G$286,2,FALSE))=TRUE,"",TEXT(VLOOKUP(CONCATENATE($A109,$M$8,P$10),'Tariff Schedule Lookup Table'!$F$8:$G$286,2,FALSE),"0000"))</f>
        <v/>
      </c>
      <c r="Q109" s="34" t="str">
        <f>IF(ISERROR(VLOOKUP(CONCATENATE($A109,$Q$8,Q$10),'Tariff Schedule Lookup Table'!$F$8:$G$286,2,FALSE))=TRUE,"",TEXT(VLOOKUP(CONCATENATE($A109,$Q$8,Q$10),'Tariff Schedule Lookup Table'!$F$8:$G$286,2,FALSE),"0000"))</f>
        <v>0360</v>
      </c>
      <c r="R109" s="34" t="str">
        <f>IF(ISERROR(VLOOKUP(CONCATENATE($A109,$Q$8,R$10),'Tariff Schedule Lookup Table'!$F$8:$G$286,2,FALSE))=TRUE,"",TEXT(VLOOKUP(CONCATENATE($A109,$Q$8,R$10),'Tariff Schedule Lookup Table'!$F$8:$G$286,2,FALSE),"0000"))</f>
        <v>0730</v>
      </c>
      <c r="S109" s="34" t="str">
        <f>IF(ISERROR(VLOOKUP(CONCATENATE($A109,$Q$8,S$10),'Tariff Schedule Lookup Table'!$F$8:$G$286,2,FALSE))=TRUE,"",TEXT(VLOOKUP(CONCATENATE($A109,$Q$8,S$10),'Tariff Schedule Lookup Table'!$F$8:$G$286,2,FALSE),"0000"))</f>
        <v/>
      </c>
      <c r="T109" s="34" t="str">
        <f>IF(ISERROR(VLOOKUP(CONCATENATE($A109,$Q$8,T$10),'Tariff Schedule Lookup Table'!$F$8:$G$286,2,FALSE))=TRUE,"",TEXT(VLOOKUP(CONCATENATE($A109,$Q$8,T$10),'Tariff Schedule Lookup Table'!$F$8:$G$286,2,FALSE),"0000"))</f>
        <v>0880</v>
      </c>
      <c r="U109" s="34" t="str">
        <f>IF(ISERROR(VLOOKUP(CONCATENATE($A109,$U$8,U$10),'Tariff Schedule Lookup Table'!$F$8:$G$286,2,FALSE))=TRUE,"",TEXT(VLOOKUP(CONCATENATE($A109,$U$8,U$10),'Tariff Schedule Lookup Table'!$F$8:$G$286,2,FALSE),"0000"))</f>
        <v/>
      </c>
      <c r="V109" s="34" t="str">
        <f>IF(ISERROR(VLOOKUP(CONCATENATE($A109,$U$8,V$10),'Tariff Schedule Lookup Table'!$F$8:$G$286,2,FALSE))=TRUE,"",TEXT(VLOOKUP(CONCATENATE($A109,$U$8,V$10),'Tariff Schedule Lookup Table'!$F$8:$G$286,2,FALSE),"0000"))</f>
        <v/>
      </c>
      <c r="W109" s="34" t="str">
        <f>IF(ISERROR(VLOOKUP(CONCATENATE($A109,$U$8,W$10),'Tariff Schedule Lookup Table'!$F$8:$G$286,2,FALSE))=TRUE,"",TEXT(VLOOKUP(CONCATENATE($A109,$U$8,W$10),'Tariff Schedule Lookup Table'!$F$8:$G$286,2,FALSE),"0000"))</f>
        <v/>
      </c>
      <c r="X109" s="34" t="str">
        <f>IF(ISERROR(VLOOKUP(CONCATENATE($A109,$U$8,X$10),'Tariff Schedule Lookup Table'!$F$8:$G$286,2,FALSE))=TRUE,"",TEXT(VLOOKUP(CONCATENATE($A109,$U$8,X$10),'Tariff Schedule Lookup Table'!$F$8:$G$186,2,FALSE),"0000"))</f>
        <v/>
      </c>
      <c r="Y109" s="6"/>
      <c r="Z109" s="6"/>
      <c r="AA109" s="6"/>
      <c r="AB109" s="6"/>
      <c r="AC109" s="6"/>
    </row>
    <row r="110" spans="1:42" x14ac:dyDescent="0.2">
      <c r="A110" s="6" t="s">
        <v>1067</v>
      </c>
      <c r="B110" s="35" t="s">
        <v>2123</v>
      </c>
      <c r="C110" s="197" t="str">
        <f>VLOOKUP(LEFT(B110,7),'Tariff Schedule Lookup Table'!$A$8:$D$186,3,FALSE)</f>
        <v>90/100</v>
      </c>
      <c r="D110" s="199" t="str">
        <f>VLOOKUP(LEFT(B110,7),'Tariff Schedule Lookup Table'!$A$8:$D$186,2,FALSE)</f>
        <v>Low Pressure Sodium 90/100</v>
      </c>
      <c r="E110" s="6" t="s">
        <v>996</v>
      </c>
      <c r="F110" s="37">
        <f>VLOOKUP(LEFT(B110,7),'Tariff Schedule Lookup Table'!$A$8:$D$186,4,FALSE)</f>
        <v>120</v>
      </c>
      <c r="G110" s="33">
        <f>VLOOKUP($B110,'Maintenance Costs'!$A$20:$AG$176,32,FALSE)</f>
        <v>89.735254516112477</v>
      </c>
      <c r="H110" s="67">
        <f>IF(VLOOKUP($B110,'Maintenance Costs'!$A$20:$AG$176,33,FALSE)=0,"",VLOOKUP($B110,'Maintenance Costs'!$A$20:$AG$176,33,FALSE))</f>
        <v>54.487833851501769</v>
      </c>
      <c r="I110" s="34" t="str">
        <f>IF(ISERROR(VLOOKUP(CONCATENATE($A110,$I$8,I$10),'Tariff Schedule Lookup Table'!$F$8:$G$286,2,FALSE))=TRUE,"",TEXT(VLOOKUP(CONCATENATE($A110,$I$8,I$10),'Tariff Schedule Lookup Table'!$F$8:$G$286,2,FALSE),"0000"))</f>
        <v>0050</v>
      </c>
      <c r="J110" s="34" t="str">
        <f>IF(ISERROR(VLOOKUP(CONCATENATE($A110,$I$8,J$10),'Tariff Schedule Lookup Table'!$F$8:$G$286,2,FALSE))=TRUE,"",TEXT(VLOOKUP(CONCATENATE($A110,$I$8,J$10),'Tariff Schedule Lookup Table'!$F$8:$G$286,2,FALSE),"0000"))</f>
        <v>1010</v>
      </c>
      <c r="K110" s="34" t="str">
        <f>IF(ISERROR(VLOOKUP(CONCATENATE($A110,$I$8,K$10),'Tariff Schedule Lookup Table'!$F$8:$G$286,2,FALSE))=TRUE,"",TEXT(VLOOKUP(CONCATENATE($A110,$I$8,K$10),'Tariff Schedule Lookup Table'!$F$8:$G$286,2,FALSE),"0000"))</f>
        <v/>
      </c>
      <c r="L110" s="34" t="str">
        <f>IF(ISERROR(VLOOKUP(CONCATENATE($A110,$I$8,L$10),'Tariff Schedule Lookup Table'!$F$8:$G$286,2,FALSE))=TRUE,"",TEXT(VLOOKUP(CONCATENATE($A110,$I$8,L$10),'Tariff Schedule Lookup Table'!$F$8:$G$286,2,FALSE),"0000"))</f>
        <v/>
      </c>
      <c r="M110" s="34" t="str">
        <f>IF(ISERROR(VLOOKUP(CONCATENATE($A110,$M$8,M$10),'Tariff Schedule Lookup Table'!$F$8:$G$286,2,FALSE))=TRUE,"",TEXT(VLOOKUP(CONCATENATE($A110,$M$8,M$10),'Tariff Schedule Lookup Table'!$F$8:$G$286,2,FALSE),"0000"))</f>
        <v>0220</v>
      </c>
      <c r="N110" s="34" t="str">
        <f>IF(ISERROR(VLOOKUP(CONCATENATE($A110,$M$8,N$10),'Tariff Schedule Lookup Table'!$F$8:$G$286,2,FALSE))=TRUE,"",TEXT(VLOOKUP(CONCATENATE($A110,$M$8,N$10),'Tariff Schedule Lookup Table'!$F$8:$G$286,2,FALSE),"0000"))</f>
        <v>0980</v>
      </c>
      <c r="O110" s="34" t="str">
        <f>IF(ISERROR(VLOOKUP(CONCATENATE($A110,$M$8,O$10),'Tariff Schedule Lookup Table'!$F$8:$G$286,2,FALSE))=TRUE,"",TEXT(VLOOKUP(CONCATENATE($A110,$M$8,O$10),'Tariff Schedule Lookup Table'!$F$8:$G$286,2,FALSE),"0000"))</f>
        <v/>
      </c>
      <c r="P110" s="34" t="str">
        <f>IF(ISERROR(VLOOKUP(CONCATENATE($A110,$M$8,P$10),'Tariff Schedule Lookup Table'!$F$8:$G$286,2,FALSE))=TRUE,"",TEXT(VLOOKUP(CONCATENATE($A110,$M$8,P$10),'Tariff Schedule Lookup Table'!$F$8:$G$286,2,FALSE),"0000"))</f>
        <v/>
      </c>
      <c r="Q110" s="34" t="str">
        <f>IF(ISERROR(VLOOKUP(CONCATENATE($A110,$Q$8,Q$10),'Tariff Schedule Lookup Table'!$F$8:$G$286,2,FALSE))=TRUE,"",TEXT(VLOOKUP(CONCATENATE($A110,$Q$8,Q$10),'Tariff Schedule Lookup Table'!$F$8:$G$286,2,FALSE),"0000"))</f>
        <v>0310</v>
      </c>
      <c r="R110" s="34" t="str">
        <f>IF(ISERROR(VLOOKUP(CONCATENATE($A110,$Q$8,R$10),'Tariff Schedule Lookup Table'!$F$8:$G$286,2,FALSE))=TRUE,"",TEXT(VLOOKUP(CONCATENATE($A110,$Q$8,R$10),'Tariff Schedule Lookup Table'!$F$8:$G$286,2,FALSE),"0000"))</f>
        <v>0690</v>
      </c>
      <c r="S110" s="34" t="str">
        <f>IF(ISERROR(VLOOKUP(CONCATENATE($A110,$Q$8,S$10),'Tariff Schedule Lookup Table'!$F$8:$G$286,2,FALSE))=TRUE,"",TEXT(VLOOKUP(CONCATENATE($A110,$Q$8,S$10),'Tariff Schedule Lookup Table'!$F$8:$G$286,2,FALSE),"0000"))</f>
        <v>0710</v>
      </c>
      <c r="T110" s="34" t="str">
        <f>IF(ISERROR(VLOOKUP(CONCATENATE($A110,$Q$8,T$10),'Tariff Schedule Lookup Table'!$F$8:$G$286,2,FALSE))=TRUE,"",TEXT(VLOOKUP(CONCATENATE($A110,$Q$8,T$10),'Tariff Schedule Lookup Table'!$F$8:$G$286,2,FALSE),"0000"))</f>
        <v>0720</v>
      </c>
      <c r="U110" s="34" t="str">
        <f>IF(ISERROR(VLOOKUP(CONCATENATE($A110,$U$8,U$10),'Tariff Schedule Lookup Table'!$F$8:$G$286,2,FALSE))=TRUE,"",TEXT(VLOOKUP(CONCATENATE($A110,$U$8,U$10),'Tariff Schedule Lookup Table'!$F$8:$G$286,2,FALSE),"0000"))</f>
        <v/>
      </c>
      <c r="V110" s="34" t="str">
        <f>IF(ISERROR(VLOOKUP(CONCATENATE($A110,$U$8,V$10),'Tariff Schedule Lookup Table'!$F$8:$G$286,2,FALSE))=TRUE,"",TEXT(VLOOKUP(CONCATENATE($A110,$U$8,V$10),'Tariff Schedule Lookup Table'!$F$8:$G$286,2,FALSE),"0000"))</f>
        <v/>
      </c>
      <c r="W110" s="34" t="str">
        <f>IF(ISERROR(VLOOKUP(CONCATENATE($A110,$U$8,W$10),'Tariff Schedule Lookup Table'!$F$8:$G$286,2,FALSE))=TRUE,"",TEXT(VLOOKUP(CONCATENATE($A110,$U$8,W$10),'Tariff Schedule Lookup Table'!$F$8:$G$286,2,FALSE),"0000"))</f>
        <v>1360</v>
      </c>
      <c r="X110" s="34" t="str">
        <f>IF(ISERROR(VLOOKUP(CONCATENATE($A110,$U$8,X$10),'Tariff Schedule Lookup Table'!$F$8:$G$286,2,FALSE))=TRUE,"",TEXT(VLOOKUP(CONCATENATE($A110,$U$8,X$10),'Tariff Schedule Lookup Table'!$F$8:$G$186,2,FALSE),"0000"))</f>
        <v>1370</v>
      </c>
      <c r="Y110" s="6"/>
      <c r="Z110" s="6"/>
      <c r="AA110" s="6"/>
      <c r="AB110" s="6"/>
      <c r="AC110" s="6"/>
    </row>
    <row r="111" spans="1:42" x14ac:dyDescent="0.2">
      <c r="A111" s="6" t="s">
        <v>1073</v>
      </c>
      <c r="B111" s="35" t="s">
        <v>2124</v>
      </c>
      <c r="C111" s="197">
        <f>VLOOKUP(LEFT(B111,7),'Tariff Schedule Lookup Table'!$A$8:$D$186,3,FALSE)</f>
        <v>135</v>
      </c>
      <c r="D111" s="199" t="str">
        <f>VLOOKUP(LEFT(B111,7),'Tariff Schedule Lookup Table'!$A$8:$D$186,2,FALSE)</f>
        <v>Low Pressure Sodium 135</v>
      </c>
      <c r="E111" s="6" t="s">
        <v>996</v>
      </c>
      <c r="F111" s="37">
        <f>VLOOKUP(LEFT(B111,7),'Tariff Schedule Lookup Table'!$A$8:$D$186,4,FALSE)</f>
        <v>170</v>
      </c>
      <c r="G111" s="33">
        <f>VLOOKUP($B111,'Maintenance Costs'!$A$20:$AG$176,32,FALSE)</f>
        <v>89.081724561112466</v>
      </c>
      <c r="H111" s="67">
        <f>IF(VLOOKUP($B111,'Maintenance Costs'!$A$20:$AG$176,33,FALSE)=0,"",VLOOKUP($B111,'Maintenance Costs'!$A$20:$AG$176,33,FALSE))</f>
        <v>57.114304072118436</v>
      </c>
      <c r="I111" s="34" t="str">
        <f>IF(ISERROR(VLOOKUP(CONCATENATE($A111,$I$8,I$10),'Tariff Schedule Lookup Table'!$F$8:$G$286,2,FALSE))=TRUE,"",TEXT(VLOOKUP(CONCATENATE($A111,$I$8,I$10),'Tariff Schedule Lookup Table'!$F$8:$G$286,2,FALSE),"0000"))</f>
        <v>0060</v>
      </c>
      <c r="J111" s="34" t="str">
        <f>IF(ISERROR(VLOOKUP(CONCATENATE($A111,$I$8,J$10),'Tariff Schedule Lookup Table'!$F$8:$G$286,2,FALSE))=TRUE,"",TEXT(VLOOKUP(CONCATENATE($A111,$I$8,J$10),'Tariff Schedule Lookup Table'!$F$8:$G$286,2,FALSE),"0000"))</f>
        <v>0960</v>
      </c>
      <c r="K111" s="34" t="str">
        <f>IF(ISERROR(VLOOKUP(CONCATENATE($A111,$I$8,K$10),'Tariff Schedule Lookup Table'!$F$8:$G$286,2,FALSE))=TRUE,"",TEXT(VLOOKUP(CONCATENATE($A111,$I$8,K$10),'Tariff Schedule Lookup Table'!$F$8:$G$286,2,FALSE),"0000"))</f>
        <v>1020</v>
      </c>
      <c r="L111" s="34" t="str">
        <f>IF(ISERROR(VLOOKUP(CONCATENATE($A111,$I$8,L$10),'Tariff Schedule Lookup Table'!$F$8:$G$286,2,FALSE))=TRUE,"",TEXT(VLOOKUP(CONCATENATE($A111,$I$8,L$10),'Tariff Schedule Lookup Table'!$F$8:$G$286,2,FALSE),"0000"))</f>
        <v>0970</v>
      </c>
      <c r="M111" s="34" t="str">
        <f>IF(ISERROR(VLOOKUP(CONCATENATE($A111,$M$8,M$10),'Tariff Schedule Lookup Table'!$F$8:$G$286,2,FALSE))=TRUE,"",TEXT(VLOOKUP(CONCATENATE($A111,$M$8,M$10),'Tariff Schedule Lookup Table'!$F$8:$G$286,2,FALSE),"0000"))</f>
        <v>0230</v>
      </c>
      <c r="N111" s="34" t="str">
        <f>IF(ISERROR(VLOOKUP(CONCATENATE($A111,$M$8,N$10),'Tariff Schedule Lookup Table'!$F$8:$G$286,2,FALSE))=TRUE,"",TEXT(VLOOKUP(CONCATENATE($A111,$M$8,N$10),'Tariff Schedule Lookup Table'!$F$8:$G$286,2,FALSE),"0000"))</f>
        <v>0760</v>
      </c>
      <c r="O111" s="34" t="str">
        <f>IF(ISERROR(VLOOKUP(CONCATENATE($A111,$M$8,O$10),'Tariff Schedule Lookup Table'!$F$8:$G$286,2,FALSE))=TRUE,"",TEXT(VLOOKUP(CONCATENATE($A111,$M$8,O$10),'Tariff Schedule Lookup Table'!$F$8:$G$286,2,FALSE),"0000"))</f>
        <v>0930</v>
      </c>
      <c r="P111" s="34" t="str">
        <f>IF(ISERROR(VLOOKUP(CONCATENATE($A111,$M$8,P$10),'Tariff Schedule Lookup Table'!$F$8:$G$286,2,FALSE))=TRUE,"",TEXT(VLOOKUP(CONCATENATE($A111,$M$8,P$10),'Tariff Schedule Lookup Table'!$F$8:$G$286,2,FALSE),"0000"))</f>
        <v/>
      </c>
      <c r="Q111" s="34" t="str">
        <f>IF(ISERROR(VLOOKUP(CONCATENATE($A111,$Q$8,Q$10),'Tariff Schedule Lookup Table'!$F$8:$G$286,2,FALSE))=TRUE,"",TEXT(VLOOKUP(CONCATENATE($A111,$Q$8,Q$10),'Tariff Schedule Lookup Table'!$F$8:$G$286,2,FALSE),"0000"))</f>
        <v>0320</v>
      </c>
      <c r="R111" s="34" t="str">
        <f>IF(ISERROR(VLOOKUP(CONCATENATE($A111,$Q$8,R$10),'Tariff Schedule Lookup Table'!$F$8:$G$286,2,FALSE))=TRUE,"",TEXT(VLOOKUP(CONCATENATE($A111,$Q$8,R$10),'Tariff Schedule Lookup Table'!$F$8:$G$286,2,FALSE),"0000"))</f>
        <v>0390</v>
      </c>
      <c r="S111" s="34" t="str">
        <f>IF(ISERROR(VLOOKUP(CONCATENATE($A111,$Q$8,S$10),'Tariff Schedule Lookup Table'!$F$8:$G$286,2,FALSE))=TRUE,"",TEXT(VLOOKUP(CONCATENATE($A111,$Q$8,S$10),'Tariff Schedule Lookup Table'!$F$8:$G$286,2,FALSE),"0000"))</f>
        <v>0430</v>
      </c>
      <c r="T111" s="34" t="str">
        <f>IF(ISERROR(VLOOKUP(CONCATENATE($A111,$Q$8,T$10),'Tariff Schedule Lookup Table'!$F$8:$G$286,2,FALSE))=TRUE,"",TEXT(VLOOKUP(CONCATENATE($A111,$Q$8,T$10),'Tariff Schedule Lookup Table'!$F$8:$G$286,2,FALSE),"0000"))</f>
        <v>0470</v>
      </c>
      <c r="U111" s="34" t="str">
        <f>IF(ISERROR(VLOOKUP(CONCATENATE($A111,$U$8,U$10),'Tariff Schedule Lookup Table'!$F$8:$G$286,2,FALSE))=TRUE,"",TEXT(VLOOKUP(CONCATENATE($A111,$U$8,U$10),'Tariff Schedule Lookup Table'!$F$8:$G$286,2,FALSE),"0000"))</f>
        <v/>
      </c>
      <c r="V111" s="34" t="str">
        <f>IF(ISERROR(VLOOKUP(CONCATENATE($A111,$U$8,V$10),'Tariff Schedule Lookup Table'!$F$8:$G$286,2,FALSE))=TRUE,"",TEXT(VLOOKUP(CONCATENATE($A111,$U$8,V$10),'Tariff Schedule Lookup Table'!$F$8:$G$286,2,FALSE),"0000"))</f>
        <v>0510</v>
      </c>
      <c r="W111" s="34" t="str">
        <f>IF(ISERROR(VLOOKUP(CONCATENATE($A111,$U$8,W$10),'Tariff Schedule Lookup Table'!$F$8:$G$286,2,FALSE))=TRUE,"",TEXT(VLOOKUP(CONCATENATE($A111,$U$8,W$10),'Tariff Schedule Lookup Table'!$F$8:$G$286,2,FALSE),"0000"))</f>
        <v>0550</v>
      </c>
      <c r="X111" s="34" t="str">
        <f>IF(ISERROR(VLOOKUP(CONCATENATE($A111,$U$8,X$10),'Tariff Schedule Lookup Table'!$F$8:$G$286,2,FALSE))=TRUE,"",TEXT(VLOOKUP(CONCATENATE($A111,$U$8,X$10),'Tariff Schedule Lookup Table'!$F$8:$G$186,2,FALSE),"0000"))</f>
        <v>0590</v>
      </c>
      <c r="Y111" s="6"/>
      <c r="Z111" s="6"/>
      <c r="AA111" s="6"/>
      <c r="AB111" s="6"/>
      <c r="AC111" s="6"/>
    </row>
    <row r="112" spans="1:42" x14ac:dyDescent="0.2">
      <c r="A112" s="6" t="s">
        <v>1073</v>
      </c>
      <c r="B112" s="35" t="s">
        <v>2125</v>
      </c>
      <c r="C112" s="197">
        <f>VLOOKUP(LEFT(B112,7),'Tariff Schedule Lookup Table'!$A$8:$D$186,3,FALSE)</f>
        <v>150</v>
      </c>
      <c r="D112" s="199" t="str">
        <f>VLOOKUP(LEFT(B112,7),'Tariff Schedule Lookup Table'!$A$8:$D$186,2,FALSE)</f>
        <v>Low Pressure Sodium 150</v>
      </c>
      <c r="E112" s="6" t="s">
        <v>996</v>
      </c>
      <c r="F112" s="37">
        <f>VLOOKUP(LEFT(B112,7),'Tariff Schedule Lookup Table'!$A$8:$D$186,4,FALSE)</f>
        <v>186</v>
      </c>
      <c r="G112" s="33">
        <f>VLOOKUP($B112,'Maintenance Costs'!$A$20:$AG$176,32,FALSE)</f>
        <v>102.48905789444579</v>
      </c>
      <c r="H112" s="67">
        <f>IF(VLOOKUP($B112,'Maintenance Costs'!$A$20:$AG$176,33,FALSE)=0,"",VLOOKUP($B112,'Maintenance Costs'!$A$20:$AG$176,33,FALSE))</f>
        <v>62.261757494340657</v>
      </c>
      <c r="I112" s="34" t="str">
        <f>IF(ISERROR(VLOOKUP(CONCATENATE($A112,$I$8,I$10),'Tariff Schedule Lookup Table'!$F$8:$G$286,2,FALSE))=TRUE,"",TEXT(VLOOKUP(CONCATENATE($A112,$I$8,I$10),'Tariff Schedule Lookup Table'!$F$8:$G$286,2,FALSE),"0000"))</f>
        <v>0060</v>
      </c>
      <c r="J112" s="34" t="str">
        <f>IF(ISERROR(VLOOKUP(CONCATENATE($A112,$I$8,J$10),'Tariff Schedule Lookup Table'!$F$8:$G$286,2,FALSE))=TRUE,"",TEXT(VLOOKUP(CONCATENATE($A112,$I$8,J$10),'Tariff Schedule Lookup Table'!$F$8:$G$286,2,FALSE),"0000"))</f>
        <v>0960</v>
      </c>
      <c r="K112" s="34" t="str">
        <f>IF(ISERROR(VLOOKUP(CONCATENATE($A112,$I$8,K$10),'Tariff Schedule Lookup Table'!$F$8:$G$286,2,FALSE))=TRUE,"",TEXT(VLOOKUP(CONCATENATE($A112,$I$8,K$10),'Tariff Schedule Lookup Table'!$F$8:$G$286,2,FALSE),"0000"))</f>
        <v>1020</v>
      </c>
      <c r="L112" s="34" t="str">
        <f>IF(ISERROR(VLOOKUP(CONCATENATE($A112,$I$8,L$10),'Tariff Schedule Lookup Table'!$F$8:$G$286,2,FALSE))=TRUE,"",TEXT(VLOOKUP(CONCATENATE($A112,$I$8,L$10),'Tariff Schedule Lookup Table'!$F$8:$G$286,2,FALSE),"0000"))</f>
        <v>0970</v>
      </c>
      <c r="M112" s="34" t="str">
        <f>IF(ISERROR(VLOOKUP(CONCATENATE($A112,$M$8,M$10),'Tariff Schedule Lookup Table'!$F$8:$G$286,2,FALSE))=TRUE,"",TEXT(VLOOKUP(CONCATENATE($A112,$M$8,M$10),'Tariff Schedule Lookup Table'!$F$8:$G$286,2,FALSE),"0000"))</f>
        <v>0230</v>
      </c>
      <c r="N112" s="34" t="str">
        <f>IF(ISERROR(VLOOKUP(CONCATENATE($A112,$M$8,N$10),'Tariff Schedule Lookup Table'!$F$8:$G$286,2,FALSE))=TRUE,"",TEXT(VLOOKUP(CONCATENATE($A112,$M$8,N$10),'Tariff Schedule Lookup Table'!$F$8:$G$286,2,FALSE),"0000"))</f>
        <v>0760</v>
      </c>
      <c r="O112" s="34" t="str">
        <f>IF(ISERROR(VLOOKUP(CONCATENATE($A112,$M$8,O$10),'Tariff Schedule Lookup Table'!$F$8:$G$286,2,FALSE))=TRUE,"",TEXT(VLOOKUP(CONCATENATE($A112,$M$8,O$10),'Tariff Schedule Lookup Table'!$F$8:$G$286,2,FALSE),"0000"))</f>
        <v>0930</v>
      </c>
      <c r="P112" s="34" t="str">
        <f>IF(ISERROR(VLOOKUP(CONCATENATE($A112,$M$8,P$10),'Tariff Schedule Lookup Table'!$F$8:$G$286,2,FALSE))=TRUE,"",TEXT(VLOOKUP(CONCATENATE($A112,$M$8,P$10),'Tariff Schedule Lookup Table'!$F$8:$G$286,2,FALSE),"0000"))</f>
        <v/>
      </c>
      <c r="Q112" s="34" t="str">
        <f>IF(ISERROR(VLOOKUP(CONCATENATE($A112,$Q$8,Q$10),'Tariff Schedule Lookup Table'!$F$8:$G$286,2,FALSE))=TRUE,"",TEXT(VLOOKUP(CONCATENATE($A112,$Q$8,Q$10),'Tariff Schedule Lookup Table'!$F$8:$G$286,2,FALSE),"0000"))</f>
        <v>0320</v>
      </c>
      <c r="R112" s="34" t="str">
        <f>IF(ISERROR(VLOOKUP(CONCATENATE($A112,$Q$8,R$10),'Tariff Schedule Lookup Table'!$F$8:$G$286,2,FALSE))=TRUE,"",TEXT(VLOOKUP(CONCATENATE($A112,$Q$8,R$10),'Tariff Schedule Lookup Table'!$F$8:$G$286,2,FALSE),"0000"))</f>
        <v>0390</v>
      </c>
      <c r="S112" s="34" t="str">
        <f>IF(ISERROR(VLOOKUP(CONCATENATE($A112,$Q$8,S$10),'Tariff Schedule Lookup Table'!$F$8:$G$286,2,FALSE))=TRUE,"",TEXT(VLOOKUP(CONCATENATE($A112,$Q$8,S$10),'Tariff Schedule Lookup Table'!$F$8:$G$286,2,FALSE),"0000"))</f>
        <v>0430</v>
      </c>
      <c r="T112" s="34" t="str">
        <f>IF(ISERROR(VLOOKUP(CONCATENATE($A112,$Q$8,T$10),'Tariff Schedule Lookup Table'!$F$8:$G$286,2,FALSE))=TRUE,"",TEXT(VLOOKUP(CONCATENATE($A112,$Q$8,T$10),'Tariff Schedule Lookup Table'!$F$8:$G$286,2,FALSE),"0000"))</f>
        <v>0470</v>
      </c>
      <c r="U112" s="34" t="str">
        <f>IF(ISERROR(VLOOKUP(CONCATENATE($A112,$U$8,U$10),'Tariff Schedule Lookup Table'!$F$8:$G$286,2,FALSE))=TRUE,"",TEXT(VLOOKUP(CONCATENATE($A112,$U$8,U$10),'Tariff Schedule Lookup Table'!$F$8:$G$286,2,FALSE),"0000"))</f>
        <v/>
      </c>
      <c r="V112" s="34" t="str">
        <f>IF(ISERROR(VLOOKUP(CONCATENATE($A112,$U$8,V$10),'Tariff Schedule Lookup Table'!$F$8:$G$286,2,FALSE))=TRUE,"",TEXT(VLOOKUP(CONCATENATE($A112,$U$8,V$10),'Tariff Schedule Lookup Table'!$F$8:$G$286,2,FALSE),"0000"))</f>
        <v>0510</v>
      </c>
      <c r="W112" s="34" t="str">
        <f>IF(ISERROR(VLOOKUP(CONCATENATE($A112,$U$8,W$10),'Tariff Schedule Lookup Table'!$F$8:$G$286,2,FALSE))=TRUE,"",TEXT(VLOOKUP(CONCATENATE($A112,$U$8,W$10),'Tariff Schedule Lookup Table'!$F$8:$G$286,2,FALSE),"0000"))</f>
        <v>0550</v>
      </c>
      <c r="X112" s="34" t="str">
        <f>IF(ISERROR(VLOOKUP(CONCATENATE($A112,$U$8,X$10),'Tariff Schedule Lookup Table'!$F$8:$G$286,2,FALSE))=TRUE,"",TEXT(VLOOKUP(CONCATENATE($A112,$U$8,X$10),'Tariff Schedule Lookup Table'!$F$8:$G$186,2,FALSE),"0000"))</f>
        <v>0590</v>
      </c>
      <c r="Y112" s="6"/>
      <c r="Z112" s="6"/>
      <c r="AA112" s="6"/>
      <c r="AB112" s="6"/>
      <c r="AC112" s="6"/>
    </row>
    <row r="113" spans="1:29" x14ac:dyDescent="0.2">
      <c r="A113" s="6" t="s">
        <v>1073</v>
      </c>
      <c r="B113" s="35" t="s">
        <v>227</v>
      </c>
      <c r="C113" s="197">
        <f>VLOOKUP(LEFT(B113,7),'Tariff Schedule Lookup Table'!$A$8:$D$186,3,FALSE)</f>
        <v>160</v>
      </c>
      <c r="D113" s="199" t="str">
        <f>VLOOKUP(LEFT(B113,7),'Tariff Schedule Lookup Table'!$A$8:$D$186,2,FALSE)</f>
        <v>Low Pressure Sodium 160</v>
      </c>
      <c r="E113" s="6" t="s">
        <v>996</v>
      </c>
      <c r="F113" s="37">
        <f>VLOOKUP(LEFT(B113,7),'Tariff Schedule Lookup Table'!$A$8:$D$186,4,FALSE)</f>
        <v>194</v>
      </c>
      <c r="G113" s="33">
        <f>VLOOKUP($B113,'Maintenance Costs'!$A$20:$AG$176,32,FALSE)</f>
        <v>102.48905789444579</v>
      </c>
      <c r="H113" s="67">
        <f>IF(VLOOKUP($B113,'Maintenance Costs'!$A$20:$AG$176,33,FALSE)=0,"",VLOOKUP($B113,'Maintenance Costs'!$A$20:$AG$176,33,FALSE))</f>
        <v>62.261757494340657</v>
      </c>
      <c r="I113" s="34" t="str">
        <f>IF(ISERROR(VLOOKUP(CONCATENATE($A113,$I$8,I$10),'Tariff Schedule Lookup Table'!$F$8:$G$286,2,FALSE))=TRUE,"",TEXT(VLOOKUP(CONCATENATE($A113,$I$8,I$10),'Tariff Schedule Lookup Table'!$F$8:$G$286,2,FALSE),"0000"))</f>
        <v>0060</v>
      </c>
      <c r="J113" s="34" t="str">
        <f>IF(ISERROR(VLOOKUP(CONCATENATE($A113,$I$8,J$10),'Tariff Schedule Lookup Table'!$F$8:$G$286,2,FALSE))=TRUE,"",TEXT(VLOOKUP(CONCATENATE($A113,$I$8,J$10),'Tariff Schedule Lookup Table'!$F$8:$G$286,2,FALSE),"0000"))</f>
        <v>0960</v>
      </c>
      <c r="K113" s="34" t="str">
        <f>IF(ISERROR(VLOOKUP(CONCATENATE($A113,$I$8,K$10),'Tariff Schedule Lookup Table'!$F$8:$G$286,2,FALSE))=TRUE,"",TEXT(VLOOKUP(CONCATENATE($A113,$I$8,K$10),'Tariff Schedule Lookup Table'!$F$8:$G$286,2,FALSE),"0000"))</f>
        <v>1020</v>
      </c>
      <c r="L113" s="34" t="str">
        <f>IF(ISERROR(VLOOKUP(CONCATENATE($A113,$I$8,L$10),'Tariff Schedule Lookup Table'!$F$8:$G$286,2,FALSE))=TRUE,"",TEXT(VLOOKUP(CONCATENATE($A113,$I$8,L$10),'Tariff Schedule Lookup Table'!$F$8:$G$286,2,FALSE),"0000"))</f>
        <v>0970</v>
      </c>
      <c r="M113" s="34" t="str">
        <f>IF(ISERROR(VLOOKUP(CONCATENATE($A113,$M$8,M$10),'Tariff Schedule Lookup Table'!$F$8:$G$286,2,FALSE))=TRUE,"",TEXT(VLOOKUP(CONCATENATE($A113,$M$8,M$10),'Tariff Schedule Lookup Table'!$F$8:$G$286,2,FALSE),"0000"))</f>
        <v>0230</v>
      </c>
      <c r="N113" s="34" t="str">
        <f>IF(ISERROR(VLOOKUP(CONCATENATE($A113,$M$8,N$10),'Tariff Schedule Lookup Table'!$F$8:$G$286,2,FALSE))=TRUE,"",TEXT(VLOOKUP(CONCATENATE($A113,$M$8,N$10),'Tariff Schedule Lookup Table'!$F$8:$G$286,2,FALSE),"0000"))</f>
        <v>0760</v>
      </c>
      <c r="O113" s="34" t="str">
        <f>IF(ISERROR(VLOOKUP(CONCATENATE($A113,$M$8,O$10),'Tariff Schedule Lookup Table'!$F$8:$G$286,2,FALSE))=TRUE,"",TEXT(VLOOKUP(CONCATENATE($A113,$M$8,O$10),'Tariff Schedule Lookup Table'!$F$8:$G$286,2,FALSE),"0000"))</f>
        <v>0930</v>
      </c>
      <c r="P113" s="34" t="str">
        <f>IF(ISERROR(VLOOKUP(CONCATENATE($A113,$M$8,P$10),'Tariff Schedule Lookup Table'!$F$8:$G$286,2,FALSE))=TRUE,"",TEXT(VLOOKUP(CONCATENATE($A113,$M$8,P$10),'Tariff Schedule Lookup Table'!$F$8:$G$286,2,FALSE),"0000"))</f>
        <v/>
      </c>
      <c r="Q113" s="34" t="str">
        <f>IF(ISERROR(VLOOKUP(CONCATENATE($A113,$Q$8,Q$10),'Tariff Schedule Lookup Table'!$F$8:$G$286,2,FALSE))=TRUE,"",TEXT(VLOOKUP(CONCATENATE($A113,$Q$8,Q$10),'Tariff Schedule Lookup Table'!$F$8:$G$286,2,FALSE),"0000"))</f>
        <v>0320</v>
      </c>
      <c r="R113" s="34" t="str">
        <f>IF(ISERROR(VLOOKUP(CONCATENATE($A113,$Q$8,R$10),'Tariff Schedule Lookup Table'!$F$8:$G$286,2,FALSE))=TRUE,"",TEXT(VLOOKUP(CONCATENATE($A113,$Q$8,R$10),'Tariff Schedule Lookup Table'!$F$8:$G$286,2,FALSE),"0000"))</f>
        <v>0390</v>
      </c>
      <c r="S113" s="34" t="str">
        <f>IF(ISERROR(VLOOKUP(CONCATENATE($A113,$Q$8,S$10),'Tariff Schedule Lookup Table'!$F$8:$G$286,2,FALSE))=TRUE,"",TEXT(VLOOKUP(CONCATENATE($A113,$Q$8,S$10),'Tariff Schedule Lookup Table'!$F$8:$G$286,2,FALSE),"0000"))</f>
        <v>0430</v>
      </c>
      <c r="T113" s="34" t="str">
        <f>IF(ISERROR(VLOOKUP(CONCATENATE($A113,$Q$8,T$10),'Tariff Schedule Lookup Table'!$F$8:$G$286,2,FALSE))=TRUE,"",TEXT(VLOOKUP(CONCATENATE($A113,$Q$8,T$10),'Tariff Schedule Lookup Table'!$F$8:$G$286,2,FALSE),"0000"))</f>
        <v>0470</v>
      </c>
      <c r="U113" s="34" t="str">
        <f>IF(ISERROR(VLOOKUP(CONCATENATE($A113,$U$8,U$10),'Tariff Schedule Lookup Table'!$F$8:$G$286,2,FALSE))=TRUE,"",TEXT(VLOOKUP(CONCATENATE($A113,$U$8,U$10),'Tariff Schedule Lookup Table'!$F$8:$G$286,2,FALSE),"0000"))</f>
        <v/>
      </c>
      <c r="V113" s="34" t="str">
        <f>IF(ISERROR(VLOOKUP(CONCATENATE($A113,$U$8,V$10),'Tariff Schedule Lookup Table'!$F$8:$G$286,2,FALSE))=TRUE,"",TEXT(VLOOKUP(CONCATENATE($A113,$U$8,V$10),'Tariff Schedule Lookup Table'!$F$8:$G$286,2,FALSE),"0000"))</f>
        <v>0510</v>
      </c>
      <c r="W113" s="34" t="str">
        <f>IF(ISERROR(VLOOKUP(CONCATENATE($A113,$U$8,W$10),'Tariff Schedule Lookup Table'!$F$8:$G$286,2,FALSE))=TRUE,"",TEXT(VLOOKUP(CONCATENATE($A113,$U$8,W$10),'Tariff Schedule Lookup Table'!$F$8:$G$286,2,FALSE),"0000"))</f>
        <v>0550</v>
      </c>
      <c r="X113" s="34" t="str">
        <f>IF(ISERROR(VLOOKUP(CONCATENATE($A113,$U$8,X$10),'Tariff Schedule Lookup Table'!$F$8:$G$286,2,FALSE))=TRUE,"",TEXT(VLOOKUP(CONCATENATE($A113,$U$8,X$10),'Tariff Schedule Lookup Table'!$F$8:$G$186,2,FALSE),"0000"))</f>
        <v>0590</v>
      </c>
      <c r="Y113" s="6"/>
      <c r="Z113" s="6"/>
      <c r="AA113" s="6"/>
      <c r="AB113" s="6"/>
      <c r="AC113" s="6"/>
    </row>
    <row r="114" spans="1:29" x14ac:dyDescent="0.2">
      <c r="A114" s="6" t="s">
        <v>1073</v>
      </c>
      <c r="B114" s="35" t="s">
        <v>2126</v>
      </c>
      <c r="C114" s="197">
        <f>VLOOKUP(LEFT(B114,7),'Tariff Schedule Lookup Table'!$A$8:$D$186,3,FALSE)</f>
        <v>180</v>
      </c>
      <c r="D114" s="199" t="str">
        <f>VLOOKUP(LEFT(B114,7),'Tariff Schedule Lookup Table'!$A$8:$D$186,2,FALSE)</f>
        <v>Low Pressure Sodium 180</v>
      </c>
      <c r="E114" s="6" t="s">
        <v>996</v>
      </c>
      <c r="F114" s="37">
        <f>VLOOKUP(LEFT(B114,7),'Tariff Schedule Lookup Table'!$A$8:$D$186,4,FALSE)</f>
        <v>212</v>
      </c>
      <c r="G114" s="33">
        <f>VLOOKUP($B114,'Maintenance Costs'!$A$20:$AG$176,32,FALSE)</f>
        <v>102.48905789444579</v>
      </c>
      <c r="H114" s="67">
        <f>IF(VLOOKUP($B114,'Maintenance Costs'!$A$20:$AG$176,33,FALSE)=0,"",VLOOKUP($B114,'Maintenance Costs'!$A$20:$AG$176,33,FALSE))</f>
        <v>62.261757494340657</v>
      </c>
      <c r="I114" s="34" t="str">
        <f>IF(ISERROR(VLOOKUP(CONCATENATE($A114,$I$8,I$10),'Tariff Schedule Lookup Table'!$F$8:$G$286,2,FALSE))=TRUE,"",TEXT(VLOOKUP(CONCATENATE($A114,$I$8,I$10),'Tariff Schedule Lookup Table'!$F$8:$G$286,2,FALSE),"0000"))</f>
        <v>0060</v>
      </c>
      <c r="J114" s="34" t="str">
        <f>IF(ISERROR(VLOOKUP(CONCATENATE($A114,$I$8,J$10),'Tariff Schedule Lookup Table'!$F$8:$G$286,2,FALSE))=TRUE,"",TEXT(VLOOKUP(CONCATENATE($A114,$I$8,J$10),'Tariff Schedule Lookup Table'!$F$8:$G$286,2,FALSE),"0000"))</f>
        <v>0960</v>
      </c>
      <c r="K114" s="34" t="str">
        <f>IF(ISERROR(VLOOKUP(CONCATENATE($A114,$I$8,K$10),'Tariff Schedule Lookup Table'!$F$8:$G$286,2,FALSE))=TRUE,"",TEXT(VLOOKUP(CONCATENATE($A114,$I$8,K$10),'Tariff Schedule Lookup Table'!$F$8:$G$286,2,FALSE),"0000"))</f>
        <v>1020</v>
      </c>
      <c r="L114" s="34" t="str">
        <f>IF(ISERROR(VLOOKUP(CONCATENATE($A114,$I$8,L$10),'Tariff Schedule Lookup Table'!$F$8:$G$286,2,FALSE))=TRUE,"",TEXT(VLOOKUP(CONCATENATE($A114,$I$8,L$10),'Tariff Schedule Lookup Table'!$F$8:$G$286,2,FALSE),"0000"))</f>
        <v>0970</v>
      </c>
      <c r="M114" s="34" t="str">
        <f>IF(ISERROR(VLOOKUP(CONCATENATE($A114,$M$8,M$10),'Tariff Schedule Lookup Table'!$F$8:$G$286,2,FALSE))=TRUE,"",TEXT(VLOOKUP(CONCATENATE($A114,$M$8,M$10),'Tariff Schedule Lookup Table'!$F$8:$G$286,2,FALSE),"0000"))</f>
        <v>0230</v>
      </c>
      <c r="N114" s="34" t="str">
        <f>IF(ISERROR(VLOOKUP(CONCATENATE($A114,$M$8,N$10),'Tariff Schedule Lookup Table'!$F$8:$G$286,2,FALSE))=TRUE,"",TEXT(VLOOKUP(CONCATENATE($A114,$M$8,N$10),'Tariff Schedule Lookup Table'!$F$8:$G$286,2,FALSE),"0000"))</f>
        <v>0760</v>
      </c>
      <c r="O114" s="34" t="str">
        <f>IF(ISERROR(VLOOKUP(CONCATENATE($A114,$M$8,O$10),'Tariff Schedule Lookup Table'!$F$8:$G$286,2,FALSE))=TRUE,"",TEXT(VLOOKUP(CONCATENATE($A114,$M$8,O$10),'Tariff Schedule Lookup Table'!$F$8:$G$286,2,FALSE),"0000"))</f>
        <v>0930</v>
      </c>
      <c r="P114" s="34" t="str">
        <f>IF(ISERROR(VLOOKUP(CONCATENATE($A114,$M$8,P$10),'Tariff Schedule Lookup Table'!$F$8:$G$286,2,FALSE))=TRUE,"",TEXT(VLOOKUP(CONCATENATE($A114,$M$8,P$10),'Tariff Schedule Lookup Table'!$F$8:$G$286,2,FALSE),"0000"))</f>
        <v/>
      </c>
      <c r="Q114" s="34" t="str">
        <f>IF(ISERROR(VLOOKUP(CONCATENATE($A114,$Q$8,Q$10),'Tariff Schedule Lookup Table'!$F$8:$G$286,2,FALSE))=TRUE,"",TEXT(VLOOKUP(CONCATENATE($A114,$Q$8,Q$10),'Tariff Schedule Lookup Table'!$F$8:$G$286,2,FALSE),"0000"))</f>
        <v>0320</v>
      </c>
      <c r="R114" s="34" t="str">
        <f>IF(ISERROR(VLOOKUP(CONCATENATE($A114,$Q$8,R$10),'Tariff Schedule Lookup Table'!$F$8:$G$286,2,FALSE))=TRUE,"",TEXT(VLOOKUP(CONCATENATE($A114,$Q$8,R$10),'Tariff Schedule Lookup Table'!$F$8:$G$286,2,FALSE),"0000"))</f>
        <v>0390</v>
      </c>
      <c r="S114" s="34" t="str">
        <f>IF(ISERROR(VLOOKUP(CONCATENATE($A114,$Q$8,S$10),'Tariff Schedule Lookup Table'!$F$8:$G$286,2,FALSE))=TRUE,"",TEXT(VLOOKUP(CONCATENATE($A114,$Q$8,S$10),'Tariff Schedule Lookup Table'!$F$8:$G$286,2,FALSE),"0000"))</f>
        <v>0430</v>
      </c>
      <c r="T114" s="34" t="str">
        <f>IF(ISERROR(VLOOKUP(CONCATENATE($A114,$Q$8,T$10),'Tariff Schedule Lookup Table'!$F$8:$G$286,2,FALSE))=TRUE,"",TEXT(VLOOKUP(CONCATENATE($A114,$Q$8,T$10),'Tariff Schedule Lookup Table'!$F$8:$G$286,2,FALSE),"0000"))</f>
        <v>0470</v>
      </c>
      <c r="U114" s="34" t="str">
        <f>IF(ISERROR(VLOOKUP(CONCATENATE($A114,$U$8,U$10),'Tariff Schedule Lookup Table'!$F$8:$G$286,2,FALSE))=TRUE,"",TEXT(VLOOKUP(CONCATENATE($A114,$U$8,U$10),'Tariff Schedule Lookup Table'!$F$8:$G$286,2,FALSE),"0000"))</f>
        <v/>
      </c>
      <c r="V114" s="34" t="str">
        <f>IF(ISERROR(VLOOKUP(CONCATENATE($A114,$U$8,V$10),'Tariff Schedule Lookup Table'!$F$8:$G$286,2,FALSE))=TRUE,"",TEXT(VLOOKUP(CONCATENATE($A114,$U$8,V$10),'Tariff Schedule Lookup Table'!$F$8:$G$286,2,FALSE),"0000"))</f>
        <v>0510</v>
      </c>
      <c r="W114" s="34" t="str">
        <f>IF(ISERROR(VLOOKUP(CONCATENATE($A114,$U$8,W$10),'Tariff Schedule Lookup Table'!$F$8:$G$286,2,FALSE))=TRUE,"",TEXT(VLOOKUP(CONCATENATE($A114,$U$8,W$10),'Tariff Schedule Lookup Table'!$F$8:$G$286,2,FALSE),"0000"))</f>
        <v>0550</v>
      </c>
      <c r="X114" s="34" t="str">
        <f>IF(ISERROR(VLOOKUP(CONCATENATE($A114,$U$8,X$10),'Tariff Schedule Lookup Table'!$F$8:$G$286,2,FALSE))=TRUE,"",TEXT(VLOOKUP(CONCATENATE($A114,$U$8,X$10),'Tariff Schedule Lookup Table'!$F$8:$G$186,2,FALSE),"0000"))</f>
        <v>0590</v>
      </c>
      <c r="Y114" s="6"/>
      <c r="Z114" s="6"/>
      <c r="AA114" s="6"/>
      <c r="AB114" s="6"/>
      <c r="AC114" s="6"/>
    </row>
    <row r="115" spans="1:29" x14ac:dyDescent="0.2">
      <c r="A115" s="6" t="s">
        <v>1086</v>
      </c>
      <c r="B115" s="35" t="s">
        <v>2127</v>
      </c>
      <c r="C115" s="197">
        <f>VLOOKUP(LEFT(B115,7),'Tariff Schedule Lookup Table'!$A$8:$D$186,3,FALSE)</f>
        <v>310</v>
      </c>
      <c r="D115" s="199" t="str">
        <f>VLOOKUP(LEFT(B115,7),'Tariff Schedule Lookup Table'!$A$8:$D$186,2,FALSE)</f>
        <v>Low Pressure Sodium 310</v>
      </c>
      <c r="E115" s="6" t="s">
        <v>996</v>
      </c>
      <c r="F115" s="37">
        <f>VLOOKUP(LEFT(B115,7),'Tariff Schedule Lookup Table'!$A$8:$D$186,4,FALSE)</f>
        <v>340</v>
      </c>
      <c r="G115" s="33">
        <f>VLOOKUP($B115,'Maintenance Costs'!$A$20:$AG$176,32,FALSE)</f>
        <v>102.48905789444579</v>
      </c>
      <c r="H115" s="67">
        <f>IF(VLOOKUP($B115,'Maintenance Costs'!$A$20:$AG$176,33,FALSE)=0,"",VLOOKUP($B115,'Maintenance Costs'!$A$20:$AG$176,33,FALSE))</f>
        <v>62.261757494340657</v>
      </c>
      <c r="I115" s="34" t="str">
        <f>IF(ISERROR(VLOOKUP(CONCATENATE($A115,$I$8,I$10),'Tariff Schedule Lookup Table'!$F$8:$G$286,2,FALSE))=TRUE,"",TEXT(VLOOKUP(CONCATENATE($A115,$I$8,I$10),'Tariff Schedule Lookup Table'!$F$8:$G$286,2,FALSE),"0000"))</f>
        <v>0070</v>
      </c>
      <c r="J115" s="34" t="str">
        <f>IF(ISERROR(VLOOKUP(CONCATENATE($A115,$I$8,J$10),'Tariff Schedule Lookup Table'!$F$8:$G$286,2,FALSE))=TRUE,"",TEXT(VLOOKUP(CONCATENATE($A115,$I$8,J$10),'Tariff Schedule Lookup Table'!$F$8:$G$286,2,FALSE),"0000"))</f>
        <v>1030</v>
      </c>
      <c r="K115" s="34" t="str">
        <f>IF(ISERROR(VLOOKUP(CONCATENATE($A115,$I$8,K$10),'Tariff Schedule Lookup Table'!$F$8:$G$286,2,FALSE))=TRUE,"",TEXT(VLOOKUP(CONCATENATE($A115,$I$8,K$10),'Tariff Schedule Lookup Table'!$F$8:$G$286,2,FALSE),"0000"))</f>
        <v/>
      </c>
      <c r="L115" s="34" t="str">
        <f>IF(ISERROR(VLOOKUP(CONCATENATE($A115,$I$8,L$10),'Tariff Schedule Lookup Table'!$F$8:$G$286,2,FALSE))=TRUE,"",TEXT(VLOOKUP(CONCATENATE($A115,$I$8,L$10),'Tariff Schedule Lookup Table'!$F$8:$G$286,2,FALSE),"0000"))</f>
        <v/>
      </c>
      <c r="M115" s="34" t="str">
        <f>IF(ISERROR(VLOOKUP(CONCATENATE($A115,$M$8,M$10),'Tariff Schedule Lookup Table'!$F$8:$G$286,2,FALSE))=TRUE,"",TEXT(VLOOKUP(CONCATENATE($A115,$M$8,M$10),'Tariff Schedule Lookup Table'!$F$8:$G$286,2,FALSE),"0000"))</f>
        <v>0240</v>
      </c>
      <c r="N115" s="34" t="str">
        <f>IF(ISERROR(VLOOKUP(CONCATENATE($A115,$M$8,N$10),'Tariff Schedule Lookup Table'!$F$8:$G$286,2,FALSE))=TRUE,"",TEXT(VLOOKUP(CONCATENATE($A115,$M$8,N$10),'Tariff Schedule Lookup Table'!$F$8:$G$286,2,FALSE),"0000"))</f>
        <v>0770</v>
      </c>
      <c r="O115" s="34" t="str">
        <f>IF(ISERROR(VLOOKUP(CONCATENATE($A115,$M$8,O$10),'Tariff Schedule Lookup Table'!$F$8:$G$286,2,FALSE))=TRUE,"",TEXT(VLOOKUP(CONCATENATE($A115,$M$8,O$10),'Tariff Schedule Lookup Table'!$F$8:$G$286,2,FALSE),"0000"))</f>
        <v/>
      </c>
      <c r="P115" s="34" t="str">
        <f>IF(ISERROR(VLOOKUP(CONCATENATE($A115,$M$8,P$10),'Tariff Schedule Lookup Table'!$F$8:$G$286,2,FALSE))=TRUE,"",TEXT(VLOOKUP(CONCATENATE($A115,$M$8,P$10),'Tariff Schedule Lookup Table'!$F$8:$G$286,2,FALSE),"0000"))</f>
        <v>1060</v>
      </c>
      <c r="Q115" s="34" t="str">
        <f>IF(ISERROR(VLOOKUP(CONCATENATE($A115,$Q$8,Q$10),'Tariff Schedule Lookup Table'!$F$8:$G$286,2,FALSE))=TRUE,"",TEXT(VLOOKUP(CONCATENATE($A115,$Q$8,Q$10),'Tariff Schedule Lookup Table'!$F$8:$G$286,2,FALSE),"0000"))</f>
        <v>0330</v>
      </c>
      <c r="R115" s="34" t="str">
        <f>IF(ISERROR(VLOOKUP(CONCATENATE($A115,$Q$8,R$10),'Tariff Schedule Lookup Table'!$F$8:$G$286,2,FALSE))=TRUE,"",TEXT(VLOOKUP(CONCATENATE($A115,$Q$8,R$10),'Tariff Schedule Lookup Table'!$F$8:$G$286,2,FALSE),"0000"))</f>
        <v>0400</v>
      </c>
      <c r="S115" s="34" t="str">
        <f>IF(ISERROR(VLOOKUP(CONCATENATE($A115,$Q$8,S$10),'Tariff Schedule Lookup Table'!$F$8:$G$286,2,FALSE))=TRUE,"",TEXT(VLOOKUP(CONCATENATE($A115,$Q$8,S$10),'Tariff Schedule Lookup Table'!$F$8:$G$286,2,FALSE),"0000"))</f>
        <v>0440</v>
      </c>
      <c r="T115" s="34" t="str">
        <f>IF(ISERROR(VLOOKUP(CONCATENATE($A115,$Q$8,T$10),'Tariff Schedule Lookup Table'!$F$8:$G$286,2,FALSE))=TRUE,"",TEXT(VLOOKUP(CONCATENATE($A115,$Q$8,T$10),'Tariff Schedule Lookup Table'!$F$8:$G$286,2,FALSE),"0000"))</f>
        <v>0480</v>
      </c>
      <c r="U115" s="34" t="str">
        <f>IF(ISERROR(VLOOKUP(CONCATENATE($A115,$U$8,U$10),'Tariff Schedule Lookup Table'!$F$8:$G$286,2,FALSE))=TRUE,"",TEXT(VLOOKUP(CONCATENATE($A115,$U$8,U$10),'Tariff Schedule Lookup Table'!$F$8:$G$286,2,FALSE),"0000"))</f>
        <v/>
      </c>
      <c r="V115" s="34" t="str">
        <f>IF(ISERROR(VLOOKUP(CONCATENATE($A115,$U$8,V$10),'Tariff Schedule Lookup Table'!$F$8:$G$286,2,FALSE))=TRUE,"",TEXT(VLOOKUP(CONCATENATE($A115,$U$8,V$10),'Tariff Schedule Lookup Table'!$F$8:$G$286,2,FALSE),"0000"))</f>
        <v>0520</v>
      </c>
      <c r="W115" s="34" t="str">
        <f>IF(ISERROR(VLOOKUP(CONCATENATE($A115,$U$8,W$10),'Tariff Schedule Lookup Table'!$F$8:$G$286,2,FALSE))=TRUE,"",TEXT(VLOOKUP(CONCATENATE($A115,$U$8,W$10),'Tariff Schedule Lookup Table'!$F$8:$G$286,2,FALSE),"0000"))</f>
        <v>0560</v>
      </c>
      <c r="X115" s="34" t="str">
        <f>IF(ISERROR(VLOOKUP(CONCATENATE($A115,$U$8,X$10),'Tariff Schedule Lookup Table'!$F$8:$G$286,2,FALSE))=TRUE,"",TEXT(VLOOKUP(CONCATENATE($A115,$U$8,X$10),'Tariff Schedule Lookup Table'!$F$8:$G$186,2,FALSE),"0000"))</f>
        <v>0600</v>
      </c>
      <c r="Y115" s="6"/>
      <c r="Z115" s="6"/>
      <c r="AA115" s="6"/>
      <c r="AB115" s="6"/>
      <c r="AC115" s="6"/>
    </row>
    <row r="116" spans="1:29" x14ac:dyDescent="0.2">
      <c r="A116" s="38" t="s">
        <v>1044</v>
      </c>
      <c r="B116" s="39" t="s">
        <v>228</v>
      </c>
      <c r="C116" s="197">
        <f>VLOOKUP(LEFT(B116,7),'Tariff Schedule Lookup Table'!$A$8:$D$186,3,FALSE)</f>
        <v>150</v>
      </c>
      <c r="D116" s="199" t="str">
        <f>VLOOKUP(LEFT(B116,7),'Tariff Schedule Lookup Table'!$A$8:$D$186,2,FALSE)</f>
        <v>Metal Hallide (Constant Control Gear) 150</v>
      </c>
      <c r="E116" s="6" t="s">
        <v>996</v>
      </c>
      <c r="F116" s="37">
        <f>VLOOKUP(LEFT(B116,7),'Tariff Schedule Lookup Table'!$A$8:$D$186,4,FALSE)</f>
        <v>173</v>
      </c>
      <c r="G116" s="33">
        <f>VLOOKUP($B116,'Maintenance Costs'!$A$20:$AG$176,32,FALSE)</f>
        <v>101.34943396196847</v>
      </c>
      <c r="H116" s="67">
        <f>IF(VLOOKUP($B116,'Maintenance Costs'!$A$20:$AG$176,33,FALSE)=0,"",VLOOKUP($B116,'Maintenance Costs'!$A$20:$AG$176,33,FALSE))</f>
        <v>65.211775100276469</v>
      </c>
      <c r="I116" s="34" t="str">
        <f>IF(ISERROR(VLOOKUP(CONCATENATE($A116,$I$8,I$10),'Tariff Schedule Lookup Table'!$F$8:$G$286,2,FALSE))=TRUE,"",TEXT(VLOOKUP(CONCATENATE($A116,$I$8,I$10),'Tariff Schedule Lookup Table'!$F$8:$G$286,2,FALSE),"0000"))</f>
        <v>0040</v>
      </c>
      <c r="J116" s="34" t="str">
        <f>IF(ISERROR(VLOOKUP(CONCATENATE($A116,$I$8,J$10),'Tariff Schedule Lookup Table'!$F$8:$G$286,2,FALSE))=TRUE,"",TEXT(VLOOKUP(CONCATENATE($A116,$I$8,J$10),'Tariff Schedule Lookup Table'!$F$8:$G$286,2,FALSE),"0000"))</f>
        <v>0890</v>
      </c>
      <c r="K116" s="34" t="str">
        <f>IF(ISERROR(VLOOKUP(CONCATENATE($A116,$I$8,K$10),'Tariff Schedule Lookup Table'!$F$8:$G$286,2,FALSE))=TRUE,"",TEXT(VLOOKUP(CONCATENATE($A116,$I$8,K$10),'Tariff Schedule Lookup Table'!$F$8:$G$286,2,FALSE),"0000"))</f>
        <v>0750</v>
      </c>
      <c r="L116" s="34" t="str">
        <f>IF(ISERROR(VLOOKUP(CONCATENATE($A116,$I$8,L$10),'Tariff Schedule Lookup Table'!$F$8:$G$286,2,FALSE))=TRUE,"",TEXT(VLOOKUP(CONCATENATE($A116,$I$8,L$10),'Tariff Schedule Lookup Table'!$F$8:$G$286,2,FALSE),"0000"))</f>
        <v>0920</v>
      </c>
      <c r="M116" s="34" t="str">
        <f>IF(ISERROR(VLOOKUP(CONCATENATE($A116,$M$8,M$10),'Tariff Schedule Lookup Table'!$F$8:$G$286,2,FALSE))=TRUE,"",TEXT(VLOOKUP(CONCATENATE($A116,$M$8,M$10),'Tariff Schedule Lookup Table'!$F$8:$G$286,2,FALSE),"0000"))</f>
        <v>0350</v>
      </c>
      <c r="N116" s="34" t="str">
        <f>IF(ISERROR(VLOOKUP(CONCATENATE($A116,$M$8,N$10),'Tariff Schedule Lookup Table'!$F$8:$G$286,2,FALSE))=TRUE,"",TEXT(VLOOKUP(CONCATENATE($A116,$M$8,N$10),'Tariff Schedule Lookup Table'!$F$8:$G$286,2,FALSE),"0000"))</f>
        <v>0910</v>
      </c>
      <c r="O116" s="34" t="str">
        <f>IF(ISERROR(VLOOKUP(CONCATENATE($A116,$M$8,O$10),'Tariff Schedule Lookup Table'!$F$8:$G$286,2,FALSE))=TRUE,"",TEXT(VLOOKUP(CONCATENATE($A116,$M$8,O$10),'Tariff Schedule Lookup Table'!$F$8:$G$286,2,FALSE),"0000"))</f>
        <v/>
      </c>
      <c r="P116" s="34" t="str">
        <f>IF(ISERROR(VLOOKUP(CONCATENATE($A116,$M$8,P$10),'Tariff Schedule Lookup Table'!$F$8:$G$286,2,FALSE))=TRUE,"",TEXT(VLOOKUP(CONCATENATE($A116,$M$8,P$10),'Tariff Schedule Lookup Table'!$F$8:$G$286,2,FALSE),"0000"))</f>
        <v/>
      </c>
      <c r="Q116" s="34" t="str">
        <f>IF(ISERROR(VLOOKUP(CONCATENATE($A116,$Q$8,Q$10),'Tariff Schedule Lookup Table'!$F$8:$G$286,2,FALSE))=TRUE,"",TEXT(VLOOKUP(CONCATENATE($A116,$Q$8,Q$10),'Tariff Schedule Lookup Table'!$F$8:$G$286,2,FALSE),"0000"))</f>
        <v>0360</v>
      </c>
      <c r="R116" s="34" t="str">
        <f>IF(ISERROR(VLOOKUP(CONCATENATE($A116,$Q$8,R$10),'Tariff Schedule Lookup Table'!$F$8:$G$286,2,FALSE))=TRUE,"",TEXT(VLOOKUP(CONCATENATE($A116,$Q$8,R$10),'Tariff Schedule Lookup Table'!$F$8:$G$286,2,FALSE),"0000"))</f>
        <v>0730</v>
      </c>
      <c r="S116" s="34" t="str">
        <f>IF(ISERROR(VLOOKUP(CONCATENATE($A116,$Q$8,S$10),'Tariff Schedule Lookup Table'!$F$8:$G$286,2,FALSE))=TRUE,"",TEXT(VLOOKUP(CONCATENATE($A116,$Q$8,S$10),'Tariff Schedule Lookup Table'!$F$8:$G$286,2,FALSE),"0000"))</f>
        <v/>
      </c>
      <c r="T116" s="34" t="str">
        <f>IF(ISERROR(VLOOKUP(CONCATENATE($A116,$Q$8,T$10),'Tariff Schedule Lookup Table'!$F$8:$G$286,2,FALSE))=TRUE,"",TEXT(VLOOKUP(CONCATENATE($A116,$Q$8,T$10),'Tariff Schedule Lookup Table'!$F$8:$G$286,2,FALSE),"0000"))</f>
        <v>0880</v>
      </c>
      <c r="U116" s="34" t="str">
        <f>IF(ISERROR(VLOOKUP(CONCATENATE($A116,$U$8,U$10),'Tariff Schedule Lookup Table'!$F$8:$G$286,2,FALSE))=TRUE,"",TEXT(VLOOKUP(CONCATENATE($A116,$U$8,U$10),'Tariff Schedule Lookup Table'!$F$8:$G$286,2,FALSE),"0000"))</f>
        <v/>
      </c>
      <c r="V116" s="34" t="str">
        <f>IF(ISERROR(VLOOKUP(CONCATENATE($A116,$U$8,V$10),'Tariff Schedule Lookup Table'!$F$8:$G$286,2,FALSE))=TRUE,"",TEXT(VLOOKUP(CONCATENATE($A116,$U$8,V$10),'Tariff Schedule Lookup Table'!$F$8:$G$286,2,FALSE),"0000"))</f>
        <v/>
      </c>
      <c r="W116" s="34" t="str">
        <f>IF(ISERROR(VLOOKUP(CONCATENATE($A116,$U$8,W$10),'Tariff Schedule Lookup Table'!$F$8:$G$286,2,FALSE))=TRUE,"",TEXT(VLOOKUP(CONCATENATE($A116,$U$8,W$10),'Tariff Schedule Lookup Table'!$F$8:$G$286,2,FALSE),"0000"))</f>
        <v/>
      </c>
      <c r="X116" s="34" t="str">
        <f>IF(ISERROR(VLOOKUP(CONCATENATE($A116,$U$8,X$10),'Tariff Schedule Lookup Table'!$F$8:$G$286,2,FALSE))=TRUE,"",TEXT(VLOOKUP(CONCATENATE($A116,$U$8,X$10),'Tariff Schedule Lookup Table'!$F$8:$G$186,2,FALSE),"0000"))</f>
        <v/>
      </c>
      <c r="Y116" s="6"/>
      <c r="Z116" s="6"/>
      <c r="AA116" s="6"/>
      <c r="AB116" s="6"/>
      <c r="AC116" s="6"/>
    </row>
    <row r="117" spans="1:29" x14ac:dyDescent="0.2">
      <c r="A117" s="38" t="s">
        <v>1044</v>
      </c>
      <c r="B117" s="39" t="s">
        <v>229</v>
      </c>
      <c r="C117" s="197">
        <f>VLOOKUP(LEFT(B117,7),'Tariff Schedule Lookup Table'!$A$8:$D$186,3,FALSE)</f>
        <v>250</v>
      </c>
      <c r="D117" s="199" t="str">
        <f>VLOOKUP(LEFT(B117,7),'Tariff Schedule Lookup Table'!$A$8:$D$186,2,FALSE)</f>
        <v>Metal Hallide (Constant Control Gear) 250</v>
      </c>
      <c r="E117" s="6" t="s">
        <v>996</v>
      </c>
      <c r="F117" s="37">
        <f>VLOOKUP(LEFT(B117,7),'Tariff Schedule Lookup Table'!$A$8:$D$186,4,FALSE)</f>
        <v>286</v>
      </c>
      <c r="G117" s="33">
        <f>VLOOKUP($B117,'Maintenance Costs'!$A$20:$AG$176,32,FALSE)</f>
        <v>101.34943396196847</v>
      </c>
      <c r="H117" s="67">
        <f>IF(VLOOKUP($B117,'Maintenance Costs'!$A$20:$AG$176,33,FALSE)=0,"",VLOOKUP($B117,'Maintenance Costs'!$A$20:$AG$176,33,FALSE))</f>
        <v>65.211775100276469</v>
      </c>
      <c r="I117" s="34" t="str">
        <f>IF(ISERROR(VLOOKUP(CONCATENATE($A117,$I$8,I$10),'Tariff Schedule Lookup Table'!$F$8:$G$286,2,FALSE))=TRUE,"",TEXT(VLOOKUP(CONCATENATE($A117,$I$8,I$10),'Tariff Schedule Lookup Table'!$F$8:$G$286,2,FALSE),"0000"))</f>
        <v>0040</v>
      </c>
      <c r="J117" s="34" t="str">
        <f>IF(ISERROR(VLOOKUP(CONCATENATE($A117,$I$8,J$10),'Tariff Schedule Lookup Table'!$F$8:$G$286,2,FALSE))=TRUE,"",TEXT(VLOOKUP(CONCATENATE($A117,$I$8,J$10),'Tariff Schedule Lookup Table'!$F$8:$G$286,2,FALSE),"0000"))</f>
        <v>0890</v>
      </c>
      <c r="K117" s="34" t="str">
        <f>IF(ISERROR(VLOOKUP(CONCATENATE($A117,$I$8,K$10),'Tariff Schedule Lookup Table'!$F$8:$G$286,2,FALSE))=TRUE,"",TEXT(VLOOKUP(CONCATENATE($A117,$I$8,K$10),'Tariff Schedule Lookup Table'!$F$8:$G$286,2,FALSE),"0000"))</f>
        <v>0750</v>
      </c>
      <c r="L117" s="34" t="str">
        <f>IF(ISERROR(VLOOKUP(CONCATENATE($A117,$I$8,L$10),'Tariff Schedule Lookup Table'!$F$8:$G$286,2,FALSE))=TRUE,"",TEXT(VLOOKUP(CONCATENATE($A117,$I$8,L$10),'Tariff Schedule Lookup Table'!$F$8:$G$286,2,FALSE),"0000"))</f>
        <v>0920</v>
      </c>
      <c r="M117" s="34" t="str">
        <f>IF(ISERROR(VLOOKUP(CONCATENATE($A117,$M$8,M$10),'Tariff Schedule Lookup Table'!$F$8:$G$286,2,FALSE))=TRUE,"",TEXT(VLOOKUP(CONCATENATE($A117,$M$8,M$10),'Tariff Schedule Lookup Table'!$F$8:$G$286,2,FALSE),"0000"))</f>
        <v>0350</v>
      </c>
      <c r="N117" s="34" t="str">
        <f>IF(ISERROR(VLOOKUP(CONCATENATE($A117,$M$8,N$10),'Tariff Schedule Lookup Table'!$F$8:$G$286,2,FALSE))=TRUE,"",TEXT(VLOOKUP(CONCATENATE($A117,$M$8,N$10),'Tariff Schedule Lookup Table'!$F$8:$G$286,2,FALSE),"0000"))</f>
        <v>0910</v>
      </c>
      <c r="O117" s="34" t="str">
        <f>IF(ISERROR(VLOOKUP(CONCATENATE($A117,$M$8,O$10),'Tariff Schedule Lookup Table'!$F$8:$G$286,2,FALSE))=TRUE,"",TEXT(VLOOKUP(CONCATENATE($A117,$M$8,O$10),'Tariff Schedule Lookup Table'!$F$8:$G$286,2,FALSE),"0000"))</f>
        <v/>
      </c>
      <c r="P117" s="34" t="str">
        <f>IF(ISERROR(VLOOKUP(CONCATENATE($A117,$M$8,P$10),'Tariff Schedule Lookup Table'!$F$8:$G$286,2,FALSE))=TRUE,"",TEXT(VLOOKUP(CONCATENATE($A117,$M$8,P$10),'Tariff Schedule Lookup Table'!$F$8:$G$286,2,FALSE),"0000"))</f>
        <v/>
      </c>
      <c r="Q117" s="34" t="str">
        <f>IF(ISERROR(VLOOKUP(CONCATENATE($A117,$Q$8,Q$10),'Tariff Schedule Lookup Table'!$F$8:$G$286,2,FALSE))=TRUE,"",TEXT(VLOOKUP(CONCATENATE($A117,$Q$8,Q$10),'Tariff Schedule Lookup Table'!$F$8:$G$286,2,FALSE),"0000"))</f>
        <v>0360</v>
      </c>
      <c r="R117" s="34" t="str">
        <f>IF(ISERROR(VLOOKUP(CONCATENATE($A117,$Q$8,R$10),'Tariff Schedule Lookup Table'!$F$8:$G$286,2,FALSE))=TRUE,"",TEXT(VLOOKUP(CONCATENATE($A117,$Q$8,R$10),'Tariff Schedule Lookup Table'!$F$8:$G$286,2,FALSE),"0000"))</f>
        <v>0730</v>
      </c>
      <c r="S117" s="34" t="str">
        <f>IF(ISERROR(VLOOKUP(CONCATENATE($A117,$Q$8,S$10),'Tariff Schedule Lookup Table'!$F$8:$G$286,2,FALSE))=TRUE,"",TEXT(VLOOKUP(CONCATENATE($A117,$Q$8,S$10),'Tariff Schedule Lookup Table'!$F$8:$G$286,2,FALSE),"0000"))</f>
        <v/>
      </c>
      <c r="T117" s="34" t="str">
        <f>IF(ISERROR(VLOOKUP(CONCATENATE($A117,$Q$8,T$10),'Tariff Schedule Lookup Table'!$F$8:$G$286,2,FALSE))=TRUE,"",TEXT(VLOOKUP(CONCATENATE($A117,$Q$8,T$10),'Tariff Schedule Lookup Table'!$F$8:$G$286,2,FALSE),"0000"))</f>
        <v>0880</v>
      </c>
      <c r="U117" s="34" t="str">
        <f>IF(ISERROR(VLOOKUP(CONCATENATE($A117,$U$8,U$10),'Tariff Schedule Lookup Table'!$F$8:$G$286,2,FALSE))=TRUE,"",TEXT(VLOOKUP(CONCATENATE($A117,$U$8,U$10),'Tariff Schedule Lookup Table'!$F$8:$G$286,2,FALSE),"0000"))</f>
        <v/>
      </c>
      <c r="V117" s="34" t="str">
        <f>IF(ISERROR(VLOOKUP(CONCATENATE($A117,$U$8,V$10),'Tariff Schedule Lookup Table'!$F$8:$G$286,2,FALSE))=TRUE,"",TEXT(VLOOKUP(CONCATENATE($A117,$U$8,V$10),'Tariff Schedule Lookup Table'!$F$8:$G$286,2,FALSE),"0000"))</f>
        <v/>
      </c>
      <c r="W117" s="34" t="str">
        <f>IF(ISERROR(VLOOKUP(CONCATENATE($A117,$U$8,W$10),'Tariff Schedule Lookup Table'!$F$8:$G$286,2,FALSE))=TRUE,"",TEXT(VLOOKUP(CONCATENATE($A117,$U$8,W$10),'Tariff Schedule Lookup Table'!$F$8:$G$286,2,FALSE),"0000"))</f>
        <v/>
      </c>
      <c r="X117" s="34" t="str">
        <f>IF(ISERROR(VLOOKUP(CONCATENATE($A117,$U$8,X$10),'Tariff Schedule Lookup Table'!$F$8:$G$286,2,FALSE))=TRUE,"",TEXT(VLOOKUP(CONCATENATE($A117,$U$8,X$10),'Tariff Schedule Lookup Table'!$F$8:$G$186,2,FALSE),"0000"))</f>
        <v/>
      </c>
      <c r="Y117" s="6"/>
      <c r="Z117" s="6"/>
      <c r="AA117" s="6"/>
      <c r="AB117" s="6"/>
      <c r="AC117" s="6"/>
    </row>
    <row r="118" spans="1:29" x14ac:dyDescent="0.2">
      <c r="A118" s="38" t="s">
        <v>1044</v>
      </c>
      <c r="B118" s="39" t="s">
        <v>230</v>
      </c>
      <c r="C118" s="197">
        <f>VLOOKUP(LEFT(B118,7),'Tariff Schedule Lookup Table'!$A$8:$D$186,3,FALSE)</f>
        <v>400</v>
      </c>
      <c r="D118" s="199" t="str">
        <f>VLOOKUP(LEFT(B118,7),'Tariff Schedule Lookup Table'!$A$8:$D$186,2,FALSE)</f>
        <v>Metal Hallide (Constant Control Gear) 400</v>
      </c>
      <c r="E118" s="6" t="s">
        <v>996</v>
      </c>
      <c r="F118" s="37">
        <f>VLOOKUP(LEFT(B118,7),'Tariff Schedule Lookup Table'!$A$8:$D$186,4,FALSE)</f>
        <v>449</v>
      </c>
      <c r="G118" s="33">
        <f>VLOOKUP($B118,'Maintenance Costs'!$A$20:$AG$176,32,FALSE)</f>
        <v>104.32476788196847</v>
      </c>
      <c r="H118" s="67">
        <f>IF(VLOOKUP($B118,'Maintenance Costs'!$A$20:$AG$176,33,FALSE)=0,"",VLOOKUP($B118,'Maintenance Costs'!$A$20:$AG$176,33,FALSE))</f>
        <v>68.83363766494314</v>
      </c>
      <c r="I118" s="34" t="str">
        <f>IF(ISERROR(VLOOKUP(CONCATENATE($A118,$I$8,I$10),'Tariff Schedule Lookup Table'!$F$8:$G$286,2,FALSE))=TRUE,"",TEXT(VLOOKUP(CONCATENATE($A118,$I$8,I$10),'Tariff Schedule Lookup Table'!$F$8:$G$286,2,FALSE),"0000"))</f>
        <v>0040</v>
      </c>
      <c r="J118" s="34" t="str">
        <f>IF(ISERROR(VLOOKUP(CONCATENATE($A118,$I$8,J$10),'Tariff Schedule Lookup Table'!$F$8:$G$286,2,FALSE))=TRUE,"",TEXT(VLOOKUP(CONCATENATE($A118,$I$8,J$10),'Tariff Schedule Lookup Table'!$F$8:$G$286,2,FALSE),"0000"))</f>
        <v>0890</v>
      </c>
      <c r="K118" s="34" t="str">
        <f>IF(ISERROR(VLOOKUP(CONCATENATE($A118,$I$8,K$10),'Tariff Schedule Lookup Table'!$F$8:$G$286,2,FALSE))=TRUE,"",TEXT(VLOOKUP(CONCATENATE($A118,$I$8,K$10),'Tariff Schedule Lookup Table'!$F$8:$G$286,2,FALSE),"0000"))</f>
        <v>0750</v>
      </c>
      <c r="L118" s="34" t="str">
        <f>IF(ISERROR(VLOOKUP(CONCATENATE($A118,$I$8,L$10),'Tariff Schedule Lookup Table'!$F$8:$G$286,2,FALSE))=TRUE,"",TEXT(VLOOKUP(CONCATENATE($A118,$I$8,L$10),'Tariff Schedule Lookup Table'!$F$8:$G$286,2,FALSE),"0000"))</f>
        <v>0920</v>
      </c>
      <c r="M118" s="34" t="str">
        <f>IF(ISERROR(VLOOKUP(CONCATENATE($A118,$M$8,M$10),'Tariff Schedule Lookup Table'!$F$8:$G$286,2,FALSE))=TRUE,"",TEXT(VLOOKUP(CONCATENATE($A118,$M$8,M$10),'Tariff Schedule Lookup Table'!$F$8:$G$286,2,FALSE),"0000"))</f>
        <v>0350</v>
      </c>
      <c r="N118" s="34" t="str">
        <f>IF(ISERROR(VLOOKUP(CONCATENATE($A118,$M$8,N$10),'Tariff Schedule Lookup Table'!$F$8:$G$286,2,FALSE))=TRUE,"",TEXT(VLOOKUP(CONCATENATE($A118,$M$8,N$10),'Tariff Schedule Lookup Table'!$F$8:$G$286,2,FALSE),"0000"))</f>
        <v>0910</v>
      </c>
      <c r="O118" s="34" t="str">
        <f>IF(ISERROR(VLOOKUP(CONCATENATE($A118,$M$8,O$10),'Tariff Schedule Lookup Table'!$F$8:$G$286,2,FALSE))=TRUE,"",TEXT(VLOOKUP(CONCATENATE($A118,$M$8,O$10),'Tariff Schedule Lookup Table'!$F$8:$G$286,2,FALSE),"0000"))</f>
        <v/>
      </c>
      <c r="P118" s="34" t="str">
        <f>IF(ISERROR(VLOOKUP(CONCATENATE($A118,$M$8,P$10),'Tariff Schedule Lookup Table'!$F$8:$G$286,2,FALSE))=TRUE,"",TEXT(VLOOKUP(CONCATENATE($A118,$M$8,P$10),'Tariff Schedule Lookup Table'!$F$8:$G$286,2,FALSE),"0000"))</f>
        <v/>
      </c>
      <c r="Q118" s="34" t="str">
        <f>IF(ISERROR(VLOOKUP(CONCATENATE($A118,$Q$8,Q$10),'Tariff Schedule Lookup Table'!$F$8:$G$286,2,FALSE))=TRUE,"",TEXT(VLOOKUP(CONCATENATE($A118,$Q$8,Q$10),'Tariff Schedule Lookup Table'!$F$8:$G$286,2,FALSE),"0000"))</f>
        <v>0360</v>
      </c>
      <c r="R118" s="34" t="str">
        <f>IF(ISERROR(VLOOKUP(CONCATENATE($A118,$Q$8,R$10),'Tariff Schedule Lookup Table'!$F$8:$G$286,2,FALSE))=TRUE,"",TEXT(VLOOKUP(CONCATENATE($A118,$Q$8,R$10),'Tariff Schedule Lookup Table'!$F$8:$G$286,2,FALSE),"0000"))</f>
        <v>0730</v>
      </c>
      <c r="S118" s="34" t="str">
        <f>IF(ISERROR(VLOOKUP(CONCATENATE($A118,$Q$8,S$10),'Tariff Schedule Lookup Table'!$F$8:$G$286,2,FALSE))=TRUE,"",TEXT(VLOOKUP(CONCATENATE($A118,$Q$8,S$10),'Tariff Schedule Lookup Table'!$F$8:$G$286,2,FALSE),"0000"))</f>
        <v/>
      </c>
      <c r="T118" s="34" t="str">
        <f>IF(ISERROR(VLOOKUP(CONCATENATE($A118,$Q$8,T$10),'Tariff Schedule Lookup Table'!$F$8:$G$286,2,FALSE))=TRUE,"",TEXT(VLOOKUP(CONCATENATE($A118,$Q$8,T$10),'Tariff Schedule Lookup Table'!$F$8:$G$286,2,FALSE),"0000"))</f>
        <v>0880</v>
      </c>
      <c r="U118" s="34" t="str">
        <f>IF(ISERROR(VLOOKUP(CONCATENATE($A118,$U$8,U$10),'Tariff Schedule Lookup Table'!$F$8:$G$286,2,FALSE))=TRUE,"",TEXT(VLOOKUP(CONCATENATE($A118,$U$8,U$10),'Tariff Schedule Lookup Table'!$F$8:$G$286,2,FALSE),"0000"))</f>
        <v/>
      </c>
      <c r="V118" s="34" t="str">
        <f>IF(ISERROR(VLOOKUP(CONCATENATE($A118,$U$8,V$10),'Tariff Schedule Lookup Table'!$F$8:$G$286,2,FALSE))=TRUE,"",TEXT(VLOOKUP(CONCATENATE($A118,$U$8,V$10),'Tariff Schedule Lookup Table'!$F$8:$G$286,2,FALSE),"0000"))</f>
        <v/>
      </c>
      <c r="W118" s="34" t="str">
        <f>IF(ISERROR(VLOOKUP(CONCATENATE($A118,$U$8,W$10),'Tariff Schedule Lookup Table'!$F$8:$G$286,2,FALSE))=TRUE,"",TEXT(VLOOKUP(CONCATENATE($A118,$U$8,W$10),'Tariff Schedule Lookup Table'!$F$8:$G$286,2,FALSE),"0000"))</f>
        <v/>
      </c>
      <c r="X118" s="34" t="str">
        <f>IF(ISERROR(VLOOKUP(CONCATENATE($A118,$U$8,X$10),'Tariff Schedule Lookup Table'!$F$8:$G$286,2,FALSE))=TRUE,"",TEXT(VLOOKUP(CONCATENATE($A118,$U$8,X$10),'Tariff Schedule Lookup Table'!$F$8:$G$186,2,FALSE),"0000"))</f>
        <v/>
      </c>
      <c r="Y118" s="6"/>
      <c r="Z118" s="6"/>
      <c r="AA118" s="6"/>
      <c r="AB118" s="6"/>
      <c r="AC118" s="6"/>
    </row>
    <row r="119" spans="1:29" x14ac:dyDescent="0.2">
      <c r="A119" s="38" t="s">
        <v>1044</v>
      </c>
      <c r="B119" s="39" t="s">
        <v>2128</v>
      </c>
      <c r="C119" s="197">
        <f>VLOOKUP(LEFT(B119,7),'Tariff Schedule Lookup Table'!$A$8:$D$186,3,FALSE)</f>
        <v>70</v>
      </c>
      <c r="D119" s="199" t="str">
        <f>VLOOKUP(LEFT(B119,7),'Tariff Schedule Lookup Table'!$A$8:$D$186,2,FALSE)</f>
        <v>Metal Hallide (Reactor Control Gear) 70</v>
      </c>
      <c r="E119" s="6" t="s">
        <v>996</v>
      </c>
      <c r="F119" s="37">
        <f>VLOOKUP(LEFT(B119,7),'Tariff Schedule Lookup Table'!$A$8:$D$186,4,FALSE)</f>
        <v>81.5</v>
      </c>
      <c r="G119" s="33">
        <f>VLOOKUP($B119,'Maintenance Costs'!$A$20:$AG$176,32,FALSE)</f>
        <v>101.34943396196847</v>
      </c>
      <c r="H119" s="67">
        <f>IF(VLOOKUP($B119,'Maintenance Costs'!$A$20:$AG$176,33,FALSE)=0,"",VLOOKUP($B119,'Maintenance Costs'!$A$20:$AG$176,33,FALSE))</f>
        <v>65.211775100276469</v>
      </c>
      <c r="I119" s="34" t="str">
        <f>IF(ISERROR(VLOOKUP(CONCATENATE($A119,$I$8,I$10),'Tariff Schedule Lookup Table'!$F$8:$G$286,2,FALSE))=TRUE,"",TEXT(VLOOKUP(CONCATENATE($A119,$I$8,I$10),'Tariff Schedule Lookup Table'!$F$8:$G$286,2,FALSE),"0000"))</f>
        <v>0040</v>
      </c>
      <c r="J119" s="34" t="str">
        <f>IF(ISERROR(VLOOKUP(CONCATENATE($A119,$I$8,J$10),'Tariff Schedule Lookup Table'!$F$8:$G$286,2,FALSE))=TRUE,"",TEXT(VLOOKUP(CONCATENATE($A119,$I$8,J$10),'Tariff Schedule Lookup Table'!$F$8:$G$286,2,FALSE),"0000"))</f>
        <v>0890</v>
      </c>
      <c r="K119" s="34" t="str">
        <f>IF(ISERROR(VLOOKUP(CONCATENATE($A119,$I$8,K$10),'Tariff Schedule Lookup Table'!$F$8:$G$286,2,FALSE))=TRUE,"",TEXT(VLOOKUP(CONCATENATE($A119,$I$8,K$10),'Tariff Schedule Lookup Table'!$F$8:$G$286,2,FALSE),"0000"))</f>
        <v>0750</v>
      </c>
      <c r="L119" s="34" t="str">
        <f>IF(ISERROR(VLOOKUP(CONCATENATE($A119,$I$8,L$10),'Tariff Schedule Lookup Table'!$F$8:$G$286,2,FALSE))=TRUE,"",TEXT(VLOOKUP(CONCATENATE($A119,$I$8,L$10),'Tariff Schedule Lookup Table'!$F$8:$G$286,2,FALSE),"0000"))</f>
        <v>0920</v>
      </c>
      <c r="M119" s="34" t="str">
        <f>IF(ISERROR(VLOOKUP(CONCATENATE($A119,$M$8,M$10),'Tariff Schedule Lookup Table'!$F$8:$G$286,2,FALSE))=TRUE,"",TEXT(VLOOKUP(CONCATENATE($A119,$M$8,M$10),'Tariff Schedule Lookup Table'!$F$8:$G$286,2,FALSE),"0000"))</f>
        <v>0350</v>
      </c>
      <c r="N119" s="34" t="str">
        <f>IF(ISERROR(VLOOKUP(CONCATENATE($A119,$M$8,N$10),'Tariff Schedule Lookup Table'!$F$8:$G$286,2,FALSE))=TRUE,"",TEXT(VLOOKUP(CONCATENATE($A119,$M$8,N$10),'Tariff Schedule Lookup Table'!$F$8:$G$286,2,FALSE),"0000"))</f>
        <v>0910</v>
      </c>
      <c r="O119" s="34" t="str">
        <f>IF(ISERROR(VLOOKUP(CONCATENATE($A119,$M$8,O$10),'Tariff Schedule Lookup Table'!$F$8:$G$286,2,FALSE))=TRUE,"",TEXT(VLOOKUP(CONCATENATE($A119,$M$8,O$10),'Tariff Schedule Lookup Table'!$F$8:$G$286,2,FALSE),"0000"))</f>
        <v/>
      </c>
      <c r="P119" s="34" t="str">
        <f>IF(ISERROR(VLOOKUP(CONCATENATE($A119,$M$8,P$10),'Tariff Schedule Lookup Table'!$F$8:$G$286,2,FALSE))=TRUE,"",TEXT(VLOOKUP(CONCATENATE($A119,$M$8,P$10),'Tariff Schedule Lookup Table'!$F$8:$G$286,2,FALSE),"0000"))</f>
        <v/>
      </c>
      <c r="Q119" s="34" t="str">
        <f>IF(ISERROR(VLOOKUP(CONCATENATE($A119,$Q$8,Q$10),'Tariff Schedule Lookup Table'!$F$8:$G$286,2,FALSE))=TRUE,"",TEXT(VLOOKUP(CONCATENATE($A119,$Q$8,Q$10),'Tariff Schedule Lookup Table'!$F$8:$G$286,2,FALSE),"0000"))</f>
        <v>0360</v>
      </c>
      <c r="R119" s="34" t="str">
        <f>IF(ISERROR(VLOOKUP(CONCATENATE($A119,$Q$8,R$10),'Tariff Schedule Lookup Table'!$F$8:$G$286,2,FALSE))=TRUE,"",TEXT(VLOOKUP(CONCATENATE($A119,$Q$8,R$10),'Tariff Schedule Lookup Table'!$F$8:$G$286,2,FALSE),"0000"))</f>
        <v>0730</v>
      </c>
      <c r="S119" s="34" t="str">
        <f>IF(ISERROR(VLOOKUP(CONCATENATE($A119,$Q$8,S$10),'Tariff Schedule Lookup Table'!$F$8:$G$286,2,FALSE))=TRUE,"",TEXT(VLOOKUP(CONCATENATE($A119,$Q$8,S$10),'Tariff Schedule Lookup Table'!$F$8:$G$286,2,FALSE),"0000"))</f>
        <v/>
      </c>
      <c r="T119" s="34" t="str">
        <f>IF(ISERROR(VLOOKUP(CONCATENATE($A119,$Q$8,T$10),'Tariff Schedule Lookup Table'!$F$8:$G$286,2,FALSE))=TRUE,"",TEXT(VLOOKUP(CONCATENATE($A119,$Q$8,T$10),'Tariff Schedule Lookup Table'!$F$8:$G$286,2,FALSE),"0000"))</f>
        <v>0880</v>
      </c>
      <c r="U119" s="34" t="str">
        <f>IF(ISERROR(VLOOKUP(CONCATENATE($A119,$U$8,U$10),'Tariff Schedule Lookup Table'!$F$8:$G$286,2,FALSE))=TRUE,"",TEXT(VLOOKUP(CONCATENATE($A119,$U$8,U$10),'Tariff Schedule Lookup Table'!$F$8:$G$286,2,FALSE),"0000"))</f>
        <v/>
      </c>
      <c r="V119" s="34" t="str">
        <f>IF(ISERROR(VLOOKUP(CONCATENATE($A119,$U$8,V$10),'Tariff Schedule Lookup Table'!$F$8:$G$286,2,FALSE))=TRUE,"",TEXT(VLOOKUP(CONCATENATE($A119,$U$8,V$10),'Tariff Schedule Lookup Table'!$F$8:$G$286,2,FALSE),"0000"))</f>
        <v/>
      </c>
      <c r="W119" s="34" t="str">
        <f>IF(ISERROR(VLOOKUP(CONCATENATE($A119,$U$8,W$10),'Tariff Schedule Lookup Table'!$F$8:$G$286,2,FALSE))=TRUE,"",TEXT(VLOOKUP(CONCATENATE($A119,$U$8,W$10),'Tariff Schedule Lookup Table'!$F$8:$G$286,2,FALSE),"0000"))</f>
        <v/>
      </c>
      <c r="X119" s="34" t="str">
        <f>IF(ISERROR(VLOOKUP(CONCATENATE($A119,$U$8,X$10),'Tariff Schedule Lookup Table'!$F$8:$G$286,2,FALSE))=TRUE,"",TEXT(VLOOKUP(CONCATENATE($A119,$U$8,X$10),'Tariff Schedule Lookup Table'!$F$8:$G$186,2,FALSE),"0000"))</f>
        <v/>
      </c>
      <c r="Y119" s="6"/>
      <c r="Z119" s="6"/>
      <c r="AA119" s="6"/>
      <c r="AB119" s="6"/>
      <c r="AC119" s="6"/>
    </row>
    <row r="120" spans="1:29" x14ac:dyDescent="0.2">
      <c r="A120" s="6" t="s">
        <v>1044</v>
      </c>
      <c r="B120" s="35" t="s">
        <v>2129</v>
      </c>
      <c r="C120" s="197">
        <f>VLOOKUP(LEFT(B120,7),'Tariff Schedule Lookup Table'!$A$8:$D$186,3,FALSE)</f>
        <v>100</v>
      </c>
      <c r="D120" s="199" t="str">
        <f>VLOOKUP(LEFT(B120,7),'Tariff Schedule Lookup Table'!$A$8:$D$186,2,FALSE)</f>
        <v>Metal Hallide (Reactor Control Gear) 100</v>
      </c>
      <c r="E120" s="6" t="s">
        <v>996</v>
      </c>
      <c r="F120" s="37">
        <f>VLOOKUP(LEFT(B120,7),'Tariff Schedule Lookup Table'!$A$8:$D$186,4,FALSE)</f>
        <v>110</v>
      </c>
      <c r="G120" s="33">
        <f>VLOOKUP($B120,'Maintenance Costs'!$A$20:$AG$176,32,FALSE)</f>
        <v>101.34943396196847</v>
      </c>
      <c r="H120" s="67">
        <f>IF(VLOOKUP($B120,'Maintenance Costs'!$A$20:$AG$176,33,FALSE)=0,"",VLOOKUP($B120,'Maintenance Costs'!$A$20:$AG$176,33,FALSE))</f>
        <v>65.211775100276469</v>
      </c>
      <c r="I120" s="34" t="str">
        <f>IF(ISERROR(VLOOKUP(CONCATENATE($A120,$I$8,I$10),'Tariff Schedule Lookup Table'!$F$8:$G$286,2,FALSE))=TRUE,"",TEXT(VLOOKUP(CONCATENATE($A120,$I$8,I$10),'Tariff Schedule Lookup Table'!$F$8:$G$286,2,FALSE),"0000"))</f>
        <v>0040</v>
      </c>
      <c r="J120" s="34" t="str">
        <f>IF(ISERROR(VLOOKUP(CONCATENATE($A120,$I$8,J$10),'Tariff Schedule Lookup Table'!$F$8:$G$286,2,FALSE))=TRUE,"",TEXT(VLOOKUP(CONCATENATE($A120,$I$8,J$10),'Tariff Schedule Lookup Table'!$F$8:$G$286,2,FALSE),"0000"))</f>
        <v>0890</v>
      </c>
      <c r="K120" s="34" t="str">
        <f>IF(ISERROR(VLOOKUP(CONCATENATE($A120,$I$8,K$10),'Tariff Schedule Lookup Table'!$F$8:$G$286,2,FALSE))=TRUE,"",TEXT(VLOOKUP(CONCATENATE($A120,$I$8,K$10),'Tariff Schedule Lookup Table'!$F$8:$G$286,2,FALSE),"0000"))</f>
        <v>0750</v>
      </c>
      <c r="L120" s="34" t="str">
        <f>IF(ISERROR(VLOOKUP(CONCATENATE($A120,$I$8,L$10),'Tariff Schedule Lookup Table'!$F$8:$G$286,2,FALSE))=TRUE,"",TEXT(VLOOKUP(CONCATENATE($A120,$I$8,L$10),'Tariff Schedule Lookup Table'!$F$8:$G$286,2,FALSE),"0000"))</f>
        <v>0920</v>
      </c>
      <c r="M120" s="34" t="str">
        <f>IF(ISERROR(VLOOKUP(CONCATENATE($A120,$M$8,M$10),'Tariff Schedule Lookup Table'!$F$8:$G$286,2,FALSE))=TRUE,"",TEXT(VLOOKUP(CONCATENATE($A120,$M$8,M$10),'Tariff Schedule Lookup Table'!$F$8:$G$286,2,FALSE),"0000"))</f>
        <v>0350</v>
      </c>
      <c r="N120" s="34" t="str">
        <f>IF(ISERROR(VLOOKUP(CONCATENATE($A120,$M$8,N$10),'Tariff Schedule Lookup Table'!$F$8:$G$286,2,FALSE))=TRUE,"",TEXT(VLOOKUP(CONCATENATE($A120,$M$8,N$10),'Tariff Schedule Lookup Table'!$F$8:$G$286,2,FALSE),"0000"))</f>
        <v>0910</v>
      </c>
      <c r="O120" s="34" t="str">
        <f>IF(ISERROR(VLOOKUP(CONCATENATE($A120,$M$8,O$10),'Tariff Schedule Lookup Table'!$F$8:$G$286,2,FALSE))=TRUE,"",TEXT(VLOOKUP(CONCATENATE($A120,$M$8,O$10),'Tariff Schedule Lookup Table'!$F$8:$G$286,2,FALSE),"0000"))</f>
        <v/>
      </c>
      <c r="P120" s="34" t="str">
        <f>IF(ISERROR(VLOOKUP(CONCATENATE($A120,$M$8,P$10),'Tariff Schedule Lookup Table'!$F$8:$G$286,2,FALSE))=TRUE,"",TEXT(VLOOKUP(CONCATENATE($A120,$M$8,P$10),'Tariff Schedule Lookup Table'!$F$8:$G$286,2,FALSE),"0000"))</f>
        <v/>
      </c>
      <c r="Q120" s="34" t="str">
        <f>IF(ISERROR(VLOOKUP(CONCATENATE($A120,$Q$8,Q$10),'Tariff Schedule Lookup Table'!$F$8:$G$286,2,FALSE))=TRUE,"",TEXT(VLOOKUP(CONCATENATE($A120,$Q$8,Q$10),'Tariff Schedule Lookup Table'!$F$8:$G$286,2,FALSE),"0000"))</f>
        <v>0360</v>
      </c>
      <c r="R120" s="34" t="str">
        <f>IF(ISERROR(VLOOKUP(CONCATENATE($A120,$Q$8,R$10),'Tariff Schedule Lookup Table'!$F$8:$G$286,2,FALSE))=TRUE,"",TEXT(VLOOKUP(CONCATENATE($A120,$Q$8,R$10),'Tariff Schedule Lookup Table'!$F$8:$G$286,2,FALSE),"0000"))</f>
        <v>0730</v>
      </c>
      <c r="S120" s="34" t="str">
        <f>IF(ISERROR(VLOOKUP(CONCATENATE($A120,$Q$8,S$10),'Tariff Schedule Lookup Table'!$F$8:$G$286,2,FALSE))=TRUE,"",TEXT(VLOOKUP(CONCATENATE($A120,$Q$8,S$10),'Tariff Schedule Lookup Table'!$F$8:$G$286,2,FALSE),"0000"))</f>
        <v/>
      </c>
      <c r="T120" s="34" t="str">
        <f>IF(ISERROR(VLOOKUP(CONCATENATE($A120,$Q$8,T$10),'Tariff Schedule Lookup Table'!$F$8:$G$286,2,FALSE))=TRUE,"",TEXT(VLOOKUP(CONCATENATE($A120,$Q$8,T$10),'Tariff Schedule Lookup Table'!$F$8:$G$286,2,FALSE),"0000"))</f>
        <v>0880</v>
      </c>
      <c r="U120" s="34" t="str">
        <f>IF(ISERROR(VLOOKUP(CONCATENATE($A120,$U$8,U$10),'Tariff Schedule Lookup Table'!$F$8:$G$286,2,FALSE))=TRUE,"",TEXT(VLOOKUP(CONCATENATE($A120,$U$8,U$10),'Tariff Schedule Lookup Table'!$F$8:$G$286,2,FALSE),"0000"))</f>
        <v/>
      </c>
      <c r="V120" s="34" t="str">
        <f>IF(ISERROR(VLOOKUP(CONCATENATE($A120,$U$8,V$10),'Tariff Schedule Lookup Table'!$F$8:$G$286,2,FALSE))=TRUE,"",TEXT(VLOOKUP(CONCATENATE($A120,$U$8,V$10),'Tariff Schedule Lookup Table'!$F$8:$G$286,2,FALSE),"0000"))</f>
        <v/>
      </c>
      <c r="W120" s="34" t="str">
        <f>IF(ISERROR(VLOOKUP(CONCATENATE($A120,$U$8,W$10),'Tariff Schedule Lookup Table'!$F$8:$G$286,2,FALSE))=TRUE,"",TEXT(VLOOKUP(CONCATENATE($A120,$U$8,W$10),'Tariff Schedule Lookup Table'!$F$8:$G$286,2,FALSE),"0000"))</f>
        <v/>
      </c>
      <c r="X120" s="34" t="str">
        <f>IF(ISERROR(VLOOKUP(CONCATENATE($A120,$U$8,X$10),'Tariff Schedule Lookup Table'!$F$8:$G$286,2,FALSE))=TRUE,"",TEXT(VLOOKUP(CONCATENATE($A120,$U$8,X$10),'Tariff Schedule Lookup Table'!$F$8:$G$186,2,FALSE),"0000"))</f>
        <v/>
      </c>
      <c r="Y120" s="6"/>
      <c r="Z120" s="6"/>
      <c r="AA120" s="6"/>
      <c r="AB120" s="6"/>
      <c r="AC120" s="6"/>
    </row>
    <row r="121" spans="1:29" x14ac:dyDescent="0.2">
      <c r="A121" s="6" t="s">
        <v>1067</v>
      </c>
      <c r="B121" s="35" t="s">
        <v>2130</v>
      </c>
      <c r="C121" s="197">
        <f>VLOOKUP(LEFT(B121,7),'Tariff Schedule Lookup Table'!$A$8:$D$186,3,FALSE)</f>
        <v>150</v>
      </c>
      <c r="D121" s="199" t="str">
        <f>VLOOKUP(LEFT(B121,7),'Tariff Schedule Lookup Table'!$A$8:$D$186,2,FALSE)</f>
        <v>Metal Hallide (Reactor Control Gear) 150</v>
      </c>
      <c r="E121" s="6" t="s">
        <v>996</v>
      </c>
      <c r="F121" s="37">
        <f>VLOOKUP(LEFT(B121,7),'Tariff Schedule Lookup Table'!$A$8:$D$186,4,FALSE)</f>
        <v>168</v>
      </c>
      <c r="G121" s="33">
        <f>VLOOKUP($B121,'Maintenance Costs'!$A$20:$AG$176,32,FALSE)</f>
        <v>115.29538329530182</v>
      </c>
      <c r="H121" s="67">
        <f>IF(VLOOKUP($B121,'Maintenance Costs'!$A$20:$AG$176,33,FALSE)=0,"",VLOOKUP($B121,'Maintenance Costs'!$A$20:$AG$176,33,FALSE))</f>
        <v>70.992054655832021</v>
      </c>
      <c r="I121" s="34" t="str">
        <f>IF(ISERROR(VLOOKUP(CONCATENATE($A121,$I$8,I$10),'Tariff Schedule Lookup Table'!$F$8:$G$286,2,FALSE))=TRUE,"",TEXT(VLOOKUP(CONCATENATE($A121,$I$8,I$10),'Tariff Schedule Lookup Table'!$F$8:$G$286,2,FALSE),"0000"))</f>
        <v>0050</v>
      </c>
      <c r="J121" s="34" t="str">
        <f>IF(ISERROR(VLOOKUP(CONCATENATE($A121,$I$8,J$10),'Tariff Schedule Lookup Table'!$F$8:$G$286,2,FALSE))=TRUE,"",TEXT(VLOOKUP(CONCATENATE($A121,$I$8,J$10),'Tariff Schedule Lookup Table'!$F$8:$G$286,2,FALSE),"0000"))</f>
        <v>1010</v>
      </c>
      <c r="K121" s="34" t="str">
        <f>IF(ISERROR(VLOOKUP(CONCATENATE($A121,$I$8,K$10),'Tariff Schedule Lookup Table'!$F$8:$G$286,2,FALSE))=TRUE,"",TEXT(VLOOKUP(CONCATENATE($A121,$I$8,K$10),'Tariff Schedule Lookup Table'!$F$8:$G$286,2,FALSE),"0000"))</f>
        <v/>
      </c>
      <c r="L121" s="34" t="str">
        <f>IF(ISERROR(VLOOKUP(CONCATENATE($A121,$I$8,L$10),'Tariff Schedule Lookup Table'!$F$8:$G$286,2,FALSE))=TRUE,"",TEXT(VLOOKUP(CONCATENATE($A121,$I$8,L$10),'Tariff Schedule Lookup Table'!$F$8:$G$286,2,FALSE),"0000"))</f>
        <v/>
      </c>
      <c r="M121" s="34" t="str">
        <f>IF(ISERROR(VLOOKUP(CONCATENATE($A121,$M$8,M$10),'Tariff Schedule Lookup Table'!$F$8:$G$286,2,FALSE))=TRUE,"",TEXT(VLOOKUP(CONCATENATE($A121,$M$8,M$10),'Tariff Schedule Lookup Table'!$F$8:$G$286,2,FALSE),"0000"))</f>
        <v>0220</v>
      </c>
      <c r="N121" s="34" t="str">
        <f>IF(ISERROR(VLOOKUP(CONCATENATE($A121,$M$8,N$10),'Tariff Schedule Lookup Table'!$F$8:$G$286,2,FALSE))=TRUE,"",TEXT(VLOOKUP(CONCATENATE($A121,$M$8,N$10),'Tariff Schedule Lookup Table'!$F$8:$G$286,2,FALSE),"0000"))</f>
        <v>0980</v>
      </c>
      <c r="O121" s="34" t="str">
        <f>IF(ISERROR(VLOOKUP(CONCATENATE($A121,$M$8,O$10),'Tariff Schedule Lookup Table'!$F$8:$G$286,2,FALSE))=TRUE,"",TEXT(VLOOKUP(CONCATENATE($A121,$M$8,O$10),'Tariff Schedule Lookup Table'!$F$8:$G$286,2,FALSE),"0000"))</f>
        <v/>
      </c>
      <c r="P121" s="34" t="str">
        <f>IF(ISERROR(VLOOKUP(CONCATENATE($A121,$M$8,P$10),'Tariff Schedule Lookup Table'!$F$8:$G$286,2,FALSE))=TRUE,"",TEXT(VLOOKUP(CONCATENATE($A121,$M$8,P$10),'Tariff Schedule Lookup Table'!$F$8:$G$286,2,FALSE),"0000"))</f>
        <v/>
      </c>
      <c r="Q121" s="34" t="str">
        <f>IF(ISERROR(VLOOKUP(CONCATENATE($A121,$Q$8,Q$10),'Tariff Schedule Lookup Table'!$F$8:$G$286,2,FALSE))=TRUE,"",TEXT(VLOOKUP(CONCATENATE($A121,$Q$8,Q$10),'Tariff Schedule Lookup Table'!$F$8:$G$286,2,FALSE),"0000"))</f>
        <v>0310</v>
      </c>
      <c r="R121" s="34" t="str">
        <f>IF(ISERROR(VLOOKUP(CONCATENATE($A121,$Q$8,R$10),'Tariff Schedule Lookup Table'!$F$8:$G$286,2,FALSE))=TRUE,"",TEXT(VLOOKUP(CONCATENATE($A121,$Q$8,R$10),'Tariff Schedule Lookup Table'!$F$8:$G$286,2,FALSE),"0000"))</f>
        <v>0690</v>
      </c>
      <c r="S121" s="34" t="str">
        <f>IF(ISERROR(VLOOKUP(CONCATENATE($A121,$Q$8,S$10),'Tariff Schedule Lookup Table'!$F$8:$G$286,2,FALSE))=TRUE,"",TEXT(VLOOKUP(CONCATENATE($A121,$Q$8,S$10),'Tariff Schedule Lookup Table'!$F$8:$G$286,2,FALSE),"0000"))</f>
        <v>0710</v>
      </c>
      <c r="T121" s="34" t="str">
        <f>IF(ISERROR(VLOOKUP(CONCATENATE($A121,$Q$8,T$10),'Tariff Schedule Lookup Table'!$F$8:$G$286,2,FALSE))=TRUE,"",TEXT(VLOOKUP(CONCATENATE($A121,$Q$8,T$10),'Tariff Schedule Lookup Table'!$F$8:$G$286,2,FALSE),"0000"))</f>
        <v>0720</v>
      </c>
      <c r="U121" s="34" t="str">
        <f>IF(ISERROR(VLOOKUP(CONCATENATE($A121,$U$8,U$10),'Tariff Schedule Lookup Table'!$F$8:$G$286,2,FALSE))=TRUE,"",TEXT(VLOOKUP(CONCATENATE($A121,$U$8,U$10),'Tariff Schedule Lookup Table'!$F$8:$G$286,2,FALSE),"0000"))</f>
        <v/>
      </c>
      <c r="V121" s="34" t="str">
        <f>IF(ISERROR(VLOOKUP(CONCATENATE($A121,$U$8,V$10),'Tariff Schedule Lookup Table'!$F$8:$G$286,2,FALSE))=TRUE,"",TEXT(VLOOKUP(CONCATENATE($A121,$U$8,V$10),'Tariff Schedule Lookup Table'!$F$8:$G$286,2,FALSE),"0000"))</f>
        <v/>
      </c>
      <c r="W121" s="34" t="str">
        <f>IF(ISERROR(VLOOKUP(CONCATENATE($A121,$U$8,W$10),'Tariff Schedule Lookup Table'!$F$8:$G$286,2,FALSE))=TRUE,"",TEXT(VLOOKUP(CONCATENATE($A121,$U$8,W$10),'Tariff Schedule Lookup Table'!$F$8:$G$286,2,FALSE),"0000"))</f>
        <v>1360</v>
      </c>
      <c r="X121" s="34" t="str">
        <f>IF(ISERROR(VLOOKUP(CONCATENATE($A121,$U$8,X$10),'Tariff Schedule Lookup Table'!$F$8:$G$286,2,FALSE))=TRUE,"",TEXT(VLOOKUP(CONCATENATE($A121,$U$8,X$10),'Tariff Schedule Lookup Table'!$F$8:$G$186,2,FALSE),"0000"))</f>
        <v>1370</v>
      </c>
      <c r="Y121" s="6"/>
      <c r="Z121" s="6"/>
      <c r="AA121" s="6"/>
      <c r="AB121" s="6"/>
      <c r="AC121" s="6"/>
    </row>
    <row r="122" spans="1:29" x14ac:dyDescent="0.2">
      <c r="A122" s="6" t="s">
        <v>1067</v>
      </c>
      <c r="B122" s="35" t="s">
        <v>231</v>
      </c>
      <c r="C122" s="197" t="str">
        <f>VLOOKUP(LEFT(B122,7),'Tariff Schedule Lookup Table'!$A$8:$D$186,3,FALSE)</f>
        <v>4x150</v>
      </c>
      <c r="D122" s="199" t="str">
        <f>VLOOKUP(LEFT(B122,7),'Tariff Schedule Lookup Table'!$A$8:$D$186,2,FALSE)</f>
        <v>Metal Hallide (Reactor Control Gear) 4x150</v>
      </c>
      <c r="E122" s="6" t="s">
        <v>996</v>
      </c>
      <c r="F122" s="37">
        <f>VLOOKUP(LEFT(B122,7),'Tariff Schedule Lookup Table'!$A$8:$D$186,4,FALSE)</f>
        <v>672</v>
      </c>
      <c r="G122" s="33">
        <f>VLOOKUP($B122,'Maintenance Costs'!$A$20:$AG$176,32,FALSE)</f>
        <v>194.56983777530183</v>
      </c>
      <c r="H122" s="67">
        <f>IF(VLOOKUP($B122,'Maintenance Costs'!$A$20:$AG$176,33,FALSE)=0,"",VLOOKUP($B122,'Maintenance Costs'!$A$20:$AG$176,33,FALSE))</f>
        <v>175.50574234983202</v>
      </c>
      <c r="I122" s="34" t="str">
        <f>IF(ISERROR(VLOOKUP(CONCATENATE($A122,$I$8,I$10),'Tariff Schedule Lookup Table'!$F$8:$G$286,2,FALSE))=TRUE,"",TEXT(VLOOKUP(CONCATENATE($A122,$I$8,I$10),'Tariff Schedule Lookup Table'!$F$8:$G$286,2,FALSE),"0000"))</f>
        <v>0050</v>
      </c>
      <c r="J122" s="34" t="str">
        <f>IF(ISERROR(VLOOKUP(CONCATENATE($A122,$I$8,J$10),'Tariff Schedule Lookup Table'!$F$8:$G$286,2,FALSE))=TRUE,"",TEXT(VLOOKUP(CONCATENATE($A122,$I$8,J$10),'Tariff Schedule Lookup Table'!$F$8:$G$286,2,FALSE),"0000"))</f>
        <v>1010</v>
      </c>
      <c r="K122" s="34" t="str">
        <f>IF(ISERROR(VLOOKUP(CONCATENATE($A122,$I$8,K$10),'Tariff Schedule Lookup Table'!$F$8:$G$286,2,FALSE))=TRUE,"",TEXT(VLOOKUP(CONCATENATE($A122,$I$8,K$10),'Tariff Schedule Lookup Table'!$F$8:$G$286,2,FALSE),"0000"))</f>
        <v/>
      </c>
      <c r="L122" s="34" t="str">
        <f>IF(ISERROR(VLOOKUP(CONCATENATE($A122,$I$8,L$10),'Tariff Schedule Lookup Table'!$F$8:$G$286,2,FALSE))=TRUE,"",TEXT(VLOOKUP(CONCATENATE($A122,$I$8,L$10),'Tariff Schedule Lookup Table'!$F$8:$G$286,2,FALSE),"0000"))</f>
        <v/>
      </c>
      <c r="M122" s="34" t="str">
        <f>IF(ISERROR(VLOOKUP(CONCATENATE($A122,$M$8,M$10),'Tariff Schedule Lookup Table'!$F$8:$G$286,2,FALSE))=TRUE,"",TEXT(VLOOKUP(CONCATENATE($A122,$M$8,M$10),'Tariff Schedule Lookup Table'!$F$8:$G$286,2,FALSE),"0000"))</f>
        <v>0220</v>
      </c>
      <c r="N122" s="34" t="str">
        <f>IF(ISERROR(VLOOKUP(CONCATENATE($A122,$M$8,N$10),'Tariff Schedule Lookup Table'!$F$8:$G$286,2,FALSE))=TRUE,"",TEXT(VLOOKUP(CONCATENATE($A122,$M$8,N$10),'Tariff Schedule Lookup Table'!$F$8:$G$286,2,FALSE),"0000"))</f>
        <v>0980</v>
      </c>
      <c r="O122" s="34" t="str">
        <f>IF(ISERROR(VLOOKUP(CONCATENATE($A122,$M$8,O$10),'Tariff Schedule Lookup Table'!$F$8:$G$286,2,FALSE))=TRUE,"",TEXT(VLOOKUP(CONCATENATE($A122,$M$8,O$10),'Tariff Schedule Lookup Table'!$F$8:$G$286,2,FALSE),"0000"))</f>
        <v/>
      </c>
      <c r="P122" s="34" t="str">
        <f>IF(ISERROR(VLOOKUP(CONCATENATE($A122,$M$8,P$10),'Tariff Schedule Lookup Table'!$F$8:$G$286,2,FALSE))=TRUE,"",TEXT(VLOOKUP(CONCATENATE($A122,$M$8,P$10),'Tariff Schedule Lookup Table'!$F$8:$G$286,2,FALSE),"0000"))</f>
        <v/>
      </c>
      <c r="Q122" s="34" t="str">
        <f>IF(ISERROR(VLOOKUP(CONCATENATE($A122,$Q$8,Q$10),'Tariff Schedule Lookup Table'!$F$8:$G$286,2,FALSE))=TRUE,"",TEXT(VLOOKUP(CONCATENATE($A122,$Q$8,Q$10),'Tariff Schedule Lookup Table'!$F$8:$G$286,2,FALSE),"0000"))</f>
        <v>0310</v>
      </c>
      <c r="R122" s="34" t="str">
        <f>IF(ISERROR(VLOOKUP(CONCATENATE($A122,$Q$8,R$10),'Tariff Schedule Lookup Table'!$F$8:$G$286,2,FALSE))=TRUE,"",TEXT(VLOOKUP(CONCATENATE($A122,$Q$8,R$10),'Tariff Schedule Lookup Table'!$F$8:$G$286,2,FALSE),"0000"))</f>
        <v>0690</v>
      </c>
      <c r="S122" s="34" t="str">
        <f>IF(ISERROR(VLOOKUP(CONCATENATE($A122,$Q$8,S$10),'Tariff Schedule Lookup Table'!$F$8:$G$286,2,FALSE))=TRUE,"",TEXT(VLOOKUP(CONCATENATE($A122,$Q$8,S$10),'Tariff Schedule Lookup Table'!$F$8:$G$286,2,FALSE),"0000"))</f>
        <v>0710</v>
      </c>
      <c r="T122" s="34" t="str">
        <f>IF(ISERROR(VLOOKUP(CONCATENATE($A122,$Q$8,T$10),'Tariff Schedule Lookup Table'!$F$8:$G$286,2,FALSE))=TRUE,"",TEXT(VLOOKUP(CONCATENATE($A122,$Q$8,T$10),'Tariff Schedule Lookup Table'!$F$8:$G$286,2,FALSE),"0000"))</f>
        <v>0720</v>
      </c>
      <c r="U122" s="34" t="str">
        <f>IF(ISERROR(VLOOKUP(CONCATENATE($A122,$U$8,U$10),'Tariff Schedule Lookup Table'!$F$8:$G$286,2,FALSE))=TRUE,"",TEXT(VLOOKUP(CONCATENATE($A122,$U$8,U$10),'Tariff Schedule Lookup Table'!$F$8:$G$286,2,FALSE),"0000"))</f>
        <v/>
      </c>
      <c r="V122" s="34" t="str">
        <f>IF(ISERROR(VLOOKUP(CONCATENATE($A122,$U$8,V$10),'Tariff Schedule Lookup Table'!$F$8:$G$286,2,FALSE))=TRUE,"",TEXT(VLOOKUP(CONCATENATE($A122,$U$8,V$10),'Tariff Schedule Lookup Table'!$F$8:$G$286,2,FALSE),"0000"))</f>
        <v/>
      </c>
      <c r="W122" s="34" t="str">
        <f>IF(ISERROR(VLOOKUP(CONCATENATE($A122,$U$8,W$10),'Tariff Schedule Lookup Table'!$F$8:$G$286,2,FALSE))=TRUE,"",TEXT(VLOOKUP(CONCATENATE($A122,$U$8,W$10),'Tariff Schedule Lookup Table'!$F$8:$G$286,2,FALSE),"0000"))</f>
        <v>1360</v>
      </c>
      <c r="X122" s="34" t="str">
        <f>IF(ISERROR(VLOOKUP(CONCATENATE($A122,$U$8,X$10),'Tariff Schedule Lookup Table'!$F$8:$G$286,2,FALSE))=TRUE,"",TEXT(VLOOKUP(CONCATENATE($A122,$U$8,X$10),'Tariff Schedule Lookup Table'!$F$8:$G$186,2,FALSE),"0000"))</f>
        <v>1370</v>
      </c>
      <c r="Y122" s="6"/>
      <c r="Z122" s="6"/>
      <c r="AA122" s="6"/>
      <c r="AB122" s="6"/>
      <c r="AC122" s="6"/>
    </row>
    <row r="123" spans="1:29" x14ac:dyDescent="0.2">
      <c r="A123" s="6" t="s">
        <v>1067</v>
      </c>
      <c r="B123" s="35" t="s">
        <v>232</v>
      </c>
      <c r="C123" s="197">
        <f>VLOOKUP(LEFT(B123,7),'Tariff Schedule Lookup Table'!$A$8:$D$186,3,FALSE)</f>
        <v>175</v>
      </c>
      <c r="D123" s="199" t="str">
        <f>VLOOKUP(LEFT(B123,7),'Tariff Schedule Lookup Table'!$A$8:$D$186,2,FALSE)</f>
        <v>Metal Hallide (Reactor Control Gear) 175</v>
      </c>
      <c r="E123" s="6" t="s">
        <v>996</v>
      </c>
      <c r="F123" s="37">
        <f>VLOOKUP(LEFT(B123,7),'Tariff Schedule Lookup Table'!$A$8:$D$186,4,FALSE)</f>
        <v>191</v>
      </c>
      <c r="G123" s="33">
        <f>VLOOKUP($B123,'Maintenance Costs'!$A$20:$AG$176,32,FALSE)</f>
        <v>115.29538329530182</v>
      </c>
      <c r="H123" s="67">
        <f>IF(VLOOKUP($B123,'Maintenance Costs'!$A$20:$AG$176,33,FALSE)=0,"",VLOOKUP($B123,'Maintenance Costs'!$A$20:$AG$176,33,FALSE))</f>
        <v>70.992054655832021</v>
      </c>
      <c r="I123" s="34" t="str">
        <f>IF(ISERROR(VLOOKUP(CONCATENATE($A123,$I$8,I$10),'Tariff Schedule Lookup Table'!$F$8:$G$286,2,FALSE))=TRUE,"",TEXT(VLOOKUP(CONCATENATE($A123,$I$8,I$10),'Tariff Schedule Lookup Table'!$F$8:$G$286,2,FALSE),"0000"))</f>
        <v>0050</v>
      </c>
      <c r="J123" s="34" t="str">
        <f>IF(ISERROR(VLOOKUP(CONCATENATE($A123,$I$8,J$10),'Tariff Schedule Lookup Table'!$F$8:$G$286,2,FALSE))=TRUE,"",TEXT(VLOOKUP(CONCATENATE($A123,$I$8,J$10),'Tariff Schedule Lookup Table'!$F$8:$G$286,2,FALSE),"0000"))</f>
        <v>1010</v>
      </c>
      <c r="K123" s="34" t="str">
        <f>IF(ISERROR(VLOOKUP(CONCATENATE($A123,$I$8,K$10),'Tariff Schedule Lookup Table'!$F$8:$G$286,2,FALSE))=TRUE,"",TEXT(VLOOKUP(CONCATENATE($A123,$I$8,K$10),'Tariff Schedule Lookup Table'!$F$8:$G$286,2,FALSE),"0000"))</f>
        <v/>
      </c>
      <c r="L123" s="34" t="str">
        <f>IF(ISERROR(VLOOKUP(CONCATENATE($A123,$I$8,L$10),'Tariff Schedule Lookup Table'!$F$8:$G$286,2,FALSE))=TRUE,"",TEXT(VLOOKUP(CONCATENATE($A123,$I$8,L$10),'Tariff Schedule Lookup Table'!$F$8:$G$286,2,FALSE),"0000"))</f>
        <v/>
      </c>
      <c r="M123" s="34" t="str">
        <f>IF(ISERROR(VLOOKUP(CONCATENATE($A123,$M$8,M$10),'Tariff Schedule Lookup Table'!$F$8:$G$286,2,FALSE))=TRUE,"",TEXT(VLOOKUP(CONCATENATE($A123,$M$8,M$10),'Tariff Schedule Lookup Table'!$F$8:$G$286,2,FALSE),"0000"))</f>
        <v>0220</v>
      </c>
      <c r="N123" s="34" t="str">
        <f>IF(ISERROR(VLOOKUP(CONCATENATE($A123,$M$8,N$10),'Tariff Schedule Lookup Table'!$F$8:$G$286,2,FALSE))=TRUE,"",TEXT(VLOOKUP(CONCATENATE($A123,$M$8,N$10),'Tariff Schedule Lookup Table'!$F$8:$G$286,2,FALSE),"0000"))</f>
        <v>0980</v>
      </c>
      <c r="O123" s="34" t="str">
        <f>IF(ISERROR(VLOOKUP(CONCATENATE($A123,$M$8,O$10),'Tariff Schedule Lookup Table'!$F$8:$G$286,2,FALSE))=TRUE,"",TEXT(VLOOKUP(CONCATENATE($A123,$M$8,O$10),'Tariff Schedule Lookup Table'!$F$8:$G$286,2,FALSE),"0000"))</f>
        <v/>
      </c>
      <c r="P123" s="34" t="str">
        <f>IF(ISERROR(VLOOKUP(CONCATENATE($A123,$M$8,P$10),'Tariff Schedule Lookup Table'!$F$8:$G$286,2,FALSE))=TRUE,"",TEXT(VLOOKUP(CONCATENATE($A123,$M$8,P$10),'Tariff Schedule Lookup Table'!$F$8:$G$286,2,FALSE),"0000"))</f>
        <v/>
      </c>
      <c r="Q123" s="34" t="str">
        <f>IF(ISERROR(VLOOKUP(CONCATENATE($A123,$Q$8,Q$10),'Tariff Schedule Lookup Table'!$F$8:$G$286,2,FALSE))=TRUE,"",TEXT(VLOOKUP(CONCATENATE($A123,$Q$8,Q$10),'Tariff Schedule Lookup Table'!$F$8:$G$286,2,FALSE),"0000"))</f>
        <v>0310</v>
      </c>
      <c r="R123" s="34" t="str">
        <f>IF(ISERROR(VLOOKUP(CONCATENATE($A123,$Q$8,R$10),'Tariff Schedule Lookup Table'!$F$8:$G$286,2,FALSE))=TRUE,"",TEXT(VLOOKUP(CONCATENATE($A123,$Q$8,R$10),'Tariff Schedule Lookup Table'!$F$8:$G$286,2,FALSE),"0000"))</f>
        <v>0690</v>
      </c>
      <c r="S123" s="34" t="str">
        <f>IF(ISERROR(VLOOKUP(CONCATENATE($A123,$Q$8,S$10),'Tariff Schedule Lookup Table'!$F$8:$G$286,2,FALSE))=TRUE,"",TEXT(VLOOKUP(CONCATENATE($A123,$Q$8,S$10),'Tariff Schedule Lookup Table'!$F$8:$G$286,2,FALSE),"0000"))</f>
        <v>0710</v>
      </c>
      <c r="T123" s="34" t="str">
        <f>IF(ISERROR(VLOOKUP(CONCATENATE($A123,$Q$8,T$10),'Tariff Schedule Lookup Table'!$F$8:$G$286,2,FALSE))=TRUE,"",TEXT(VLOOKUP(CONCATENATE($A123,$Q$8,T$10),'Tariff Schedule Lookup Table'!$F$8:$G$286,2,FALSE),"0000"))</f>
        <v>0720</v>
      </c>
      <c r="U123" s="34" t="str">
        <f>IF(ISERROR(VLOOKUP(CONCATENATE($A123,$U$8,U$10),'Tariff Schedule Lookup Table'!$F$8:$G$286,2,FALSE))=TRUE,"",TEXT(VLOOKUP(CONCATENATE($A123,$U$8,U$10),'Tariff Schedule Lookup Table'!$F$8:$G$286,2,FALSE),"0000"))</f>
        <v/>
      </c>
      <c r="V123" s="34" t="str">
        <f>IF(ISERROR(VLOOKUP(CONCATENATE($A123,$U$8,V$10),'Tariff Schedule Lookup Table'!$F$8:$G$286,2,FALSE))=TRUE,"",TEXT(VLOOKUP(CONCATENATE($A123,$U$8,V$10),'Tariff Schedule Lookup Table'!$F$8:$G$286,2,FALSE),"0000"))</f>
        <v/>
      </c>
      <c r="W123" s="34" t="str">
        <f>IF(ISERROR(VLOOKUP(CONCATENATE($A123,$U$8,W$10),'Tariff Schedule Lookup Table'!$F$8:$G$286,2,FALSE))=TRUE,"",TEXT(VLOOKUP(CONCATENATE($A123,$U$8,W$10),'Tariff Schedule Lookup Table'!$F$8:$G$286,2,FALSE),"0000"))</f>
        <v>1360</v>
      </c>
      <c r="X123" s="34" t="str">
        <f>IF(ISERROR(VLOOKUP(CONCATENATE($A123,$U$8,X$10),'Tariff Schedule Lookup Table'!$F$8:$G$286,2,FALSE))=TRUE,"",TEXT(VLOOKUP(CONCATENATE($A123,$U$8,X$10),'Tariff Schedule Lookup Table'!$F$8:$G$186,2,FALSE),"0000"))</f>
        <v>1370</v>
      </c>
      <c r="Y123" s="6"/>
      <c r="Z123" s="6"/>
      <c r="AA123" s="6"/>
      <c r="AB123" s="6"/>
      <c r="AC123" s="6"/>
    </row>
    <row r="124" spans="1:29" x14ac:dyDescent="0.2">
      <c r="A124" s="6" t="s">
        <v>1073</v>
      </c>
      <c r="B124" s="35" t="s">
        <v>2131</v>
      </c>
      <c r="C124" s="197">
        <f>VLOOKUP(LEFT(B124,7),'Tariff Schedule Lookup Table'!$A$8:$D$186,3,FALSE)</f>
        <v>250</v>
      </c>
      <c r="D124" s="199" t="str">
        <f>VLOOKUP(LEFT(B124,7),'Tariff Schedule Lookup Table'!$A$8:$D$186,2,FALSE)</f>
        <v>Metal Hallide (Reactor Control Gear) 250</v>
      </c>
      <c r="E124" s="6" t="s">
        <v>996</v>
      </c>
      <c r="F124" s="37">
        <f>VLOOKUP(LEFT(B124,7),'Tariff Schedule Lookup Table'!$A$8:$D$186,4,FALSE)</f>
        <v>268</v>
      </c>
      <c r="G124" s="33">
        <f>VLOOKUP($B124,'Maintenance Costs'!$A$20:$AG$176,32,FALSE)</f>
        <v>115.29538329530182</v>
      </c>
      <c r="H124" s="67">
        <f>IF(VLOOKUP($B124,'Maintenance Costs'!$A$20:$AG$176,33,FALSE)=0,"",VLOOKUP($B124,'Maintenance Costs'!$A$20:$AG$176,33,FALSE))</f>
        <v>70.992054655832021</v>
      </c>
      <c r="I124" s="34" t="str">
        <f>IF(ISERROR(VLOOKUP(CONCATENATE($A124,$I$8,I$10),'Tariff Schedule Lookup Table'!$F$8:$G$286,2,FALSE))=TRUE,"",TEXT(VLOOKUP(CONCATENATE($A124,$I$8,I$10),'Tariff Schedule Lookup Table'!$F$8:$G$286,2,FALSE),"0000"))</f>
        <v>0060</v>
      </c>
      <c r="J124" s="34" t="str">
        <f>IF(ISERROR(VLOOKUP(CONCATENATE($A124,$I$8,J$10),'Tariff Schedule Lookup Table'!$F$8:$G$286,2,FALSE))=TRUE,"",TEXT(VLOOKUP(CONCATENATE($A124,$I$8,J$10),'Tariff Schedule Lookup Table'!$F$8:$G$286,2,FALSE),"0000"))</f>
        <v>0960</v>
      </c>
      <c r="K124" s="34" t="str">
        <f>IF(ISERROR(VLOOKUP(CONCATENATE($A124,$I$8,K$10),'Tariff Schedule Lookup Table'!$F$8:$G$286,2,FALSE))=TRUE,"",TEXT(VLOOKUP(CONCATENATE($A124,$I$8,K$10),'Tariff Schedule Lookup Table'!$F$8:$G$286,2,FALSE),"0000"))</f>
        <v>1020</v>
      </c>
      <c r="L124" s="34" t="str">
        <f>IF(ISERROR(VLOOKUP(CONCATENATE($A124,$I$8,L$10),'Tariff Schedule Lookup Table'!$F$8:$G$286,2,FALSE))=TRUE,"",TEXT(VLOOKUP(CONCATENATE($A124,$I$8,L$10),'Tariff Schedule Lookup Table'!$F$8:$G$286,2,FALSE),"0000"))</f>
        <v>0970</v>
      </c>
      <c r="M124" s="34" t="str">
        <f>IF(ISERROR(VLOOKUP(CONCATENATE($A124,$M$8,M$10),'Tariff Schedule Lookup Table'!$F$8:$G$286,2,FALSE))=TRUE,"",TEXT(VLOOKUP(CONCATENATE($A124,$M$8,M$10),'Tariff Schedule Lookup Table'!$F$8:$G$286,2,FALSE),"0000"))</f>
        <v>0230</v>
      </c>
      <c r="N124" s="34" t="str">
        <f>IF(ISERROR(VLOOKUP(CONCATENATE($A124,$M$8,N$10),'Tariff Schedule Lookup Table'!$F$8:$G$286,2,FALSE))=TRUE,"",TEXT(VLOOKUP(CONCATENATE($A124,$M$8,N$10),'Tariff Schedule Lookup Table'!$F$8:$G$286,2,FALSE),"0000"))</f>
        <v>0760</v>
      </c>
      <c r="O124" s="34" t="str">
        <f>IF(ISERROR(VLOOKUP(CONCATENATE($A124,$M$8,O$10),'Tariff Schedule Lookup Table'!$F$8:$G$286,2,FALSE))=TRUE,"",TEXT(VLOOKUP(CONCATENATE($A124,$M$8,O$10),'Tariff Schedule Lookup Table'!$F$8:$G$286,2,FALSE),"0000"))</f>
        <v>0930</v>
      </c>
      <c r="P124" s="34" t="str">
        <f>IF(ISERROR(VLOOKUP(CONCATENATE($A124,$M$8,P$10),'Tariff Schedule Lookup Table'!$F$8:$G$286,2,FALSE))=TRUE,"",TEXT(VLOOKUP(CONCATENATE($A124,$M$8,P$10),'Tariff Schedule Lookup Table'!$F$8:$G$286,2,FALSE),"0000"))</f>
        <v/>
      </c>
      <c r="Q124" s="34" t="str">
        <f>IF(ISERROR(VLOOKUP(CONCATENATE($A124,$Q$8,Q$10),'Tariff Schedule Lookup Table'!$F$8:$G$286,2,FALSE))=TRUE,"",TEXT(VLOOKUP(CONCATENATE($A124,$Q$8,Q$10),'Tariff Schedule Lookup Table'!$F$8:$G$286,2,FALSE),"0000"))</f>
        <v>0320</v>
      </c>
      <c r="R124" s="34" t="str">
        <f>IF(ISERROR(VLOOKUP(CONCATENATE($A124,$Q$8,R$10),'Tariff Schedule Lookup Table'!$F$8:$G$286,2,FALSE))=TRUE,"",TEXT(VLOOKUP(CONCATENATE($A124,$Q$8,R$10),'Tariff Schedule Lookup Table'!$F$8:$G$286,2,FALSE),"0000"))</f>
        <v>0390</v>
      </c>
      <c r="S124" s="34" t="str">
        <f>IF(ISERROR(VLOOKUP(CONCATENATE($A124,$Q$8,S$10),'Tariff Schedule Lookup Table'!$F$8:$G$286,2,FALSE))=TRUE,"",TEXT(VLOOKUP(CONCATENATE($A124,$Q$8,S$10),'Tariff Schedule Lookup Table'!$F$8:$G$286,2,FALSE),"0000"))</f>
        <v>0430</v>
      </c>
      <c r="T124" s="34" t="str">
        <f>IF(ISERROR(VLOOKUP(CONCATENATE($A124,$Q$8,T$10),'Tariff Schedule Lookup Table'!$F$8:$G$286,2,FALSE))=TRUE,"",TEXT(VLOOKUP(CONCATENATE($A124,$Q$8,T$10),'Tariff Schedule Lookup Table'!$F$8:$G$286,2,FALSE),"0000"))</f>
        <v>0470</v>
      </c>
      <c r="U124" s="34" t="str">
        <f>IF(ISERROR(VLOOKUP(CONCATENATE($A124,$U$8,U$10),'Tariff Schedule Lookup Table'!$F$8:$G$286,2,FALSE))=TRUE,"",TEXT(VLOOKUP(CONCATENATE($A124,$U$8,U$10),'Tariff Schedule Lookup Table'!$F$8:$G$286,2,FALSE),"0000"))</f>
        <v/>
      </c>
      <c r="V124" s="34" t="str">
        <f>IF(ISERROR(VLOOKUP(CONCATENATE($A124,$U$8,V$10),'Tariff Schedule Lookup Table'!$F$8:$G$286,2,FALSE))=TRUE,"",TEXT(VLOOKUP(CONCATENATE($A124,$U$8,V$10),'Tariff Schedule Lookup Table'!$F$8:$G$286,2,FALSE),"0000"))</f>
        <v>0510</v>
      </c>
      <c r="W124" s="34" t="str">
        <f>IF(ISERROR(VLOOKUP(CONCATENATE($A124,$U$8,W$10),'Tariff Schedule Lookup Table'!$F$8:$G$286,2,FALSE))=TRUE,"",TEXT(VLOOKUP(CONCATENATE($A124,$U$8,W$10),'Tariff Schedule Lookup Table'!$F$8:$G$286,2,FALSE),"0000"))</f>
        <v>0550</v>
      </c>
      <c r="X124" s="34" t="str">
        <f>IF(ISERROR(VLOOKUP(CONCATENATE($A124,$U$8,X$10),'Tariff Schedule Lookup Table'!$F$8:$G$286,2,FALSE))=TRUE,"",TEXT(VLOOKUP(CONCATENATE($A124,$U$8,X$10),'Tariff Schedule Lookup Table'!$F$8:$G$186,2,FALSE),"0000"))</f>
        <v>0590</v>
      </c>
      <c r="Y124" s="6"/>
      <c r="Z124" s="6"/>
      <c r="AA124" s="6"/>
      <c r="AB124" s="6"/>
      <c r="AC124" s="6"/>
    </row>
    <row r="125" spans="1:29" x14ac:dyDescent="0.2">
      <c r="A125" s="6" t="s">
        <v>1163</v>
      </c>
      <c r="B125" s="35" t="s">
        <v>2131</v>
      </c>
      <c r="C125" s="197">
        <f>VLOOKUP(LEFT(B125,7),'Tariff Schedule Lookup Table'!$A$8:$D$186,3,FALSE)</f>
        <v>250</v>
      </c>
      <c r="D125" s="199" t="str">
        <f>VLOOKUP(LEFT(B125,7),'Tariff Schedule Lookup Table'!$A$8:$D$186,2,FALSE)</f>
        <v>Metal Hallide (Reactor Control Gear) 250</v>
      </c>
      <c r="E125" s="41" t="s">
        <v>1164</v>
      </c>
      <c r="F125" s="37">
        <f>VLOOKUP(LEFT(B125,7),'Tariff Schedule Lookup Table'!$A$8:$D$186,4,FALSE)</f>
        <v>268</v>
      </c>
      <c r="G125" s="33">
        <f>VLOOKUP($B125,'Maintenance Costs'!$A$20:$AG$176,32,FALSE)</f>
        <v>115.29538329530182</v>
      </c>
      <c r="H125" s="67">
        <f>IF(VLOOKUP($B125,'Maintenance Costs'!$A$20:$AG$176,33,FALSE)=0,"",VLOOKUP($B125,'Maintenance Costs'!$A$20:$AG$176,33,FALSE))</f>
        <v>70.992054655832021</v>
      </c>
      <c r="I125" s="34" t="str">
        <f>IF(ISERROR(VLOOKUP(CONCATENATE($A125,$I$8,I$10),'Tariff Schedule Lookup Table'!$F$8:$G$286,2,FALSE))=TRUE,"",TEXT(VLOOKUP(CONCATENATE($A125,$I$8,I$10),'Tariff Schedule Lookup Table'!$F$8:$G$286,2,FALSE),"0000"))</f>
        <v/>
      </c>
      <c r="J125" s="34" t="str">
        <f>IF(ISERROR(VLOOKUP(CONCATENATE($A125,$I$8,J$10),'Tariff Schedule Lookup Table'!$F$8:$G$286,2,FALSE))=TRUE,"",TEXT(VLOOKUP(CONCATENATE($A125,$I$8,J$10),'Tariff Schedule Lookup Table'!$F$8:$G$286,2,FALSE),"0000"))</f>
        <v/>
      </c>
      <c r="K125" s="34" t="str">
        <f>IF(ISERROR(VLOOKUP(CONCATENATE($A125,$I$8,K$10),'Tariff Schedule Lookup Table'!$F$8:$G$286,2,FALSE))=TRUE,"",TEXT(VLOOKUP(CONCATENATE($A125,$I$8,K$10),'Tariff Schedule Lookup Table'!$F$8:$G$286,2,FALSE),"0000"))</f>
        <v/>
      </c>
      <c r="L125" s="34" t="str">
        <f>IF(ISERROR(VLOOKUP(CONCATENATE($A125,$I$8,L$10),'Tariff Schedule Lookup Table'!$F$8:$G$286,2,FALSE))=TRUE,"",TEXT(VLOOKUP(CONCATENATE($A125,$I$8,L$10),'Tariff Schedule Lookup Table'!$F$8:$G$286,2,FALSE),"0000"))</f>
        <v/>
      </c>
      <c r="M125" s="34" t="str">
        <f>IF(ISERROR(VLOOKUP(CONCATENATE($A125,$M$8,M$10),'Tariff Schedule Lookup Table'!$F$8:$G$286,2,FALSE))=TRUE,"",TEXT(VLOOKUP(CONCATENATE($A125,$M$8,M$10),'Tariff Schedule Lookup Table'!$F$8:$G$286,2,FALSE),"0000"))</f>
        <v/>
      </c>
      <c r="N125" s="34" t="str">
        <f>IF(ISERROR(VLOOKUP(CONCATENATE($A125,$M$8,N$10),'Tariff Schedule Lookup Table'!$F$8:$G$286,2,FALSE))=TRUE,"",TEXT(VLOOKUP(CONCATENATE($A125,$M$8,N$10),'Tariff Schedule Lookup Table'!$F$8:$G$286,2,FALSE),"0000"))</f>
        <v/>
      </c>
      <c r="O125" s="34" t="str">
        <f>IF(ISERROR(VLOOKUP(CONCATENATE($A125,$M$8,O$10),'Tariff Schedule Lookup Table'!$F$8:$G$286,2,FALSE))=TRUE,"",TEXT(VLOOKUP(CONCATENATE($A125,$M$8,O$10),'Tariff Schedule Lookup Table'!$F$8:$G$286,2,FALSE),"0000"))</f>
        <v/>
      </c>
      <c r="P125" s="34" t="str">
        <f>IF(ISERROR(VLOOKUP(CONCATENATE($A125,$M$8,P$10),'Tariff Schedule Lookup Table'!$F$8:$G$286,2,FALSE))=TRUE,"",TEXT(VLOOKUP(CONCATENATE($A125,$M$8,P$10),'Tariff Schedule Lookup Table'!$F$8:$G$286,2,FALSE),"0000"))</f>
        <v/>
      </c>
      <c r="Q125" s="34" t="str">
        <f>IF(ISERROR(VLOOKUP(CONCATENATE($A125,$Q$8,Q$10),'Tariff Schedule Lookup Table'!$F$8:$G$286,2,FALSE))=TRUE,"",TEXT(VLOOKUP(CONCATENATE($A125,$Q$8,Q$10),'Tariff Schedule Lookup Table'!$F$8:$G$286,2,FALSE),"0000"))</f>
        <v/>
      </c>
      <c r="R125" s="34" t="str">
        <f>IF(ISERROR(VLOOKUP(CONCATENATE($A125,$Q$8,R$10),'Tariff Schedule Lookup Table'!$F$8:$G$286,2,FALSE))=TRUE,"",TEXT(VLOOKUP(CONCATENATE($A125,$Q$8,R$10),'Tariff Schedule Lookup Table'!$F$8:$G$286,2,FALSE),"0000"))</f>
        <v/>
      </c>
      <c r="S125" s="34" t="str">
        <f>IF(ISERROR(VLOOKUP(CONCATENATE($A125,$Q$8,S$10),'Tariff Schedule Lookup Table'!$F$8:$G$286,2,FALSE))=TRUE,"",TEXT(VLOOKUP(CONCATENATE($A125,$Q$8,S$10),'Tariff Schedule Lookup Table'!$F$8:$G$286,2,FALSE),"0000"))</f>
        <v/>
      </c>
      <c r="T125" s="34" t="str">
        <f>IF(ISERROR(VLOOKUP(CONCATENATE($A125,$Q$8,T$10),'Tariff Schedule Lookup Table'!$F$8:$G$286,2,FALSE))=TRUE,"",TEXT(VLOOKUP(CONCATENATE($A125,$Q$8,T$10),'Tariff Schedule Lookup Table'!$F$8:$G$286,2,FALSE),"0000"))</f>
        <v/>
      </c>
      <c r="U125" s="34" t="str">
        <f>IF(ISERROR(VLOOKUP(CONCATENATE($A125,$U$8,U$10),'Tariff Schedule Lookup Table'!$F$8:$G$286,2,FALSE))=TRUE,"",TEXT(VLOOKUP(CONCATENATE($A125,$U$8,U$10),'Tariff Schedule Lookup Table'!$F$8:$G$286,2,FALSE),"0000"))</f>
        <v/>
      </c>
      <c r="V125" s="34" t="str">
        <f>IF(ISERROR(VLOOKUP(CONCATENATE($A125,$U$8,V$10),'Tariff Schedule Lookup Table'!$F$8:$G$286,2,FALSE))=TRUE,"",TEXT(VLOOKUP(CONCATENATE($A125,$U$8,V$10),'Tariff Schedule Lookup Table'!$F$8:$G$286,2,FALSE),"0000"))</f>
        <v/>
      </c>
      <c r="W125" s="34" t="str">
        <f>IF(ISERROR(VLOOKUP(CONCATENATE($A125,$U$8,W$10),'Tariff Schedule Lookup Table'!$F$8:$G$286,2,FALSE))=TRUE,"",TEXT(VLOOKUP(CONCATENATE($A125,$U$8,W$10),'Tariff Schedule Lookup Table'!$F$8:$G$286,2,FALSE),"0000"))</f>
        <v/>
      </c>
      <c r="X125" s="34" t="str">
        <f>IF(ISERROR(VLOOKUP(CONCATENATE($A125,$U$8,X$10),'Tariff Schedule Lookup Table'!$F$8:$G$286,2,FALSE))=TRUE,"",TEXT(VLOOKUP(CONCATENATE($A125,$U$8,X$10),'Tariff Schedule Lookup Table'!$F$8:$G$186,2,FALSE),"0000"))</f>
        <v/>
      </c>
      <c r="Y125" s="6"/>
      <c r="Z125" s="6"/>
      <c r="AA125" s="6"/>
      <c r="AB125" s="6"/>
      <c r="AC125" s="6"/>
    </row>
    <row r="126" spans="1:29" x14ac:dyDescent="0.2">
      <c r="A126" s="6" t="s">
        <v>1076</v>
      </c>
      <c r="B126" s="35" t="s">
        <v>2131</v>
      </c>
      <c r="C126" s="197">
        <f>VLOOKUP(LEFT(B126,7),'Tariff Schedule Lookup Table'!$A$8:$D$186,3,FALSE)</f>
        <v>250</v>
      </c>
      <c r="D126" s="199" t="str">
        <f>VLOOKUP(LEFT(B126,7),'Tariff Schedule Lookup Table'!$A$8:$D$186,2,FALSE)</f>
        <v>Metal Hallide (Reactor Control Gear) 250</v>
      </c>
      <c r="E126" s="6" t="s">
        <v>1077</v>
      </c>
      <c r="F126" s="37">
        <f>VLOOKUP(LEFT(B126,7),'Tariff Schedule Lookup Table'!$A$8:$D$186,4,FALSE)</f>
        <v>268</v>
      </c>
      <c r="G126" s="33">
        <f>VLOOKUP($B126,'Maintenance Costs'!$A$20:$AG$176,32,FALSE)</f>
        <v>115.29538329530182</v>
      </c>
      <c r="H126" s="67">
        <f>IF(VLOOKUP($B126,'Maintenance Costs'!$A$20:$AG$176,33,FALSE)=0,"",VLOOKUP($B126,'Maintenance Costs'!$A$20:$AG$176,33,FALSE))</f>
        <v>70.992054655832021</v>
      </c>
      <c r="I126" s="34" t="str">
        <f>IF(ISERROR(VLOOKUP(CONCATENATE($A126,$I$8,I$10),'Tariff Schedule Lookup Table'!$F$8:$G$286,2,FALSE))=TRUE,"",TEXT(VLOOKUP(CONCATENATE($A126,$I$8,I$10),'Tariff Schedule Lookup Table'!$F$8:$G$286,2,FALSE),"0000"))</f>
        <v>0610</v>
      </c>
      <c r="J126" s="34" t="str">
        <f>IF(ISERROR(VLOOKUP(CONCATENATE($A126,$I$8,J$10),'Tariff Schedule Lookup Table'!$F$8:$G$286,2,FALSE))=TRUE,"",TEXT(VLOOKUP(CONCATENATE($A126,$I$8,J$10),'Tariff Schedule Lookup Table'!$F$8:$G$286,2,FALSE),"0000"))</f>
        <v>0650</v>
      </c>
      <c r="K126" s="34" t="str">
        <f>IF(ISERROR(VLOOKUP(CONCATENATE($A126,$I$8,K$10),'Tariff Schedule Lookup Table'!$F$8:$G$286,2,FALSE))=TRUE,"",TEXT(VLOOKUP(CONCATENATE($A126,$I$8,K$10),'Tariff Schedule Lookup Table'!$F$8:$G$286,2,FALSE),"0000"))</f>
        <v/>
      </c>
      <c r="L126" s="34" t="str">
        <f>IF(ISERROR(VLOOKUP(CONCATENATE($A126,$I$8,L$10),'Tariff Schedule Lookup Table'!$F$8:$G$286,2,FALSE))=TRUE,"",TEXT(VLOOKUP(CONCATENATE($A126,$I$8,L$10),'Tariff Schedule Lookup Table'!$F$8:$G$286,2,FALSE),"0000"))</f>
        <v/>
      </c>
      <c r="M126" s="34" t="str">
        <f>IF(ISERROR(VLOOKUP(CONCATENATE($A126,$M$8,M$10),'Tariff Schedule Lookup Table'!$F$8:$G$286,2,FALSE))=TRUE,"",TEXT(VLOOKUP(CONCATENATE($A126,$M$8,M$10),'Tariff Schedule Lookup Table'!$F$8:$G$286,2,FALSE),"0000"))</f>
        <v>1070</v>
      </c>
      <c r="N126" s="34" t="str">
        <f>IF(ISERROR(VLOOKUP(CONCATENATE($A126,$M$8,N$10),'Tariff Schedule Lookup Table'!$F$8:$G$286,2,FALSE))=TRUE,"",TEXT(VLOOKUP(CONCATENATE($A126,$M$8,N$10),'Tariff Schedule Lookup Table'!$F$8:$G$286,2,FALSE),"0000"))</f>
        <v>1160</v>
      </c>
      <c r="O126" s="34" t="str">
        <f>IF(ISERROR(VLOOKUP(CONCATENATE($A126,$M$8,O$10),'Tariff Schedule Lookup Table'!$F$8:$G$286,2,FALSE))=TRUE,"",TEXT(VLOOKUP(CONCATENATE($A126,$M$8,O$10),'Tariff Schedule Lookup Table'!$F$8:$G$286,2,FALSE),"0000"))</f>
        <v/>
      </c>
      <c r="P126" s="34" t="str">
        <f>IF(ISERROR(VLOOKUP(CONCATENATE($A126,$M$8,P$10),'Tariff Schedule Lookup Table'!$F$8:$G$286,2,FALSE))=TRUE,"",TEXT(VLOOKUP(CONCATENATE($A126,$M$8,P$10),'Tariff Schedule Lookup Table'!$F$8:$G$286,2,FALSE),"0000"))</f>
        <v/>
      </c>
      <c r="Q126" s="34" t="str">
        <f>IF(ISERROR(VLOOKUP(CONCATENATE($A126,$Q$8,Q$10),'Tariff Schedule Lookup Table'!$F$8:$G$286,2,FALSE))=TRUE,"",TEXT(VLOOKUP(CONCATENATE($A126,$Q$8,Q$10),'Tariff Schedule Lookup Table'!$F$8:$G$286,2,FALSE),"0000"))</f>
        <v>1120</v>
      </c>
      <c r="R126" s="34" t="str">
        <f>IF(ISERROR(VLOOKUP(CONCATENATE($A126,$Q$8,R$10),'Tariff Schedule Lookup Table'!$F$8:$G$286,2,FALSE))=TRUE,"",TEXT(VLOOKUP(CONCATENATE($A126,$Q$8,R$10),'Tariff Schedule Lookup Table'!$F$8:$G$286,2,FALSE),"0000"))</f>
        <v>1140</v>
      </c>
      <c r="S126" s="34" t="str">
        <f>IF(ISERROR(VLOOKUP(CONCATENATE($A126,$Q$8,S$10),'Tariff Schedule Lookup Table'!$F$8:$G$286,2,FALSE))=TRUE,"",TEXT(VLOOKUP(CONCATENATE($A126,$Q$8,S$10),'Tariff Schedule Lookup Table'!$F$8:$G$286,2,FALSE),"0000"))</f>
        <v>1150</v>
      </c>
      <c r="T126" s="34" t="str">
        <f>IF(ISERROR(VLOOKUP(CONCATENATE($A126,$Q$8,T$10),'Tariff Schedule Lookup Table'!$F$8:$G$286,2,FALSE))=TRUE,"",TEXT(VLOOKUP(CONCATENATE($A126,$Q$8,T$10),'Tariff Schedule Lookup Table'!$F$8:$G$286,2,FALSE),"0000"))</f>
        <v/>
      </c>
      <c r="U126" s="34" t="str">
        <f>IF(ISERROR(VLOOKUP(CONCATENATE($A126,$U$8,U$10),'Tariff Schedule Lookup Table'!$F$8:$G$286,2,FALSE))=TRUE,"",TEXT(VLOOKUP(CONCATENATE($A126,$U$8,U$10),'Tariff Schedule Lookup Table'!$F$8:$G$286,2,FALSE),"0000"))</f>
        <v/>
      </c>
      <c r="V126" s="34" t="str">
        <f>IF(ISERROR(VLOOKUP(CONCATENATE($A126,$U$8,V$10),'Tariff Schedule Lookup Table'!$F$8:$G$286,2,FALSE))=TRUE,"",TEXT(VLOOKUP(CONCATENATE($A126,$U$8,V$10),'Tariff Schedule Lookup Table'!$F$8:$G$286,2,FALSE),"0000"))</f>
        <v/>
      </c>
      <c r="W126" s="34" t="str">
        <f>IF(ISERROR(VLOOKUP(CONCATENATE($A126,$U$8,W$10),'Tariff Schedule Lookup Table'!$F$8:$G$286,2,FALSE))=TRUE,"",TEXT(VLOOKUP(CONCATENATE($A126,$U$8,W$10),'Tariff Schedule Lookup Table'!$F$8:$G$286,2,FALSE),"0000"))</f>
        <v>1380</v>
      </c>
      <c r="X126" s="34" t="str">
        <f>IF(ISERROR(VLOOKUP(CONCATENATE($A126,$U$8,X$10),'Tariff Schedule Lookup Table'!$F$8:$G$286,2,FALSE))=TRUE,"",TEXT(VLOOKUP(CONCATENATE($A126,$U$8,X$10),'Tariff Schedule Lookup Table'!$F$8:$G$186,2,FALSE),"0000"))</f>
        <v>1450</v>
      </c>
      <c r="Y126" s="6"/>
      <c r="Z126" s="6"/>
      <c r="AA126" s="6"/>
      <c r="AB126" s="6"/>
      <c r="AC126" s="6"/>
    </row>
    <row r="127" spans="1:29" x14ac:dyDescent="0.2">
      <c r="A127" s="6" t="s">
        <v>1073</v>
      </c>
      <c r="B127" s="35" t="s">
        <v>2132</v>
      </c>
      <c r="C127" s="197">
        <f>VLOOKUP(LEFT(B127,7),'Tariff Schedule Lookup Table'!$A$8:$D$186,3,FALSE)</f>
        <v>400</v>
      </c>
      <c r="D127" s="199" t="str">
        <f>VLOOKUP(LEFT(B127,7),'Tariff Schedule Lookup Table'!$A$8:$D$186,2,FALSE)</f>
        <v>Metal Hallide (Reactor Control Gear) 400</v>
      </c>
      <c r="E127" s="6" t="s">
        <v>996</v>
      </c>
      <c r="F127" s="37">
        <f>VLOOKUP(LEFT(B127,7),'Tariff Schedule Lookup Table'!$A$8:$D$186,4,FALSE)</f>
        <v>425</v>
      </c>
      <c r="G127" s="33">
        <f>VLOOKUP($B127,'Maintenance Costs'!$A$20:$AG$176,32,FALSE)</f>
        <v>118.27071721530181</v>
      </c>
      <c r="H127" s="67">
        <f>IF(VLOOKUP($B127,'Maintenance Costs'!$A$20:$AG$176,33,FALSE)=0,"",VLOOKUP($B127,'Maintenance Costs'!$A$20:$AG$176,33,FALSE))</f>
        <v>74.613917220498692</v>
      </c>
      <c r="I127" s="34" t="str">
        <f>IF(ISERROR(VLOOKUP(CONCATENATE($A127,$I$8,I$10),'Tariff Schedule Lookup Table'!$F$8:$G$286,2,FALSE))=TRUE,"",TEXT(VLOOKUP(CONCATENATE($A127,$I$8,I$10),'Tariff Schedule Lookup Table'!$F$8:$G$286,2,FALSE),"0000"))</f>
        <v>0060</v>
      </c>
      <c r="J127" s="34" t="str">
        <f>IF(ISERROR(VLOOKUP(CONCATENATE($A127,$I$8,J$10),'Tariff Schedule Lookup Table'!$F$8:$G$286,2,FALSE))=TRUE,"",TEXT(VLOOKUP(CONCATENATE($A127,$I$8,J$10),'Tariff Schedule Lookup Table'!$F$8:$G$286,2,FALSE),"0000"))</f>
        <v>0960</v>
      </c>
      <c r="K127" s="34" t="str">
        <f>IF(ISERROR(VLOOKUP(CONCATENATE($A127,$I$8,K$10),'Tariff Schedule Lookup Table'!$F$8:$G$286,2,FALSE))=TRUE,"",TEXT(VLOOKUP(CONCATENATE($A127,$I$8,K$10),'Tariff Schedule Lookup Table'!$F$8:$G$286,2,FALSE),"0000"))</f>
        <v>1020</v>
      </c>
      <c r="L127" s="34" t="str">
        <f>IF(ISERROR(VLOOKUP(CONCATENATE($A127,$I$8,L$10),'Tariff Schedule Lookup Table'!$F$8:$G$286,2,FALSE))=TRUE,"",TEXT(VLOOKUP(CONCATENATE($A127,$I$8,L$10),'Tariff Schedule Lookup Table'!$F$8:$G$286,2,FALSE),"0000"))</f>
        <v>0970</v>
      </c>
      <c r="M127" s="34" t="str">
        <f>IF(ISERROR(VLOOKUP(CONCATENATE($A127,$M$8,M$10),'Tariff Schedule Lookup Table'!$F$8:$G$286,2,FALSE))=TRUE,"",TEXT(VLOOKUP(CONCATENATE($A127,$M$8,M$10),'Tariff Schedule Lookup Table'!$F$8:$G$286,2,FALSE),"0000"))</f>
        <v>0230</v>
      </c>
      <c r="N127" s="34" t="str">
        <f>IF(ISERROR(VLOOKUP(CONCATENATE($A127,$M$8,N$10),'Tariff Schedule Lookup Table'!$F$8:$G$286,2,FALSE))=TRUE,"",TEXT(VLOOKUP(CONCATENATE($A127,$M$8,N$10),'Tariff Schedule Lookup Table'!$F$8:$G$286,2,FALSE),"0000"))</f>
        <v>0760</v>
      </c>
      <c r="O127" s="34" t="str">
        <f>IF(ISERROR(VLOOKUP(CONCATENATE($A127,$M$8,O$10),'Tariff Schedule Lookup Table'!$F$8:$G$286,2,FALSE))=TRUE,"",TEXT(VLOOKUP(CONCATENATE($A127,$M$8,O$10),'Tariff Schedule Lookup Table'!$F$8:$G$286,2,FALSE),"0000"))</f>
        <v>0930</v>
      </c>
      <c r="P127" s="34" t="str">
        <f>IF(ISERROR(VLOOKUP(CONCATENATE($A127,$M$8,P$10),'Tariff Schedule Lookup Table'!$F$8:$G$286,2,FALSE))=TRUE,"",TEXT(VLOOKUP(CONCATENATE($A127,$M$8,P$10),'Tariff Schedule Lookup Table'!$F$8:$G$286,2,FALSE),"0000"))</f>
        <v/>
      </c>
      <c r="Q127" s="34" t="str">
        <f>IF(ISERROR(VLOOKUP(CONCATENATE($A127,$Q$8,Q$10),'Tariff Schedule Lookup Table'!$F$8:$G$286,2,FALSE))=TRUE,"",TEXT(VLOOKUP(CONCATENATE($A127,$Q$8,Q$10),'Tariff Schedule Lookup Table'!$F$8:$G$286,2,FALSE),"0000"))</f>
        <v>0320</v>
      </c>
      <c r="R127" s="34" t="str">
        <f>IF(ISERROR(VLOOKUP(CONCATENATE($A127,$Q$8,R$10),'Tariff Schedule Lookup Table'!$F$8:$G$286,2,FALSE))=TRUE,"",TEXT(VLOOKUP(CONCATENATE($A127,$Q$8,R$10),'Tariff Schedule Lookup Table'!$F$8:$G$286,2,FALSE),"0000"))</f>
        <v>0390</v>
      </c>
      <c r="S127" s="34" t="str">
        <f>IF(ISERROR(VLOOKUP(CONCATENATE($A127,$Q$8,S$10),'Tariff Schedule Lookup Table'!$F$8:$G$286,2,FALSE))=TRUE,"",TEXT(VLOOKUP(CONCATENATE($A127,$Q$8,S$10),'Tariff Schedule Lookup Table'!$F$8:$G$286,2,FALSE),"0000"))</f>
        <v>0430</v>
      </c>
      <c r="T127" s="34" t="str">
        <f>IF(ISERROR(VLOOKUP(CONCATENATE($A127,$Q$8,T$10),'Tariff Schedule Lookup Table'!$F$8:$G$286,2,FALSE))=TRUE,"",TEXT(VLOOKUP(CONCATENATE($A127,$Q$8,T$10),'Tariff Schedule Lookup Table'!$F$8:$G$286,2,FALSE),"0000"))</f>
        <v>0470</v>
      </c>
      <c r="U127" s="34" t="str">
        <f>IF(ISERROR(VLOOKUP(CONCATENATE($A127,$U$8,U$10),'Tariff Schedule Lookup Table'!$F$8:$G$286,2,FALSE))=TRUE,"",TEXT(VLOOKUP(CONCATENATE($A127,$U$8,U$10),'Tariff Schedule Lookup Table'!$F$8:$G$286,2,FALSE),"0000"))</f>
        <v/>
      </c>
      <c r="V127" s="34" t="str">
        <f>IF(ISERROR(VLOOKUP(CONCATENATE($A127,$U$8,V$10),'Tariff Schedule Lookup Table'!$F$8:$G$286,2,FALSE))=TRUE,"",TEXT(VLOOKUP(CONCATENATE($A127,$U$8,V$10),'Tariff Schedule Lookup Table'!$F$8:$G$286,2,FALSE),"0000"))</f>
        <v>0510</v>
      </c>
      <c r="W127" s="34" t="str">
        <f>IF(ISERROR(VLOOKUP(CONCATENATE($A127,$U$8,W$10),'Tariff Schedule Lookup Table'!$F$8:$G$286,2,FALSE))=TRUE,"",TEXT(VLOOKUP(CONCATENATE($A127,$U$8,W$10),'Tariff Schedule Lookup Table'!$F$8:$G$286,2,FALSE),"0000"))</f>
        <v>0550</v>
      </c>
      <c r="X127" s="34" t="str">
        <f>IF(ISERROR(VLOOKUP(CONCATENATE($A127,$U$8,X$10),'Tariff Schedule Lookup Table'!$F$8:$G$286,2,FALSE))=TRUE,"",TEXT(VLOOKUP(CONCATENATE($A127,$U$8,X$10),'Tariff Schedule Lookup Table'!$F$8:$G$186,2,FALSE),"0000"))</f>
        <v>0590</v>
      </c>
      <c r="Y127" s="6"/>
      <c r="Z127" s="6"/>
      <c r="AA127" s="6"/>
      <c r="AB127" s="6"/>
      <c r="AC127" s="6"/>
    </row>
    <row r="128" spans="1:29" x14ac:dyDescent="0.2">
      <c r="A128" s="6" t="s">
        <v>1092</v>
      </c>
      <c r="B128" s="35" t="s">
        <v>2132</v>
      </c>
      <c r="C128" s="197">
        <f>VLOOKUP(LEFT(B128,7),'Tariff Schedule Lookup Table'!$A$8:$D$186,3,FALSE)</f>
        <v>400</v>
      </c>
      <c r="D128" s="199" t="str">
        <f>VLOOKUP(LEFT(B128,7),'Tariff Schedule Lookup Table'!$A$8:$D$186,2,FALSE)</f>
        <v>Metal Hallide (Reactor Control Gear) 400</v>
      </c>
      <c r="E128" s="6" t="s">
        <v>1077</v>
      </c>
      <c r="F128" s="37">
        <f>VLOOKUP(LEFT(B128,7),'Tariff Schedule Lookup Table'!$A$8:$D$186,4,FALSE)</f>
        <v>425</v>
      </c>
      <c r="G128" s="33">
        <f>VLOOKUP($B128,'Maintenance Costs'!$A$20:$AG$176,32,FALSE)</f>
        <v>118.27071721530181</v>
      </c>
      <c r="H128" s="67">
        <f>IF(VLOOKUP($B128,'Maintenance Costs'!$A$20:$AG$176,33,FALSE)=0,"",VLOOKUP($B128,'Maintenance Costs'!$A$20:$AG$176,33,FALSE))</f>
        <v>74.613917220498692</v>
      </c>
      <c r="I128" s="34" t="str">
        <f>IF(ISERROR(VLOOKUP(CONCATENATE($A128,$I$8,I$10),'Tariff Schedule Lookup Table'!$F$8:$G$286,2,FALSE))=TRUE,"",TEXT(VLOOKUP(CONCATENATE($A128,$I$8,I$10),'Tariff Schedule Lookup Table'!$F$8:$G$286,2,FALSE),"0000"))</f>
        <v>0620</v>
      </c>
      <c r="J128" s="34" t="str">
        <f>IF(ISERROR(VLOOKUP(CONCATENATE($A128,$I$8,J$10),'Tariff Schedule Lookup Table'!$F$8:$G$286,2,FALSE))=TRUE,"",TEXT(VLOOKUP(CONCATENATE($A128,$I$8,J$10),'Tariff Schedule Lookup Table'!$F$8:$G$286,2,FALSE),"0000"))</f>
        <v>0660</v>
      </c>
      <c r="K128" s="34" t="str">
        <f>IF(ISERROR(VLOOKUP(CONCATENATE($A128,$I$8,K$10),'Tariff Schedule Lookup Table'!$F$8:$G$286,2,FALSE))=TRUE,"",TEXT(VLOOKUP(CONCATENATE($A128,$I$8,K$10),'Tariff Schedule Lookup Table'!$F$8:$G$286,2,FALSE),"0000"))</f>
        <v/>
      </c>
      <c r="L128" s="34" t="str">
        <f>IF(ISERROR(VLOOKUP(CONCATENATE($A128,$I$8,L$10),'Tariff Schedule Lookup Table'!$F$8:$G$286,2,FALSE))=TRUE,"",TEXT(VLOOKUP(CONCATENATE($A128,$I$8,L$10),'Tariff Schedule Lookup Table'!$F$8:$G$286,2,FALSE),"0000"))</f>
        <v/>
      </c>
      <c r="M128" s="34" t="str">
        <f>IF(ISERROR(VLOOKUP(CONCATENATE($A128,$M$8,M$10),'Tariff Schedule Lookup Table'!$F$8:$G$286,2,FALSE))=TRUE,"",TEXT(VLOOKUP(CONCATENATE($A128,$M$8,M$10),'Tariff Schedule Lookup Table'!$F$8:$G$286,2,FALSE),"0000"))</f>
        <v>1100</v>
      </c>
      <c r="N128" s="34" t="str">
        <f>IF(ISERROR(VLOOKUP(CONCATENATE($A128,$M$8,N$10),'Tariff Schedule Lookup Table'!$F$8:$G$286,2,FALSE))=TRUE,"",TEXT(VLOOKUP(CONCATENATE($A128,$M$8,N$10),'Tariff Schedule Lookup Table'!$F$8:$G$286,2,FALSE),"0000"))</f>
        <v>0900</v>
      </c>
      <c r="O128" s="34" t="str">
        <f>IF(ISERROR(VLOOKUP(CONCATENATE($A128,$M$8,O$10),'Tariff Schedule Lookup Table'!$F$8:$G$286,2,FALSE))=TRUE,"",TEXT(VLOOKUP(CONCATENATE($A128,$M$8,O$10),'Tariff Schedule Lookup Table'!$F$8:$G$286,2,FALSE),"0000"))</f>
        <v>1250</v>
      </c>
      <c r="P128" s="34" t="str">
        <f>IF(ISERROR(VLOOKUP(CONCATENATE($A128,$M$8,P$10),'Tariff Schedule Lookup Table'!$F$8:$G$286,2,FALSE))=TRUE,"",TEXT(VLOOKUP(CONCATENATE($A128,$M$8,P$10),'Tariff Schedule Lookup Table'!$F$8:$G$286,2,FALSE),"0000"))</f>
        <v/>
      </c>
      <c r="Q128" s="34" t="str">
        <f>IF(ISERROR(VLOOKUP(CONCATENATE($A128,$Q$8,Q$10),'Tariff Schedule Lookup Table'!$F$8:$G$286,2,FALSE))=TRUE,"",TEXT(VLOOKUP(CONCATENATE($A128,$Q$8,Q$10),'Tariff Schedule Lookup Table'!$F$8:$G$286,2,FALSE),"0000"))</f>
        <v>1170</v>
      </c>
      <c r="R128" s="34" t="str">
        <f>IF(ISERROR(VLOOKUP(CONCATENATE($A128,$Q$8,R$10),'Tariff Schedule Lookup Table'!$F$8:$G$286,2,FALSE))=TRUE,"",TEXT(VLOOKUP(CONCATENATE($A128,$Q$8,R$10),'Tariff Schedule Lookup Table'!$F$8:$G$286,2,FALSE),"0000"))</f>
        <v>1130</v>
      </c>
      <c r="S128" s="34" t="str">
        <f>IF(ISERROR(VLOOKUP(CONCATENATE($A128,$Q$8,S$10),'Tariff Schedule Lookup Table'!$F$8:$G$286,2,FALSE))=TRUE,"",TEXT(VLOOKUP(CONCATENATE($A128,$Q$8,S$10),'Tariff Schedule Lookup Table'!$F$8:$G$286,2,FALSE),"0000"))</f>
        <v/>
      </c>
      <c r="T128" s="34" t="str">
        <f>IF(ISERROR(VLOOKUP(CONCATENATE($A128,$Q$8,T$10),'Tariff Schedule Lookup Table'!$F$8:$G$286,2,FALSE))=TRUE,"",TEXT(VLOOKUP(CONCATENATE($A128,$Q$8,T$10),'Tariff Schedule Lookup Table'!$F$8:$G$286,2,FALSE),"0000"))</f>
        <v/>
      </c>
      <c r="U128" s="34" t="str">
        <f>IF(ISERROR(VLOOKUP(CONCATENATE($A128,$U$8,U$10),'Tariff Schedule Lookup Table'!$F$8:$G$286,2,FALSE))=TRUE,"",TEXT(VLOOKUP(CONCATENATE($A128,$U$8,U$10),'Tariff Schedule Lookup Table'!$F$8:$G$286,2,FALSE),"0000"))</f>
        <v/>
      </c>
      <c r="V128" s="34" t="str">
        <f>IF(ISERROR(VLOOKUP(CONCATENATE($A128,$U$8,V$10),'Tariff Schedule Lookup Table'!$F$8:$G$286,2,FALSE))=TRUE,"",TEXT(VLOOKUP(CONCATENATE($A128,$U$8,V$10),'Tariff Schedule Lookup Table'!$F$8:$G$286,2,FALSE),"0000"))</f>
        <v>0260</v>
      </c>
      <c r="W128" s="34" t="str">
        <f>IF(ISERROR(VLOOKUP(CONCATENATE($A128,$U$8,W$10),'Tariff Schedule Lookup Table'!$F$8:$G$286,2,FALSE))=TRUE,"",TEXT(VLOOKUP(CONCATENATE($A128,$U$8,W$10),'Tariff Schedule Lookup Table'!$F$8:$G$286,2,FALSE),"0000"))</f>
        <v>0270</v>
      </c>
      <c r="X128" s="34" t="str">
        <f>IF(ISERROR(VLOOKUP(CONCATENATE($A128,$U$8,X$10),'Tariff Schedule Lookup Table'!$F$8:$G$286,2,FALSE))=TRUE,"",TEXT(VLOOKUP(CONCATENATE($A128,$U$8,X$10),'Tariff Schedule Lookup Table'!$F$8:$G$186,2,FALSE),"0000"))</f>
        <v>0280</v>
      </c>
      <c r="Y128" s="6"/>
      <c r="Z128" s="6"/>
      <c r="AA128" s="6"/>
      <c r="AB128" s="6"/>
      <c r="AC128" s="6"/>
    </row>
    <row r="129" spans="1:42" x14ac:dyDescent="0.2">
      <c r="A129" s="6" t="s">
        <v>983</v>
      </c>
      <c r="B129" s="35" t="s">
        <v>233</v>
      </c>
      <c r="C129" s="197" t="str">
        <f>VLOOKUP(LEFT(B129,7),'Tariff Schedule Lookup Table'!$A$8:$D$186,3,FALSE)</f>
        <v>2x400</v>
      </c>
      <c r="D129" s="199" t="str">
        <f>VLOOKUP(LEFT(B129,7),'Tariff Schedule Lookup Table'!$A$8:$D$186,2,FALSE)</f>
        <v>Metal Hallide (Reactor Control Gear) 2x400</v>
      </c>
      <c r="E129" s="6" t="s">
        <v>1077</v>
      </c>
      <c r="F129" s="37">
        <f>VLOOKUP(LEFT(B129,7),'Tariff Schedule Lookup Table'!$A$8:$D$186,4,FALSE)</f>
        <v>850</v>
      </c>
      <c r="G129" s="33">
        <f>VLOOKUP($B129,'Maintenance Costs'!$A$20:$AG$176,32,FALSE)</f>
        <v>147.67086929530186</v>
      </c>
      <c r="H129" s="67">
        <f>IF(VLOOKUP($B129,'Maintenance Costs'!$A$20:$AG$176,33,FALSE)=0,"",VLOOKUP($B129,'Maintenance Costs'!$A$20:$AG$176,33,FALSE))</f>
        <v>113.07367568316535</v>
      </c>
      <c r="I129" s="228" t="s">
        <v>1136</v>
      </c>
      <c r="J129" s="228"/>
      <c r="K129" s="228"/>
      <c r="L129" s="228"/>
      <c r="M129" s="228"/>
      <c r="N129" s="228"/>
      <c r="O129" s="228"/>
      <c r="P129" s="228"/>
      <c r="Q129" s="228"/>
      <c r="R129" s="228"/>
      <c r="S129" s="228"/>
      <c r="T129" s="228"/>
      <c r="U129" s="228"/>
      <c r="V129" s="228"/>
      <c r="W129" s="228"/>
      <c r="X129" s="228"/>
      <c r="Y129" s="6" t="s">
        <v>1136</v>
      </c>
      <c r="Z129" s="6"/>
      <c r="AA129" s="6"/>
      <c r="AB129" s="6"/>
      <c r="AC129" s="6"/>
      <c r="AP129" t="s">
        <v>1136</v>
      </c>
    </row>
    <row r="130" spans="1:42" x14ac:dyDescent="0.2">
      <c r="A130" s="6" t="s">
        <v>983</v>
      </c>
      <c r="B130" s="35" t="s">
        <v>2133</v>
      </c>
      <c r="C130" s="197">
        <f>VLOOKUP(LEFT(B130,7),'Tariff Schedule Lookup Table'!$A$8:$D$186,3,FALSE)</f>
        <v>500</v>
      </c>
      <c r="D130" s="199" t="str">
        <f>VLOOKUP(LEFT(B130,7),'Tariff Schedule Lookup Table'!$A$8:$D$186,2,FALSE)</f>
        <v>Metal Hallide (Reactor Control Gear) 500</v>
      </c>
      <c r="E130" s="6" t="s">
        <v>1077</v>
      </c>
      <c r="F130" s="37">
        <f>VLOOKUP(LEFT(B130,7),'Tariff Schedule Lookup Table'!$A$8:$D$186,4,FALSE)</f>
        <v>525</v>
      </c>
      <c r="G130" s="33">
        <f>VLOOKUP($B130,'Maintenance Costs'!$A$20:$AG$176,32,FALSE)</f>
        <v>118.27071721530181</v>
      </c>
      <c r="H130" s="67">
        <f>IF(VLOOKUP($B130,'Maintenance Costs'!$A$20:$AG$176,33,FALSE)=0,"",VLOOKUP($B130,'Maintenance Costs'!$A$20:$AG$176,33,FALSE))</f>
        <v>74.613917220498692</v>
      </c>
      <c r="I130" s="228" t="s">
        <v>1136</v>
      </c>
      <c r="J130" s="228"/>
      <c r="K130" s="228"/>
      <c r="L130" s="228"/>
      <c r="M130" s="228"/>
      <c r="N130" s="228"/>
      <c r="O130" s="228"/>
      <c r="P130" s="228"/>
      <c r="Q130" s="228"/>
      <c r="R130" s="228"/>
      <c r="S130" s="228"/>
      <c r="T130" s="228"/>
      <c r="U130" s="228"/>
      <c r="V130" s="228"/>
      <c r="W130" s="228"/>
      <c r="X130" s="228"/>
      <c r="Y130" s="6" t="s">
        <v>1136</v>
      </c>
      <c r="Z130" s="6"/>
      <c r="AA130" s="6"/>
      <c r="AB130" s="6"/>
      <c r="AC130" s="6"/>
      <c r="AP130" t="s">
        <v>1136</v>
      </c>
    </row>
    <row r="131" spans="1:42" x14ac:dyDescent="0.2">
      <c r="A131" s="6" t="s">
        <v>1107</v>
      </c>
      <c r="B131" s="35" t="s">
        <v>2134</v>
      </c>
      <c r="C131" s="197">
        <f>VLOOKUP(LEFT(B131,7),'Tariff Schedule Lookup Table'!$A$8:$D$186,3,FALSE)</f>
        <v>1000</v>
      </c>
      <c r="D131" s="199" t="str">
        <f>VLOOKUP(LEFT(B131,7),'Tariff Schedule Lookup Table'!$A$8:$D$186,2,FALSE)</f>
        <v>Metal Hallide (Reactor Control Gear) 1000</v>
      </c>
      <c r="E131" s="6" t="s">
        <v>1077</v>
      </c>
      <c r="F131" s="37">
        <f>VLOOKUP(LEFT(B131,7),'Tariff Schedule Lookup Table'!$A$8:$D$186,4,FALSE)</f>
        <v>1040</v>
      </c>
      <c r="G131" s="33">
        <f>VLOOKUP($B131,'Maintenance Costs'!$A$20:$AG$176,32,FALSE)</f>
        <v>188.19802105130185</v>
      </c>
      <c r="H131" s="67">
        <f>IF(VLOOKUP($B131,'Maintenance Costs'!$A$20:$AG$176,33,FALSE)=0,"",VLOOKUP($B131,'Maintenance Costs'!$A$20:$AG$176,33,FALSE))</f>
        <v>168.20557774034535</v>
      </c>
      <c r="I131" s="34" t="str">
        <f>IF(ISERROR(VLOOKUP(CONCATENATE($A131,$I$8,I$10),'Tariff Schedule Lookup Table'!$F$8:$G$286,2,FALSE))=TRUE,"",TEXT(VLOOKUP(CONCATENATE($A131,$I$8,I$10),'Tariff Schedule Lookup Table'!$F$8:$G$286,2,FALSE),"0000"))</f>
        <v>0120</v>
      </c>
      <c r="J131" s="34" t="str">
        <f>IF(ISERROR(VLOOKUP(CONCATENATE($A131,$I$8,J$10),'Tariff Schedule Lookup Table'!$F$8:$G$286,2,FALSE))=TRUE,"",TEXT(VLOOKUP(CONCATENATE($A131,$I$8,J$10),'Tariff Schedule Lookup Table'!$F$8:$G$286,2,FALSE),"0000"))</f>
        <v>1040</v>
      </c>
      <c r="K131" s="34" t="str">
        <f>IF(ISERROR(VLOOKUP(CONCATENATE($A131,$I$8,K$10),'Tariff Schedule Lookup Table'!$F$8:$G$286,2,FALSE))=TRUE,"",TEXT(VLOOKUP(CONCATENATE($A131,$I$8,K$10),'Tariff Schedule Lookup Table'!$F$8:$G$286,2,FALSE),"0000"))</f>
        <v/>
      </c>
      <c r="L131" s="34" t="str">
        <f>IF(ISERROR(VLOOKUP(CONCATENATE($A131,$I$8,L$10),'Tariff Schedule Lookup Table'!$F$8:$G$286,2,FALSE))=TRUE,"",TEXT(VLOOKUP(CONCATENATE($A131,$I$8,L$10),'Tariff Schedule Lookup Table'!$F$8:$G$286,2,FALSE),"0000"))</f>
        <v/>
      </c>
      <c r="M131" s="34" t="str">
        <f>IF(ISERROR(VLOOKUP(CONCATENATE($A131,$M$8,M$10),'Tariff Schedule Lookup Table'!$F$8:$G$286,2,FALSE))=TRUE,"",TEXT(VLOOKUP(CONCATENATE($A131,$M$8,M$10),'Tariff Schedule Lookup Table'!$F$8:$G$286,2,FALSE),"0000"))</f>
        <v>1110</v>
      </c>
      <c r="N131" s="34" t="str">
        <f>IF(ISERROR(VLOOKUP(CONCATENATE($A131,$M$8,N$10),'Tariff Schedule Lookup Table'!$F$8:$G$286,2,FALSE))=TRUE,"",TEXT(VLOOKUP(CONCATENATE($A131,$M$8,N$10),'Tariff Schedule Lookup Table'!$F$8:$G$286,2,FALSE),"0000"))</f>
        <v/>
      </c>
      <c r="O131" s="34" t="str">
        <f>IF(ISERROR(VLOOKUP(CONCATENATE($A131,$M$8,O$10),'Tariff Schedule Lookup Table'!$F$8:$G$286,2,FALSE))=TRUE,"",TEXT(VLOOKUP(CONCATENATE($A131,$M$8,O$10),'Tariff Schedule Lookup Table'!$F$8:$G$286,2,FALSE),"0000"))</f>
        <v/>
      </c>
      <c r="P131" s="34" t="str">
        <f>IF(ISERROR(VLOOKUP(CONCATENATE($A131,$M$8,P$10),'Tariff Schedule Lookup Table'!$F$8:$G$286,2,FALSE))=TRUE,"",TEXT(VLOOKUP(CONCATENATE($A131,$M$8,P$10),'Tariff Schedule Lookup Table'!$F$8:$G$286,2,FALSE),"0000"))</f>
        <v/>
      </c>
      <c r="Q131" s="34" t="str">
        <f>IF(ISERROR(VLOOKUP(CONCATENATE($A131,$Q$8,Q$10),'Tariff Schedule Lookup Table'!$F$8:$G$286,2,FALSE))=TRUE,"",TEXT(VLOOKUP(CONCATENATE($A131,$Q$8,Q$10),'Tariff Schedule Lookup Table'!$F$8:$G$286,2,FALSE),"0000"))</f>
        <v/>
      </c>
      <c r="R131" s="34" t="str">
        <f>IF(ISERROR(VLOOKUP(CONCATENATE($A131,$Q$8,R$10),'Tariff Schedule Lookup Table'!$F$8:$G$286,2,FALSE))=TRUE,"",TEXT(VLOOKUP(CONCATENATE($A131,$Q$8,R$10),'Tariff Schedule Lookup Table'!$F$8:$G$286,2,FALSE),"0000"))</f>
        <v/>
      </c>
      <c r="S131" s="34" t="str">
        <f>IF(ISERROR(VLOOKUP(CONCATENATE($A131,$Q$8,S$10),'Tariff Schedule Lookup Table'!$F$8:$G$286,2,FALSE))=TRUE,"",TEXT(VLOOKUP(CONCATENATE($A131,$Q$8,S$10),'Tariff Schedule Lookup Table'!$F$8:$G$286,2,FALSE),"0000"))</f>
        <v/>
      </c>
      <c r="T131" s="34" t="str">
        <f>IF(ISERROR(VLOOKUP(CONCATENATE($A131,$Q$8,T$10),'Tariff Schedule Lookup Table'!$F$8:$G$286,2,FALSE))=TRUE,"",TEXT(VLOOKUP(CONCATENATE($A131,$Q$8,T$10),'Tariff Schedule Lookup Table'!$F$8:$G$286,2,FALSE),"0000"))</f>
        <v/>
      </c>
      <c r="U131" s="34" t="str">
        <f>IF(ISERROR(VLOOKUP(CONCATENATE($A131,$U$8,U$10),'Tariff Schedule Lookup Table'!$F$8:$G$286,2,FALSE))=TRUE,"",TEXT(VLOOKUP(CONCATENATE($A131,$U$8,U$10),'Tariff Schedule Lookup Table'!$F$8:$G$286,2,FALSE),"0000"))</f>
        <v/>
      </c>
      <c r="V131" s="34" t="str">
        <f>IF(ISERROR(VLOOKUP(CONCATENATE($A131,$U$8,V$10),'Tariff Schedule Lookup Table'!$F$8:$G$286,2,FALSE))=TRUE,"",TEXT(VLOOKUP(CONCATENATE($A131,$U$8,V$10),'Tariff Schedule Lookup Table'!$F$8:$G$286,2,FALSE),"0000"))</f>
        <v>0850</v>
      </c>
      <c r="W131" s="34" t="str">
        <f>IF(ISERROR(VLOOKUP(CONCATENATE($A131,$U$8,W$10),'Tariff Schedule Lookup Table'!$F$8:$G$286,2,FALSE))=TRUE,"",TEXT(VLOOKUP(CONCATENATE($A131,$U$8,W$10),'Tariff Schedule Lookup Table'!$F$8:$G$286,2,FALSE),"0000"))</f>
        <v>0840</v>
      </c>
      <c r="X131" s="34" t="str">
        <f>IF(ISERROR(VLOOKUP(CONCATENATE($A131,$U$8,X$10),'Tariff Schedule Lookup Table'!$F$8:$G$286,2,FALSE))=TRUE,"",TEXT(VLOOKUP(CONCATENATE($A131,$U$8,X$10),'Tariff Schedule Lookup Table'!$F$8:$G$186,2,FALSE),"0000"))</f>
        <v>1050</v>
      </c>
      <c r="Y131" s="6"/>
      <c r="Z131" s="6"/>
      <c r="AA131" s="6"/>
      <c r="AB131" s="6"/>
      <c r="AC131" s="6"/>
    </row>
    <row r="132" spans="1:42" x14ac:dyDescent="0.2">
      <c r="A132" s="6" t="s">
        <v>1107</v>
      </c>
      <c r="B132" s="35" t="s">
        <v>234</v>
      </c>
      <c r="C132" s="197">
        <f>VLOOKUP(LEFT(B132,7),'Tariff Schedule Lookup Table'!$A$8:$D$186,3,FALSE)</f>
        <v>1500</v>
      </c>
      <c r="D132" s="199" t="str">
        <f>VLOOKUP(LEFT(B132,7),'Tariff Schedule Lookup Table'!$A$8:$D$186,2,FALSE)</f>
        <v>Metal Hallide (Reactor Control Gear) 1500</v>
      </c>
      <c r="E132" s="6" t="s">
        <v>1077</v>
      </c>
      <c r="F132" s="37">
        <f>VLOOKUP(LEFT(B132,7),'Tariff Schedule Lookup Table'!$A$8:$D$186,4,FALSE)</f>
        <v>1560</v>
      </c>
      <c r="G132" s="33">
        <f>VLOOKUP($B132,'Maintenance Costs'!$A$20:$AG$176,32,FALSE)</f>
        <v>188.19802105130185</v>
      </c>
      <c r="H132" s="67">
        <f>IF(VLOOKUP($B132,'Maintenance Costs'!$A$20:$AG$176,33,FALSE)=0,"",VLOOKUP($B132,'Maintenance Costs'!$A$20:$AG$176,33,FALSE))</f>
        <v>168.20557774034535</v>
      </c>
      <c r="I132" s="34" t="str">
        <f>IF(ISERROR(VLOOKUP(CONCATENATE($A132,$I$8,I$10),'Tariff Schedule Lookup Table'!$F$8:$G$286,2,FALSE))=TRUE,"",TEXT(VLOOKUP(CONCATENATE($A132,$I$8,I$10),'Tariff Schedule Lookup Table'!$F$8:$G$286,2,FALSE),"0000"))</f>
        <v>0120</v>
      </c>
      <c r="J132" s="34" t="str">
        <f>IF(ISERROR(VLOOKUP(CONCATENATE($A132,$I$8,J$10),'Tariff Schedule Lookup Table'!$F$8:$G$286,2,FALSE))=TRUE,"",TEXT(VLOOKUP(CONCATENATE($A132,$I$8,J$10),'Tariff Schedule Lookup Table'!$F$8:$G$286,2,FALSE),"0000"))</f>
        <v>1040</v>
      </c>
      <c r="K132" s="34" t="str">
        <f>IF(ISERROR(VLOOKUP(CONCATENATE($A132,$I$8,K$10),'Tariff Schedule Lookup Table'!$F$8:$G$286,2,FALSE))=TRUE,"",TEXT(VLOOKUP(CONCATENATE($A132,$I$8,K$10),'Tariff Schedule Lookup Table'!$F$8:$G$286,2,FALSE),"0000"))</f>
        <v/>
      </c>
      <c r="L132" s="34" t="str">
        <f>IF(ISERROR(VLOOKUP(CONCATENATE($A132,$I$8,L$10),'Tariff Schedule Lookup Table'!$F$8:$G$286,2,FALSE))=TRUE,"",TEXT(VLOOKUP(CONCATENATE($A132,$I$8,L$10),'Tariff Schedule Lookup Table'!$F$8:$G$286,2,FALSE),"0000"))</f>
        <v/>
      </c>
      <c r="M132" s="34" t="str">
        <f>IF(ISERROR(VLOOKUP(CONCATENATE($A132,$M$8,M$10),'Tariff Schedule Lookup Table'!$F$8:$G$286,2,FALSE))=TRUE,"",TEXT(VLOOKUP(CONCATENATE($A132,$M$8,M$10),'Tariff Schedule Lookup Table'!$F$8:$G$286,2,FALSE),"0000"))</f>
        <v>1110</v>
      </c>
      <c r="N132" s="34" t="str">
        <f>IF(ISERROR(VLOOKUP(CONCATENATE($A132,$M$8,N$10),'Tariff Schedule Lookup Table'!$F$8:$G$286,2,FALSE))=TRUE,"",TEXT(VLOOKUP(CONCATENATE($A132,$M$8,N$10),'Tariff Schedule Lookup Table'!$F$8:$G$286,2,FALSE),"0000"))</f>
        <v/>
      </c>
      <c r="O132" s="34" t="str">
        <f>IF(ISERROR(VLOOKUP(CONCATENATE($A132,$M$8,O$10),'Tariff Schedule Lookup Table'!$F$8:$G$286,2,FALSE))=TRUE,"",TEXT(VLOOKUP(CONCATENATE($A132,$M$8,O$10),'Tariff Schedule Lookup Table'!$F$8:$G$286,2,FALSE),"0000"))</f>
        <v/>
      </c>
      <c r="P132" s="34" t="str">
        <f>IF(ISERROR(VLOOKUP(CONCATENATE($A132,$M$8,P$10),'Tariff Schedule Lookup Table'!$F$8:$G$286,2,FALSE))=TRUE,"",TEXT(VLOOKUP(CONCATENATE($A132,$M$8,P$10),'Tariff Schedule Lookup Table'!$F$8:$G$286,2,FALSE),"0000"))</f>
        <v/>
      </c>
      <c r="Q132" s="34" t="str">
        <f>IF(ISERROR(VLOOKUP(CONCATENATE($A132,$Q$8,Q$10),'Tariff Schedule Lookup Table'!$F$8:$G$286,2,FALSE))=TRUE,"",TEXT(VLOOKUP(CONCATENATE($A132,$Q$8,Q$10),'Tariff Schedule Lookup Table'!$F$8:$G$286,2,FALSE),"0000"))</f>
        <v/>
      </c>
      <c r="R132" s="34" t="str">
        <f>IF(ISERROR(VLOOKUP(CONCATENATE($A132,$Q$8,R$10),'Tariff Schedule Lookup Table'!$F$8:$G$286,2,FALSE))=TRUE,"",TEXT(VLOOKUP(CONCATENATE($A132,$Q$8,R$10),'Tariff Schedule Lookup Table'!$F$8:$G$286,2,FALSE),"0000"))</f>
        <v/>
      </c>
      <c r="S132" s="34" t="str">
        <f>IF(ISERROR(VLOOKUP(CONCATENATE($A132,$Q$8,S$10),'Tariff Schedule Lookup Table'!$F$8:$G$286,2,FALSE))=TRUE,"",TEXT(VLOOKUP(CONCATENATE($A132,$Q$8,S$10),'Tariff Schedule Lookup Table'!$F$8:$G$286,2,FALSE),"0000"))</f>
        <v/>
      </c>
      <c r="T132" s="34" t="str">
        <f>IF(ISERROR(VLOOKUP(CONCATENATE($A132,$Q$8,T$10),'Tariff Schedule Lookup Table'!$F$8:$G$286,2,FALSE))=TRUE,"",TEXT(VLOOKUP(CONCATENATE($A132,$Q$8,T$10),'Tariff Schedule Lookup Table'!$F$8:$G$286,2,FALSE),"0000"))</f>
        <v/>
      </c>
      <c r="U132" s="34" t="str">
        <f>IF(ISERROR(VLOOKUP(CONCATENATE($A132,$U$8,U$10),'Tariff Schedule Lookup Table'!$F$8:$G$286,2,FALSE))=TRUE,"",TEXT(VLOOKUP(CONCATENATE($A132,$U$8,U$10),'Tariff Schedule Lookup Table'!$F$8:$G$286,2,FALSE),"0000"))</f>
        <v/>
      </c>
      <c r="V132" s="34" t="str">
        <f>IF(ISERROR(VLOOKUP(CONCATENATE($A132,$U$8,V$10),'Tariff Schedule Lookup Table'!$F$8:$G$286,2,FALSE))=TRUE,"",TEXT(VLOOKUP(CONCATENATE($A132,$U$8,V$10),'Tariff Schedule Lookup Table'!$F$8:$G$286,2,FALSE),"0000"))</f>
        <v>0850</v>
      </c>
      <c r="W132" s="34" t="str">
        <f>IF(ISERROR(VLOOKUP(CONCATENATE($A132,$U$8,W$10),'Tariff Schedule Lookup Table'!$F$8:$G$286,2,FALSE))=TRUE,"",TEXT(VLOOKUP(CONCATENATE($A132,$U$8,W$10),'Tariff Schedule Lookup Table'!$F$8:$G$286,2,FALSE),"0000"))</f>
        <v>0840</v>
      </c>
      <c r="X132" s="34" t="str">
        <f>IF(ISERROR(VLOOKUP(CONCATENATE($A132,$U$8,X$10),'Tariff Schedule Lookup Table'!$F$8:$G$286,2,FALSE))=TRUE,"",TEXT(VLOOKUP(CONCATENATE($A132,$U$8,X$10),'Tariff Schedule Lookup Table'!$F$8:$G$186,2,FALSE),"0000"))</f>
        <v>1050</v>
      </c>
      <c r="Y132" s="6"/>
      <c r="Z132" s="6"/>
      <c r="AA132" s="6"/>
      <c r="AB132" s="6"/>
      <c r="AC132" s="6"/>
    </row>
    <row r="133" spans="1:42" x14ac:dyDescent="0.2">
      <c r="A133" s="6" t="s">
        <v>1107</v>
      </c>
      <c r="B133" s="35" t="s">
        <v>166</v>
      </c>
      <c r="C133" s="197">
        <f>VLOOKUP(LEFT(B133,7),'Tariff Schedule Lookup Table'!$A$8:$D$186,3,FALSE)</f>
        <v>2000</v>
      </c>
      <c r="D133" s="199" t="str">
        <f>VLOOKUP(LEFT(B133,7),'Tariff Schedule Lookup Table'!$A$8:$D$186,2,FALSE)</f>
        <v>Metal Hallide (Reactor Control Gear) 2000</v>
      </c>
      <c r="E133" s="6" t="s">
        <v>1077</v>
      </c>
      <c r="F133" s="37">
        <f>VLOOKUP(LEFT(B133,7),'Tariff Schedule Lookup Table'!$A$8:$D$186,4,FALSE)</f>
        <v>2070</v>
      </c>
      <c r="G133" s="33">
        <f>VLOOKUP($B133,'Maintenance Costs'!$A$20:$AG$176,32,FALSE)</f>
        <v>188.19802105130185</v>
      </c>
      <c r="H133" s="67">
        <f>IF(VLOOKUP($B133,'Maintenance Costs'!$A$20:$AG$176,33,FALSE)=0,"",VLOOKUP($B133,'Maintenance Costs'!$A$20:$AG$176,33,FALSE))</f>
        <v>168.20557774034535</v>
      </c>
      <c r="I133" s="34" t="str">
        <f>IF(ISERROR(VLOOKUP(CONCATENATE($A133,$I$8,I$10),'Tariff Schedule Lookup Table'!$F$8:$G$286,2,FALSE))=TRUE,"",TEXT(VLOOKUP(CONCATENATE($A133,$I$8,I$10),'Tariff Schedule Lookup Table'!$F$8:$G$286,2,FALSE),"0000"))</f>
        <v>0120</v>
      </c>
      <c r="J133" s="34" t="str">
        <f>IF(ISERROR(VLOOKUP(CONCATENATE($A133,$I$8,J$10),'Tariff Schedule Lookup Table'!$F$8:$G$286,2,FALSE))=TRUE,"",TEXT(VLOOKUP(CONCATENATE($A133,$I$8,J$10),'Tariff Schedule Lookup Table'!$F$8:$G$286,2,FALSE),"0000"))</f>
        <v>1040</v>
      </c>
      <c r="K133" s="34" t="str">
        <f>IF(ISERROR(VLOOKUP(CONCATENATE($A133,$I$8,K$10),'Tariff Schedule Lookup Table'!$F$8:$G$286,2,FALSE))=TRUE,"",TEXT(VLOOKUP(CONCATENATE($A133,$I$8,K$10),'Tariff Schedule Lookup Table'!$F$8:$G$286,2,FALSE),"0000"))</f>
        <v/>
      </c>
      <c r="L133" s="34" t="str">
        <f>IF(ISERROR(VLOOKUP(CONCATENATE($A133,$I$8,L$10),'Tariff Schedule Lookup Table'!$F$8:$G$286,2,FALSE))=TRUE,"",TEXT(VLOOKUP(CONCATENATE($A133,$I$8,L$10),'Tariff Schedule Lookup Table'!$F$8:$G$286,2,FALSE),"0000"))</f>
        <v/>
      </c>
      <c r="M133" s="34" t="str">
        <f>IF(ISERROR(VLOOKUP(CONCATENATE($A133,$M$8,M$10),'Tariff Schedule Lookup Table'!$F$8:$G$286,2,FALSE))=TRUE,"",TEXT(VLOOKUP(CONCATENATE($A133,$M$8,M$10),'Tariff Schedule Lookup Table'!$F$8:$G$286,2,FALSE),"0000"))</f>
        <v>1110</v>
      </c>
      <c r="N133" s="34" t="str">
        <f>IF(ISERROR(VLOOKUP(CONCATENATE($A133,$M$8,N$10),'Tariff Schedule Lookup Table'!$F$8:$G$286,2,FALSE))=TRUE,"",TEXT(VLOOKUP(CONCATENATE($A133,$M$8,N$10),'Tariff Schedule Lookup Table'!$F$8:$G$286,2,FALSE),"0000"))</f>
        <v/>
      </c>
      <c r="O133" s="34" t="str">
        <f>IF(ISERROR(VLOOKUP(CONCATENATE($A133,$M$8,O$10),'Tariff Schedule Lookup Table'!$F$8:$G$286,2,FALSE))=TRUE,"",TEXT(VLOOKUP(CONCATENATE($A133,$M$8,O$10),'Tariff Schedule Lookup Table'!$F$8:$G$286,2,FALSE),"0000"))</f>
        <v/>
      </c>
      <c r="P133" s="34" t="str">
        <f>IF(ISERROR(VLOOKUP(CONCATENATE($A133,$M$8,P$10),'Tariff Schedule Lookup Table'!$F$8:$G$286,2,FALSE))=TRUE,"",TEXT(VLOOKUP(CONCATENATE($A133,$M$8,P$10),'Tariff Schedule Lookup Table'!$F$8:$G$286,2,FALSE),"0000"))</f>
        <v/>
      </c>
      <c r="Q133" s="34" t="str">
        <f>IF(ISERROR(VLOOKUP(CONCATENATE($A133,$Q$8,Q$10),'Tariff Schedule Lookup Table'!$F$8:$G$286,2,FALSE))=TRUE,"",TEXT(VLOOKUP(CONCATENATE($A133,$Q$8,Q$10),'Tariff Schedule Lookup Table'!$F$8:$G$286,2,FALSE),"0000"))</f>
        <v/>
      </c>
      <c r="R133" s="34" t="str">
        <f>IF(ISERROR(VLOOKUP(CONCATENATE($A133,$Q$8,R$10),'Tariff Schedule Lookup Table'!$F$8:$G$286,2,FALSE))=TRUE,"",TEXT(VLOOKUP(CONCATENATE($A133,$Q$8,R$10),'Tariff Schedule Lookup Table'!$F$8:$G$286,2,FALSE),"0000"))</f>
        <v/>
      </c>
      <c r="S133" s="34" t="str">
        <f>IF(ISERROR(VLOOKUP(CONCATENATE($A133,$Q$8,S$10),'Tariff Schedule Lookup Table'!$F$8:$G$286,2,FALSE))=TRUE,"",TEXT(VLOOKUP(CONCATENATE($A133,$Q$8,S$10),'Tariff Schedule Lookup Table'!$F$8:$G$286,2,FALSE),"0000"))</f>
        <v/>
      </c>
      <c r="T133" s="34" t="str">
        <f>IF(ISERROR(VLOOKUP(CONCATENATE($A133,$Q$8,T$10),'Tariff Schedule Lookup Table'!$F$8:$G$286,2,FALSE))=TRUE,"",TEXT(VLOOKUP(CONCATENATE($A133,$Q$8,T$10),'Tariff Schedule Lookup Table'!$F$8:$G$286,2,FALSE),"0000"))</f>
        <v/>
      </c>
      <c r="U133" s="34" t="str">
        <f>IF(ISERROR(VLOOKUP(CONCATENATE($A133,$U$8,U$10),'Tariff Schedule Lookup Table'!$F$8:$G$286,2,FALSE))=TRUE,"",TEXT(VLOOKUP(CONCATENATE($A133,$U$8,U$10),'Tariff Schedule Lookup Table'!$F$8:$G$286,2,FALSE),"0000"))</f>
        <v/>
      </c>
      <c r="V133" s="34" t="str">
        <f>IF(ISERROR(VLOOKUP(CONCATENATE($A133,$U$8,V$10),'Tariff Schedule Lookup Table'!$F$8:$G$286,2,FALSE))=TRUE,"",TEXT(VLOOKUP(CONCATENATE($A133,$U$8,V$10),'Tariff Schedule Lookup Table'!$F$8:$G$286,2,FALSE),"0000"))</f>
        <v>0850</v>
      </c>
      <c r="W133" s="34" t="str">
        <f>IF(ISERROR(VLOOKUP(CONCATENATE($A133,$U$8,W$10),'Tariff Schedule Lookup Table'!$F$8:$G$286,2,FALSE))=TRUE,"",TEXT(VLOOKUP(CONCATENATE($A133,$U$8,W$10),'Tariff Schedule Lookup Table'!$F$8:$G$286,2,FALSE),"0000"))</f>
        <v>0840</v>
      </c>
      <c r="X133" s="34" t="str">
        <f>IF(ISERROR(VLOOKUP(CONCATENATE($A133,$U$8,X$10),'Tariff Schedule Lookup Table'!$F$8:$G$286,2,FALSE))=TRUE,"",TEXT(VLOOKUP(CONCATENATE($A133,$U$8,X$10),'Tariff Schedule Lookup Table'!$F$8:$G$186,2,FALSE),"0000"))</f>
        <v>1050</v>
      </c>
      <c r="Y133" s="6"/>
      <c r="Z133" s="6"/>
      <c r="AA133" s="6"/>
      <c r="AB133" s="6"/>
      <c r="AC133" s="6"/>
    </row>
    <row r="134" spans="1:42" x14ac:dyDescent="0.2">
      <c r="A134" s="6" t="s">
        <v>1107</v>
      </c>
      <c r="B134" s="35" t="s">
        <v>235</v>
      </c>
      <c r="C134" s="197">
        <f>VLOOKUP(LEFT(B134,7),'Tariff Schedule Lookup Table'!$A$8:$D$186,3,FALSE)</f>
        <v>3745</v>
      </c>
      <c r="D134" s="199" t="str">
        <f>VLOOKUP(LEFT(B134,7),'Tariff Schedule Lookup Table'!$A$8:$D$186,2,FALSE)</f>
        <v>Metal Hallide (Reactor Control Gear) 3745</v>
      </c>
      <c r="E134" s="6" t="s">
        <v>1077</v>
      </c>
      <c r="F134" s="37">
        <f>VLOOKUP(LEFT(B134,7),'Tariff Schedule Lookup Table'!$A$8:$D$186,4,FALSE)</f>
        <v>3745</v>
      </c>
      <c r="G134" s="33">
        <f>VLOOKUP($B134,'Maintenance Costs'!$A$20:$AG$176,32,FALSE)</f>
        <v>188.19802105130185</v>
      </c>
      <c r="H134" s="67">
        <f>IF(VLOOKUP($B134,'Maintenance Costs'!$A$20:$AG$176,33,FALSE)=0,"",VLOOKUP($B134,'Maintenance Costs'!$A$20:$AG$176,33,FALSE))</f>
        <v>168.20557774034535</v>
      </c>
      <c r="I134" s="34" t="str">
        <f>IF(ISERROR(VLOOKUP(CONCATENATE($A134,$I$8,I$10),'Tariff Schedule Lookup Table'!$F$8:$G$286,2,FALSE))=TRUE,"",TEXT(VLOOKUP(CONCATENATE($A134,$I$8,I$10),'Tariff Schedule Lookup Table'!$F$8:$G$286,2,FALSE),"0000"))</f>
        <v>0120</v>
      </c>
      <c r="J134" s="34" t="str">
        <f>IF(ISERROR(VLOOKUP(CONCATENATE($A134,$I$8,J$10),'Tariff Schedule Lookup Table'!$F$8:$G$286,2,FALSE))=TRUE,"",TEXT(VLOOKUP(CONCATENATE($A134,$I$8,J$10),'Tariff Schedule Lookup Table'!$F$8:$G$286,2,FALSE),"0000"))</f>
        <v>1040</v>
      </c>
      <c r="K134" s="34" t="str">
        <f>IF(ISERROR(VLOOKUP(CONCATENATE($A134,$I$8,K$10),'Tariff Schedule Lookup Table'!$F$8:$G$286,2,FALSE))=TRUE,"",TEXT(VLOOKUP(CONCATENATE($A134,$I$8,K$10),'Tariff Schedule Lookup Table'!$F$8:$G$286,2,FALSE),"0000"))</f>
        <v/>
      </c>
      <c r="L134" s="34" t="str">
        <f>IF(ISERROR(VLOOKUP(CONCATENATE($A134,$I$8,L$10),'Tariff Schedule Lookup Table'!$F$8:$G$286,2,FALSE))=TRUE,"",TEXT(VLOOKUP(CONCATENATE($A134,$I$8,L$10),'Tariff Schedule Lookup Table'!$F$8:$G$286,2,FALSE),"0000"))</f>
        <v/>
      </c>
      <c r="M134" s="34" t="str">
        <f>IF(ISERROR(VLOOKUP(CONCATENATE($A134,$M$8,M$10),'Tariff Schedule Lookup Table'!$F$8:$G$286,2,FALSE))=TRUE,"",TEXT(VLOOKUP(CONCATENATE($A134,$M$8,M$10),'Tariff Schedule Lookup Table'!$F$8:$G$286,2,FALSE),"0000"))</f>
        <v>1110</v>
      </c>
      <c r="N134" s="34" t="str">
        <f>IF(ISERROR(VLOOKUP(CONCATENATE($A134,$M$8,N$10),'Tariff Schedule Lookup Table'!$F$8:$G$286,2,FALSE))=TRUE,"",TEXT(VLOOKUP(CONCATENATE($A134,$M$8,N$10),'Tariff Schedule Lookup Table'!$F$8:$G$286,2,FALSE),"0000"))</f>
        <v/>
      </c>
      <c r="O134" s="34" t="str">
        <f>IF(ISERROR(VLOOKUP(CONCATENATE($A134,$M$8,O$10),'Tariff Schedule Lookup Table'!$F$8:$G$286,2,FALSE))=TRUE,"",TEXT(VLOOKUP(CONCATENATE($A134,$M$8,O$10),'Tariff Schedule Lookup Table'!$F$8:$G$286,2,FALSE),"0000"))</f>
        <v/>
      </c>
      <c r="P134" s="34" t="str">
        <f>IF(ISERROR(VLOOKUP(CONCATENATE($A134,$M$8,P$10),'Tariff Schedule Lookup Table'!$F$8:$G$286,2,FALSE))=TRUE,"",TEXT(VLOOKUP(CONCATENATE($A134,$M$8,P$10),'Tariff Schedule Lookup Table'!$F$8:$G$286,2,FALSE),"0000"))</f>
        <v/>
      </c>
      <c r="Q134" s="34" t="str">
        <f>IF(ISERROR(VLOOKUP(CONCATENATE($A134,$Q$8,Q$10),'Tariff Schedule Lookup Table'!$F$8:$G$286,2,FALSE))=TRUE,"",TEXT(VLOOKUP(CONCATENATE($A134,$Q$8,Q$10),'Tariff Schedule Lookup Table'!$F$8:$G$286,2,FALSE),"0000"))</f>
        <v/>
      </c>
      <c r="R134" s="34" t="str">
        <f>IF(ISERROR(VLOOKUP(CONCATENATE($A134,$Q$8,R$10),'Tariff Schedule Lookup Table'!$F$8:$G$286,2,FALSE))=TRUE,"",TEXT(VLOOKUP(CONCATENATE($A134,$Q$8,R$10),'Tariff Schedule Lookup Table'!$F$8:$G$286,2,FALSE),"0000"))</f>
        <v/>
      </c>
      <c r="S134" s="34" t="str">
        <f>IF(ISERROR(VLOOKUP(CONCATENATE($A134,$Q$8,S$10),'Tariff Schedule Lookup Table'!$F$8:$G$286,2,FALSE))=TRUE,"",TEXT(VLOOKUP(CONCATENATE($A134,$Q$8,S$10),'Tariff Schedule Lookup Table'!$F$8:$G$286,2,FALSE),"0000"))</f>
        <v/>
      </c>
      <c r="T134" s="34" t="str">
        <f>IF(ISERROR(VLOOKUP(CONCATENATE($A134,$Q$8,T$10),'Tariff Schedule Lookup Table'!$F$8:$G$286,2,FALSE))=TRUE,"",TEXT(VLOOKUP(CONCATENATE($A134,$Q$8,T$10),'Tariff Schedule Lookup Table'!$F$8:$G$286,2,FALSE),"0000"))</f>
        <v/>
      </c>
      <c r="U134" s="34" t="str">
        <f>IF(ISERROR(VLOOKUP(CONCATENATE($A134,$U$8,U$10),'Tariff Schedule Lookup Table'!$F$8:$G$286,2,FALSE))=TRUE,"",TEXT(VLOOKUP(CONCATENATE($A134,$U$8,U$10),'Tariff Schedule Lookup Table'!$F$8:$G$286,2,FALSE),"0000"))</f>
        <v/>
      </c>
      <c r="V134" s="34" t="str">
        <f>IF(ISERROR(VLOOKUP(CONCATENATE($A134,$U$8,V$10),'Tariff Schedule Lookup Table'!$F$8:$G$286,2,FALSE))=TRUE,"",TEXT(VLOOKUP(CONCATENATE($A134,$U$8,V$10),'Tariff Schedule Lookup Table'!$F$8:$G$286,2,FALSE),"0000"))</f>
        <v>0850</v>
      </c>
      <c r="W134" s="34" t="str">
        <f>IF(ISERROR(VLOOKUP(CONCATENATE($A134,$U$8,W$10),'Tariff Schedule Lookup Table'!$F$8:$G$286,2,FALSE))=TRUE,"",TEXT(VLOOKUP(CONCATENATE($A134,$U$8,W$10),'Tariff Schedule Lookup Table'!$F$8:$G$286,2,FALSE),"0000"))</f>
        <v>0840</v>
      </c>
      <c r="X134" s="34" t="str">
        <f>IF(ISERROR(VLOOKUP(CONCATENATE($A134,$U$8,X$10),'Tariff Schedule Lookup Table'!$F$8:$G$286,2,FALSE))=TRUE,"",TEXT(VLOOKUP(CONCATENATE($A134,$U$8,X$10),'Tariff Schedule Lookup Table'!$F$8:$G$186,2,FALSE),"0000"))</f>
        <v>1050</v>
      </c>
      <c r="Y134" s="6"/>
      <c r="Z134" s="6"/>
      <c r="AA134" s="6"/>
      <c r="AB134" s="6"/>
      <c r="AC134" s="6"/>
    </row>
    <row r="135" spans="1:42" x14ac:dyDescent="0.2">
      <c r="A135" s="6" t="s">
        <v>993</v>
      </c>
      <c r="B135" s="35" t="s">
        <v>2135</v>
      </c>
      <c r="C135" s="197">
        <f>VLOOKUP(LEFT(B135,7),'Tariff Schedule Lookup Table'!$A$8:$D$186,3,FALSE)</f>
        <v>50</v>
      </c>
      <c r="D135" s="199" t="str">
        <f>VLOOKUP(LEFT(B135,7),'Tariff Schedule Lookup Table'!$A$8:$D$186,2,FALSE)</f>
        <v>Mercury Vapour 50</v>
      </c>
      <c r="E135" s="6" t="s">
        <v>996</v>
      </c>
      <c r="F135" s="37">
        <f>VLOOKUP(LEFT(B135,7),'Tariff Schedule Lookup Table'!$A$8:$D$186,4,FALSE)</f>
        <v>65</v>
      </c>
      <c r="G135" s="33">
        <f>VLOOKUP($B135,'Maintenance Costs'!$A$20:$AG$176,32,FALSE)</f>
        <v>67.02885897425648</v>
      </c>
      <c r="H135" s="67">
        <f>IF(VLOOKUP($B135,'Maintenance Costs'!$A$20:$AG$176,33,FALSE)=0,"",VLOOKUP($B135,'Maintenance Costs'!$A$20:$AG$176,33,FALSE))</f>
        <v>34.136728572789771</v>
      </c>
      <c r="I135" s="34" t="str">
        <f>IF(ISERROR(VLOOKUP(CONCATENATE($A135,$I$8,I$10),'Tariff Schedule Lookup Table'!$F$8:$G$286,2,FALSE))=TRUE,"",TEXT(VLOOKUP(CONCATENATE($A135,$I$8,I$10),'Tariff Schedule Lookup Table'!$F$8:$G$286,2,FALSE),"0000"))</f>
        <v>0010</v>
      </c>
      <c r="J135" s="34" t="str">
        <f>IF(ISERROR(VLOOKUP(CONCATENATE($A135,$I$8,J$10),'Tariff Schedule Lookup Table'!$F$8:$G$286,2,FALSE))=TRUE,"",TEXT(VLOOKUP(CONCATENATE($A135,$I$8,J$10),'Tariff Schedule Lookup Table'!$F$8:$G$286,2,FALSE),"0000"))</f>
        <v>0740</v>
      </c>
      <c r="K135" s="34" t="str">
        <f>IF(ISERROR(VLOOKUP(CONCATENATE($A135,$I$8,K$10),'Tariff Schedule Lookup Table'!$F$8:$G$286,2,FALSE))=TRUE,"",TEXT(VLOOKUP(CONCATENATE($A135,$I$8,K$10),'Tariff Schedule Lookup Table'!$F$8:$G$286,2,FALSE),"0000"))</f>
        <v>0820</v>
      </c>
      <c r="L135" s="34" t="str">
        <f>IF(ISERROR(VLOOKUP(CONCATENATE($A135,$I$8,L$10),'Tariff Schedule Lookup Table'!$F$8:$G$286,2,FALSE))=TRUE,"",TEXT(VLOOKUP(CONCATENATE($A135,$I$8,L$10),'Tariff Schedule Lookup Table'!$F$8:$G$286,2,FALSE),"0000"))</f>
        <v>0830</v>
      </c>
      <c r="M135" s="34" t="str">
        <f>IF(ISERROR(VLOOKUP(CONCATENATE($A135,$M$8,M$10),'Tariff Schedule Lookup Table'!$F$8:$G$286,2,FALSE))=TRUE,"",TEXT(VLOOKUP(CONCATENATE($A135,$M$8,M$10),'Tariff Schedule Lookup Table'!$F$8:$G$286,2,FALSE),"0000"))</f>
        <v>0810</v>
      </c>
      <c r="N135" s="34" t="str">
        <f>IF(ISERROR(VLOOKUP(CONCATENATE($A135,$M$8,N$10),'Tariff Schedule Lookup Table'!$F$8:$G$286,2,FALSE))=TRUE,"",TEXT(VLOOKUP(CONCATENATE($A135,$M$8,N$10),'Tariff Schedule Lookup Table'!$F$8:$G$286,2,FALSE),"0000"))</f>
        <v>1260</v>
      </c>
      <c r="O135" s="34" t="str">
        <f>IF(ISERROR(VLOOKUP(CONCATENATE($A135,$M$8,O$10),'Tariff Schedule Lookup Table'!$F$8:$G$286,2,FALSE))=TRUE,"",TEXT(VLOOKUP(CONCATENATE($A135,$M$8,O$10),'Tariff Schedule Lookup Table'!$F$8:$G$286,2,FALSE),"0000"))</f>
        <v/>
      </c>
      <c r="P135" s="34" t="str">
        <f>IF(ISERROR(VLOOKUP(CONCATENATE($A135,$M$8,P$10),'Tariff Schedule Lookup Table'!$F$8:$G$286,2,FALSE))=TRUE,"",TEXT(VLOOKUP(CONCATENATE($A135,$M$8,P$10),'Tariff Schedule Lookup Table'!$F$8:$G$286,2,FALSE),"0000"))</f>
        <v/>
      </c>
      <c r="Q135" s="34" t="str">
        <f>IF(ISERROR(VLOOKUP(CONCATENATE($A135,$Q$8,Q$10),'Tariff Schedule Lookup Table'!$F$8:$G$286,2,FALSE))=TRUE,"",TEXT(VLOOKUP(CONCATENATE($A135,$Q$8,Q$10),'Tariff Schedule Lookup Table'!$F$8:$G$286,2,FALSE),"0000"))</f>
        <v>0990</v>
      </c>
      <c r="R135" s="34" t="str">
        <f>IF(ISERROR(VLOOKUP(CONCATENATE($A135,$Q$8,R$10),'Tariff Schedule Lookup Table'!$F$8:$G$286,2,FALSE))=TRUE,"",TEXT(VLOOKUP(CONCATENATE($A135,$Q$8,R$10),'Tariff Schedule Lookup Table'!$F$8:$G$286,2,FALSE),"0000"))</f>
        <v>1000</v>
      </c>
      <c r="S135" s="34" t="str">
        <f>IF(ISERROR(VLOOKUP(CONCATENATE($A135,$Q$8,S$10),'Tariff Schedule Lookup Table'!$F$8:$G$286,2,FALSE))=TRUE,"",TEXT(VLOOKUP(CONCATENATE($A135,$Q$8,S$10),'Tariff Schedule Lookup Table'!$F$8:$G$286,2,FALSE),"0000"))</f>
        <v>1460</v>
      </c>
      <c r="T135" s="34" t="str">
        <f>IF(ISERROR(VLOOKUP(CONCATENATE($A135,$Q$8,T$10),'Tariff Schedule Lookup Table'!$F$8:$G$286,2,FALSE))=TRUE,"",TEXT(VLOOKUP(CONCATENATE($A135,$Q$8,T$10),'Tariff Schedule Lookup Table'!$F$8:$G$286,2,FALSE),"0000"))</f>
        <v>1500</v>
      </c>
      <c r="U135" s="34" t="str">
        <f>IF(ISERROR(VLOOKUP(CONCATENATE($A135,$U$8,U$10),'Tariff Schedule Lookup Table'!$F$8:$G$286,2,FALSE))=TRUE,"",TEXT(VLOOKUP(CONCATENATE($A135,$U$8,U$10),'Tariff Schedule Lookup Table'!$F$8:$G$286,2,FALSE),"0000"))</f>
        <v/>
      </c>
      <c r="V135" s="34" t="str">
        <f>IF(ISERROR(VLOOKUP(CONCATENATE($A135,$U$8,V$10),'Tariff Schedule Lookup Table'!$F$8:$G$286,2,FALSE))=TRUE,"",TEXT(VLOOKUP(CONCATENATE($A135,$U$8,V$10),'Tariff Schedule Lookup Table'!$F$8:$G$286,2,FALSE),"0000"))</f>
        <v/>
      </c>
      <c r="W135" s="34" t="str">
        <f>IF(ISERROR(VLOOKUP(CONCATENATE($A135,$U$8,W$10),'Tariff Schedule Lookup Table'!$F$8:$G$286,2,FALSE))=TRUE,"",TEXT(VLOOKUP(CONCATENATE($A135,$U$8,W$10),'Tariff Schedule Lookup Table'!$F$8:$G$286,2,FALSE),"0000"))</f>
        <v/>
      </c>
      <c r="X135" s="34" t="str">
        <f>IF(ISERROR(VLOOKUP(CONCATENATE($A135,$U$8,X$10),'Tariff Schedule Lookup Table'!$F$8:$G$286,2,FALSE))=TRUE,"",TEXT(VLOOKUP(CONCATENATE($A135,$U$8,X$10),'Tariff Schedule Lookup Table'!$F$8:$G$186,2,FALSE),"0000"))</f>
        <v/>
      </c>
      <c r="Y135" s="6"/>
      <c r="Z135" s="6"/>
      <c r="AA135" s="6"/>
      <c r="AB135" s="6"/>
      <c r="AC135" s="6"/>
    </row>
    <row r="136" spans="1:42" x14ac:dyDescent="0.2">
      <c r="A136" s="38" t="s">
        <v>993</v>
      </c>
      <c r="B136" s="39" t="s">
        <v>2136</v>
      </c>
      <c r="C136" s="197">
        <f>VLOOKUP(LEFT(B136,7),'Tariff Schedule Lookup Table'!$A$8:$D$186,3,FALSE)</f>
        <v>80</v>
      </c>
      <c r="D136" s="199" t="str">
        <f>VLOOKUP(LEFT(B136,7),'Tariff Schedule Lookup Table'!$A$8:$D$186,2,FALSE)</f>
        <v>Mercury Vapour 80</v>
      </c>
      <c r="E136" s="6" t="s">
        <v>996</v>
      </c>
      <c r="F136" s="37">
        <f>VLOOKUP(LEFT(B136,7),'Tariff Schedule Lookup Table'!$A$8:$D$186,4,FALSE)</f>
        <v>95.8</v>
      </c>
      <c r="G136" s="33">
        <f>VLOOKUP($B136,'Maintenance Costs'!$A$20:$AG$176,32,FALSE)</f>
        <v>67.383383924256478</v>
      </c>
      <c r="H136" s="67">
        <f>IF(VLOOKUP($B136,'Maintenance Costs'!$A$20:$AG$176,33,FALSE)=0,"",VLOOKUP($B136,'Maintenance Costs'!$A$20:$AG$176,33,FALSE))</f>
        <v>34.396113742339779</v>
      </c>
      <c r="I136" s="34" t="str">
        <f>IF(ISERROR(VLOOKUP(CONCATENATE($A136,$I$8,I$10),'Tariff Schedule Lookup Table'!$F$8:$G$286,2,FALSE))=TRUE,"",TEXT(VLOOKUP(CONCATENATE($A136,$I$8,I$10),'Tariff Schedule Lookup Table'!$F$8:$G$286,2,FALSE),"0000"))</f>
        <v>0010</v>
      </c>
      <c r="J136" s="34" t="str">
        <f>IF(ISERROR(VLOOKUP(CONCATENATE($A136,$I$8,J$10),'Tariff Schedule Lookup Table'!$F$8:$G$286,2,FALSE))=TRUE,"",TEXT(VLOOKUP(CONCATENATE($A136,$I$8,J$10),'Tariff Schedule Lookup Table'!$F$8:$G$286,2,FALSE),"0000"))</f>
        <v>0740</v>
      </c>
      <c r="K136" s="34" t="str">
        <f>IF(ISERROR(VLOOKUP(CONCATENATE($A136,$I$8,K$10),'Tariff Schedule Lookup Table'!$F$8:$G$286,2,FALSE))=TRUE,"",TEXT(VLOOKUP(CONCATENATE($A136,$I$8,K$10),'Tariff Schedule Lookup Table'!$F$8:$G$286,2,FALSE),"0000"))</f>
        <v>0820</v>
      </c>
      <c r="L136" s="34" t="str">
        <f>IF(ISERROR(VLOOKUP(CONCATENATE($A136,$I$8,L$10),'Tariff Schedule Lookup Table'!$F$8:$G$286,2,FALSE))=TRUE,"",TEXT(VLOOKUP(CONCATENATE($A136,$I$8,L$10),'Tariff Schedule Lookup Table'!$F$8:$G$286,2,FALSE),"0000"))</f>
        <v>0830</v>
      </c>
      <c r="M136" s="34" t="str">
        <f>IF(ISERROR(VLOOKUP(CONCATENATE($A136,$M$8,M$10),'Tariff Schedule Lookup Table'!$F$8:$G$286,2,FALSE))=TRUE,"",TEXT(VLOOKUP(CONCATENATE($A136,$M$8,M$10),'Tariff Schedule Lookup Table'!$F$8:$G$286,2,FALSE),"0000"))</f>
        <v>0810</v>
      </c>
      <c r="N136" s="34" t="str">
        <f>IF(ISERROR(VLOOKUP(CONCATENATE($A136,$M$8,N$10),'Tariff Schedule Lookup Table'!$F$8:$G$286,2,FALSE))=TRUE,"",TEXT(VLOOKUP(CONCATENATE($A136,$M$8,N$10),'Tariff Schedule Lookup Table'!$F$8:$G$286,2,FALSE),"0000"))</f>
        <v>1260</v>
      </c>
      <c r="O136" s="34" t="str">
        <f>IF(ISERROR(VLOOKUP(CONCATENATE($A136,$M$8,O$10),'Tariff Schedule Lookup Table'!$F$8:$G$286,2,FALSE))=TRUE,"",TEXT(VLOOKUP(CONCATENATE($A136,$M$8,O$10),'Tariff Schedule Lookup Table'!$F$8:$G$286,2,FALSE),"0000"))</f>
        <v/>
      </c>
      <c r="P136" s="34" t="str">
        <f>IF(ISERROR(VLOOKUP(CONCATENATE($A136,$M$8,P$10),'Tariff Schedule Lookup Table'!$F$8:$G$286,2,FALSE))=TRUE,"",TEXT(VLOOKUP(CONCATENATE($A136,$M$8,P$10),'Tariff Schedule Lookup Table'!$F$8:$G$286,2,FALSE),"0000"))</f>
        <v/>
      </c>
      <c r="Q136" s="34" t="str">
        <f>IF(ISERROR(VLOOKUP(CONCATENATE($A136,$Q$8,Q$10),'Tariff Schedule Lookup Table'!$F$8:$G$286,2,FALSE))=TRUE,"",TEXT(VLOOKUP(CONCATENATE($A136,$Q$8,Q$10),'Tariff Schedule Lookup Table'!$F$8:$G$286,2,FALSE),"0000"))</f>
        <v>0990</v>
      </c>
      <c r="R136" s="34" t="str">
        <f>IF(ISERROR(VLOOKUP(CONCATENATE($A136,$Q$8,R$10),'Tariff Schedule Lookup Table'!$F$8:$G$286,2,FALSE))=TRUE,"",TEXT(VLOOKUP(CONCATENATE($A136,$Q$8,R$10),'Tariff Schedule Lookup Table'!$F$8:$G$286,2,FALSE),"0000"))</f>
        <v>1000</v>
      </c>
      <c r="S136" s="34" t="str">
        <f>IF(ISERROR(VLOOKUP(CONCATENATE($A136,$Q$8,S$10),'Tariff Schedule Lookup Table'!$F$8:$G$286,2,FALSE))=TRUE,"",TEXT(VLOOKUP(CONCATENATE($A136,$Q$8,S$10),'Tariff Schedule Lookup Table'!$F$8:$G$286,2,FALSE),"0000"))</f>
        <v>1460</v>
      </c>
      <c r="T136" s="34" t="str">
        <f>IF(ISERROR(VLOOKUP(CONCATENATE($A136,$Q$8,T$10),'Tariff Schedule Lookup Table'!$F$8:$G$286,2,FALSE))=TRUE,"",TEXT(VLOOKUP(CONCATENATE($A136,$Q$8,T$10),'Tariff Schedule Lookup Table'!$F$8:$G$286,2,FALSE),"0000"))</f>
        <v>1500</v>
      </c>
      <c r="U136" s="34" t="str">
        <f>IF(ISERROR(VLOOKUP(CONCATENATE($A136,$U$8,U$10),'Tariff Schedule Lookup Table'!$F$8:$G$286,2,FALSE))=TRUE,"",TEXT(VLOOKUP(CONCATENATE($A136,$U$8,U$10),'Tariff Schedule Lookup Table'!$F$8:$G$286,2,FALSE),"0000"))</f>
        <v/>
      </c>
      <c r="V136" s="34" t="str">
        <f>IF(ISERROR(VLOOKUP(CONCATENATE($A136,$U$8,V$10),'Tariff Schedule Lookup Table'!$F$8:$G$286,2,FALSE))=TRUE,"",TEXT(VLOOKUP(CONCATENATE($A136,$U$8,V$10),'Tariff Schedule Lookup Table'!$F$8:$G$286,2,FALSE),"0000"))</f>
        <v/>
      </c>
      <c r="W136" s="34" t="str">
        <f>IF(ISERROR(VLOOKUP(CONCATENATE($A136,$U$8,W$10),'Tariff Schedule Lookup Table'!$F$8:$G$286,2,FALSE))=TRUE,"",TEXT(VLOOKUP(CONCATENATE($A136,$U$8,W$10),'Tariff Schedule Lookup Table'!$F$8:$G$286,2,FALSE),"0000"))</f>
        <v/>
      </c>
      <c r="X136" s="34" t="str">
        <f>IF(ISERROR(VLOOKUP(CONCATENATE($A136,$U$8,X$10),'Tariff Schedule Lookup Table'!$F$8:$G$286,2,FALSE))=TRUE,"",TEXT(VLOOKUP(CONCATENATE($A136,$U$8,X$10),'Tariff Schedule Lookup Table'!$F$8:$G$186,2,FALSE),"0000"))</f>
        <v/>
      </c>
      <c r="Y136" s="6"/>
      <c r="Z136" s="6"/>
      <c r="AA136" s="6"/>
      <c r="AB136" s="6"/>
      <c r="AC136" s="6"/>
    </row>
    <row r="137" spans="1:42" x14ac:dyDescent="0.2">
      <c r="A137" s="38" t="s">
        <v>993</v>
      </c>
      <c r="B137" s="39" t="s">
        <v>167</v>
      </c>
      <c r="C137" s="197" t="str">
        <f>VLOOKUP(LEFT(B137,7),'Tariff Schedule Lookup Table'!$A$8:$D$186,3,FALSE)</f>
        <v>2x80</v>
      </c>
      <c r="D137" s="199" t="str">
        <f>VLOOKUP(LEFT(B137,7),'Tariff Schedule Lookup Table'!$A$8:$D$186,2,FALSE)</f>
        <v>Mercury Vapour 2x80</v>
      </c>
      <c r="E137" s="6" t="s">
        <v>996</v>
      </c>
      <c r="F137" s="37">
        <f>VLOOKUP(LEFT(B137,7),'Tariff Schedule Lookup Table'!$A$8:$D$186,4,FALSE)</f>
        <v>191.6</v>
      </c>
      <c r="G137" s="33">
        <f>VLOOKUP($B137,'Maintenance Costs'!$A$20:$AG$176,32,FALSE)</f>
        <v>71.289847524256473</v>
      </c>
      <c r="H137" s="67">
        <f>IF(VLOOKUP($B137,'Maintenance Costs'!$A$20:$AG$176,33,FALSE)=0,"",VLOOKUP($B137,'Maintenance Costs'!$A$20:$AG$176,33,FALSE))</f>
        <v>41.174162545839771</v>
      </c>
      <c r="I137" s="34" t="str">
        <f>IF(ISERROR(VLOOKUP(CONCATENATE($A137,$I$8,I$10),'Tariff Schedule Lookup Table'!$F$8:$G$286,2,FALSE))=TRUE,"",TEXT(VLOOKUP(CONCATENATE($A137,$I$8,I$10),'Tariff Schedule Lookup Table'!$F$8:$G$286,2,FALSE),"0000"))</f>
        <v>0010</v>
      </c>
      <c r="J137" s="34" t="str">
        <f>IF(ISERROR(VLOOKUP(CONCATENATE($A137,$I$8,J$10),'Tariff Schedule Lookup Table'!$F$8:$G$286,2,FALSE))=TRUE,"",TEXT(VLOOKUP(CONCATENATE($A137,$I$8,J$10),'Tariff Schedule Lookup Table'!$F$8:$G$286,2,FALSE),"0000"))</f>
        <v>0740</v>
      </c>
      <c r="K137" s="34" t="str">
        <f>IF(ISERROR(VLOOKUP(CONCATENATE($A137,$I$8,K$10),'Tariff Schedule Lookup Table'!$F$8:$G$286,2,FALSE))=TRUE,"",TEXT(VLOOKUP(CONCATENATE($A137,$I$8,K$10),'Tariff Schedule Lookup Table'!$F$8:$G$286,2,FALSE),"0000"))</f>
        <v>0820</v>
      </c>
      <c r="L137" s="34" t="str">
        <f>IF(ISERROR(VLOOKUP(CONCATENATE($A137,$I$8,L$10),'Tariff Schedule Lookup Table'!$F$8:$G$286,2,FALSE))=TRUE,"",TEXT(VLOOKUP(CONCATENATE($A137,$I$8,L$10),'Tariff Schedule Lookup Table'!$F$8:$G$286,2,FALSE),"0000"))</f>
        <v>0830</v>
      </c>
      <c r="M137" s="34" t="str">
        <f>IF(ISERROR(VLOOKUP(CONCATENATE($A137,$M$8,M$10),'Tariff Schedule Lookup Table'!$F$8:$G$286,2,FALSE))=TRUE,"",TEXT(VLOOKUP(CONCATENATE($A137,$M$8,M$10),'Tariff Schedule Lookup Table'!$F$8:$G$286,2,FALSE),"0000"))</f>
        <v>0810</v>
      </c>
      <c r="N137" s="34" t="str">
        <f>IF(ISERROR(VLOOKUP(CONCATENATE($A137,$M$8,N$10),'Tariff Schedule Lookup Table'!$F$8:$G$286,2,FALSE))=TRUE,"",TEXT(VLOOKUP(CONCATENATE($A137,$M$8,N$10),'Tariff Schedule Lookup Table'!$F$8:$G$286,2,FALSE),"0000"))</f>
        <v>1260</v>
      </c>
      <c r="O137" s="34" t="str">
        <f>IF(ISERROR(VLOOKUP(CONCATENATE($A137,$M$8,O$10),'Tariff Schedule Lookup Table'!$F$8:$G$286,2,FALSE))=TRUE,"",TEXT(VLOOKUP(CONCATENATE($A137,$M$8,O$10),'Tariff Schedule Lookup Table'!$F$8:$G$286,2,FALSE),"0000"))</f>
        <v/>
      </c>
      <c r="P137" s="34" t="str">
        <f>IF(ISERROR(VLOOKUP(CONCATENATE($A137,$M$8,P$10),'Tariff Schedule Lookup Table'!$F$8:$G$286,2,FALSE))=TRUE,"",TEXT(VLOOKUP(CONCATENATE($A137,$M$8,P$10),'Tariff Schedule Lookup Table'!$F$8:$G$286,2,FALSE),"0000"))</f>
        <v/>
      </c>
      <c r="Q137" s="34" t="str">
        <f>IF(ISERROR(VLOOKUP(CONCATENATE($A137,$Q$8,Q$10),'Tariff Schedule Lookup Table'!$F$8:$G$286,2,FALSE))=TRUE,"",TEXT(VLOOKUP(CONCATENATE($A137,$Q$8,Q$10),'Tariff Schedule Lookup Table'!$F$8:$G$286,2,FALSE),"0000"))</f>
        <v>0990</v>
      </c>
      <c r="R137" s="34" t="str">
        <f>IF(ISERROR(VLOOKUP(CONCATENATE($A137,$Q$8,R$10),'Tariff Schedule Lookup Table'!$F$8:$G$286,2,FALSE))=TRUE,"",TEXT(VLOOKUP(CONCATENATE($A137,$Q$8,R$10),'Tariff Schedule Lookup Table'!$F$8:$G$286,2,FALSE),"0000"))</f>
        <v>1000</v>
      </c>
      <c r="S137" s="34" t="str">
        <f>IF(ISERROR(VLOOKUP(CONCATENATE($A137,$Q$8,S$10),'Tariff Schedule Lookup Table'!$F$8:$G$286,2,FALSE))=TRUE,"",TEXT(VLOOKUP(CONCATENATE($A137,$Q$8,S$10),'Tariff Schedule Lookup Table'!$F$8:$G$286,2,FALSE),"0000"))</f>
        <v>1460</v>
      </c>
      <c r="T137" s="34" t="str">
        <f>IF(ISERROR(VLOOKUP(CONCATENATE($A137,$Q$8,T$10),'Tariff Schedule Lookup Table'!$F$8:$G$286,2,FALSE))=TRUE,"",TEXT(VLOOKUP(CONCATENATE($A137,$Q$8,T$10),'Tariff Schedule Lookup Table'!$F$8:$G$286,2,FALSE),"0000"))</f>
        <v>1500</v>
      </c>
      <c r="U137" s="34" t="str">
        <f>IF(ISERROR(VLOOKUP(CONCATENATE($A137,$U$8,U$10),'Tariff Schedule Lookup Table'!$F$8:$G$286,2,FALSE))=TRUE,"",TEXT(VLOOKUP(CONCATENATE($A137,$U$8,U$10),'Tariff Schedule Lookup Table'!$F$8:$G$286,2,FALSE),"0000"))</f>
        <v/>
      </c>
      <c r="V137" s="34" t="str">
        <f>IF(ISERROR(VLOOKUP(CONCATENATE($A137,$U$8,V$10),'Tariff Schedule Lookup Table'!$F$8:$G$286,2,FALSE))=TRUE,"",TEXT(VLOOKUP(CONCATENATE($A137,$U$8,V$10),'Tariff Schedule Lookup Table'!$F$8:$G$286,2,FALSE),"0000"))</f>
        <v/>
      </c>
      <c r="W137" s="34" t="str">
        <f>IF(ISERROR(VLOOKUP(CONCATENATE($A137,$U$8,W$10),'Tariff Schedule Lookup Table'!$F$8:$G$286,2,FALSE))=TRUE,"",TEXT(VLOOKUP(CONCATENATE($A137,$U$8,W$10),'Tariff Schedule Lookup Table'!$F$8:$G$286,2,FALSE),"0000"))</f>
        <v/>
      </c>
      <c r="X137" s="34" t="str">
        <f>IF(ISERROR(VLOOKUP(CONCATENATE($A137,$U$8,X$10),'Tariff Schedule Lookup Table'!$F$8:$G$286,2,FALSE))=TRUE,"",TEXT(VLOOKUP(CONCATENATE($A137,$U$8,X$10),'Tariff Schedule Lookup Table'!$F$8:$G$186,2,FALSE),"0000"))</f>
        <v/>
      </c>
      <c r="Y137" s="6"/>
      <c r="Z137" s="6"/>
      <c r="AA137" s="6"/>
      <c r="AB137" s="6"/>
      <c r="AC137" s="6"/>
    </row>
    <row r="138" spans="1:42" x14ac:dyDescent="0.2">
      <c r="A138" s="6" t="s">
        <v>993</v>
      </c>
      <c r="B138" s="39" t="s">
        <v>902</v>
      </c>
      <c r="C138" s="197" t="str">
        <f>VLOOKUP(LEFT(B138,7),'Tariff Schedule Lookup Table'!$A$8:$D$186,3,FALSE)</f>
        <v>3x80</v>
      </c>
      <c r="D138" s="199" t="str">
        <f>VLOOKUP(LEFT(B138,7),'Tariff Schedule Lookup Table'!$A$8:$D$186,2,FALSE)</f>
        <v>Mercury Vapour 3x80</v>
      </c>
      <c r="E138" s="6" t="s">
        <v>996</v>
      </c>
      <c r="F138" s="37">
        <f>VLOOKUP(LEFT(B138,7),'Tariff Schedule Lookup Table'!$A$8:$D$186,4,FALSE)</f>
        <v>287.39999999999998</v>
      </c>
      <c r="G138" s="33">
        <f>VLOOKUP($B138,'Maintenance Costs'!$A$20:$AG$176,32,FALSE)</f>
        <v>75.196311124256468</v>
      </c>
      <c r="H138" s="67">
        <f>IF(VLOOKUP($B138,'Maintenance Costs'!$A$20:$AG$176,33,FALSE)=0,"",VLOOKUP($B138,'Maintenance Costs'!$A$20:$AG$176,33,FALSE))</f>
        <v>47.95221134933977</v>
      </c>
      <c r="I138" s="34" t="str">
        <f>IF(ISERROR(VLOOKUP(CONCATENATE($A138,$I$8,I$10),'Tariff Schedule Lookup Table'!$F$8:$G$286,2,FALSE))=TRUE,"",TEXT(VLOOKUP(CONCATENATE($A138,$I$8,I$10),'Tariff Schedule Lookup Table'!$F$8:$G$286,2,FALSE),"0000"))</f>
        <v>0010</v>
      </c>
      <c r="J138" s="34" t="str">
        <f>IF(ISERROR(VLOOKUP(CONCATENATE($A138,$I$8,J$10),'Tariff Schedule Lookup Table'!$F$8:$G$286,2,FALSE))=TRUE,"",TEXT(VLOOKUP(CONCATENATE($A138,$I$8,J$10),'Tariff Schedule Lookup Table'!$F$8:$G$286,2,FALSE),"0000"))</f>
        <v>0740</v>
      </c>
      <c r="K138" s="34" t="str">
        <f>IF(ISERROR(VLOOKUP(CONCATENATE($A138,$I$8,K$10),'Tariff Schedule Lookup Table'!$F$8:$G$286,2,FALSE))=TRUE,"",TEXT(VLOOKUP(CONCATENATE($A138,$I$8,K$10),'Tariff Schedule Lookup Table'!$F$8:$G$286,2,FALSE),"0000"))</f>
        <v>0820</v>
      </c>
      <c r="L138" s="34" t="str">
        <f>IF(ISERROR(VLOOKUP(CONCATENATE($A138,$I$8,L$10),'Tariff Schedule Lookup Table'!$F$8:$G$286,2,FALSE))=TRUE,"",TEXT(VLOOKUP(CONCATENATE($A138,$I$8,L$10),'Tariff Schedule Lookup Table'!$F$8:$G$286,2,FALSE),"0000"))</f>
        <v>0830</v>
      </c>
      <c r="M138" s="34" t="str">
        <f>IF(ISERROR(VLOOKUP(CONCATENATE($A138,$M$8,M$10),'Tariff Schedule Lookup Table'!$F$8:$G$286,2,FALSE))=TRUE,"",TEXT(VLOOKUP(CONCATENATE($A138,$M$8,M$10),'Tariff Schedule Lookup Table'!$F$8:$G$286,2,FALSE),"0000"))</f>
        <v>0810</v>
      </c>
      <c r="N138" s="34" t="str">
        <f>IF(ISERROR(VLOOKUP(CONCATENATE($A138,$M$8,N$10),'Tariff Schedule Lookup Table'!$F$8:$G$286,2,FALSE))=TRUE,"",TEXT(VLOOKUP(CONCATENATE($A138,$M$8,N$10),'Tariff Schedule Lookup Table'!$F$8:$G$286,2,FALSE),"0000"))</f>
        <v>1260</v>
      </c>
      <c r="O138" s="34" t="str">
        <f>IF(ISERROR(VLOOKUP(CONCATENATE($A138,$M$8,O$10),'Tariff Schedule Lookup Table'!$F$8:$G$286,2,FALSE))=TRUE,"",TEXT(VLOOKUP(CONCATENATE($A138,$M$8,O$10),'Tariff Schedule Lookup Table'!$F$8:$G$286,2,FALSE),"0000"))</f>
        <v/>
      </c>
      <c r="P138" s="34" t="str">
        <f>IF(ISERROR(VLOOKUP(CONCATENATE($A138,$M$8,P$10),'Tariff Schedule Lookup Table'!$F$8:$G$286,2,FALSE))=TRUE,"",TEXT(VLOOKUP(CONCATENATE($A138,$M$8,P$10),'Tariff Schedule Lookup Table'!$F$8:$G$286,2,FALSE),"0000"))</f>
        <v/>
      </c>
      <c r="Q138" s="34" t="str">
        <f>IF(ISERROR(VLOOKUP(CONCATENATE($A138,$Q$8,Q$10),'Tariff Schedule Lookup Table'!$F$8:$G$286,2,FALSE))=TRUE,"",TEXT(VLOOKUP(CONCATENATE($A138,$Q$8,Q$10),'Tariff Schedule Lookup Table'!$F$8:$G$286,2,FALSE),"0000"))</f>
        <v>0990</v>
      </c>
      <c r="R138" s="34" t="str">
        <f>IF(ISERROR(VLOOKUP(CONCATENATE($A138,$Q$8,R$10),'Tariff Schedule Lookup Table'!$F$8:$G$286,2,FALSE))=TRUE,"",TEXT(VLOOKUP(CONCATENATE($A138,$Q$8,R$10),'Tariff Schedule Lookup Table'!$F$8:$G$286,2,FALSE),"0000"))</f>
        <v>1000</v>
      </c>
      <c r="S138" s="34" t="str">
        <f>IF(ISERROR(VLOOKUP(CONCATENATE($A138,$Q$8,S$10),'Tariff Schedule Lookup Table'!$F$8:$G$286,2,FALSE))=TRUE,"",TEXT(VLOOKUP(CONCATENATE($A138,$Q$8,S$10),'Tariff Schedule Lookup Table'!$F$8:$G$286,2,FALSE),"0000"))</f>
        <v>1460</v>
      </c>
      <c r="T138" s="34" t="str">
        <f>IF(ISERROR(VLOOKUP(CONCATENATE($A138,$Q$8,T$10),'Tariff Schedule Lookup Table'!$F$8:$G$286,2,FALSE))=TRUE,"",TEXT(VLOOKUP(CONCATENATE($A138,$Q$8,T$10),'Tariff Schedule Lookup Table'!$F$8:$G$286,2,FALSE),"0000"))</f>
        <v>1500</v>
      </c>
      <c r="U138" s="34" t="str">
        <f>IF(ISERROR(VLOOKUP(CONCATENATE($A138,$U$8,U$10),'Tariff Schedule Lookup Table'!$F$8:$G$286,2,FALSE))=TRUE,"",TEXT(VLOOKUP(CONCATENATE($A138,$U$8,U$10),'Tariff Schedule Lookup Table'!$F$8:$G$286,2,FALSE),"0000"))</f>
        <v/>
      </c>
      <c r="V138" s="34" t="str">
        <f>IF(ISERROR(VLOOKUP(CONCATENATE($A138,$U$8,V$10),'Tariff Schedule Lookup Table'!$F$8:$G$286,2,FALSE))=TRUE,"",TEXT(VLOOKUP(CONCATENATE($A138,$U$8,V$10),'Tariff Schedule Lookup Table'!$F$8:$G$286,2,FALSE),"0000"))</f>
        <v/>
      </c>
      <c r="W138" s="34" t="str">
        <f>IF(ISERROR(VLOOKUP(CONCATENATE($A138,$U$8,W$10),'Tariff Schedule Lookup Table'!$F$8:$G$286,2,FALSE))=TRUE,"",TEXT(VLOOKUP(CONCATENATE($A138,$U$8,W$10),'Tariff Schedule Lookup Table'!$F$8:$G$286,2,FALSE),"0000"))</f>
        <v/>
      </c>
      <c r="X138" s="34" t="str">
        <f>IF(ISERROR(VLOOKUP(CONCATENATE($A138,$U$8,X$10),'Tariff Schedule Lookup Table'!$F$8:$G$286,2,FALSE))=TRUE,"",TEXT(VLOOKUP(CONCATENATE($A138,$U$8,X$10),'Tariff Schedule Lookup Table'!$F$8:$G$186,2,FALSE),"0000"))</f>
        <v/>
      </c>
      <c r="Y138" s="6"/>
      <c r="Z138" s="6"/>
      <c r="AA138" s="6"/>
      <c r="AB138" s="6"/>
      <c r="AC138" s="6"/>
    </row>
    <row r="139" spans="1:42" x14ac:dyDescent="0.2">
      <c r="A139" s="6" t="s">
        <v>993</v>
      </c>
      <c r="B139" s="39" t="s">
        <v>236</v>
      </c>
      <c r="C139" s="197" t="str">
        <f>VLOOKUP(LEFT(B139,7),'Tariff Schedule Lookup Table'!$A$8:$D$186,3,FALSE)</f>
        <v>4x80</v>
      </c>
      <c r="D139" s="199" t="str">
        <f>VLOOKUP(LEFT(B139,7),'Tariff Schedule Lookup Table'!$A$8:$D$186,2,FALSE)</f>
        <v>Mercury Vapour 4x80</v>
      </c>
      <c r="E139" s="6" t="s">
        <v>996</v>
      </c>
      <c r="F139" s="37">
        <f>VLOOKUP(LEFT(B139,7),'Tariff Schedule Lookup Table'!$A$8:$D$186,4,FALSE)</f>
        <v>383.2</v>
      </c>
      <c r="G139" s="33">
        <f>VLOOKUP($B139,'Maintenance Costs'!$A$20:$AG$176,32,FALSE)</f>
        <v>75.196311124256468</v>
      </c>
      <c r="H139" s="67">
        <f>IF(VLOOKUP($B139,'Maintenance Costs'!$A$20:$AG$176,33,FALSE)=0,"",VLOOKUP($B139,'Maintenance Costs'!$A$20:$AG$176,33,FALSE))</f>
        <v>47.95221134933977</v>
      </c>
      <c r="I139" s="34" t="str">
        <f>IF(ISERROR(VLOOKUP(CONCATENATE($A139,$I$8,I$10),'Tariff Schedule Lookup Table'!$F$8:$G$286,2,FALSE))=TRUE,"",TEXT(VLOOKUP(CONCATENATE($A139,$I$8,I$10),'Tariff Schedule Lookup Table'!$F$8:$G$286,2,FALSE),"0000"))</f>
        <v>0010</v>
      </c>
      <c r="J139" s="34" t="str">
        <f>IF(ISERROR(VLOOKUP(CONCATENATE($A139,$I$8,J$10),'Tariff Schedule Lookup Table'!$F$8:$G$286,2,FALSE))=TRUE,"",TEXT(VLOOKUP(CONCATENATE($A139,$I$8,J$10),'Tariff Schedule Lookup Table'!$F$8:$G$286,2,FALSE),"0000"))</f>
        <v>0740</v>
      </c>
      <c r="K139" s="34" t="str">
        <f>IF(ISERROR(VLOOKUP(CONCATENATE($A139,$I$8,K$10),'Tariff Schedule Lookup Table'!$F$8:$G$286,2,FALSE))=TRUE,"",TEXT(VLOOKUP(CONCATENATE($A139,$I$8,K$10),'Tariff Schedule Lookup Table'!$F$8:$G$286,2,FALSE),"0000"))</f>
        <v>0820</v>
      </c>
      <c r="L139" s="34" t="str">
        <f>IF(ISERROR(VLOOKUP(CONCATENATE($A139,$I$8,L$10),'Tariff Schedule Lookup Table'!$F$8:$G$286,2,FALSE))=TRUE,"",TEXT(VLOOKUP(CONCATENATE($A139,$I$8,L$10),'Tariff Schedule Lookup Table'!$F$8:$G$286,2,FALSE),"0000"))</f>
        <v>0830</v>
      </c>
      <c r="M139" s="34" t="str">
        <f>IF(ISERROR(VLOOKUP(CONCATENATE($A139,$M$8,M$10),'Tariff Schedule Lookup Table'!$F$8:$G$286,2,FALSE))=TRUE,"",TEXT(VLOOKUP(CONCATENATE($A139,$M$8,M$10),'Tariff Schedule Lookup Table'!$F$8:$G$286,2,FALSE),"0000"))</f>
        <v>0810</v>
      </c>
      <c r="N139" s="34" t="str">
        <f>IF(ISERROR(VLOOKUP(CONCATENATE($A139,$M$8,N$10),'Tariff Schedule Lookup Table'!$F$8:$G$286,2,FALSE))=TRUE,"",TEXT(VLOOKUP(CONCATENATE($A139,$M$8,N$10),'Tariff Schedule Lookup Table'!$F$8:$G$286,2,FALSE),"0000"))</f>
        <v>1260</v>
      </c>
      <c r="O139" s="34" t="str">
        <f>IF(ISERROR(VLOOKUP(CONCATENATE($A139,$M$8,O$10),'Tariff Schedule Lookup Table'!$F$8:$G$286,2,FALSE))=TRUE,"",TEXT(VLOOKUP(CONCATENATE($A139,$M$8,O$10),'Tariff Schedule Lookup Table'!$F$8:$G$286,2,FALSE),"0000"))</f>
        <v/>
      </c>
      <c r="P139" s="34" t="str">
        <f>IF(ISERROR(VLOOKUP(CONCATENATE($A139,$M$8,P$10),'Tariff Schedule Lookup Table'!$F$8:$G$286,2,FALSE))=TRUE,"",TEXT(VLOOKUP(CONCATENATE($A139,$M$8,P$10),'Tariff Schedule Lookup Table'!$F$8:$G$286,2,FALSE),"0000"))</f>
        <v/>
      </c>
      <c r="Q139" s="34" t="str">
        <f>IF(ISERROR(VLOOKUP(CONCATENATE($A139,$Q$8,Q$10),'Tariff Schedule Lookup Table'!$F$8:$G$286,2,FALSE))=TRUE,"",TEXT(VLOOKUP(CONCATENATE($A139,$Q$8,Q$10),'Tariff Schedule Lookup Table'!$F$8:$G$286,2,FALSE),"0000"))</f>
        <v>0990</v>
      </c>
      <c r="R139" s="34" t="str">
        <f>IF(ISERROR(VLOOKUP(CONCATENATE($A139,$Q$8,R$10),'Tariff Schedule Lookup Table'!$F$8:$G$286,2,FALSE))=TRUE,"",TEXT(VLOOKUP(CONCATENATE($A139,$Q$8,R$10),'Tariff Schedule Lookup Table'!$F$8:$G$286,2,FALSE),"0000"))</f>
        <v>1000</v>
      </c>
      <c r="S139" s="34" t="str">
        <f>IF(ISERROR(VLOOKUP(CONCATENATE($A139,$Q$8,S$10),'Tariff Schedule Lookup Table'!$F$8:$G$286,2,FALSE))=TRUE,"",TEXT(VLOOKUP(CONCATENATE($A139,$Q$8,S$10),'Tariff Schedule Lookup Table'!$F$8:$G$286,2,FALSE),"0000"))</f>
        <v>1460</v>
      </c>
      <c r="T139" s="34" t="str">
        <f>IF(ISERROR(VLOOKUP(CONCATENATE($A139,$Q$8,T$10),'Tariff Schedule Lookup Table'!$F$8:$G$286,2,FALSE))=TRUE,"",TEXT(VLOOKUP(CONCATENATE($A139,$Q$8,T$10),'Tariff Schedule Lookup Table'!$F$8:$G$286,2,FALSE),"0000"))</f>
        <v>1500</v>
      </c>
      <c r="U139" s="34" t="str">
        <f>IF(ISERROR(VLOOKUP(CONCATENATE($A139,$U$8,U$10),'Tariff Schedule Lookup Table'!$F$8:$G$286,2,FALSE))=TRUE,"",TEXT(VLOOKUP(CONCATENATE($A139,$U$8,U$10),'Tariff Schedule Lookup Table'!$F$8:$G$286,2,FALSE),"0000"))</f>
        <v/>
      </c>
      <c r="V139" s="34" t="str">
        <f>IF(ISERROR(VLOOKUP(CONCATENATE($A139,$U$8,V$10),'Tariff Schedule Lookup Table'!$F$8:$G$286,2,FALSE))=TRUE,"",TEXT(VLOOKUP(CONCATENATE($A139,$U$8,V$10),'Tariff Schedule Lookup Table'!$F$8:$G$286,2,FALSE),"0000"))</f>
        <v/>
      </c>
      <c r="W139" s="34" t="str">
        <f>IF(ISERROR(VLOOKUP(CONCATENATE($A139,$U$8,W$10),'Tariff Schedule Lookup Table'!$F$8:$G$286,2,FALSE))=TRUE,"",TEXT(VLOOKUP(CONCATENATE($A139,$U$8,W$10),'Tariff Schedule Lookup Table'!$F$8:$G$286,2,FALSE),"0000"))</f>
        <v/>
      </c>
      <c r="X139" s="34" t="str">
        <f>IF(ISERROR(VLOOKUP(CONCATENATE($A139,$U$8,X$10),'Tariff Schedule Lookup Table'!$F$8:$G$286,2,FALSE))=TRUE,"",TEXT(VLOOKUP(CONCATENATE($A139,$U$8,X$10),'Tariff Schedule Lookup Table'!$F$8:$G$186,2,FALSE),"0000"))</f>
        <v/>
      </c>
      <c r="Y139" s="6"/>
      <c r="Z139" s="6"/>
      <c r="AA139" s="6"/>
      <c r="AB139" s="6"/>
      <c r="AC139" s="6"/>
    </row>
    <row r="140" spans="1:42" x14ac:dyDescent="0.2">
      <c r="A140" s="6" t="s">
        <v>993</v>
      </c>
      <c r="B140" s="39" t="s">
        <v>237</v>
      </c>
      <c r="C140" s="197" t="str">
        <f>VLOOKUP(LEFT(B140,7),'Tariff Schedule Lookup Table'!$A$8:$D$186,3,FALSE)</f>
        <v>6x80</v>
      </c>
      <c r="D140" s="199" t="str">
        <f>VLOOKUP(LEFT(B140,7),'Tariff Schedule Lookup Table'!$A$8:$D$186,2,FALSE)</f>
        <v>Mercury Vapour 6x80</v>
      </c>
      <c r="E140" s="6" t="s">
        <v>996</v>
      </c>
      <c r="F140" s="37">
        <f>VLOOKUP(LEFT(B140,7),'Tariff Schedule Lookup Table'!$A$8:$D$186,4,FALSE)</f>
        <v>574.79999999999995</v>
      </c>
      <c r="G140" s="33">
        <f>VLOOKUP($B140,'Maintenance Costs'!$A$20:$AG$176,32,FALSE)</f>
        <v>86.915701924256467</v>
      </c>
      <c r="H140" s="67">
        <f>IF(VLOOKUP($B140,'Maintenance Costs'!$A$20:$AG$176,33,FALSE)=0,"",VLOOKUP($B140,'Maintenance Costs'!$A$20:$AG$176,33,FALSE))</f>
        <v>68.286357759839774</v>
      </c>
      <c r="I140" s="34" t="str">
        <f>IF(ISERROR(VLOOKUP(CONCATENATE($A140,$I$8,I$10),'Tariff Schedule Lookup Table'!$F$8:$G$286,2,FALSE))=TRUE,"",TEXT(VLOOKUP(CONCATENATE($A140,$I$8,I$10),'Tariff Schedule Lookup Table'!$F$8:$G$286,2,FALSE),"0000"))</f>
        <v>0010</v>
      </c>
      <c r="J140" s="34" t="str">
        <f>IF(ISERROR(VLOOKUP(CONCATENATE($A140,$I$8,J$10),'Tariff Schedule Lookup Table'!$F$8:$G$286,2,FALSE))=TRUE,"",TEXT(VLOOKUP(CONCATENATE($A140,$I$8,J$10),'Tariff Schedule Lookup Table'!$F$8:$G$286,2,FALSE),"0000"))</f>
        <v>0740</v>
      </c>
      <c r="K140" s="34" t="str">
        <f>IF(ISERROR(VLOOKUP(CONCATENATE($A140,$I$8,K$10),'Tariff Schedule Lookup Table'!$F$8:$G$286,2,FALSE))=TRUE,"",TEXT(VLOOKUP(CONCATENATE($A140,$I$8,K$10),'Tariff Schedule Lookup Table'!$F$8:$G$286,2,FALSE),"0000"))</f>
        <v>0820</v>
      </c>
      <c r="L140" s="34" t="str">
        <f>IF(ISERROR(VLOOKUP(CONCATENATE($A140,$I$8,L$10),'Tariff Schedule Lookup Table'!$F$8:$G$286,2,FALSE))=TRUE,"",TEXT(VLOOKUP(CONCATENATE($A140,$I$8,L$10),'Tariff Schedule Lookup Table'!$F$8:$G$286,2,FALSE),"0000"))</f>
        <v>0830</v>
      </c>
      <c r="M140" s="34" t="str">
        <f>IF(ISERROR(VLOOKUP(CONCATENATE($A140,$M$8,M$10),'Tariff Schedule Lookup Table'!$F$8:$G$286,2,FALSE))=TRUE,"",TEXT(VLOOKUP(CONCATENATE($A140,$M$8,M$10),'Tariff Schedule Lookup Table'!$F$8:$G$286,2,FALSE),"0000"))</f>
        <v>0810</v>
      </c>
      <c r="N140" s="34" t="str">
        <f>IF(ISERROR(VLOOKUP(CONCATENATE($A140,$M$8,N$10),'Tariff Schedule Lookup Table'!$F$8:$G$286,2,FALSE))=TRUE,"",TEXT(VLOOKUP(CONCATENATE($A140,$M$8,N$10),'Tariff Schedule Lookup Table'!$F$8:$G$286,2,FALSE),"0000"))</f>
        <v>1260</v>
      </c>
      <c r="O140" s="34" t="str">
        <f>IF(ISERROR(VLOOKUP(CONCATENATE($A140,$M$8,O$10),'Tariff Schedule Lookup Table'!$F$8:$G$286,2,FALSE))=TRUE,"",TEXT(VLOOKUP(CONCATENATE($A140,$M$8,O$10),'Tariff Schedule Lookup Table'!$F$8:$G$286,2,FALSE),"0000"))</f>
        <v/>
      </c>
      <c r="P140" s="34" t="str">
        <f>IF(ISERROR(VLOOKUP(CONCATENATE($A140,$M$8,P$10),'Tariff Schedule Lookup Table'!$F$8:$G$286,2,FALSE))=TRUE,"",TEXT(VLOOKUP(CONCATENATE($A140,$M$8,P$10),'Tariff Schedule Lookup Table'!$F$8:$G$286,2,FALSE),"0000"))</f>
        <v/>
      </c>
      <c r="Q140" s="34" t="str">
        <f>IF(ISERROR(VLOOKUP(CONCATENATE($A140,$Q$8,Q$10),'Tariff Schedule Lookup Table'!$F$8:$G$286,2,FALSE))=TRUE,"",TEXT(VLOOKUP(CONCATENATE($A140,$Q$8,Q$10),'Tariff Schedule Lookup Table'!$F$8:$G$286,2,FALSE),"0000"))</f>
        <v>0990</v>
      </c>
      <c r="R140" s="34" t="str">
        <f>IF(ISERROR(VLOOKUP(CONCATENATE($A140,$Q$8,R$10),'Tariff Schedule Lookup Table'!$F$8:$G$286,2,FALSE))=TRUE,"",TEXT(VLOOKUP(CONCATENATE($A140,$Q$8,R$10),'Tariff Schedule Lookup Table'!$F$8:$G$286,2,FALSE),"0000"))</f>
        <v>1000</v>
      </c>
      <c r="S140" s="34" t="str">
        <f>IF(ISERROR(VLOOKUP(CONCATENATE($A140,$Q$8,S$10),'Tariff Schedule Lookup Table'!$F$8:$G$286,2,FALSE))=TRUE,"",TEXT(VLOOKUP(CONCATENATE($A140,$Q$8,S$10),'Tariff Schedule Lookup Table'!$F$8:$G$286,2,FALSE),"0000"))</f>
        <v>1460</v>
      </c>
      <c r="T140" s="34" t="str">
        <f>IF(ISERROR(VLOOKUP(CONCATENATE($A140,$Q$8,T$10),'Tariff Schedule Lookup Table'!$F$8:$G$286,2,FALSE))=TRUE,"",TEXT(VLOOKUP(CONCATENATE($A140,$Q$8,T$10),'Tariff Schedule Lookup Table'!$F$8:$G$286,2,FALSE),"0000"))</f>
        <v>1500</v>
      </c>
      <c r="U140" s="34" t="str">
        <f>IF(ISERROR(VLOOKUP(CONCATENATE($A140,$U$8,U$10),'Tariff Schedule Lookup Table'!$F$8:$G$286,2,FALSE))=TRUE,"",TEXT(VLOOKUP(CONCATENATE($A140,$U$8,U$10),'Tariff Schedule Lookup Table'!$F$8:$G$286,2,FALSE),"0000"))</f>
        <v/>
      </c>
      <c r="V140" s="34" t="str">
        <f>IF(ISERROR(VLOOKUP(CONCATENATE($A140,$U$8,V$10),'Tariff Schedule Lookup Table'!$F$8:$G$286,2,FALSE))=TRUE,"",TEXT(VLOOKUP(CONCATENATE($A140,$U$8,V$10),'Tariff Schedule Lookup Table'!$F$8:$G$286,2,FALSE),"0000"))</f>
        <v/>
      </c>
      <c r="W140" s="34" t="str">
        <f>IF(ISERROR(VLOOKUP(CONCATENATE($A140,$U$8,W$10),'Tariff Schedule Lookup Table'!$F$8:$G$286,2,FALSE))=TRUE,"",TEXT(VLOOKUP(CONCATENATE($A140,$U$8,W$10),'Tariff Schedule Lookup Table'!$F$8:$G$286,2,FALSE),"0000"))</f>
        <v/>
      </c>
      <c r="X140" s="34" t="str">
        <f>IF(ISERROR(VLOOKUP(CONCATENATE($A140,$U$8,X$10),'Tariff Schedule Lookup Table'!$F$8:$G$286,2,FALSE))=TRUE,"",TEXT(VLOOKUP(CONCATENATE($A140,$U$8,X$10),'Tariff Schedule Lookup Table'!$F$8:$G$186,2,FALSE),"0000"))</f>
        <v/>
      </c>
      <c r="Y140" s="6"/>
      <c r="Z140" s="6"/>
      <c r="AA140" s="6"/>
      <c r="AB140" s="6"/>
      <c r="AC140" s="6"/>
    </row>
    <row r="141" spans="1:42" x14ac:dyDescent="0.2">
      <c r="A141" s="6" t="s">
        <v>993</v>
      </c>
      <c r="B141" s="39" t="s">
        <v>238</v>
      </c>
      <c r="C141" s="197" t="str">
        <f>VLOOKUP(LEFT(B141,7),'Tariff Schedule Lookup Table'!$A$8:$D$186,3,FALSE)</f>
        <v>7x80</v>
      </c>
      <c r="D141" s="199" t="str">
        <f>VLOOKUP(LEFT(B141,7),'Tariff Schedule Lookup Table'!$A$8:$D$186,2,FALSE)</f>
        <v>Mercury Vapour 7x80</v>
      </c>
      <c r="E141" s="6" t="s">
        <v>996</v>
      </c>
      <c r="F141" s="37">
        <f>VLOOKUP(LEFT(B141,7),'Tariff Schedule Lookup Table'!$A$8:$D$186,4,FALSE)</f>
        <v>670.6</v>
      </c>
      <c r="G141" s="33">
        <f>VLOOKUP($B141,'Maintenance Costs'!$A$20:$AG$176,32,FALSE)</f>
        <v>90.822165524256462</v>
      </c>
      <c r="H141" s="67">
        <f>IF(VLOOKUP($B141,'Maintenance Costs'!$A$20:$AG$176,33,FALSE)=0,"",VLOOKUP($B141,'Maintenance Costs'!$A$20:$AG$176,33,FALSE))</f>
        <v>75.064406563339773</v>
      </c>
      <c r="I141" s="34" t="str">
        <f>IF(ISERROR(VLOOKUP(CONCATENATE($A141,$I$8,I$10),'Tariff Schedule Lookup Table'!$F$8:$G$286,2,FALSE))=TRUE,"",TEXT(VLOOKUP(CONCATENATE($A141,$I$8,I$10),'Tariff Schedule Lookup Table'!$F$8:$G$286,2,FALSE),"0000"))</f>
        <v>0010</v>
      </c>
      <c r="J141" s="34" t="str">
        <f>IF(ISERROR(VLOOKUP(CONCATENATE($A141,$I$8,J$10),'Tariff Schedule Lookup Table'!$F$8:$G$286,2,FALSE))=TRUE,"",TEXT(VLOOKUP(CONCATENATE($A141,$I$8,J$10),'Tariff Schedule Lookup Table'!$F$8:$G$286,2,FALSE),"0000"))</f>
        <v>0740</v>
      </c>
      <c r="K141" s="34" t="str">
        <f>IF(ISERROR(VLOOKUP(CONCATENATE($A141,$I$8,K$10),'Tariff Schedule Lookup Table'!$F$8:$G$286,2,FALSE))=TRUE,"",TEXT(VLOOKUP(CONCATENATE($A141,$I$8,K$10),'Tariff Schedule Lookup Table'!$F$8:$G$286,2,FALSE),"0000"))</f>
        <v>0820</v>
      </c>
      <c r="L141" s="34" t="str">
        <f>IF(ISERROR(VLOOKUP(CONCATENATE($A141,$I$8,L$10),'Tariff Schedule Lookup Table'!$F$8:$G$286,2,FALSE))=TRUE,"",TEXT(VLOOKUP(CONCATENATE($A141,$I$8,L$10),'Tariff Schedule Lookup Table'!$F$8:$G$286,2,FALSE),"0000"))</f>
        <v>0830</v>
      </c>
      <c r="M141" s="34" t="str">
        <f>IF(ISERROR(VLOOKUP(CONCATENATE($A141,$M$8,M$10),'Tariff Schedule Lookup Table'!$F$8:$G$286,2,FALSE))=TRUE,"",TEXT(VLOOKUP(CONCATENATE($A141,$M$8,M$10),'Tariff Schedule Lookup Table'!$F$8:$G$286,2,FALSE),"0000"))</f>
        <v>0810</v>
      </c>
      <c r="N141" s="34" t="str">
        <f>IF(ISERROR(VLOOKUP(CONCATENATE($A141,$M$8,N$10),'Tariff Schedule Lookup Table'!$F$8:$G$286,2,FALSE))=TRUE,"",TEXT(VLOOKUP(CONCATENATE($A141,$M$8,N$10),'Tariff Schedule Lookup Table'!$F$8:$G$286,2,FALSE),"0000"))</f>
        <v>1260</v>
      </c>
      <c r="O141" s="34" t="str">
        <f>IF(ISERROR(VLOOKUP(CONCATENATE($A141,$M$8,O$10),'Tariff Schedule Lookup Table'!$F$8:$G$286,2,FALSE))=TRUE,"",TEXT(VLOOKUP(CONCATENATE($A141,$M$8,O$10),'Tariff Schedule Lookup Table'!$F$8:$G$286,2,FALSE),"0000"))</f>
        <v/>
      </c>
      <c r="P141" s="34" t="str">
        <f>IF(ISERROR(VLOOKUP(CONCATENATE($A141,$M$8,P$10),'Tariff Schedule Lookup Table'!$F$8:$G$286,2,FALSE))=TRUE,"",TEXT(VLOOKUP(CONCATENATE($A141,$M$8,P$10),'Tariff Schedule Lookup Table'!$F$8:$G$286,2,FALSE),"0000"))</f>
        <v/>
      </c>
      <c r="Q141" s="34" t="str">
        <f>IF(ISERROR(VLOOKUP(CONCATENATE($A141,$Q$8,Q$10),'Tariff Schedule Lookup Table'!$F$8:$G$286,2,FALSE))=TRUE,"",TEXT(VLOOKUP(CONCATENATE($A141,$Q$8,Q$10),'Tariff Schedule Lookup Table'!$F$8:$G$286,2,FALSE),"0000"))</f>
        <v>0990</v>
      </c>
      <c r="R141" s="34" t="str">
        <f>IF(ISERROR(VLOOKUP(CONCATENATE($A141,$Q$8,R$10),'Tariff Schedule Lookup Table'!$F$8:$G$286,2,FALSE))=TRUE,"",TEXT(VLOOKUP(CONCATENATE($A141,$Q$8,R$10),'Tariff Schedule Lookup Table'!$F$8:$G$286,2,FALSE),"0000"))</f>
        <v>1000</v>
      </c>
      <c r="S141" s="34" t="str">
        <f>IF(ISERROR(VLOOKUP(CONCATENATE($A141,$Q$8,S$10),'Tariff Schedule Lookup Table'!$F$8:$G$286,2,FALSE))=TRUE,"",TEXT(VLOOKUP(CONCATENATE($A141,$Q$8,S$10),'Tariff Schedule Lookup Table'!$F$8:$G$286,2,FALSE),"0000"))</f>
        <v>1460</v>
      </c>
      <c r="T141" s="34" t="str">
        <f>IF(ISERROR(VLOOKUP(CONCATENATE($A141,$Q$8,T$10),'Tariff Schedule Lookup Table'!$F$8:$G$286,2,FALSE))=TRUE,"",TEXT(VLOOKUP(CONCATENATE($A141,$Q$8,T$10),'Tariff Schedule Lookup Table'!$F$8:$G$286,2,FALSE),"0000"))</f>
        <v>1500</v>
      </c>
      <c r="U141" s="34" t="str">
        <f>IF(ISERROR(VLOOKUP(CONCATENATE($A141,$U$8,U$10),'Tariff Schedule Lookup Table'!$F$8:$G$286,2,FALSE))=TRUE,"",TEXT(VLOOKUP(CONCATENATE($A141,$U$8,U$10),'Tariff Schedule Lookup Table'!$F$8:$G$286,2,FALSE),"0000"))</f>
        <v/>
      </c>
      <c r="V141" s="34" t="str">
        <f>IF(ISERROR(VLOOKUP(CONCATENATE($A141,$U$8,V$10),'Tariff Schedule Lookup Table'!$F$8:$G$286,2,FALSE))=TRUE,"",TEXT(VLOOKUP(CONCATENATE($A141,$U$8,V$10),'Tariff Schedule Lookup Table'!$F$8:$G$286,2,FALSE),"0000"))</f>
        <v/>
      </c>
      <c r="W141" s="34" t="str">
        <f>IF(ISERROR(VLOOKUP(CONCATENATE($A141,$U$8,W$10),'Tariff Schedule Lookup Table'!$F$8:$G$286,2,FALSE))=TRUE,"",TEXT(VLOOKUP(CONCATENATE($A141,$U$8,W$10),'Tariff Schedule Lookup Table'!$F$8:$G$286,2,FALSE),"0000"))</f>
        <v/>
      </c>
      <c r="X141" s="34" t="str">
        <f>IF(ISERROR(VLOOKUP(CONCATENATE($A141,$U$8,X$10),'Tariff Schedule Lookup Table'!$F$8:$G$286,2,FALSE))=TRUE,"",TEXT(VLOOKUP(CONCATENATE($A141,$U$8,X$10),'Tariff Schedule Lookup Table'!$F$8:$G$186,2,FALSE),"0000"))</f>
        <v/>
      </c>
      <c r="Y141" s="6"/>
      <c r="Z141" s="6"/>
      <c r="AA141" s="6"/>
      <c r="AB141" s="6"/>
      <c r="AC141" s="6"/>
    </row>
    <row r="142" spans="1:42" x14ac:dyDescent="0.2">
      <c r="A142" s="6" t="s">
        <v>993</v>
      </c>
      <c r="B142" s="35" t="s">
        <v>2137</v>
      </c>
      <c r="C142" s="197">
        <f>VLOOKUP(LEFT(B142,7),'Tariff Schedule Lookup Table'!$A$8:$D$186,3,FALSE)</f>
        <v>125</v>
      </c>
      <c r="D142" s="199" t="str">
        <f>VLOOKUP(LEFT(B142,7),'Tariff Schedule Lookup Table'!$A$8:$D$186,2,FALSE)</f>
        <v>Mercury Vapour 125</v>
      </c>
      <c r="E142" s="6" t="s">
        <v>996</v>
      </c>
      <c r="F142" s="37">
        <f>VLOOKUP(LEFT(B142,7),'Tariff Schedule Lookup Table'!$A$8:$D$186,4,FALSE)</f>
        <v>142</v>
      </c>
      <c r="G142" s="33">
        <f>VLOOKUP($B142,'Maintenance Costs'!$A$20:$AG$176,32,FALSE)</f>
        <v>67.199298516256476</v>
      </c>
      <c r="H142" s="67">
        <f>IF(VLOOKUP($B142,'Maintenance Costs'!$A$20:$AG$176,33,FALSE)=0,"",VLOOKUP($B142,'Maintenance Costs'!$A$20:$AG$176,33,FALSE))</f>
        <v>34.764063013691775</v>
      </c>
      <c r="I142" s="34" t="str">
        <f>IF(ISERROR(VLOOKUP(CONCATENATE($A142,$I$8,I$10),'Tariff Schedule Lookup Table'!$F$8:$G$286,2,FALSE))=TRUE,"",TEXT(VLOOKUP(CONCATENATE($A142,$I$8,I$10),'Tariff Schedule Lookup Table'!$F$8:$G$286,2,FALSE),"0000"))</f>
        <v>0010</v>
      </c>
      <c r="J142" s="34" t="str">
        <f>IF(ISERROR(VLOOKUP(CONCATENATE($A142,$I$8,J$10),'Tariff Schedule Lookup Table'!$F$8:$G$286,2,FALSE))=TRUE,"",TEXT(VLOOKUP(CONCATENATE($A142,$I$8,J$10),'Tariff Schedule Lookup Table'!$F$8:$G$286,2,FALSE),"0000"))</f>
        <v>0740</v>
      </c>
      <c r="K142" s="34" t="str">
        <f>IF(ISERROR(VLOOKUP(CONCATENATE($A142,$I$8,K$10),'Tariff Schedule Lookup Table'!$F$8:$G$286,2,FALSE))=TRUE,"",TEXT(VLOOKUP(CONCATENATE($A142,$I$8,K$10),'Tariff Schedule Lookup Table'!$F$8:$G$286,2,FALSE),"0000"))</f>
        <v>0820</v>
      </c>
      <c r="L142" s="34" t="str">
        <f>IF(ISERROR(VLOOKUP(CONCATENATE($A142,$I$8,L$10),'Tariff Schedule Lookup Table'!$F$8:$G$286,2,FALSE))=TRUE,"",TEXT(VLOOKUP(CONCATENATE($A142,$I$8,L$10),'Tariff Schedule Lookup Table'!$F$8:$G$286,2,FALSE),"0000"))</f>
        <v>0830</v>
      </c>
      <c r="M142" s="34" t="str">
        <f>IF(ISERROR(VLOOKUP(CONCATENATE($A142,$M$8,M$10),'Tariff Schedule Lookup Table'!$F$8:$G$286,2,FALSE))=TRUE,"",TEXT(VLOOKUP(CONCATENATE($A142,$M$8,M$10),'Tariff Schedule Lookup Table'!$F$8:$G$286,2,FALSE),"0000"))</f>
        <v>0810</v>
      </c>
      <c r="N142" s="34" t="str">
        <f>IF(ISERROR(VLOOKUP(CONCATENATE($A142,$M$8,N$10),'Tariff Schedule Lookup Table'!$F$8:$G$286,2,FALSE))=TRUE,"",TEXT(VLOOKUP(CONCATENATE($A142,$M$8,N$10),'Tariff Schedule Lookup Table'!$F$8:$G$286,2,FALSE),"0000"))</f>
        <v>1260</v>
      </c>
      <c r="O142" s="34" t="str">
        <f>IF(ISERROR(VLOOKUP(CONCATENATE($A142,$M$8,O$10),'Tariff Schedule Lookup Table'!$F$8:$G$286,2,FALSE))=TRUE,"",TEXT(VLOOKUP(CONCATENATE($A142,$M$8,O$10),'Tariff Schedule Lookup Table'!$F$8:$G$286,2,FALSE),"0000"))</f>
        <v/>
      </c>
      <c r="P142" s="34" t="str">
        <f>IF(ISERROR(VLOOKUP(CONCATENATE($A142,$M$8,P$10),'Tariff Schedule Lookup Table'!$F$8:$G$286,2,FALSE))=TRUE,"",TEXT(VLOOKUP(CONCATENATE($A142,$M$8,P$10),'Tariff Schedule Lookup Table'!$F$8:$G$286,2,FALSE),"0000"))</f>
        <v/>
      </c>
      <c r="Q142" s="34" t="str">
        <f>IF(ISERROR(VLOOKUP(CONCATENATE($A142,$Q$8,Q$10),'Tariff Schedule Lookup Table'!$F$8:$G$286,2,FALSE))=TRUE,"",TEXT(VLOOKUP(CONCATENATE($A142,$Q$8,Q$10),'Tariff Schedule Lookup Table'!$F$8:$G$286,2,FALSE),"0000"))</f>
        <v>0990</v>
      </c>
      <c r="R142" s="34" t="str">
        <f>IF(ISERROR(VLOOKUP(CONCATENATE($A142,$Q$8,R$10),'Tariff Schedule Lookup Table'!$F$8:$G$286,2,FALSE))=TRUE,"",TEXT(VLOOKUP(CONCATENATE($A142,$Q$8,R$10),'Tariff Schedule Lookup Table'!$F$8:$G$286,2,FALSE),"0000"))</f>
        <v>1000</v>
      </c>
      <c r="S142" s="34" t="str">
        <f>IF(ISERROR(VLOOKUP(CONCATENATE($A142,$Q$8,S$10),'Tariff Schedule Lookup Table'!$F$8:$G$286,2,FALSE))=TRUE,"",TEXT(VLOOKUP(CONCATENATE($A142,$Q$8,S$10),'Tariff Schedule Lookup Table'!$F$8:$G$286,2,FALSE),"0000"))</f>
        <v>1460</v>
      </c>
      <c r="T142" s="34" t="str">
        <f>IF(ISERROR(VLOOKUP(CONCATENATE($A142,$Q$8,T$10),'Tariff Schedule Lookup Table'!$F$8:$G$286,2,FALSE))=TRUE,"",TEXT(VLOOKUP(CONCATENATE($A142,$Q$8,T$10),'Tariff Schedule Lookup Table'!$F$8:$G$286,2,FALSE),"0000"))</f>
        <v>1500</v>
      </c>
      <c r="U142" s="34" t="str">
        <f>IF(ISERROR(VLOOKUP(CONCATENATE($A142,$U$8,U$10),'Tariff Schedule Lookup Table'!$F$8:$G$286,2,FALSE))=TRUE,"",TEXT(VLOOKUP(CONCATENATE($A142,$U$8,U$10),'Tariff Schedule Lookup Table'!$F$8:$G$286,2,FALSE),"0000"))</f>
        <v/>
      </c>
      <c r="V142" s="34" t="str">
        <f>IF(ISERROR(VLOOKUP(CONCATENATE($A142,$U$8,V$10),'Tariff Schedule Lookup Table'!$F$8:$G$286,2,FALSE))=TRUE,"",TEXT(VLOOKUP(CONCATENATE($A142,$U$8,V$10),'Tariff Schedule Lookup Table'!$F$8:$G$286,2,FALSE),"0000"))</f>
        <v/>
      </c>
      <c r="W142" s="34" t="str">
        <f>IF(ISERROR(VLOOKUP(CONCATENATE($A142,$U$8,W$10),'Tariff Schedule Lookup Table'!$F$8:$G$286,2,FALSE))=TRUE,"",TEXT(VLOOKUP(CONCATENATE($A142,$U$8,W$10),'Tariff Schedule Lookup Table'!$F$8:$G$286,2,FALSE),"0000"))</f>
        <v/>
      </c>
      <c r="X142" s="34" t="str">
        <f>IF(ISERROR(VLOOKUP(CONCATENATE($A142,$U$8,X$10),'Tariff Schedule Lookup Table'!$F$8:$G$286,2,FALSE))=TRUE,"",TEXT(VLOOKUP(CONCATENATE($A142,$U$8,X$10),'Tariff Schedule Lookup Table'!$F$8:$G$186,2,FALSE),"0000"))</f>
        <v/>
      </c>
      <c r="Y142" s="6"/>
      <c r="Z142" s="6"/>
      <c r="AA142" s="6"/>
      <c r="AB142" s="6"/>
      <c r="AC142" s="6"/>
    </row>
    <row r="143" spans="1:42" x14ac:dyDescent="0.2">
      <c r="A143" s="6" t="s">
        <v>993</v>
      </c>
      <c r="B143" s="35" t="s">
        <v>168</v>
      </c>
      <c r="C143" s="197" t="str">
        <f>VLOOKUP(LEFT(B143,7),'Tariff Schedule Lookup Table'!$A$8:$D$186,3,FALSE)</f>
        <v>2x125</v>
      </c>
      <c r="D143" s="199" t="str">
        <f>VLOOKUP(LEFT(B143,7),'Tariff Schedule Lookup Table'!$A$8:$D$186,2,FALSE)</f>
        <v>Mercury Vapour 2x125</v>
      </c>
      <c r="E143" s="6" t="s">
        <v>996</v>
      </c>
      <c r="F143" s="37">
        <f>VLOOKUP(LEFT(B143,7),'Tariff Schedule Lookup Table'!$A$8:$D$186,4,FALSE)</f>
        <v>284</v>
      </c>
      <c r="G143" s="33">
        <f>VLOOKUP($B143,'Maintenance Costs'!$A$20:$AG$176,32,FALSE)</f>
        <v>71.872071140256466</v>
      </c>
      <c r="H143" s="67">
        <f>IF(VLOOKUP($B143,'Maintenance Costs'!$A$20:$AG$176,33,FALSE)=0,"",VLOOKUP($B143,'Maintenance Costs'!$A$20:$AG$176,33,FALSE))</f>
        <v>41.963164377431774</v>
      </c>
      <c r="I143" s="34" t="str">
        <f>IF(ISERROR(VLOOKUP(CONCATENATE($A143,$I$8,I$10),'Tariff Schedule Lookup Table'!$F$8:$G$286,2,FALSE))=TRUE,"",TEXT(VLOOKUP(CONCATENATE($A143,$I$8,I$10),'Tariff Schedule Lookup Table'!$F$8:$G$286,2,FALSE),"0000"))</f>
        <v>0010</v>
      </c>
      <c r="J143" s="34" t="str">
        <f>IF(ISERROR(VLOOKUP(CONCATENATE($A143,$I$8,J$10),'Tariff Schedule Lookup Table'!$F$8:$G$286,2,FALSE))=TRUE,"",TEXT(VLOOKUP(CONCATENATE($A143,$I$8,J$10),'Tariff Schedule Lookup Table'!$F$8:$G$286,2,FALSE),"0000"))</f>
        <v>0740</v>
      </c>
      <c r="K143" s="34" t="str">
        <f>IF(ISERROR(VLOOKUP(CONCATENATE($A143,$I$8,K$10),'Tariff Schedule Lookup Table'!$F$8:$G$286,2,FALSE))=TRUE,"",TEXT(VLOOKUP(CONCATENATE($A143,$I$8,K$10),'Tariff Schedule Lookup Table'!$F$8:$G$286,2,FALSE),"0000"))</f>
        <v>0820</v>
      </c>
      <c r="L143" s="34" t="str">
        <f>IF(ISERROR(VLOOKUP(CONCATENATE($A143,$I$8,L$10),'Tariff Schedule Lookup Table'!$F$8:$G$286,2,FALSE))=TRUE,"",TEXT(VLOOKUP(CONCATENATE($A143,$I$8,L$10),'Tariff Schedule Lookup Table'!$F$8:$G$286,2,FALSE),"0000"))</f>
        <v>0830</v>
      </c>
      <c r="M143" s="34" t="str">
        <f>IF(ISERROR(VLOOKUP(CONCATENATE($A143,$M$8,M$10),'Tariff Schedule Lookup Table'!$F$8:$G$286,2,FALSE))=TRUE,"",TEXT(VLOOKUP(CONCATENATE($A143,$M$8,M$10),'Tariff Schedule Lookup Table'!$F$8:$G$286,2,FALSE),"0000"))</f>
        <v>0810</v>
      </c>
      <c r="N143" s="34" t="str">
        <f>IF(ISERROR(VLOOKUP(CONCATENATE($A143,$M$8,N$10),'Tariff Schedule Lookup Table'!$F$8:$G$286,2,FALSE))=TRUE,"",TEXT(VLOOKUP(CONCATENATE($A143,$M$8,N$10),'Tariff Schedule Lookup Table'!$F$8:$G$286,2,FALSE),"0000"))</f>
        <v>1260</v>
      </c>
      <c r="O143" s="34" t="str">
        <f>IF(ISERROR(VLOOKUP(CONCATENATE($A143,$M$8,O$10),'Tariff Schedule Lookup Table'!$F$8:$G$286,2,FALSE))=TRUE,"",TEXT(VLOOKUP(CONCATENATE($A143,$M$8,O$10),'Tariff Schedule Lookup Table'!$F$8:$G$286,2,FALSE),"0000"))</f>
        <v/>
      </c>
      <c r="P143" s="34" t="str">
        <f>IF(ISERROR(VLOOKUP(CONCATENATE($A143,$M$8,P$10),'Tariff Schedule Lookup Table'!$F$8:$G$286,2,FALSE))=TRUE,"",TEXT(VLOOKUP(CONCATENATE($A143,$M$8,P$10),'Tariff Schedule Lookup Table'!$F$8:$G$286,2,FALSE),"0000"))</f>
        <v/>
      </c>
      <c r="Q143" s="34" t="str">
        <f>IF(ISERROR(VLOOKUP(CONCATENATE($A143,$Q$8,Q$10),'Tariff Schedule Lookup Table'!$F$8:$G$286,2,FALSE))=TRUE,"",TEXT(VLOOKUP(CONCATENATE($A143,$Q$8,Q$10),'Tariff Schedule Lookup Table'!$F$8:$G$286,2,FALSE),"0000"))</f>
        <v>0990</v>
      </c>
      <c r="R143" s="34" t="str">
        <f>IF(ISERROR(VLOOKUP(CONCATENATE($A143,$Q$8,R$10),'Tariff Schedule Lookup Table'!$F$8:$G$286,2,FALSE))=TRUE,"",TEXT(VLOOKUP(CONCATENATE($A143,$Q$8,R$10),'Tariff Schedule Lookup Table'!$F$8:$G$286,2,FALSE),"0000"))</f>
        <v>1000</v>
      </c>
      <c r="S143" s="34" t="str">
        <f>IF(ISERROR(VLOOKUP(CONCATENATE($A143,$Q$8,S$10),'Tariff Schedule Lookup Table'!$F$8:$G$286,2,FALSE))=TRUE,"",TEXT(VLOOKUP(CONCATENATE($A143,$Q$8,S$10),'Tariff Schedule Lookup Table'!$F$8:$G$286,2,FALSE),"0000"))</f>
        <v>1460</v>
      </c>
      <c r="T143" s="34" t="str">
        <f>IF(ISERROR(VLOOKUP(CONCATENATE($A143,$Q$8,T$10),'Tariff Schedule Lookup Table'!$F$8:$G$286,2,FALSE))=TRUE,"",TEXT(VLOOKUP(CONCATENATE($A143,$Q$8,T$10),'Tariff Schedule Lookup Table'!$F$8:$G$286,2,FALSE),"0000"))</f>
        <v>1500</v>
      </c>
      <c r="U143" s="34" t="str">
        <f>IF(ISERROR(VLOOKUP(CONCATENATE($A143,$U$8,U$10),'Tariff Schedule Lookup Table'!$F$8:$G$286,2,FALSE))=TRUE,"",TEXT(VLOOKUP(CONCATENATE($A143,$U$8,U$10),'Tariff Schedule Lookup Table'!$F$8:$G$286,2,FALSE),"0000"))</f>
        <v/>
      </c>
      <c r="V143" s="34" t="str">
        <f>IF(ISERROR(VLOOKUP(CONCATENATE($A143,$U$8,V$10),'Tariff Schedule Lookup Table'!$F$8:$G$286,2,FALSE))=TRUE,"",TEXT(VLOOKUP(CONCATENATE($A143,$U$8,V$10),'Tariff Schedule Lookup Table'!$F$8:$G$286,2,FALSE),"0000"))</f>
        <v/>
      </c>
      <c r="W143" s="34" t="str">
        <f>IF(ISERROR(VLOOKUP(CONCATENATE($A143,$U$8,W$10),'Tariff Schedule Lookup Table'!$F$8:$G$286,2,FALSE))=TRUE,"",TEXT(VLOOKUP(CONCATENATE($A143,$U$8,W$10),'Tariff Schedule Lookup Table'!$F$8:$G$286,2,FALSE),"0000"))</f>
        <v/>
      </c>
      <c r="X143" s="34" t="str">
        <f>IF(ISERROR(VLOOKUP(CONCATENATE($A143,$U$8,X$10),'Tariff Schedule Lookup Table'!$F$8:$G$286,2,FALSE))=TRUE,"",TEXT(VLOOKUP(CONCATENATE($A143,$U$8,X$10),'Tariff Schedule Lookup Table'!$F$8:$G$186,2,FALSE),"0000"))</f>
        <v/>
      </c>
      <c r="Y143" s="6"/>
      <c r="Z143" s="6"/>
      <c r="AA143" s="6"/>
      <c r="AB143" s="6"/>
      <c r="AC143" s="6"/>
    </row>
    <row r="144" spans="1:42" x14ac:dyDescent="0.2">
      <c r="A144" s="6" t="s">
        <v>993</v>
      </c>
      <c r="B144" s="35" t="s">
        <v>239</v>
      </c>
      <c r="C144" s="197" t="str">
        <f>VLOOKUP(LEFT(B144,7),'Tariff Schedule Lookup Table'!$A$8:$D$186,3,FALSE)</f>
        <v>3x125</v>
      </c>
      <c r="D144" s="199" t="str">
        <f>VLOOKUP(LEFT(B144,7),'Tariff Schedule Lookup Table'!$A$8:$D$186,2,FALSE)</f>
        <v>Mercury Vapour 3x125</v>
      </c>
      <c r="E144" s="6" t="s">
        <v>996</v>
      </c>
      <c r="F144" s="37">
        <f>VLOOKUP(LEFT(B144,7),'Tariff Schedule Lookup Table'!$A$8:$D$186,4,FALSE)</f>
        <v>426</v>
      </c>
      <c r="G144" s="33">
        <f>VLOOKUP($B144,'Maintenance Costs'!$A$20:$AG$176,32,FALSE)</f>
        <v>76.54484376425647</v>
      </c>
      <c r="H144" s="67">
        <f>IF(VLOOKUP($B144,'Maintenance Costs'!$A$20:$AG$176,33,FALSE)=0,"",VLOOKUP($B144,'Maintenance Costs'!$A$20:$AG$176,33,FALSE))</f>
        <v>49.16226574117178</v>
      </c>
      <c r="I144" s="34" t="str">
        <f>IF(ISERROR(VLOOKUP(CONCATENATE($A144,$I$8,I$10),'Tariff Schedule Lookup Table'!$F$8:$G$286,2,FALSE))=TRUE,"",TEXT(VLOOKUP(CONCATENATE($A144,$I$8,I$10),'Tariff Schedule Lookup Table'!$F$8:$G$286,2,FALSE),"0000"))</f>
        <v>0010</v>
      </c>
      <c r="J144" s="34" t="str">
        <f>IF(ISERROR(VLOOKUP(CONCATENATE($A144,$I$8,J$10),'Tariff Schedule Lookup Table'!$F$8:$G$286,2,FALSE))=TRUE,"",TEXT(VLOOKUP(CONCATENATE($A144,$I$8,J$10),'Tariff Schedule Lookup Table'!$F$8:$G$286,2,FALSE),"0000"))</f>
        <v>0740</v>
      </c>
      <c r="K144" s="34" t="str">
        <f>IF(ISERROR(VLOOKUP(CONCATENATE($A144,$I$8,K$10),'Tariff Schedule Lookup Table'!$F$8:$G$286,2,FALSE))=TRUE,"",TEXT(VLOOKUP(CONCATENATE($A144,$I$8,K$10),'Tariff Schedule Lookup Table'!$F$8:$G$286,2,FALSE),"0000"))</f>
        <v>0820</v>
      </c>
      <c r="L144" s="34" t="str">
        <f>IF(ISERROR(VLOOKUP(CONCATENATE($A144,$I$8,L$10),'Tariff Schedule Lookup Table'!$F$8:$G$286,2,FALSE))=TRUE,"",TEXT(VLOOKUP(CONCATENATE($A144,$I$8,L$10),'Tariff Schedule Lookup Table'!$F$8:$G$286,2,FALSE),"0000"))</f>
        <v>0830</v>
      </c>
      <c r="M144" s="34" t="str">
        <f>IF(ISERROR(VLOOKUP(CONCATENATE($A144,$M$8,M$10),'Tariff Schedule Lookup Table'!$F$8:$G$286,2,FALSE))=TRUE,"",TEXT(VLOOKUP(CONCATENATE($A144,$M$8,M$10),'Tariff Schedule Lookup Table'!$F$8:$G$286,2,FALSE),"0000"))</f>
        <v>0810</v>
      </c>
      <c r="N144" s="34" t="str">
        <f>IF(ISERROR(VLOOKUP(CONCATENATE($A144,$M$8,N$10),'Tariff Schedule Lookup Table'!$F$8:$G$286,2,FALSE))=TRUE,"",TEXT(VLOOKUP(CONCATENATE($A144,$M$8,N$10),'Tariff Schedule Lookup Table'!$F$8:$G$286,2,FALSE),"0000"))</f>
        <v>1260</v>
      </c>
      <c r="O144" s="34" t="str">
        <f>IF(ISERROR(VLOOKUP(CONCATENATE($A144,$M$8,O$10),'Tariff Schedule Lookup Table'!$F$8:$G$286,2,FALSE))=TRUE,"",TEXT(VLOOKUP(CONCATENATE($A144,$M$8,O$10),'Tariff Schedule Lookup Table'!$F$8:$G$286,2,FALSE),"0000"))</f>
        <v/>
      </c>
      <c r="P144" s="34" t="str">
        <f>IF(ISERROR(VLOOKUP(CONCATENATE($A144,$M$8,P$10),'Tariff Schedule Lookup Table'!$F$8:$G$286,2,FALSE))=TRUE,"",TEXT(VLOOKUP(CONCATENATE($A144,$M$8,P$10),'Tariff Schedule Lookup Table'!$F$8:$G$286,2,FALSE),"0000"))</f>
        <v/>
      </c>
      <c r="Q144" s="34" t="str">
        <f>IF(ISERROR(VLOOKUP(CONCATENATE($A144,$Q$8,Q$10),'Tariff Schedule Lookup Table'!$F$8:$G$286,2,FALSE))=TRUE,"",TEXT(VLOOKUP(CONCATENATE($A144,$Q$8,Q$10),'Tariff Schedule Lookup Table'!$F$8:$G$286,2,FALSE),"0000"))</f>
        <v>0990</v>
      </c>
      <c r="R144" s="34" t="str">
        <f>IF(ISERROR(VLOOKUP(CONCATENATE($A144,$Q$8,R$10),'Tariff Schedule Lookup Table'!$F$8:$G$286,2,FALSE))=TRUE,"",TEXT(VLOOKUP(CONCATENATE($A144,$Q$8,R$10),'Tariff Schedule Lookup Table'!$F$8:$G$286,2,FALSE),"0000"))</f>
        <v>1000</v>
      </c>
      <c r="S144" s="34" t="str">
        <f>IF(ISERROR(VLOOKUP(CONCATENATE($A144,$Q$8,S$10),'Tariff Schedule Lookup Table'!$F$8:$G$286,2,FALSE))=TRUE,"",TEXT(VLOOKUP(CONCATENATE($A144,$Q$8,S$10),'Tariff Schedule Lookup Table'!$F$8:$G$286,2,FALSE),"0000"))</f>
        <v>1460</v>
      </c>
      <c r="T144" s="34" t="str">
        <f>IF(ISERROR(VLOOKUP(CONCATENATE($A144,$Q$8,T$10),'Tariff Schedule Lookup Table'!$F$8:$G$286,2,FALSE))=TRUE,"",TEXT(VLOOKUP(CONCATENATE($A144,$Q$8,T$10),'Tariff Schedule Lookup Table'!$F$8:$G$286,2,FALSE),"0000"))</f>
        <v>1500</v>
      </c>
      <c r="U144" s="34" t="str">
        <f>IF(ISERROR(VLOOKUP(CONCATENATE($A144,$U$8,U$10),'Tariff Schedule Lookup Table'!$F$8:$G$286,2,FALSE))=TRUE,"",TEXT(VLOOKUP(CONCATENATE($A144,$U$8,U$10),'Tariff Schedule Lookup Table'!$F$8:$G$286,2,FALSE),"0000"))</f>
        <v/>
      </c>
      <c r="V144" s="34" t="str">
        <f>IF(ISERROR(VLOOKUP(CONCATENATE($A144,$U$8,V$10),'Tariff Schedule Lookup Table'!$F$8:$G$286,2,FALSE))=TRUE,"",TEXT(VLOOKUP(CONCATENATE($A144,$U$8,V$10),'Tariff Schedule Lookup Table'!$F$8:$G$286,2,FALSE),"0000"))</f>
        <v/>
      </c>
      <c r="W144" s="34" t="str">
        <f>IF(ISERROR(VLOOKUP(CONCATENATE($A144,$U$8,W$10),'Tariff Schedule Lookup Table'!$F$8:$G$286,2,FALSE))=TRUE,"",TEXT(VLOOKUP(CONCATENATE($A144,$U$8,W$10),'Tariff Schedule Lookup Table'!$F$8:$G$286,2,FALSE),"0000"))</f>
        <v/>
      </c>
      <c r="X144" s="34" t="str">
        <f>IF(ISERROR(VLOOKUP(CONCATENATE($A144,$U$8,X$10),'Tariff Schedule Lookup Table'!$F$8:$G$286,2,FALSE))=TRUE,"",TEXT(VLOOKUP(CONCATENATE($A144,$U$8,X$10),'Tariff Schedule Lookup Table'!$F$8:$G$186,2,FALSE),"0000"))</f>
        <v/>
      </c>
      <c r="Y144" s="6"/>
      <c r="Z144" s="6"/>
      <c r="AA144" s="6"/>
      <c r="AB144" s="6"/>
      <c r="AC144" s="6"/>
    </row>
    <row r="145" spans="1:29" x14ac:dyDescent="0.2">
      <c r="A145" s="6" t="s">
        <v>993</v>
      </c>
      <c r="B145" s="35" t="s">
        <v>240</v>
      </c>
      <c r="C145" s="197" t="str">
        <f>VLOOKUP(LEFT(B145,7),'Tariff Schedule Lookup Table'!$A$8:$D$186,3,FALSE)</f>
        <v>6x125</v>
      </c>
      <c r="D145" s="199" t="str">
        <f>VLOOKUP(LEFT(B145,7),'Tariff Schedule Lookup Table'!$A$8:$D$186,2,FALSE)</f>
        <v>Mercury Vapour 6x125</v>
      </c>
      <c r="E145" s="6" t="s">
        <v>996</v>
      </c>
      <c r="F145" s="37">
        <f>VLOOKUP(LEFT(B145,7),'Tariff Schedule Lookup Table'!$A$8:$D$186,4,FALSE)</f>
        <v>852</v>
      </c>
      <c r="G145" s="33">
        <f>VLOOKUP($B145,'Maintenance Costs'!$A$20:$AG$176,32,FALSE)</f>
        <v>90.563161636256467</v>
      </c>
      <c r="H145" s="67">
        <f>IF(VLOOKUP($B145,'Maintenance Costs'!$A$20:$AG$176,33,FALSE)=0,"",VLOOKUP($B145,'Maintenance Costs'!$A$20:$AG$176,33,FALSE))</f>
        <v>70.759569832391776</v>
      </c>
      <c r="I145" s="34" t="str">
        <f>IF(ISERROR(VLOOKUP(CONCATENATE($A145,$I$8,I$10),'Tariff Schedule Lookup Table'!$F$8:$G$286,2,FALSE))=TRUE,"",TEXT(VLOOKUP(CONCATENATE($A145,$I$8,I$10),'Tariff Schedule Lookup Table'!$F$8:$G$286,2,FALSE),"0000"))</f>
        <v>0010</v>
      </c>
      <c r="J145" s="34" t="str">
        <f>IF(ISERROR(VLOOKUP(CONCATENATE($A145,$I$8,J$10),'Tariff Schedule Lookup Table'!$F$8:$G$286,2,FALSE))=TRUE,"",TEXT(VLOOKUP(CONCATENATE($A145,$I$8,J$10),'Tariff Schedule Lookup Table'!$F$8:$G$286,2,FALSE),"0000"))</f>
        <v>0740</v>
      </c>
      <c r="K145" s="34" t="str">
        <f>IF(ISERROR(VLOOKUP(CONCATENATE($A145,$I$8,K$10),'Tariff Schedule Lookup Table'!$F$8:$G$286,2,FALSE))=TRUE,"",TEXT(VLOOKUP(CONCATENATE($A145,$I$8,K$10),'Tariff Schedule Lookup Table'!$F$8:$G$286,2,FALSE),"0000"))</f>
        <v>0820</v>
      </c>
      <c r="L145" s="34" t="str">
        <f>IF(ISERROR(VLOOKUP(CONCATENATE($A145,$I$8,L$10),'Tariff Schedule Lookup Table'!$F$8:$G$286,2,FALSE))=TRUE,"",TEXT(VLOOKUP(CONCATENATE($A145,$I$8,L$10),'Tariff Schedule Lookup Table'!$F$8:$G$286,2,FALSE),"0000"))</f>
        <v>0830</v>
      </c>
      <c r="M145" s="34" t="str">
        <f>IF(ISERROR(VLOOKUP(CONCATENATE($A145,$M$8,M$10),'Tariff Schedule Lookup Table'!$F$8:$G$286,2,FALSE))=TRUE,"",TEXT(VLOOKUP(CONCATENATE($A145,$M$8,M$10),'Tariff Schedule Lookup Table'!$F$8:$G$286,2,FALSE),"0000"))</f>
        <v>0810</v>
      </c>
      <c r="N145" s="34" t="str">
        <f>IF(ISERROR(VLOOKUP(CONCATENATE($A145,$M$8,N$10),'Tariff Schedule Lookup Table'!$F$8:$G$286,2,FALSE))=TRUE,"",TEXT(VLOOKUP(CONCATENATE($A145,$M$8,N$10),'Tariff Schedule Lookup Table'!$F$8:$G$286,2,FALSE),"0000"))</f>
        <v>1260</v>
      </c>
      <c r="O145" s="34" t="str">
        <f>IF(ISERROR(VLOOKUP(CONCATENATE($A145,$M$8,O$10),'Tariff Schedule Lookup Table'!$F$8:$G$286,2,FALSE))=TRUE,"",TEXT(VLOOKUP(CONCATENATE($A145,$M$8,O$10),'Tariff Schedule Lookup Table'!$F$8:$G$286,2,FALSE),"0000"))</f>
        <v/>
      </c>
      <c r="P145" s="34" t="str">
        <f>IF(ISERROR(VLOOKUP(CONCATENATE($A145,$M$8,P$10),'Tariff Schedule Lookup Table'!$F$8:$G$286,2,FALSE))=TRUE,"",TEXT(VLOOKUP(CONCATENATE($A145,$M$8,P$10),'Tariff Schedule Lookup Table'!$F$8:$G$286,2,FALSE),"0000"))</f>
        <v/>
      </c>
      <c r="Q145" s="34" t="str">
        <f>IF(ISERROR(VLOOKUP(CONCATENATE($A145,$Q$8,Q$10),'Tariff Schedule Lookup Table'!$F$8:$G$286,2,FALSE))=TRUE,"",TEXT(VLOOKUP(CONCATENATE($A145,$Q$8,Q$10),'Tariff Schedule Lookup Table'!$F$8:$G$286,2,FALSE),"0000"))</f>
        <v>0990</v>
      </c>
      <c r="R145" s="34" t="str">
        <f>IF(ISERROR(VLOOKUP(CONCATENATE($A145,$Q$8,R$10),'Tariff Schedule Lookup Table'!$F$8:$G$286,2,FALSE))=TRUE,"",TEXT(VLOOKUP(CONCATENATE($A145,$Q$8,R$10),'Tariff Schedule Lookup Table'!$F$8:$G$286,2,FALSE),"0000"))</f>
        <v>1000</v>
      </c>
      <c r="S145" s="34" t="str">
        <f>IF(ISERROR(VLOOKUP(CONCATENATE($A145,$Q$8,S$10),'Tariff Schedule Lookup Table'!$F$8:$G$286,2,FALSE))=TRUE,"",TEXT(VLOOKUP(CONCATENATE($A145,$Q$8,S$10),'Tariff Schedule Lookup Table'!$F$8:$G$286,2,FALSE),"0000"))</f>
        <v>1460</v>
      </c>
      <c r="T145" s="34" t="str">
        <f>IF(ISERROR(VLOOKUP(CONCATENATE($A145,$Q$8,T$10),'Tariff Schedule Lookup Table'!$F$8:$G$286,2,FALSE))=TRUE,"",TEXT(VLOOKUP(CONCATENATE($A145,$Q$8,T$10),'Tariff Schedule Lookup Table'!$F$8:$G$286,2,FALSE),"0000"))</f>
        <v>1500</v>
      </c>
      <c r="U145" s="34" t="str">
        <f>IF(ISERROR(VLOOKUP(CONCATENATE($A145,$U$8,U$10),'Tariff Schedule Lookup Table'!$F$8:$G$286,2,FALSE))=TRUE,"",TEXT(VLOOKUP(CONCATENATE($A145,$U$8,U$10),'Tariff Schedule Lookup Table'!$F$8:$G$286,2,FALSE),"0000"))</f>
        <v/>
      </c>
      <c r="V145" s="34" t="str">
        <f>IF(ISERROR(VLOOKUP(CONCATENATE($A145,$U$8,V$10),'Tariff Schedule Lookup Table'!$F$8:$G$286,2,FALSE))=TRUE,"",TEXT(VLOOKUP(CONCATENATE($A145,$U$8,V$10),'Tariff Schedule Lookup Table'!$F$8:$G$286,2,FALSE),"0000"))</f>
        <v/>
      </c>
      <c r="W145" s="34" t="str">
        <f>IF(ISERROR(VLOOKUP(CONCATENATE($A145,$U$8,W$10),'Tariff Schedule Lookup Table'!$F$8:$G$286,2,FALSE))=TRUE,"",TEXT(VLOOKUP(CONCATENATE($A145,$U$8,W$10),'Tariff Schedule Lookup Table'!$F$8:$G$286,2,FALSE),"0000"))</f>
        <v/>
      </c>
      <c r="X145" s="34" t="str">
        <f>IF(ISERROR(VLOOKUP(CONCATENATE($A145,$U$8,X$10),'Tariff Schedule Lookup Table'!$F$8:$G$286,2,FALSE))=TRUE,"",TEXT(VLOOKUP(CONCATENATE($A145,$U$8,X$10),'Tariff Schedule Lookup Table'!$F$8:$G$186,2,FALSE),"0000"))</f>
        <v/>
      </c>
      <c r="Y145" s="6"/>
      <c r="Z145" s="6"/>
      <c r="AA145" s="6"/>
      <c r="AB145" s="6"/>
      <c r="AC145" s="6"/>
    </row>
    <row r="146" spans="1:29" x14ac:dyDescent="0.2">
      <c r="A146" s="6" t="s">
        <v>993</v>
      </c>
      <c r="B146" s="35" t="s">
        <v>2138</v>
      </c>
      <c r="C146" s="197">
        <f>VLOOKUP(LEFT(B146,7),'Tariff Schedule Lookup Table'!$A$8:$D$186,3,FALSE)</f>
        <v>160</v>
      </c>
      <c r="D146" s="199" t="str">
        <f>VLOOKUP(LEFT(B146,7),'Tariff Schedule Lookup Table'!$A$8:$D$186,2,FALSE)</f>
        <v>Mercury Vapour 160</v>
      </c>
      <c r="E146" s="6" t="s">
        <v>996</v>
      </c>
      <c r="F146" s="37">
        <f>VLOOKUP(LEFT(B146,7),'Tariff Schedule Lookup Table'!$A$8:$D$186,4,FALSE)</f>
        <v>175</v>
      </c>
      <c r="G146" s="33">
        <f>VLOOKUP($B146,'Maintenance Costs'!$A$20:$AG$176,32,FALSE)</f>
        <v>76.39433466958981</v>
      </c>
      <c r="H146" s="67">
        <f>IF(VLOOKUP($B146,'Maintenance Costs'!$A$20:$AG$176,33,FALSE)=0,"",VLOOKUP($B146,'Maintenance Costs'!$A$20:$AG$176,33,FALSE))</f>
        <v>39.911516435913995</v>
      </c>
      <c r="I146" s="34" t="str">
        <f>IF(ISERROR(VLOOKUP(CONCATENATE($A146,$I$8,I$10),'Tariff Schedule Lookup Table'!$F$8:$G$286,2,FALSE))=TRUE,"",TEXT(VLOOKUP(CONCATENATE($A146,$I$8,I$10),'Tariff Schedule Lookup Table'!$F$8:$G$286,2,FALSE),"0000"))</f>
        <v>0010</v>
      </c>
      <c r="J146" s="34" t="str">
        <f>IF(ISERROR(VLOOKUP(CONCATENATE($A146,$I$8,J$10),'Tariff Schedule Lookup Table'!$F$8:$G$286,2,FALSE))=TRUE,"",TEXT(VLOOKUP(CONCATENATE($A146,$I$8,J$10),'Tariff Schedule Lookup Table'!$F$8:$G$286,2,FALSE),"0000"))</f>
        <v>0740</v>
      </c>
      <c r="K146" s="34" t="str">
        <f>IF(ISERROR(VLOOKUP(CONCATENATE($A146,$I$8,K$10),'Tariff Schedule Lookup Table'!$F$8:$G$286,2,FALSE))=TRUE,"",TEXT(VLOOKUP(CONCATENATE($A146,$I$8,K$10),'Tariff Schedule Lookup Table'!$F$8:$G$286,2,FALSE),"0000"))</f>
        <v>0820</v>
      </c>
      <c r="L146" s="34" t="str">
        <f>IF(ISERROR(VLOOKUP(CONCATENATE($A146,$I$8,L$10),'Tariff Schedule Lookup Table'!$F$8:$G$286,2,FALSE))=TRUE,"",TEXT(VLOOKUP(CONCATENATE($A146,$I$8,L$10),'Tariff Schedule Lookup Table'!$F$8:$G$286,2,FALSE),"0000"))</f>
        <v>0830</v>
      </c>
      <c r="M146" s="34" t="str">
        <f>IF(ISERROR(VLOOKUP(CONCATENATE($A146,$M$8,M$10),'Tariff Schedule Lookup Table'!$F$8:$G$286,2,FALSE))=TRUE,"",TEXT(VLOOKUP(CONCATENATE($A146,$M$8,M$10),'Tariff Schedule Lookup Table'!$F$8:$G$286,2,FALSE),"0000"))</f>
        <v>0810</v>
      </c>
      <c r="N146" s="34" t="str">
        <f>IF(ISERROR(VLOOKUP(CONCATENATE($A146,$M$8,N$10),'Tariff Schedule Lookup Table'!$F$8:$G$286,2,FALSE))=TRUE,"",TEXT(VLOOKUP(CONCATENATE($A146,$M$8,N$10),'Tariff Schedule Lookup Table'!$F$8:$G$286,2,FALSE),"0000"))</f>
        <v>1260</v>
      </c>
      <c r="O146" s="34" t="str">
        <f>IF(ISERROR(VLOOKUP(CONCATENATE($A146,$M$8,O$10),'Tariff Schedule Lookup Table'!$F$8:$G$286,2,FALSE))=TRUE,"",TEXT(VLOOKUP(CONCATENATE($A146,$M$8,O$10),'Tariff Schedule Lookup Table'!$F$8:$G$286,2,FALSE),"0000"))</f>
        <v/>
      </c>
      <c r="P146" s="34" t="str">
        <f>IF(ISERROR(VLOOKUP(CONCATENATE($A146,$M$8,P$10),'Tariff Schedule Lookup Table'!$F$8:$G$286,2,FALSE))=TRUE,"",TEXT(VLOOKUP(CONCATENATE($A146,$M$8,P$10),'Tariff Schedule Lookup Table'!$F$8:$G$286,2,FALSE),"0000"))</f>
        <v/>
      </c>
      <c r="Q146" s="34" t="str">
        <f>IF(ISERROR(VLOOKUP(CONCATENATE($A146,$Q$8,Q$10),'Tariff Schedule Lookup Table'!$F$8:$G$286,2,FALSE))=TRUE,"",TEXT(VLOOKUP(CONCATENATE($A146,$Q$8,Q$10),'Tariff Schedule Lookup Table'!$F$8:$G$286,2,FALSE),"0000"))</f>
        <v>0990</v>
      </c>
      <c r="R146" s="34" t="str">
        <f>IF(ISERROR(VLOOKUP(CONCATENATE($A146,$Q$8,R$10),'Tariff Schedule Lookup Table'!$F$8:$G$286,2,FALSE))=TRUE,"",TEXT(VLOOKUP(CONCATENATE($A146,$Q$8,R$10),'Tariff Schedule Lookup Table'!$F$8:$G$286,2,FALSE),"0000"))</f>
        <v>1000</v>
      </c>
      <c r="S146" s="34" t="str">
        <f>IF(ISERROR(VLOOKUP(CONCATENATE($A146,$Q$8,S$10),'Tariff Schedule Lookup Table'!$F$8:$G$286,2,FALSE))=TRUE,"",TEXT(VLOOKUP(CONCATENATE($A146,$Q$8,S$10),'Tariff Schedule Lookup Table'!$F$8:$G$286,2,FALSE),"0000"))</f>
        <v>1460</v>
      </c>
      <c r="T146" s="34" t="str">
        <f>IF(ISERROR(VLOOKUP(CONCATENATE($A146,$Q$8,T$10),'Tariff Schedule Lookup Table'!$F$8:$G$286,2,FALSE))=TRUE,"",TEXT(VLOOKUP(CONCATENATE($A146,$Q$8,T$10),'Tariff Schedule Lookup Table'!$F$8:$G$286,2,FALSE),"0000"))</f>
        <v>1500</v>
      </c>
      <c r="U146" s="34" t="str">
        <f>IF(ISERROR(VLOOKUP(CONCATENATE($A146,$U$8,U$10),'Tariff Schedule Lookup Table'!$F$8:$G$286,2,FALSE))=TRUE,"",TEXT(VLOOKUP(CONCATENATE($A146,$U$8,U$10),'Tariff Schedule Lookup Table'!$F$8:$G$286,2,FALSE),"0000"))</f>
        <v/>
      </c>
      <c r="V146" s="34" t="str">
        <f>IF(ISERROR(VLOOKUP(CONCATENATE($A146,$U$8,V$10),'Tariff Schedule Lookup Table'!$F$8:$G$286,2,FALSE))=TRUE,"",TEXT(VLOOKUP(CONCATENATE($A146,$U$8,V$10),'Tariff Schedule Lookup Table'!$F$8:$G$286,2,FALSE),"0000"))</f>
        <v/>
      </c>
      <c r="W146" s="34" t="str">
        <f>IF(ISERROR(VLOOKUP(CONCATENATE($A146,$U$8,W$10),'Tariff Schedule Lookup Table'!$F$8:$G$286,2,FALSE))=TRUE,"",TEXT(VLOOKUP(CONCATENATE($A146,$U$8,W$10),'Tariff Schedule Lookup Table'!$F$8:$G$286,2,FALSE),"0000"))</f>
        <v/>
      </c>
      <c r="X146" s="34" t="str">
        <f>IF(ISERROR(VLOOKUP(CONCATENATE($A146,$U$8,X$10),'Tariff Schedule Lookup Table'!$F$8:$G$286,2,FALSE))=TRUE,"",TEXT(VLOOKUP(CONCATENATE($A146,$U$8,X$10),'Tariff Schedule Lookup Table'!$F$8:$G$186,2,FALSE),"0000"))</f>
        <v/>
      </c>
      <c r="Y146" s="6"/>
      <c r="Z146" s="6"/>
      <c r="AA146" s="6"/>
      <c r="AB146" s="6"/>
      <c r="AC146" s="6"/>
    </row>
    <row r="147" spans="1:29" x14ac:dyDescent="0.2">
      <c r="A147" s="6" t="s">
        <v>993</v>
      </c>
      <c r="B147" s="237" t="s">
        <v>241</v>
      </c>
      <c r="C147" s="197" t="str">
        <f>VLOOKUP(LEFT(B147,7),'Tariff Schedule Lookup Table'!$A$8:$D$186,3,FALSE)</f>
        <v>2x160</v>
      </c>
      <c r="D147" s="199" t="str">
        <f>VLOOKUP(LEFT(B147,7),'Tariff Schedule Lookup Table'!$A$8:$D$186,2,FALSE)</f>
        <v>Mercury Vapour 2x160</v>
      </c>
      <c r="E147" s="6" t="s">
        <v>996</v>
      </c>
      <c r="F147" s="37">
        <f>VLOOKUP(LEFT(B147,7),'Tariff Schedule Lookup Table'!$A$8:$D$186,4,FALSE)</f>
        <v>350</v>
      </c>
      <c r="G147" s="33">
        <f>VLOOKUP($B147,'Maintenance Costs'!$A$20:$AG$176,32,FALSE)</f>
        <v>81.067107293589814</v>
      </c>
      <c r="H147" s="67">
        <f>IF(VLOOKUP($B147,'Maintenance Costs'!$A$20:$AG$176,33,FALSE)=0,"",VLOOKUP($B147,'Maintenance Costs'!$A$20:$AG$176,33,FALSE))</f>
        <v>47.110617799653994</v>
      </c>
      <c r="I147" s="34" t="str">
        <f>IF(ISERROR(VLOOKUP(CONCATENATE($A147,$I$8,I$10),'Tariff Schedule Lookup Table'!$F$8:$G$286,2,FALSE))=TRUE,"",TEXT(VLOOKUP(CONCATENATE($A147,$I$8,I$10),'Tariff Schedule Lookup Table'!$F$8:$G$286,2,FALSE),"0000"))</f>
        <v>0010</v>
      </c>
      <c r="J147" s="34" t="str">
        <f>IF(ISERROR(VLOOKUP(CONCATENATE($A147,$I$8,J$10),'Tariff Schedule Lookup Table'!$F$8:$G$286,2,FALSE))=TRUE,"",TEXT(VLOOKUP(CONCATENATE($A147,$I$8,J$10),'Tariff Schedule Lookup Table'!$F$8:$G$286,2,FALSE),"0000"))</f>
        <v>0740</v>
      </c>
      <c r="K147" s="34" t="str">
        <f>IF(ISERROR(VLOOKUP(CONCATENATE($A147,$I$8,K$10),'Tariff Schedule Lookup Table'!$F$8:$G$286,2,FALSE))=TRUE,"",TEXT(VLOOKUP(CONCATENATE($A147,$I$8,K$10),'Tariff Schedule Lookup Table'!$F$8:$G$286,2,FALSE),"0000"))</f>
        <v>0820</v>
      </c>
      <c r="L147" s="34" t="str">
        <f>IF(ISERROR(VLOOKUP(CONCATENATE($A147,$I$8,L$10),'Tariff Schedule Lookup Table'!$F$8:$G$286,2,FALSE))=TRUE,"",TEXT(VLOOKUP(CONCATENATE($A147,$I$8,L$10),'Tariff Schedule Lookup Table'!$F$8:$G$286,2,FALSE),"0000"))</f>
        <v>0830</v>
      </c>
      <c r="M147" s="34" t="str">
        <f>IF(ISERROR(VLOOKUP(CONCATENATE($A147,$M$8,M$10),'Tariff Schedule Lookup Table'!$F$8:$G$286,2,FALSE))=TRUE,"",TEXT(VLOOKUP(CONCATENATE($A147,$M$8,M$10),'Tariff Schedule Lookup Table'!$F$8:$G$286,2,FALSE),"0000"))</f>
        <v>0810</v>
      </c>
      <c r="N147" s="34" t="str">
        <f>IF(ISERROR(VLOOKUP(CONCATENATE($A147,$M$8,N$10),'Tariff Schedule Lookup Table'!$F$8:$G$286,2,FALSE))=TRUE,"",TEXT(VLOOKUP(CONCATENATE($A147,$M$8,N$10),'Tariff Schedule Lookup Table'!$F$8:$G$286,2,FALSE),"0000"))</f>
        <v>1260</v>
      </c>
      <c r="O147" s="34" t="str">
        <f>IF(ISERROR(VLOOKUP(CONCATENATE($A147,$M$8,O$10),'Tariff Schedule Lookup Table'!$F$8:$G$286,2,FALSE))=TRUE,"",TEXT(VLOOKUP(CONCATENATE($A147,$M$8,O$10),'Tariff Schedule Lookup Table'!$F$8:$G$286,2,FALSE),"0000"))</f>
        <v/>
      </c>
      <c r="P147" s="34" t="str">
        <f>IF(ISERROR(VLOOKUP(CONCATENATE($A147,$M$8,P$10),'Tariff Schedule Lookup Table'!$F$8:$G$286,2,FALSE))=TRUE,"",TEXT(VLOOKUP(CONCATENATE($A147,$M$8,P$10),'Tariff Schedule Lookup Table'!$F$8:$G$286,2,FALSE),"0000"))</f>
        <v/>
      </c>
      <c r="Q147" s="34" t="str">
        <f>IF(ISERROR(VLOOKUP(CONCATENATE($A147,$Q$8,Q$10),'Tariff Schedule Lookup Table'!$F$8:$G$286,2,FALSE))=TRUE,"",TEXT(VLOOKUP(CONCATENATE($A147,$Q$8,Q$10),'Tariff Schedule Lookup Table'!$F$8:$G$286,2,FALSE),"0000"))</f>
        <v>0990</v>
      </c>
      <c r="R147" s="34" t="str">
        <f>IF(ISERROR(VLOOKUP(CONCATENATE($A147,$Q$8,R$10),'Tariff Schedule Lookup Table'!$F$8:$G$286,2,FALSE))=TRUE,"",TEXT(VLOOKUP(CONCATENATE($A147,$Q$8,R$10),'Tariff Schedule Lookup Table'!$F$8:$G$286,2,FALSE),"0000"))</f>
        <v>1000</v>
      </c>
      <c r="S147" s="34" t="str">
        <f>IF(ISERROR(VLOOKUP(CONCATENATE($A147,$Q$8,S$10),'Tariff Schedule Lookup Table'!$F$8:$G$286,2,FALSE))=TRUE,"",TEXT(VLOOKUP(CONCATENATE($A147,$Q$8,S$10),'Tariff Schedule Lookup Table'!$F$8:$G$286,2,FALSE),"0000"))</f>
        <v>1460</v>
      </c>
      <c r="T147" s="34" t="str">
        <f>IF(ISERROR(VLOOKUP(CONCATENATE($A147,$Q$8,T$10),'Tariff Schedule Lookup Table'!$F$8:$G$286,2,FALSE))=TRUE,"",TEXT(VLOOKUP(CONCATENATE($A147,$Q$8,T$10),'Tariff Schedule Lookup Table'!$F$8:$G$286,2,FALSE),"0000"))</f>
        <v>1500</v>
      </c>
      <c r="U147" s="34" t="str">
        <f>IF(ISERROR(VLOOKUP(CONCATENATE($A147,$U$8,U$10),'Tariff Schedule Lookup Table'!$F$8:$G$286,2,FALSE))=TRUE,"",TEXT(VLOOKUP(CONCATENATE($A147,$U$8,U$10),'Tariff Schedule Lookup Table'!$F$8:$G$286,2,FALSE),"0000"))</f>
        <v/>
      </c>
      <c r="V147" s="34" t="str">
        <f>IF(ISERROR(VLOOKUP(CONCATENATE($A147,$U$8,V$10),'Tariff Schedule Lookup Table'!$F$8:$G$286,2,FALSE))=TRUE,"",TEXT(VLOOKUP(CONCATENATE($A147,$U$8,V$10),'Tariff Schedule Lookup Table'!$F$8:$G$286,2,FALSE),"0000"))</f>
        <v/>
      </c>
      <c r="W147" s="34" t="str">
        <f>IF(ISERROR(VLOOKUP(CONCATENATE($A147,$U$8,W$10),'Tariff Schedule Lookup Table'!$F$8:$G$286,2,FALSE))=TRUE,"",TEXT(VLOOKUP(CONCATENATE($A147,$U$8,W$10),'Tariff Schedule Lookup Table'!$F$8:$G$286,2,FALSE),"0000"))</f>
        <v/>
      </c>
      <c r="X147" s="34" t="str">
        <f>IF(ISERROR(VLOOKUP(CONCATENATE($A147,$U$8,X$10),'Tariff Schedule Lookup Table'!$F$8:$G$286,2,FALSE))=TRUE,"",TEXT(VLOOKUP(CONCATENATE($A147,$U$8,X$10),'Tariff Schedule Lookup Table'!$F$8:$G$186,2,FALSE),"0000"))</f>
        <v/>
      </c>
      <c r="Y147" s="6"/>
      <c r="Z147" s="6"/>
      <c r="AA147" s="6"/>
      <c r="AB147" s="6"/>
      <c r="AC147" s="6"/>
    </row>
    <row r="148" spans="1:29" x14ac:dyDescent="0.2">
      <c r="A148" s="6" t="s">
        <v>993</v>
      </c>
      <c r="B148" s="237" t="s">
        <v>242</v>
      </c>
      <c r="C148" s="197" t="str">
        <f>VLOOKUP(LEFT(B148,7),'Tariff Schedule Lookup Table'!$A$8:$D$186,3,FALSE)</f>
        <v>3x160</v>
      </c>
      <c r="D148" s="199" t="str">
        <f>VLOOKUP(LEFT(B148,7),'Tariff Schedule Lookup Table'!$A$8:$D$186,2,FALSE)</f>
        <v>Mercury Vapour 3x160</v>
      </c>
      <c r="E148" s="6" t="s">
        <v>996</v>
      </c>
      <c r="F148" s="37">
        <f>VLOOKUP(LEFT(B148,7),'Tariff Schedule Lookup Table'!$A$8:$D$186,4,FALSE)</f>
        <v>525</v>
      </c>
      <c r="G148" s="33">
        <f>VLOOKUP($B148,'Maintenance Costs'!$A$20:$AG$176,32,FALSE)</f>
        <v>85.739879917589803</v>
      </c>
      <c r="H148" s="67">
        <f>IF(VLOOKUP($B148,'Maintenance Costs'!$A$20:$AG$176,33,FALSE)=0,"",VLOOKUP($B148,'Maintenance Costs'!$A$20:$AG$176,33,FALSE))</f>
        <v>54.309719163393993</v>
      </c>
      <c r="I148" s="34" t="str">
        <f>IF(ISERROR(VLOOKUP(CONCATENATE($A148,$I$8,I$10),'Tariff Schedule Lookup Table'!$F$8:$G$286,2,FALSE))=TRUE,"",TEXT(VLOOKUP(CONCATENATE($A148,$I$8,I$10),'Tariff Schedule Lookup Table'!$F$8:$G$286,2,FALSE),"0000"))</f>
        <v>0010</v>
      </c>
      <c r="J148" s="34" t="str">
        <f>IF(ISERROR(VLOOKUP(CONCATENATE($A148,$I$8,J$10),'Tariff Schedule Lookup Table'!$F$8:$G$286,2,FALSE))=TRUE,"",TEXT(VLOOKUP(CONCATENATE($A148,$I$8,J$10),'Tariff Schedule Lookup Table'!$F$8:$G$286,2,FALSE),"0000"))</f>
        <v>0740</v>
      </c>
      <c r="K148" s="34" t="str">
        <f>IF(ISERROR(VLOOKUP(CONCATENATE($A148,$I$8,K$10),'Tariff Schedule Lookup Table'!$F$8:$G$286,2,FALSE))=TRUE,"",TEXT(VLOOKUP(CONCATENATE($A148,$I$8,K$10),'Tariff Schedule Lookup Table'!$F$8:$G$286,2,FALSE),"0000"))</f>
        <v>0820</v>
      </c>
      <c r="L148" s="34" t="str">
        <f>IF(ISERROR(VLOOKUP(CONCATENATE($A148,$I$8,L$10),'Tariff Schedule Lookup Table'!$F$8:$G$286,2,FALSE))=TRUE,"",TEXT(VLOOKUP(CONCATENATE($A148,$I$8,L$10),'Tariff Schedule Lookup Table'!$F$8:$G$286,2,FALSE),"0000"))</f>
        <v>0830</v>
      </c>
      <c r="M148" s="34" t="str">
        <f>IF(ISERROR(VLOOKUP(CONCATENATE($A148,$M$8,M$10),'Tariff Schedule Lookup Table'!$F$8:$G$286,2,FALSE))=TRUE,"",TEXT(VLOOKUP(CONCATENATE($A148,$M$8,M$10),'Tariff Schedule Lookup Table'!$F$8:$G$286,2,FALSE),"0000"))</f>
        <v>0810</v>
      </c>
      <c r="N148" s="34" t="str">
        <f>IF(ISERROR(VLOOKUP(CONCATENATE($A148,$M$8,N$10),'Tariff Schedule Lookup Table'!$F$8:$G$286,2,FALSE))=TRUE,"",TEXT(VLOOKUP(CONCATENATE($A148,$M$8,N$10),'Tariff Schedule Lookup Table'!$F$8:$G$286,2,FALSE),"0000"))</f>
        <v>1260</v>
      </c>
      <c r="O148" s="34" t="str">
        <f>IF(ISERROR(VLOOKUP(CONCATENATE($A148,$M$8,O$10),'Tariff Schedule Lookup Table'!$F$8:$G$286,2,FALSE))=TRUE,"",TEXT(VLOOKUP(CONCATENATE($A148,$M$8,O$10),'Tariff Schedule Lookup Table'!$F$8:$G$286,2,FALSE),"0000"))</f>
        <v/>
      </c>
      <c r="P148" s="34" t="str">
        <f>IF(ISERROR(VLOOKUP(CONCATENATE($A148,$M$8,P$10),'Tariff Schedule Lookup Table'!$F$8:$G$286,2,FALSE))=TRUE,"",TEXT(VLOOKUP(CONCATENATE($A148,$M$8,P$10),'Tariff Schedule Lookup Table'!$F$8:$G$286,2,FALSE),"0000"))</f>
        <v/>
      </c>
      <c r="Q148" s="34" t="str">
        <f>IF(ISERROR(VLOOKUP(CONCATENATE($A148,$Q$8,Q$10),'Tariff Schedule Lookup Table'!$F$8:$G$286,2,FALSE))=TRUE,"",TEXT(VLOOKUP(CONCATENATE($A148,$Q$8,Q$10),'Tariff Schedule Lookup Table'!$F$8:$G$286,2,FALSE),"0000"))</f>
        <v>0990</v>
      </c>
      <c r="R148" s="34" t="str">
        <f>IF(ISERROR(VLOOKUP(CONCATENATE($A148,$Q$8,R$10),'Tariff Schedule Lookup Table'!$F$8:$G$286,2,FALSE))=TRUE,"",TEXT(VLOOKUP(CONCATENATE($A148,$Q$8,R$10),'Tariff Schedule Lookup Table'!$F$8:$G$286,2,FALSE),"0000"))</f>
        <v>1000</v>
      </c>
      <c r="S148" s="34" t="str">
        <f>IF(ISERROR(VLOOKUP(CONCATENATE($A148,$Q$8,S$10),'Tariff Schedule Lookup Table'!$F$8:$G$286,2,FALSE))=TRUE,"",TEXT(VLOOKUP(CONCATENATE($A148,$Q$8,S$10),'Tariff Schedule Lookup Table'!$F$8:$G$286,2,FALSE),"0000"))</f>
        <v>1460</v>
      </c>
      <c r="T148" s="34" t="str">
        <f>IF(ISERROR(VLOOKUP(CONCATENATE($A148,$Q$8,T$10),'Tariff Schedule Lookup Table'!$F$8:$G$286,2,FALSE))=TRUE,"",TEXT(VLOOKUP(CONCATENATE($A148,$Q$8,T$10),'Tariff Schedule Lookup Table'!$F$8:$G$286,2,FALSE),"0000"))</f>
        <v>1500</v>
      </c>
      <c r="U148" s="34" t="str">
        <f>IF(ISERROR(VLOOKUP(CONCATENATE($A148,$U$8,U$10),'Tariff Schedule Lookup Table'!$F$8:$G$286,2,FALSE))=TRUE,"",TEXT(VLOOKUP(CONCATENATE($A148,$U$8,U$10),'Tariff Schedule Lookup Table'!$F$8:$G$286,2,FALSE),"0000"))</f>
        <v/>
      </c>
      <c r="V148" s="34" t="str">
        <f>IF(ISERROR(VLOOKUP(CONCATENATE($A148,$U$8,V$10),'Tariff Schedule Lookup Table'!$F$8:$G$286,2,FALSE))=TRUE,"",TEXT(VLOOKUP(CONCATENATE($A148,$U$8,V$10),'Tariff Schedule Lookup Table'!$F$8:$G$286,2,FALSE),"0000"))</f>
        <v/>
      </c>
      <c r="W148" s="34" t="str">
        <f>IF(ISERROR(VLOOKUP(CONCATENATE($A148,$U$8,W$10),'Tariff Schedule Lookup Table'!$F$8:$G$286,2,FALSE))=TRUE,"",TEXT(VLOOKUP(CONCATENATE($A148,$U$8,W$10),'Tariff Schedule Lookup Table'!$F$8:$G$286,2,FALSE),"0000"))</f>
        <v/>
      </c>
      <c r="X148" s="34" t="str">
        <f>IF(ISERROR(VLOOKUP(CONCATENATE($A148,$U$8,X$10),'Tariff Schedule Lookup Table'!$F$8:$G$286,2,FALSE))=TRUE,"",TEXT(VLOOKUP(CONCATENATE($A148,$U$8,X$10),'Tariff Schedule Lookup Table'!$F$8:$G$186,2,FALSE),"0000"))</f>
        <v/>
      </c>
      <c r="Y148" s="6"/>
      <c r="Z148" s="6"/>
      <c r="AA148" s="6"/>
      <c r="AB148" s="6"/>
      <c r="AC148" s="6"/>
    </row>
    <row r="149" spans="1:29" x14ac:dyDescent="0.2">
      <c r="A149" s="6" t="s">
        <v>993</v>
      </c>
      <c r="B149" s="237" t="s">
        <v>243</v>
      </c>
      <c r="C149" s="197" t="str">
        <f>VLOOKUP(LEFT(B149,7),'Tariff Schedule Lookup Table'!$A$8:$D$186,3,FALSE)</f>
        <v>6x160</v>
      </c>
      <c r="D149" s="199" t="str">
        <f>VLOOKUP(LEFT(B149,7),'Tariff Schedule Lookup Table'!$A$8:$D$186,2,FALSE)</f>
        <v>Mercury Vapour 6x160</v>
      </c>
      <c r="E149" s="6" t="s">
        <v>996</v>
      </c>
      <c r="F149" s="37">
        <f>VLOOKUP(LEFT(B149,7),'Tariff Schedule Lookup Table'!$A$8:$D$186,4,FALSE)</f>
        <v>1050</v>
      </c>
      <c r="G149" s="33">
        <f>VLOOKUP($B149,'Maintenance Costs'!$A$20:$AG$176,32,FALSE)</f>
        <v>99.758197789589801</v>
      </c>
      <c r="H149" s="67">
        <f>IF(VLOOKUP($B149,'Maintenance Costs'!$A$20:$AG$176,33,FALSE)=0,"",VLOOKUP($B149,'Maintenance Costs'!$A$20:$AG$176,33,FALSE))</f>
        <v>75.907023254614003</v>
      </c>
      <c r="I149" s="34" t="str">
        <f>IF(ISERROR(VLOOKUP(CONCATENATE($A149,$I$8,I$10),'Tariff Schedule Lookup Table'!$F$8:$G$286,2,FALSE))=TRUE,"",TEXT(VLOOKUP(CONCATENATE($A149,$I$8,I$10),'Tariff Schedule Lookup Table'!$F$8:$G$286,2,FALSE),"0000"))</f>
        <v>0010</v>
      </c>
      <c r="J149" s="34" t="str">
        <f>IF(ISERROR(VLOOKUP(CONCATENATE($A149,$I$8,J$10),'Tariff Schedule Lookup Table'!$F$8:$G$286,2,FALSE))=TRUE,"",TEXT(VLOOKUP(CONCATENATE($A149,$I$8,J$10),'Tariff Schedule Lookup Table'!$F$8:$G$286,2,FALSE),"0000"))</f>
        <v>0740</v>
      </c>
      <c r="K149" s="34" t="str">
        <f>IF(ISERROR(VLOOKUP(CONCATENATE($A149,$I$8,K$10),'Tariff Schedule Lookup Table'!$F$8:$G$286,2,FALSE))=TRUE,"",TEXT(VLOOKUP(CONCATENATE($A149,$I$8,K$10),'Tariff Schedule Lookup Table'!$F$8:$G$286,2,FALSE),"0000"))</f>
        <v>0820</v>
      </c>
      <c r="L149" s="34" t="str">
        <f>IF(ISERROR(VLOOKUP(CONCATENATE($A149,$I$8,L$10),'Tariff Schedule Lookup Table'!$F$8:$G$286,2,FALSE))=TRUE,"",TEXT(VLOOKUP(CONCATENATE($A149,$I$8,L$10),'Tariff Schedule Lookup Table'!$F$8:$G$286,2,FALSE),"0000"))</f>
        <v>0830</v>
      </c>
      <c r="M149" s="34" t="str">
        <f>IF(ISERROR(VLOOKUP(CONCATENATE($A149,$M$8,M$10),'Tariff Schedule Lookup Table'!$F$8:$G$286,2,FALSE))=TRUE,"",TEXT(VLOOKUP(CONCATENATE($A149,$M$8,M$10),'Tariff Schedule Lookup Table'!$F$8:$G$286,2,FALSE),"0000"))</f>
        <v>0810</v>
      </c>
      <c r="N149" s="34" t="str">
        <f>IF(ISERROR(VLOOKUP(CONCATENATE($A149,$M$8,N$10),'Tariff Schedule Lookup Table'!$F$8:$G$286,2,FALSE))=TRUE,"",TEXT(VLOOKUP(CONCATENATE($A149,$M$8,N$10),'Tariff Schedule Lookup Table'!$F$8:$G$286,2,FALSE),"0000"))</f>
        <v>1260</v>
      </c>
      <c r="O149" s="34" t="str">
        <f>IF(ISERROR(VLOOKUP(CONCATENATE($A149,$M$8,O$10),'Tariff Schedule Lookup Table'!$F$8:$G$286,2,FALSE))=TRUE,"",TEXT(VLOOKUP(CONCATENATE($A149,$M$8,O$10),'Tariff Schedule Lookup Table'!$F$8:$G$286,2,FALSE),"0000"))</f>
        <v/>
      </c>
      <c r="P149" s="34" t="str">
        <f>IF(ISERROR(VLOOKUP(CONCATENATE($A149,$M$8,P$10),'Tariff Schedule Lookup Table'!$F$8:$G$286,2,FALSE))=TRUE,"",TEXT(VLOOKUP(CONCATENATE($A149,$M$8,P$10),'Tariff Schedule Lookup Table'!$F$8:$G$286,2,FALSE),"0000"))</f>
        <v/>
      </c>
      <c r="Q149" s="34" t="str">
        <f>IF(ISERROR(VLOOKUP(CONCATENATE($A149,$Q$8,Q$10),'Tariff Schedule Lookup Table'!$F$8:$G$286,2,FALSE))=TRUE,"",TEXT(VLOOKUP(CONCATENATE($A149,$Q$8,Q$10),'Tariff Schedule Lookup Table'!$F$8:$G$286,2,FALSE),"0000"))</f>
        <v>0990</v>
      </c>
      <c r="R149" s="34" t="str">
        <f>IF(ISERROR(VLOOKUP(CONCATENATE($A149,$Q$8,R$10),'Tariff Schedule Lookup Table'!$F$8:$G$286,2,FALSE))=TRUE,"",TEXT(VLOOKUP(CONCATENATE($A149,$Q$8,R$10),'Tariff Schedule Lookup Table'!$F$8:$G$286,2,FALSE),"0000"))</f>
        <v>1000</v>
      </c>
      <c r="S149" s="34" t="str">
        <f>IF(ISERROR(VLOOKUP(CONCATENATE($A149,$Q$8,S$10),'Tariff Schedule Lookup Table'!$F$8:$G$286,2,FALSE))=TRUE,"",TEXT(VLOOKUP(CONCATENATE($A149,$Q$8,S$10),'Tariff Schedule Lookup Table'!$F$8:$G$286,2,FALSE),"0000"))</f>
        <v>1460</v>
      </c>
      <c r="T149" s="34" t="str">
        <f>IF(ISERROR(VLOOKUP(CONCATENATE($A149,$Q$8,T$10),'Tariff Schedule Lookup Table'!$F$8:$G$286,2,FALSE))=TRUE,"",TEXT(VLOOKUP(CONCATENATE($A149,$Q$8,T$10),'Tariff Schedule Lookup Table'!$F$8:$G$286,2,FALSE),"0000"))</f>
        <v>1500</v>
      </c>
      <c r="U149" s="34" t="str">
        <f>IF(ISERROR(VLOOKUP(CONCATENATE($A149,$U$8,U$10),'Tariff Schedule Lookup Table'!$F$8:$G$286,2,FALSE))=TRUE,"",TEXT(VLOOKUP(CONCATENATE($A149,$U$8,U$10),'Tariff Schedule Lookup Table'!$F$8:$G$286,2,FALSE),"0000"))</f>
        <v/>
      </c>
      <c r="V149" s="34" t="str">
        <f>IF(ISERROR(VLOOKUP(CONCATENATE($A149,$U$8,V$10),'Tariff Schedule Lookup Table'!$F$8:$G$286,2,FALSE))=TRUE,"",TEXT(VLOOKUP(CONCATENATE($A149,$U$8,V$10),'Tariff Schedule Lookup Table'!$F$8:$G$286,2,FALSE),"0000"))</f>
        <v/>
      </c>
      <c r="W149" s="34" t="str">
        <f>IF(ISERROR(VLOOKUP(CONCATENATE($A149,$U$8,W$10),'Tariff Schedule Lookup Table'!$F$8:$G$286,2,FALSE))=TRUE,"",TEXT(VLOOKUP(CONCATENATE($A149,$U$8,W$10),'Tariff Schedule Lookup Table'!$F$8:$G$286,2,FALSE),"0000"))</f>
        <v/>
      </c>
      <c r="X149" s="34" t="str">
        <f>IF(ISERROR(VLOOKUP(CONCATENATE($A149,$U$8,X$10),'Tariff Schedule Lookup Table'!$F$8:$G$286,2,FALSE))=TRUE,"",TEXT(VLOOKUP(CONCATENATE($A149,$U$8,X$10),'Tariff Schedule Lookup Table'!$F$8:$G$186,2,FALSE),"0000"))</f>
        <v/>
      </c>
      <c r="Y149" s="6"/>
      <c r="Z149" s="6"/>
      <c r="AA149" s="6"/>
      <c r="AB149" s="6"/>
      <c r="AC149" s="6"/>
    </row>
    <row r="150" spans="1:29" x14ac:dyDescent="0.2">
      <c r="A150" s="6" t="s">
        <v>993</v>
      </c>
      <c r="B150" s="237" t="s">
        <v>244</v>
      </c>
      <c r="C150" s="197" t="str">
        <f>VLOOKUP(LEFT(B150,7),'Tariff Schedule Lookup Table'!$A$8:$D$186,3,FALSE)</f>
        <v>9x160</v>
      </c>
      <c r="D150" s="199" t="str">
        <f>VLOOKUP(LEFT(B150,7),'Tariff Schedule Lookup Table'!$A$8:$D$186,2,FALSE)</f>
        <v>Mercury Vapour 9x160</v>
      </c>
      <c r="E150" s="6" t="s">
        <v>996</v>
      </c>
      <c r="F150" s="37">
        <f>VLOOKUP(LEFT(B150,7),'Tariff Schedule Lookup Table'!$A$8:$D$186,4,FALSE)</f>
        <v>1575</v>
      </c>
      <c r="G150" s="33">
        <f>VLOOKUP($B150,'Maintenance Costs'!$A$20:$AG$176,32,FALSE)</f>
        <v>76.39433466958981</v>
      </c>
      <c r="H150" s="67">
        <f>IF(VLOOKUP($B150,'Maintenance Costs'!$A$20:$AG$176,33,FALSE)=0,"",VLOOKUP($B150,'Maintenance Costs'!$A$20:$AG$176,33,FALSE))</f>
        <v>39.911516435913995</v>
      </c>
      <c r="I150" s="34" t="str">
        <f>IF(ISERROR(VLOOKUP(CONCATENATE($A150,$I$8,I$10),'Tariff Schedule Lookup Table'!$F$8:$G$286,2,FALSE))=TRUE,"",TEXT(VLOOKUP(CONCATENATE($A150,$I$8,I$10),'Tariff Schedule Lookup Table'!$F$8:$G$286,2,FALSE),"0000"))</f>
        <v>0010</v>
      </c>
      <c r="J150" s="34" t="str">
        <f>IF(ISERROR(VLOOKUP(CONCATENATE($A150,$I$8,J$10),'Tariff Schedule Lookup Table'!$F$8:$G$286,2,FALSE))=TRUE,"",TEXT(VLOOKUP(CONCATENATE($A150,$I$8,J$10),'Tariff Schedule Lookup Table'!$F$8:$G$286,2,FALSE),"0000"))</f>
        <v>0740</v>
      </c>
      <c r="K150" s="34" t="str">
        <f>IF(ISERROR(VLOOKUP(CONCATENATE($A150,$I$8,K$10),'Tariff Schedule Lookup Table'!$F$8:$G$286,2,FALSE))=TRUE,"",TEXT(VLOOKUP(CONCATENATE($A150,$I$8,K$10),'Tariff Schedule Lookup Table'!$F$8:$G$286,2,FALSE),"0000"))</f>
        <v>0820</v>
      </c>
      <c r="L150" s="34" t="str">
        <f>IF(ISERROR(VLOOKUP(CONCATENATE($A150,$I$8,L$10),'Tariff Schedule Lookup Table'!$F$8:$G$286,2,FALSE))=TRUE,"",TEXT(VLOOKUP(CONCATENATE($A150,$I$8,L$10),'Tariff Schedule Lookup Table'!$F$8:$G$286,2,FALSE),"0000"))</f>
        <v>0830</v>
      </c>
      <c r="M150" s="34" t="str">
        <f>IF(ISERROR(VLOOKUP(CONCATENATE($A150,$M$8,M$10),'Tariff Schedule Lookup Table'!$F$8:$G$286,2,FALSE))=TRUE,"",TEXT(VLOOKUP(CONCATENATE($A150,$M$8,M$10),'Tariff Schedule Lookup Table'!$F$8:$G$286,2,FALSE),"0000"))</f>
        <v>0810</v>
      </c>
      <c r="N150" s="34" t="str">
        <f>IF(ISERROR(VLOOKUP(CONCATENATE($A150,$M$8,N$10),'Tariff Schedule Lookup Table'!$F$8:$G$286,2,FALSE))=TRUE,"",TEXT(VLOOKUP(CONCATENATE($A150,$M$8,N$10),'Tariff Schedule Lookup Table'!$F$8:$G$286,2,FALSE),"0000"))</f>
        <v>1260</v>
      </c>
      <c r="O150" s="34" t="str">
        <f>IF(ISERROR(VLOOKUP(CONCATENATE($A150,$M$8,O$10),'Tariff Schedule Lookup Table'!$F$8:$G$286,2,FALSE))=TRUE,"",TEXT(VLOOKUP(CONCATENATE($A150,$M$8,O$10),'Tariff Schedule Lookup Table'!$F$8:$G$286,2,FALSE),"0000"))</f>
        <v/>
      </c>
      <c r="P150" s="34" t="str">
        <f>IF(ISERROR(VLOOKUP(CONCATENATE($A150,$M$8,P$10),'Tariff Schedule Lookup Table'!$F$8:$G$286,2,FALSE))=TRUE,"",TEXT(VLOOKUP(CONCATENATE($A150,$M$8,P$10),'Tariff Schedule Lookup Table'!$F$8:$G$286,2,FALSE),"0000"))</f>
        <v/>
      </c>
      <c r="Q150" s="34" t="str">
        <f>IF(ISERROR(VLOOKUP(CONCATENATE($A150,$Q$8,Q$10),'Tariff Schedule Lookup Table'!$F$8:$G$286,2,FALSE))=TRUE,"",TEXT(VLOOKUP(CONCATENATE($A150,$Q$8,Q$10),'Tariff Schedule Lookup Table'!$F$8:$G$286,2,FALSE),"0000"))</f>
        <v>0990</v>
      </c>
      <c r="R150" s="34" t="str">
        <f>IF(ISERROR(VLOOKUP(CONCATENATE($A150,$Q$8,R$10),'Tariff Schedule Lookup Table'!$F$8:$G$286,2,FALSE))=TRUE,"",TEXT(VLOOKUP(CONCATENATE($A150,$Q$8,R$10),'Tariff Schedule Lookup Table'!$F$8:$G$286,2,FALSE),"0000"))</f>
        <v>1000</v>
      </c>
      <c r="S150" s="34" t="str">
        <f>IF(ISERROR(VLOOKUP(CONCATENATE($A150,$Q$8,S$10),'Tariff Schedule Lookup Table'!$F$8:$G$286,2,FALSE))=TRUE,"",TEXT(VLOOKUP(CONCATENATE($A150,$Q$8,S$10),'Tariff Schedule Lookup Table'!$F$8:$G$286,2,FALSE),"0000"))</f>
        <v>1460</v>
      </c>
      <c r="T150" s="34" t="str">
        <f>IF(ISERROR(VLOOKUP(CONCATENATE($A150,$Q$8,T$10),'Tariff Schedule Lookup Table'!$F$8:$G$286,2,FALSE))=TRUE,"",TEXT(VLOOKUP(CONCATENATE($A150,$Q$8,T$10),'Tariff Schedule Lookup Table'!$F$8:$G$286,2,FALSE),"0000"))</f>
        <v>1500</v>
      </c>
      <c r="U150" s="34" t="str">
        <f>IF(ISERROR(VLOOKUP(CONCATENATE($A150,$U$8,U$10),'Tariff Schedule Lookup Table'!$F$8:$G$286,2,FALSE))=TRUE,"",TEXT(VLOOKUP(CONCATENATE($A150,$U$8,U$10),'Tariff Schedule Lookup Table'!$F$8:$G$286,2,FALSE),"0000"))</f>
        <v/>
      </c>
      <c r="V150" s="34" t="str">
        <f>IF(ISERROR(VLOOKUP(CONCATENATE($A150,$U$8,V$10),'Tariff Schedule Lookup Table'!$F$8:$G$286,2,FALSE))=TRUE,"",TEXT(VLOOKUP(CONCATENATE($A150,$U$8,V$10),'Tariff Schedule Lookup Table'!$F$8:$G$286,2,FALSE),"0000"))</f>
        <v/>
      </c>
      <c r="W150" s="34" t="str">
        <f>IF(ISERROR(VLOOKUP(CONCATENATE($A150,$U$8,W$10),'Tariff Schedule Lookup Table'!$F$8:$G$286,2,FALSE))=TRUE,"",TEXT(VLOOKUP(CONCATENATE($A150,$U$8,W$10),'Tariff Schedule Lookup Table'!$F$8:$G$286,2,FALSE),"0000"))</f>
        <v/>
      </c>
      <c r="X150" s="34" t="str">
        <f>IF(ISERROR(VLOOKUP(CONCATENATE($A150,$U$8,X$10),'Tariff Schedule Lookup Table'!$F$8:$G$286,2,FALSE))=TRUE,"",TEXT(VLOOKUP(CONCATENATE($A150,$U$8,X$10),'Tariff Schedule Lookup Table'!$F$8:$G$186,2,FALSE),"0000"))</f>
        <v/>
      </c>
      <c r="Y150" s="6"/>
      <c r="Z150" s="6"/>
      <c r="AA150" s="6"/>
      <c r="AB150" s="6"/>
      <c r="AC150" s="6"/>
    </row>
    <row r="151" spans="1:29" x14ac:dyDescent="0.2">
      <c r="A151" s="6" t="s">
        <v>1178</v>
      </c>
      <c r="B151" s="35" t="s">
        <v>2139</v>
      </c>
      <c r="C151" s="197">
        <f>VLOOKUP(LEFT(B151,7),'Tariff Schedule Lookup Table'!$A$8:$D$186,3,FALSE)</f>
        <v>175</v>
      </c>
      <c r="D151" s="199" t="str">
        <f>VLOOKUP(LEFT(B151,7),'Tariff Schedule Lookup Table'!$A$8:$D$186,2,FALSE)</f>
        <v>Mercury Vapour 175</v>
      </c>
      <c r="E151" s="6" t="s">
        <v>996</v>
      </c>
      <c r="F151" s="37">
        <f>VLOOKUP(LEFT(B151,7),'Tariff Schedule Lookup Table'!$A$8:$D$186,4,FALSE)</f>
        <v>195</v>
      </c>
      <c r="G151" s="33">
        <f>VLOOKUP($B151,'Maintenance Costs'!$A$20:$AG$176,32,FALSE)</f>
        <v>76.39433466958981</v>
      </c>
      <c r="H151" s="67">
        <f>IF(VLOOKUP($B151,'Maintenance Costs'!$A$20:$AG$176,33,FALSE)=0,"",VLOOKUP($B151,'Maintenance Costs'!$A$20:$AG$176,33,FALSE))</f>
        <v>39.911516435913995</v>
      </c>
      <c r="I151" s="34" t="str">
        <f>IF(ISERROR(VLOOKUP(CONCATENATE($A151,$I$8,I$10),'Tariff Schedule Lookup Table'!$F$8:$G$286,2,FALSE))=TRUE,"",TEXT(VLOOKUP(CONCATENATE($A151,$I$8,I$10),'Tariff Schedule Lookup Table'!$F$8:$G$286,2,FALSE),"0000"))</f>
        <v>0020</v>
      </c>
      <c r="J151" s="34" t="str">
        <f>IF(ISERROR(VLOOKUP(CONCATENATE($A151,$I$8,J$10),'Tariff Schedule Lookup Table'!$F$8:$G$286,2,FALSE))=TRUE,"",TEXT(VLOOKUP(CONCATENATE($A151,$I$8,J$10),'Tariff Schedule Lookup Table'!$F$8:$G$286,2,FALSE),"0000"))</f>
        <v>0940</v>
      </c>
      <c r="K151" s="34" t="str">
        <f>IF(ISERROR(VLOOKUP(CONCATENATE($A151,$I$8,K$10),'Tariff Schedule Lookup Table'!$F$8:$G$286,2,FALSE))=TRUE,"",TEXT(VLOOKUP(CONCATENATE($A151,$I$8,K$10),'Tariff Schedule Lookup Table'!$F$8:$G$286,2,FALSE),"0000"))</f>
        <v/>
      </c>
      <c r="L151" s="34" t="str">
        <f>IF(ISERROR(VLOOKUP(CONCATENATE($A151,$I$8,L$10),'Tariff Schedule Lookup Table'!$F$8:$G$286,2,FALSE))=TRUE,"",TEXT(VLOOKUP(CONCATENATE($A151,$I$8,L$10),'Tariff Schedule Lookup Table'!$F$8:$G$286,2,FALSE),"0000"))</f>
        <v/>
      </c>
      <c r="M151" s="34" t="str">
        <f>IF(ISERROR(VLOOKUP(CONCATENATE($A151,$M$8,M$10),'Tariff Schedule Lookup Table'!$F$8:$G$286,2,FALSE))=TRUE,"",TEXT(VLOOKUP(CONCATENATE($A151,$M$8,M$10),'Tariff Schedule Lookup Table'!$F$8:$G$286,2,FALSE),"0000"))</f>
        <v>0200</v>
      </c>
      <c r="N151" s="34" t="str">
        <f>IF(ISERROR(VLOOKUP(CONCATENATE($A151,$M$8,N$10),'Tariff Schedule Lookup Table'!$F$8:$G$286,2,FALSE))=TRUE,"",TEXT(VLOOKUP(CONCATENATE($A151,$M$8,N$10),'Tariff Schedule Lookup Table'!$F$8:$G$286,2,FALSE),"0000"))</f>
        <v>0780</v>
      </c>
      <c r="O151" s="34" t="str">
        <f>IF(ISERROR(VLOOKUP(CONCATENATE($A151,$M$8,O$10),'Tariff Schedule Lookup Table'!$F$8:$G$286,2,FALSE))=TRUE,"",TEXT(VLOOKUP(CONCATENATE($A151,$M$8,O$10),'Tariff Schedule Lookup Table'!$F$8:$G$286,2,FALSE),"0000"))</f>
        <v/>
      </c>
      <c r="P151" s="34" t="str">
        <f>IF(ISERROR(VLOOKUP(CONCATENATE($A151,$M$8,P$10),'Tariff Schedule Lookup Table'!$F$8:$G$286,2,FALSE))=TRUE,"",TEXT(VLOOKUP(CONCATENATE($A151,$M$8,P$10),'Tariff Schedule Lookup Table'!$F$8:$G$286,2,FALSE),"0000"))</f>
        <v/>
      </c>
      <c r="Q151" s="34" t="str">
        <f>IF(ISERROR(VLOOKUP(CONCATENATE($A151,$Q$8,Q$10),'Tariff Schedule Lookup Table'!$F$8:$G$286,2,FALSE))=TRUE,"",TEXT(VLOOKUP(CONCATENATE($A151,$Q$8,Q$10),'Tariff Schedule Lookup Table'!$F$8:$G$286,2,FALSE),"0000"))</f>
        <v>0290</v>
      </c>
      <c r="R151" s="34" t="str">
        <f>IF(ISERROR(VLOOKUP(CONCATENATE($A151,$Q$8,R$10),'Tariff Schedule Lookup Table'!$F$8:$G$286,2,FALSE))=TRUE,"",TEXT(VLOOKUP(CONCATENATE($A151,$Q$8,R$10),'Tariff Schedule Lookup Table'!$F$8:$G$286,2,FALSE),"0000"))</f>
        <v>0370</v>
      </c>
      <c r="S151" s="34" t="str">
        <f>IF(ISERROR(VLOOKUP(CONCATENATE($A151,$Q$8,S$10),'Tariff Schedule Lookup Table'!$F$8:$G$286,2,FALSE))=TRUE,"",TEXT(VLOOKUP(CONCATENATE($A151,$Q$8,S$10),'Tariff Schedule Lookup Table'!$F$8:$G$286,2,FALSE),"0000"))</f>
        <v>0410</v>
      </c>
      <c r="T151" s="34" t="str">
        <f>IF(ISERROR(VLOOKUP(CONCATENATE($A151,$Q$8,T$10),'Tariff Schedule Lookup Table'!$F$8:$G$286,2,FALSE))=TRUE,"",TEXT(VLOOKUP(CONCATENATE($A151,$Q$8,T$10),'Tariff Schedule Lookup Table'!$F$8:$G$286,2,FALSE),"0000"))</f>
        <v>0450</v>
      </c>
      <c r="U151" s="34" t="str">
        <f>IF(ISERROR(VLOOKUP(CONCATENATE($A151,$U$8,U$10),'Tariff Schedule Lookup Table'!$F$8:$G$286,2,FALSE))=TRUE,"",TEXT(VLOOKUP(CONCATENATE($A151,$U$8,U$10),'Tariff Schedule Lookup Table'!$F$8:$G$286,2,FALSE),"0000"))</f>
        <v/>
      </c>
      <c r="V151" s="34" t="str">
        <f>IF(ISERROR(VLOOKUP(CONCATENATE($A151,$U$8,V$10),'Tariff Schedule Lookup Table'!$F$8:$G$286,2,FALSE))=TRUE,"",TEXT(VLOOKUP(CONCATENATE($A151,$U$8,V$10),'Tariff Schedule Lookup Table'!$F$8:$G$286,2,FALSE),"0000"))</f>
        <v>0490</v>
      </c>
      <c r="W151" s="34" t="str">
        <f>IF(ISERROR(VLOOKUP(CONCATENATE($A151,$U$8,W$10),'Tariff Schedule Lookup Table'!$F$8:$G$286,2,FALSE))=TRUE,"",TEXT(VLOOKUP(CONCATENATE($A151,$U$8,W$10),'Tariff Schedule Lookup Table'!$F$8:$G$286,2,FALSE),"0000"))</f>
        <v>0530</v>
      </c>
      <c r="X151" s="34" t="str">
        <f>IF(ISERROR(VLOOKUP(CONCATENATE($A151,$U$8,X$10),'Tariff Schedule Lookup Table'!$F$8:$G$286,2,FALSE))=TRUE,"",TEXT(VLOOKUP(CONCATENATE($A151,$U$8,X$10),'Tariff Schedule Lookup Table'!$F$8:$G$186,2,FALSE),"0000"))</f>
        <v>0570</v>
      </c>
      <c r="Y151" s="6"/>
      <c r="Z151" s="6"/>
      <c r="AA151" s="6"/>
      <c r="AB151" s="6"/>
      <c r="AC151" s="6"/>
    </row>
    <row r="152" spans="1:29" x14ac:dyDescent="0.2">
      <c r="A152" s="6" t="s">
        <v>1178</v>
      </c>
      <c r="B152" s="35" t="s">
        <v>245</v>
      </c>
      <c r="C152" s="197" t="str">
        <f>VLOOKUP(LEFT(B152,7),'Tariff Schedule Lookup Table'!$A$8:$D$186,3,FALSE)</f>
        <v>2x175</v>
      </c>
      <c r="D152" s="199" t="str">
        <f>VLOOKUP(LEFT(B152,7),'Tariff Schedule Lookup Table'!$A$8:$D$186,2,FALSE)</f>
        <v>Mercury Vapour 2x175</v>
      </c>
      <c r="E152" s="6" t="s">
        <v>996</v>
      </c>
      <c r="F152" s="37">
        <f>VLOOKUP(LEFT(B152,7),'Tariff Schedule Lookup Table'!$A$8:$D$186,4,FALSE)</f>
        <v>390</v>
      </c>
      <c r="G152" s="33">
        <f>VLOOKUP($B152,'Maintenance Costs'!$A$20:$AG$176,32,FALSE)</f>
        <v>81.067107293589814</v>
      </c>
      <c r="H152" s="67">
        <f>IF(VLOOKUP($B152,'Maintenance Costs'!$A$20:$AG$176,33,FALSE)=0,"",VLOOKUP($B152,'Maintenance Costs'!$A$20:$AG$176,33,FALSE))</f>
        <v>47.110617799653994</v>
      </c>
      <c r="I152" s="34" t="str">
        <f>IF(ISERROR(VLOOKUP(CONCATENATE($A152,$I$8,I$10),'Tariff Schedule Lookup Table'!$F$8:$G$286,2,FALSE))=TRUE,"",TEXT(VLOOKUP(CONCATENATE($A152,$I$8,I$10),'Tariff Schedule Lookup Table'!$F$8:$G$286,2,FALSE),"0000"))</f>
        <v>0020</v>
      </c>
      <c r="J152" s="34" t="str">
        <f>IF(ISERROR(VLOOKUP(CONCATENATE($A152,$I$8,J$10),'Tariff Schedule Lookup Table'!$F$8:$G$286,2,FALSE))=TRUE,"",TEXT(VLOOKUP(CONCATENATE($A152,$I$8,J$10),'Tariff Schedule Lookup Table'!$F$8:$G$286,2,FALSE),"0000"))</f>
        <v>0940</v>
      </c>
      <c r="K152" s="34" t="str">
        <f>IF(ISERROR(VLOOKUP(CONCATENATE($A152,$I$8,K$10),'Tariff Schedule Lookup Table'!$F$8:$G$286,2,FALSE))=TRUE,"",TEXT(VLOOKUP(CONCATENATE($A152,$I$8,K$10),'Tariff Schedule Lookup Table'!$F$8:$G$286,2,FALSE),"0000"))</f>
        <v/>
      </c>
      <c r="L152" s="34" t="str">
        <f>IF(ISERROR(VLOOKUP(CONCATENATE($A152,$I$8,L$10),'Tariff Schedule Lookup Table'!$F$8:$G$286,2,FALSE))=TRUE,"",TEXT(VLOOKUP(CONCATENATE($A152,$I$8,L$10),'Tariff Schedule Lookup Table'!$F$8:$G$286,2,FALSE),"0000"))</f>
        <v/>
      </c>
      <c r="M152" s="34" t="str">
        <f>IF(ISERROR(VLOOKUP(CONCATENATE($A152,$M$8,M$10),'Tariff Schedule Lookup Table'!$F$8:$G$286,2,FALSE))=TRUE,"",TEXT(VLOOKUP(CONCATENATE($A152,$M$8,M$10),'Tariff Schedule Lookup Table'!$F$8:$G$286,2,FALSE),"0000"))</f>
        <v>0200</v>
      </c>
      <c r="N152" s="34" t="str">
        <f>IF(ISERROR(VLOOKUP(CONCATENATE($A152,$M$8,N$10),'Tariff Schedule Lookup Table'!$F$8:$G$286,2,FALSE))=TRUE,"",TEXT(VLOOKUP(CONCATENATE($A152,$M$8,N$10),'Tariff Schedule Lookup Table'!$F$8:$G$286,2,FALSE),"0000"))</f>
        <v>0780</v>
      </c>
      <c r="O152" s="34" t="str">
        <f>IF(ISERROR(VLOOKUP(CONCATENATE($A152,$M$8,O$10),'Tariff Schedule Lookup Table'!$F$8:$G$286,2,FALSE))=TRUE,"",TEXT(VLOOKUP(CONCATENATE($A152,$M$8,O$10),'Tariff Schedule Lookup Table'!$F$8:$G$286,2,FALSE),"0000"))</f>
        <v/>
      </c>
      <c r="P152" s="34" t="str">
        <f>IF(ISERROR(VLOOKUP(CONCATENATE($A152,$M$8,P$10),'Tariff Schedule Lookup Table'!$F$8:$G$286,2,FALSE))=TRUE,"",TEXT(VLOOKUP(CONCATENATE($A152,$M$8,P$10),'Tariff Schedule Lookup Table'!$F$8:$G$286,2,FALSE),"0000"))</f>
        <v/>
      </c>
      <c r="Q152" s="34" t="str">
        <f>IF(ISERROR(VLOOKUP(CONCATENATE($A152,$Q$8,Q$10),'Tariff Schedule Lookup Table'!$F$8:$G$286,2,FALSE))=TRUE,"",TEXT(VLOOKUP(CONCATENATE($A152,$Q$8,Q$10),'Tariff Schedule Lookup Table'!$F$8:$G$286,2,FALSE),"0000"))</f>
        <v>0290</v>
      </c>
      <c r="R152" s="34" t="str">
        <f>IF(ISERROR(VLOOKUP(CONCATENATE($A152,$Q$8,R$10),'Tariff Schedule Lookup Table'!$F$8:$G$286,2,FALSE))=TRUE,"",TEXT(VLOOKUP(CONCATENATE($A152,$Q$8,R$10),'Tariff Schedule Lookup Table'!$F$8:$G$286,2,FALSE),"0000"))</f>
        <v>0370</v>
      </c>
      <c r="S152" s="34" t="str">
        <f>IF(ISERROR(VLOOKUP(CONCATENATE($A152,$Q$8,S$10),'Tariff Schedule Lookup Table'!$F$8:$G$286,2,FALSE))=TRUE,"",TEXT(VLOOKUP(CONCATENATE($A152,$Q$8,S$10),'Tariff Schedule Lookup Table'!$F$8:$G$286,2,FALSE),"0000"))</f>
        <v>0410</v>
      </c>
      <c r="T152" s="34" t="str">
        <f>IF(ISERROR(VLOOKUP(CONCATENATE($A152,$Q$8,T$10),'Tariff Schedule Lookup Table'!$F$8:$G$286,2,FALSE))=TRUE,"",TEXT(VLOOKUP(CONCATENATE($A152,$Q$8,T$10),'Tariff Schedule Lookup Table'!$F$8:$G$286,2,FALSE),"0000"))</f>
        <v>0450</v>
      </c>
      <c r="U152" s="34" t="str">
        <f>IF(ISERROR(VLOOKUP(CONCATENATE($A152,$U$8,U$10),'Tariff Schedule Lookup Table'!$F$8:$G$286,2,FALSE))=TRUE,"",TEXT(VLOOKUP(CONCATENATE($A152,$U$8,U$10),'Tariff Schedule Lookup Table'!$F$8:$G$286,2,FALSE),"0000"))</f>
        <v/>
      </c>
      <c r="V152" s="34" t="str">
        <f>IF(ISERROR(VLOOKUP(CONCATENATE($A152,$U$8,V$10),'Tariff Schedule Lookup Table'!$F$8:$G$286,2,FALSE))=TRUE,"",TEXT(VLOOKUP(CONCATENATE($A152,$U$8,V$10),'Tariff Schedule Lookup Table'!$F$8:$G$286,2,FALSE),"0000"))</f>
        <v>0490</v>
      </c>
      <c r="W152" s="34" t="str">
        <f>IF(ISERROR(VLOOKUP(CONCATENATE($A152,$U$8,W$10),'Tariff Schedule Lookup Table'!$F$8:$G$286,2,FALSE))=TRUE,"",TEXT(VLOOKUP(CONCATENATE($A152,$U$8,W$10),'Tariff Schedule Lookup Table'!$F$8:$G$286,2,FALSE),"0000"))</f>
        <v>0530</v>
      </c>
      <c r="X152" s="34" t="str">
        <f>IF(ISERROR(VLOOKUP(CONCATENATE($A152,$U$8,X$10),'Tariff Schedule Lookup Table'!$F$8:$G$286,2,FALSE))=TRUE,"",TEXT(VLOOKUP(CONCATENATE($A152,$U$8,X$10),'Tariff Schedule Lookup Table'!$F$8:$G$186,2,FALSE),"0000"))</f>
        <v>0570</v>
      </c>
      <c r="Y152" s="6"/>
      <c r="Z152" s="6"/>
      <c r="AA152" s="6"/>
      <c r="AB152" s="6"/>
      <c r="AC152" s="6"/>
    </row>
    <row r="153" spans="1:29" x14ac:dyDescent="0.2">
      <c r="A153" s="6" t="s">
        <v>1178</v>
      </c>
      <c r="B153" s="35" t="s">
        <v>2140</v>
      </c>
      <c r="C153" s="197">
        <f>VLOOKUP(LEFT(B153,7),'Tariff Schedule Lookup Table'!$A$8:$D$186,3,FALSE)</f>
        <v>250</v>
      </c>
      <c r="D153" s="199" t="str">
        <f>VLOOKUP(LEFT(B153,7),'Tariff Schedule Lookup Table'!$A$8:$D$186,2,FALSE)</f>
        <v>Mercury Vapour 250</v>
      </c>
      <c r="E153" s="6" t="s">
        <v>996</v>
      </c>
      <c r="F153" s="37">
        <f>VLOOKUP(LEFT(B153,7),'Tariff Schedule Lookup Table'!$A$8:$D$186,4,FALSE)</f>
        <v>270</v>
      </c>
      <c r="G153" s="33">
        <f>VLOOKUP($B153,'Maintenance Costs'!$A$20:$AG$176,32,FALSE)</f>
        <v>79.887676365589812</v>
      </c>
      <c r="H153" s="67">
        <f>IF(VLOOKUP($B153,'Maintenance Costs'!$A$20:$AG$176,33,FALSE)=0,"",VLOOKUP($B153,'Maintenance Costs'!$A$20:$AG$176,33,FALSE))</f>
        <v>44.717787102123992</v>
      </c>
      <c r="I153" s="34" t="str">
        <f>IF(ISERROR(VLOOKUP(CONCATENATE($A153,$I$8,I$10),'Tariff Schedule Lookup Table'!$F$8:$G$286,2,FALSE))=TRUE,"",TEXT(VLOOKUP(CONCATENATE($A153,$I$8,I$10),'Tariff Schedule Lookup Table'!$F$8:$G$286,2,FALSE),"0000"))</f>
        <v>0020</v>
      </c>
      <c r="J153" s="34" t="str">
        <f>IF(ISERROR(VLOOKUP(CONCATENATE($A153,$I$8,J$10),'Tariff Schedule Lookup Table'!$F$8:$G$286,2,FALSE))=TRUE,"",TEXT(VLOOKUP(CONCATENATE($A153,$I$8,J$10),'Tariff Schedule Lookup Table'!$F$8:$G$286,2,FALSE),"0000"))</f>
        <v>0940</v>
      </c>
      <c r="K153" s="34" t="str">
        <f>IF(ISERROR(VLOOKUP(CONCATENATE($A153,$I$8,K$10),'Tariff Schedule Lookup Table'!$F$8:$G$286,2,FALSE))=TRUE,"",TEXT(VLOOKUP(CONCATENATE($A153,$I$8,K$10),'Tariff Schedule Lookup Table'!$F$8:$G$286,2,FALSE),"0000"))</f>
        <v/>
      </c>
      <c r="L153" s="34" t="str">
        <f>IF(ISERROR(VLOOKUP(CONCATENATE($A153,$I$8,L$10),'Tariff Schedule Lookup Table'!$F$8:$G$286,2,FALSE))=TRUE,"",TEXT(VLOOKUP(CONCATENATE($A153,$I$8,L$10),'Tariff Schedule Lookup Table'!$F$8:$G$286,2,FALSE),"0000"))</f>
        <v/>
      </c>
      <c r="M153" s="34" t="str">
        <f>IF(ISERROR(VLOOKUP(CONCATENATE($A153,$M$8,M$10),'Tariff Schedule Lookup Table'!$F$8:$G$286,2,FALSE))=TRUE,"",TEXT(VLOOKUP(CONCATENATE($A153,$M$8,M$10),'Tariff Schedule Lookup Table'!$F$8:$G$286,2,FALSE),"0000"))</f>
        <v>0200</v>
      </c>
      <c r="N153" s="34" t="str">
        <f>IF(ISERROR(VLOOKUP(CONCATENATE($A153,$M$8,N$10),'Tariff Schedule Lookup Table'!$F$8:$G$286,2,FALSE))=TRUE,"",TEXT(VLOOKUP(CONCATENATE($A153,$M$8,N$10),'Tariff Schedule Lookup Table'!$F$8:$G$286,2,FALSE),"0000"))</f>
        <v>0780</v>
      </c>
      <c r="O153" s="34" t="str">
        <f>IF(ISERROR(VLOOKUP(CONCATENATE($A153,$M$8,O$10),'Tariff Schedule Lookup Table'!$F$8:$G$286,2,FALSE))=TRUE,"",TEXT(VLOOKUP(CONCATENATE($A153,$M$8,O$10),'Tariff Schedule Lookup Table'!$F$8:$G$286,2,FALSE),"0000"))</f>
        <v/>
      </c>
      <c r="P153" s="34" t="str">
        <f>IF(ISERROR(VLOOKUP(CONCATENATE($A153,$M$8,P$10),'Tariff Schedule Lookup Table'!$F$8:$G$286,2,FALSE))=TRUE,"",TEXT(VLOOKUP(CONCATENATE($A153,$M$8,P$10),'Tariff Schedule Lookup Table'!$F$8:$G$286,2,FALSE),"0000"))</f>
        <v/>
      </c>
      <c r="Q153" s="34" t="str">
        <f>IF(ISERROR(VLOOKUP(CONCATENATE($A153,$Q$8,Q$10),'Tariff Schedule Lookup Table'!$F$8:$G$286,2,FALSE))=TRUE,"",TEXT(VLOOKUP(CONCATENATE($A153,$Q$8,Q$10),'Tariff Schedule Lookup Table'!$F$8:$G$286,2,FALSE),"0000"))</f>
        <v>0290</v>
      </c>
      <c r="R153" s="34" t="str">
        <f>IF(ISERROR(VLOOKUP(CONCATENATE($A153,$Q$8,R$10),'Tariff Schedule Lookup Table'!$F$8:$G$286,2,FALSE))=TRUE,"",TEXT(VLOOKUP(CONCATENATE($A153,$Q$8,R$10),'Tariff Schedule Lookup Table'!$F$8:$G$286,2,FALSE),"0000"))</f>
        <v>0370</v>
      </c>
      <c r="S153" s="34" t="str">
        <f>IF(ISERROR(VLOOKUP(CONCATENATE($A153,$Q$8,S$10),'Tariff Schedule Lookup Table'!$F$8:$G$286,2,FALSE))=TRUE,"",TEXT(VLOOKUP(CONCATENATE($A153,$Q$8,S$10),'Tariff Schedule Lookup Table'!$F$8:$G$286,2,FALSE),"0000"))</f>
        <v>0410</v>
      </c>
      <c r="T153" s="34" t="str">
        <f>IF(ISERROR(VLOOKUP(CONCATENATE($A153,$Q$8,T$10),'Tariff Schedule Lookup Table'!$F$8:$G$286,2,FALSE))=TRUE,"",TEXT(VLOOKUP(CONCATENATE($A153,$Q$8,T$10),'Tariff Schedule Lookup Table'!$F$8:$G$286,2,FALSE),"0000"))</f>
        <v>0450</v>
      </c>
      <c r="U153" s="34" t="str">
        <f>IF(ISERROR(VLOOKUP(CONCATENATE($A153,$U$8,U$10),'Tariff Schedule Lookup Table'!$F$8:$G$286,2,FALSE))=TRUE,"",TEXT(VLOOKUP(CONCATENATE($A153,$U$8,U$10),'Tariff Schedule Lookup Table'!$F$8:$G$286,2,FALSE),"0000"))</f>
        <v/>
      </c>
      <c r="V153" s="34" t="str">
        <f>IF(ISERROR(VLOOKUP(CONCATENATE($A153,$U$8,V$10),'Tariff Schedule Lookup Table'!$F$8:$G$286,2,FALSE))=TRUE,"",TEXT(VLOOKUP(CONCATENATE($A153,$U$8,V$10),'Tariff Schedule Lookup Table'!$F$8:$G$286,2,FALSE),"0000"))</f>
        <v>0490</v>
      </c>
      <c r="W153" s="34" t="str">
        <f>IF(ISERROR(VLOOKUP(CONCATENATE($A153,$U$8,W$10),'Tariff Schedule Lookup Table'!$F$8:$G$286,2,FALSE))=TRUE,"",TEXT(VLOOKUP(CONCATENATE($A153,$U$8,W$10),'Tariff Schedule Lookup Table'!$F$8:$G$286,2,FALSE),"0000"))</f>
        <v>0530</v>
      </c>
      <c r="X153" s="34" t="str">
        <f>IF(ISERROR(VLOOKUP(CONCATENATE($A153,$U$8,X$10),'Tariff Schedule Lookup Table'!$F$8:$G$286,2,FALSE))=TRUE,"",TEXT(VLOOKUP(CONCATENATE($A153,$U$8,X$10),'Tariff Schedule Lookup Table'!$F$8:$G$186,2,FALSE),"0000"))</f>
        <v>0570</v>
      </c>
      <c r="Y153" s="6"/>
      <c r="Z153" s="6"/>
      <c r="AA153" s="6"/>
      <c r="AB153" s="6"/>
      <c r="AC153" s="6"/>
    </row>
    <row r="154" spans="1:29" x14ac:dyDescent="0.2">
      <c r="A154" s="6" t="s">
        <v>1183</v>
      </c>
      <c r="B154" s="35" t="s">
        <v>2141</v>
      </c>
      <c r="C154" s="197">
        <f>VLOOKUP(LEFT(B154,7),'Tariff Schedule Lookup Table'!$A$8:$D$186,3,FALSE)</f>
        <v>400</v>
      </c>
      <c r="D154" s="199" t="str">
        <f>VLOOKUP(LEFT(B154,7),'Tariff Schedule Lookup Table'!$A$8:$D$186,2,FALSE)</f>
        <v>Mercury Vapour 400</v>
      </c>
      <c r="E154" s="6" t="s">
        <v>996</v>
      </c>
      <c r="F154" s="37">
        <f>VLOOKUP(LEFT(B154,7),'Tariff Schedule Lookup Table'!$A$8:$D$186,4,FALSE)</f>
        <v>430</v>
      </c>
      <c r="G154" s="33">
        <f>VLOOKUP($B154,'Maintenance Costs'!$A$20:$AG$176,32,FALSE)</f>
        <v>90.34201511758981</v>
      </c>
      <c r="H154" s="67">
        <f>IF(VLOOKUP($B154,'Maintenance Costs'!$A$20:$AG$176,33,FALSE)=0,"",VLOOKUP($B154,'Maintenance Costs'!$A$20:$AG$176,33,FALSE))</f>
        <v>58.973327651893996</v>
      </c>
      <c r="I154" s="34" t="str">
        <f>IF(ISERROR(VLOOKUP(CONCATENATE($A154,$I$8,I$10),'Tariff Schedule Lookup Table'!$F$8:$G$286,2,FALSE))=TRUE,"",TEXT(VLOOKUP(CONCATENATE($A154,$I$8,I$10),'Tariff Schedule Lookup Table'!$F$8:$G$286,2,FALSE),"0000"))</f>
        <v>0030</v>
      </c>
      <c r="J154" s="34" t="str">
        <f>IF(ISERROR(VLOOKUP(CONCATENATE($A154,$I$8,J$10),'Tariff Schedule Lookup Table'!$F$8:$G$286,2,FALSE))=TRUE,"",TEXT(VLOOKUP(CONCATENATE($A154,$I$8,J$10),'Tariff Schedule Lookup Table'!$F$8:$G$286,2,FALSE),"0000"))</f>
        <v>0950</v>
      </c>
      <c r="K154" s="34" t="str">
        <f>IF(ISERROR(VLOOKUP(CONCATENATE($A154,$I$8,K$10),'Tariff Schedule Lookup Table'!$F$8:$G$286,2,FALSE))=TRUE,"",TEXT(VLOOKUP(CONCATENATE($A154,$I$8,K$10),'Tariff Schedule Lookup Table'!$F$8:$G$286,2,FALSE),"0000"))</f>
        <v/>
      </c>
      <c r="L154" s="34" t="str">
        <f>IF(ISERROR(VLOOKUP(CONCATENATE($A154,$I$8,L$10),'Tariff Schedule Lookup Table'!$F$8:$G$286,2,FALSE))=TRUE,"",TEXT(VLOOKUP(CONCATENATE($A154,$I$8,L$10),'Tariff Schedule Lookup Table'!$F$8:$G$286,2,FALSE),"0000"))</f>
        <v/>
      </c>
      <c r="M154" s="34" t="str">
        <f>IF(ISERROR(VLOOKUP(CONCATENATE($A154,$M$8,M$10),'Tariff Schedule Lookup Table'!$F$8:$G$286,2,FALSE))=TRUE,"",TEXT(VLOOKUP(CONCATENATE($A154,$M$8,M$10),'Tariff Schedule Lookup Table'!$F$8:$G$286,2,FALSE),"0000"))</f>
        <v>0210</v>
      </c>
      <c r="N154" s="34" t="str">
        <f>IF(ISERROR(VLOOKUP(CONCATENATE($A154,$M$8,N$10),'Tariff Schedule Lookup Table'!$F$8:$G$286,2,FALSE))=TRUE,"",TEXT(VLOOKUP(CONCATENATE($A154,$M$8,N$10),'Tariff Schedule Lookup Table'!$F$8:$G$286,2,FALSE),"0000"))</f>
        <v>0790</v>
      </c>
      <c r="O154" s="34" t="str">
        <f>IF(ISERROR(VLOOKUP(CONCATENATE($A154,$M$8,O$10),'Tariff Schedule Lookup Table'!$F$8:$G$286,2,FALSE))=TRUE,"",TEXT(VLOOKUP(CONCATENATE($A154,$M$8,O$10),'Tariff Schedule Lookup Table'!$F$8:$G$286,2,FALSE),"0000"))</f>
        <v/>
      </c>
      <c r="P154" s="34" t="str">
        <f>IF(ISERROR(VLOOKUP(CONCATENATE($A154,$M$8,P$10),'Tariff Schedule Lookup Table'!$F$8:$G$286,2,FALSE))=TRUE,"",TEXT(VLOOKUP(CONCATENATE($A154,$M$8,P$10),'Tariff Schedule Lookup Table'!$F$8:$G$286,2,FALSE),"0000"))</f>
        <v/>
      </c>
      <c r="Q154" s="34" t="str">
        <f>IF(ISERROR(VLOOKUP(CONCATENATE($A154,$Q$8,Q$10),'Tariff Schedule Lookup Table'!$F$8:$G$286,2,FALSE))=TRUE,"",TEXT(VLOOKUP(CONCATENATE($A154,$Q$8,Q$10),'Tariff Schedule Lookup Table'!$F$8:$G$286,2,FALSE),"0000"))</f>
        <v>0300</v>
      </c>
      <c r="R154" s="34" t="str">
        <f>IF(ISERROR(VLOOKUP(CONCATENATE($A154,$Q$8,R$10),'Tariff Schedule Lookup Table'!$F$8:$G$286,2,FALSE))=TRUE,"",TEXT(VLOOKUP(CONCATENATE($A154,$Q$8,R$10),'Tariff Schedule Lookup Table'!$F$8:$G$286,2,FALSE),"0000"))</f>
        <v>0380</v>
      </c>
      <c r="S154" s="34" t="str">
        <f>IF(ISERROR(VLOOKUP(CONCATENATE($A154,$Q$8,S$10),'Tariff Schedule Lookup Table'!$F$8:$G$286,2,FALSE))=TRUE,"",TEXT(VLOOKUP(CONCATENATE($A154,$Q$8,S$10),'Tariff Schedule Lookup Table'!$F$8:$G$286,2,FALSE),"0000"))</f>
        <v>0420</v>
      </c>
      <c r="T154" s="34" t="str">
        <f>IF(ISERROR(VLOOKUP(CONCATENATE($A154,$Q$8,T$10),'Tariff Schedule Lookup Table'!$F$8:$G$286,2,FALSE))=TRUE,"",TEXT(VLOOKUP(CONCATENATE($A154,$Q$8,T$10),'Tariff Schedule Lookup Table'!$F$8:$G$286,2,FALSE),"0000"))</f>
        <v/>
      </c>
      <c r="U154" s="34" t="str">
        <f>IF(ISERROR(VLOOKUP(CONCATENATE($A154,$U$8,U$10),'Tariff Schedule Lookup Table'!$F$8:$G$286,2,FALSE))=TRUE,"",TEXT(VLOOKUP(CONCATENATE($A154,$U$8,U$10),'Tariff Schedule Lookup Table'!$F$8:$G$286,2,FALSE),"0000"))</f>
        <v/>
      </c>
      <c r="V154" s="34" t="str">
        <f>IF(ISERROR(VLOOKUP(CONCATENATE($A154,$U$8,V$10),'Tariff Schedule Lookup Table'!$F$8:$G$286,2,FALSE))=TRUE,"",TEXT(VLOOKUP(CONCATENATE($A154,$U$8,V$10),'Tariff Schedule Lookup Table'!$F$8:$G$286,2,FALSE),"0000"))</f>
        <v>0500</v>
      </c>
      <c r="W154" s="34" t="str">
        <f>IF(ISERROR(VLOOKUP(CONCATENATE($A154,$U$8,W$10),'Tariff Schedule Lookup Table'!$F$8:$G$286,2,FALSE))=TRUE,"",TEXT(VLOOKUP(CONCATENATE($A154,$U$8,W$10),'Tariff Schedule Lookup Table'!$F$8:$G$286,2,FALSE),"0000"))</f>
        <v>0540</v>
      </c>
      <c r="X154" s="34" t="str">
        <f>IF(ISERROR(VLOOKUP(CONCATENATE($A154,$U$8,X$10),'Tariff Schedule Lookup Table'!$F$8:$G$286,2,FALSE))=TRUE,"",TEXT(VLOOKUP(CONCATENATE($A154,$U$8,X$10),'Tariff Schedule Lookup Table'!$F$8:$G$186,2,FALSE),"0000"))</f>
        <v>0580</v>
      </c>
      <c r="Y154" s="6"/>
      <c r="Z154" s="6"/>
      <c r="AA154" s="6"/>
      <c r="AB154" s="6"/>
      <c r="AC154" s="6"/>
    </row>
    <row r="155" spans="1:29" x14ac:dyDescent="0.2">
      <c r="A155" s="6" t="s">
        <v>1183</v>
      </c>
      <c r="B155" s="35" t="s">
        <v>2141</v>
      </c>
      <c r="C155" s="197">
        <f>VLOOKUP(LEFT(B155,7),'Tariff Schedule Lookup Table'!$A$8:$D$186,3,FALSE)</f>
        <v>400</v>
      </c>
      <c r="D155" s="199" t="str">
        <f>VLOOKUP(LEFT(B155,7),'Tariff Schedule Lookup Table'!$A$8:$D$186,2,FALSE)</f>
        <v>Mercury Vapour 400</v>
      </c>
      <c r="E155" s="6" t="s">
        <v>996</v>
      </c>
      <c r="F155" s="37">
        <f>VLOOKUP(LEFT(B155,7),'Tariff Schedule Lookup Table'!$A$8:$D$186,4,FALSE)</f>
        <v>430</v>
      </c>
      <c r="G155" s="33">
        <f>VLOOKUP($B155,'Maintenance Costs'!$A$20:$AG$176,32,FALSE)</f>
        <v>90.34201511758981</v>
      </c>
      <c r="H155" s="67">
        <f>IF(VLOOKUP($B155,'Maintenance Costs'!$A$20:$AG$176,33,FALSE)=0,"",VLOOKUP($B155,'Maintenance Costs'!$A$20:$AG$176,33,FALSE))</f>
        <v>58.973327651893996</v>
      </c>
      <c r="I155" s="34" t="str">
        <f>IF(ISERROR(VLOOKUP(CONCATENATE($A155,$I$8,I$10),'Tariff Schedule Lookup Table'!$F$8:$G$286,2,FALSE))=TRUE,"",TEXT(VLOOKUP(CONCATENATE($A155,$I$8,I$10),'Tariff Schedule Lookup Table'!$F$8:$G$286,2,FALSE),"0000"))</f>
        <v>0030</v>
      </c>
      <c r="J155" s="34" t="str">
        <f>IF(ISERROR(VLOOKUP(CONCATENATE($A155,$I$8,J$10),'Tariff Schedule Lookup Table'!$F$8:$G$286,2,FALSE))=TRUE,"",TEXT(VLOOKUP(CONCATENATE($A155,$I$8,J$10),'Tariff Schedule Lookup Table'!$F$8:$G$286,2,FALSE),"0000"))</f>
        <v>0950</v>
      </c>
      <c r="K155" s="34" t="str">
        <f>IF(ISERROR(VLOOKUP(CONCATENATE($A155,$I$8,K$10),'Tariff Schedule Lookup Table'!$F$8:$G$286,2,FALSE))=TRUE,"",TEXT(VLOOKUP(CONCATENATE($A155,$I$8,K$10),'Tariff Schedule Lookup Table'!$F$8:$G$286,2,FALSE),"0000"))</f>
        <v/>
      </c>
      <c r="L155" s="34" t="str">
        <f>IF(ISERROR(VLOOKUP(CONCATENATE($A155,$I$8,L$10),'Tariff Schedule Lookup Table'!$F$8:$G$286,2,FALSE))=TRUE,"",TEXT(VLOOKUP(CONCATENATE($A155,$I$8,L$10),'Tariff Schedule Lookup Table'!$F$8:$G$286,2,FALSE),"0000"))</f>
        <v/>
      </c>
      <c r="M155" s="34" t="str">
        <f>IF(ISERROR(VLOOKUP(CONCATENATE($A155,$M$8,M$10),'Tariff Schedule Lookup Table'!$F$8:$G$286,2,FALSE))=TRUE,"",TEXT(VLOOKUP(CONCATENATE($A155,$M$8,M$10),'Tariff Schedule Lookup Table'!$F$8:$G$286,2,FALSE),"0000"))</f>
        <v>0210</v>
      </c>
      <c r="N155" s="34" t="str">
        <f>IF(ISERROR(VLOOKUP(CONCATENATE($A155,$M$8,N$10),'Tariff Schedule Lookup Table'!$F$8:$G$286,2,FALSE))=TRUE,"",TEXT(VLOOKUP(CONCATENATE($A155,$M$8,N$10),'Tariff Schedule Lookup Table'!$F$8:$G$286,2,FALSE),"0000"))</f>
        <v>0790</v>
      </c>
      <c r="O155" s="34" t="str">
        <f>IF(ISERROR(VLOOKUP(CONCATENATE($A155,$M$8,O$10),'Tariff Schedule Lookup Table'!$F$8:$G$286,2,FALSE))=TRUE,"",TEXT(VLOOKUP(CONCATENATE($A155,$M$8,O$10),'Tariff Schedule Lookup Table'!$F$8:$G$286,2,FALSE),"0000"))</f>
        <v/>
      </c>
      <c r="P155" s="34" t="str">
        <f>IF(ISERROR(VLOOKUP(CONCATENATE($A155,$M$8,P$10),'Tariff Schedule Lookup Table'!$F$8:$G$286,2,FALSE))=TRUE,"",TEXT(VLOOKUP(CONCATENATE($A155,$M$8,P$10),'Tariff Schedule Lookup Table'!$F$8:$G$286,2,FALSE),"0000"))</f>
        <v/>
      </c>
      <c r="Q155" s="34" t="str">
        <f>IF(ISERROR(VLOOKUP(CONCATENATE($A155,$Q$8,Q$10),'Tariff Schedule Lookup Table'!$F$8:$G$286,2,FALSE))=TRUE,"",TEXT(VLOOKUP(CONCATENATE($A155,$Q$8,Q$10),'Tariff Schedule Lookup Table'!$F$8:$G$286,2,FALSE),"0000"))</f>
        <v>0300</v>
      </c>
      <c r="R155" s="34" t="str">
        <f>IF(ISERROR(VLOOKUP(CONCATENATE($A155,$Q$8,R$10),'Tariff Schedule Lookup Table'!$F$8:$G$286,2,FALSE))=TRUE,"",TEXT(VLOOKUP(CONCATENATE($A155,$Q$8,R$10),'Tariff Schedule Lookup Table'!$F$8:$G$286,2,FALSE),"0000"))</f>
        <v>0380</v>
      </c>
      <c r="S155" s="34" t="str">
        <f>IF(ISERROR(VLOOKUP(CONCATENATE($A155,$Q$8,S$10),'Tariff Schedule Lookup Table'!$F$8:$G$286,2,FALSE))=TRUE,"",TEXT(VLOOKUP(CONCATENATE($A155,$Q$8,S$10),'Tariff Schedule Lookup Table'!$F$8:$G$286,2,FALSE),"0000"))</f>
        <v>0420</v>
      </c>
      <c r="T155" s="34" t="str">
        <f>IF(ISERROR(VLOOKUP(CONCATENATE($A155,$Q$8,T$10),'Tariff Schedule Lookup Table'!$F$8:$G$286,2,FALSE))=TRUE,"",TEXT(VLOOKUP(CONCATENATE($A155,$Q$8,T$10),'Tariff Schedule Lookup Table'!$F$8:$G$286,2,FALSE),"0000"))</f>
        <v/>
      </c>
      <c r="U155" s="34" t="str">
        <f>IF(ISERROR(VLOOKUP(CONCATENATE($A155,$U$8,U$10),'Tariff Schedule Lookup Table'!$F$8:$G$286,2,FALSE))=TRUE,"",TEXT(VLOOKUP(CONCATENATE($A155,$U$8,U$10),'Tariff Schedule Lookup Table'!$F$8:$G$286,2,FALSE),"0000"))</f>
        <v/>
      </c>
      <c r="V155" s="34" t="str">
        <f>IF(ISERROR(VLOOKUP(CONCATENATE($A155,$U$8,V$10),'Tariff Schedule Lookup Table'!$F$8:$G$286,2,FALSE))=TRUE,"",TEXT(VLOOKUP(CONCATENATE($A155,$U$8,V$10),'Tariff Schedule Lookup Table'!$F$8:$G$286,2,FALSE),"0000"))</f>
        <v>0500</v>
      </c>
      <c r="W155" s="34" t="str">
        <f>IF(ISERROR(VLOOKUP(CONCATENATE($A155,$U$8,W$10),'Tariff Schedule Lookup Table'!$F$8:$G$286,2,FALSE))=TRUE,"",TEXT(VLOOKUP(CONCATENATE($A155,$U$8,W$10),'Tariff Schedule Lookup Table'!$F$8:$G$286,2,FALSE),"0000"))</f>
        <v>0540</v>
      </c>
      <c r="X155" s="34" t="str">
        <f>IF(ISERROR(VLOOKUP(CONCATENATE($A155,$U$8,X$10),'Tariff Schedule Lookup Table'!$F$8:$G$286,2,FALSE))=TRUE,"",TEXT(VLOOKUP(CONCATENATE($A155,$U$8,X$10),'Tariff Schedule Lookup Table'!$F$8:$G$186,2,FALSE),"0000"))</f>
        <v>0580</v>
      </c>
      <c r="Y155" s="6"/>
      <c r="Z155" s="6"/>
      <c r="AA155" s="6"/>
      <c r="AB155" s="6"/>
      <c r="AC155" s="6"/>
    </row>
    <row r="156" spans="1:29" x14ac:dyDescent="0.2">
      <c r="A156" s="6" t="s">
        <v>1183</v>
      </c>
      <c r="B156" s="35" t="s">
        <v>170</v>
      </c>
      <c r="C156" s="197" t="str">
        <f>VLOOKUP(LEFT(B156,7),'Tariff Schedule Lookup Table'!$A$8:$D$186,3,FALSE)</f>
        <v>2x400</v>
      </c>
      <c r="D156" s="199" t="str">
        <f>VLOOKUP(LEFT(B156,7),'Tariff Schedule Lookup Table'!$A$8:$D$186,2,FALSE)</f>
        <v>Mercury Vapour 2x400</v>
      </c>
      <c r="E156" s="6" t="s">
        <v>996</v>
      </c>
      <c r="F156" s="37">
        <f>VLOOKUP(LEFT(B156,7),'Tariff Schedule Lookup Table'!$A$8:$D$186,4,FALSE)</f>
        <v>860</v>
      </c>
      <c r="G156" s="33">
        <f>VLOOKUP($B156,'Maintenance Costs'!$A$20:$AG$176,32,FALSE)</f>
        <v>90.34201511758981</v>
      </c>
      <c r="H156" s="67">
        <f>IF(VLOOKUP($B156,'Maintenance Costs'!$A$20:$AG$176,33,FALSE)=0,"",VLOOKUP($B156,'Maintenance Costs'!$A$20:$AG$176,33,FALSE))</f>
        <v>58.973327651893996</v>
      </c>
      <c r="I156" s="34" t="str">
        <f>IF(ISERROR(VLOOKUP(CONCATENATE($A156,$I$8,I$10),'Tariff Schedule Lookup Table'!$F$8:$G$286,2,FALSE))=TRUE,"",TEXT(VLOOKUP(CONCATENATE($A156,$I$8,I$10),'Tariff Schedule Lookup Table'!$F$8:$G$286,2,FALSE),"0000"))</f>
        <v>0030</v>
      </c>
      <c r="J156" s="34" t="str">
        <f>IF(ISERROR(VLOOKUP(CONCATENATE($A156,$I$8,J$10),'Tariff Schedule Lookup Table'!$F$8:$G$286,2,FALSE))=TRUE,"",TEXT(VLOOKUP(CONCATENATE($A156,$I$8,J$10),'Tariff Schedule Lookup Table'!$F$8:$G$286,2,FALSE),"0000"))</f>
        <v>0950</v>
      </c>
      <c r="K156" s="34" t="str">
        <f>IF(ISERROR(VLOOKUP(CONCATENATE($A156,$I$8,K$10),'Tariff Schedule Lookup Table'!$F$8:$G$286,2,FALSE))=TRUE,"",TEXT(VLOOKUP(CONCATENATE($A156,$I$8,K$10),'Tariff Schedule Lookup Table'!$F$8:$G$286,2,FALSE),"0000"))</f>
        <v/>
      </c>
      <c r="L156" s="34" t="str">
        <f>IF(ISERROR(VLOOKUP(CONCATENATE($A156,$I$8,L$10),'Tariff Schedule Lookup Table'!$F$8:$G$286,2,FALSE))=TRUE,"",TEXT(VLOOKUP(CONCATENATE($A156,$I$8,L$10),'Tariff Schedule Lookup Table'!$F$8:$G$286,2,FALSE),"0000"))</f>
        <v/>
      </c>
      <c r="M156" s="34" t="str">
        <f>IF(ISERROR(VLOOKUP(CONCATENATE($A156,$M$8,M$10),'Tariff Schedule Lookup Table'!$F$8:$G$286,2,FALSE))=TRUE,"",TEXT(VLOOKUP(CONCATENATE($A156,$M$8,M$10),'Tariff Schedule Lookup Table'!$F$8:$G$286,2,FALSE),"0000"))</f>
        <v>0210</v>
      </c>
      <c r="N156" s="34" t="str">
        <f>IF(ISERROR(VLOOKUP(CONCATENATE($A156,$M$8,N$10),'Tariff Schedule Lookup Table'!$F$8:$G$286,2,FALSE))=TRUE,"",TEXT(VLOOKUP(CONCATENATE($A156,$M$8,N$10),'Tariff Schedule Lookup Table'!$F$8:$G$286,2,FALSE),"0000"))</f>
        <v>0790</v>
      </c>
      <c r="O156" s="34" t="str">
        <f>IF(ISERROR(VLOOKUP(CONCATENATE($A156,$M$8,O$10),'Tariff Schedule Lookup Table'!$F$8:$G$286,2,FALSE))=TRUE,"",TEXT(VLOOKUP(CONCATENATE($A156,$M$8,O$10),'Tariff Schedule Lookup Table'!$F$8:$G$286,2,FALSE),"0000"))</f>
        <v/>
      </c>
      <c r="P156" s="34" t="str">
        <f>IF(ISERROR(VLOOKUP(CONCATENATE($A156,$M$8,P$10),'Tariff Schedule Lookup Table'!$F$8:$G$286,2,FALSE))=TRUE,"",TEXT(VLOOKUP(CONCATENATE($A156,$M$8,P$10),'Tariff Schedule Lookup Table'!$F$8:$G$286,2,FALSE),"0000"))</f>
        <v/>
      </c>
      <c r="Q156" s="34" t="str">
        <f>IF(ISERROR(VLOOKUP(CONCATENATE($A156,$Q$8,Q$10),'Tariff Schedule Lookup Table'!$F$8:$G$286,2,FALSE))=TRUE,"",TEXT(VLOOKUP(CONCATENATE($A156,$Q$8,Q$10),'Tariff Schedule Lookup Table'!$F$8:$G$286,2,FALSE),"0000"))</f>
        <v>0300</v>
      </c>
      <c r="R156" s="34" t="str">
        <f>IF(ISERROR(VLOOKUP(CONCATENATE($A156,$Q$8,R$10),'Tariff Schedule Lookup Table'!$F$8:$G$286,2,FALSE))=TRUE,"",TEXT(VLOOKUP(CONCATENATE($A156,$Q$8,R$10),'Tariff Schedule Lookup Table'!$F$8:$G$286,2,FALSE),"0000"))</f>
        <v>0380</v>
      </c>
      <c r="S156" s="34" t="str">
        <f>IF(ISERROR(VLOOKUP(CONCATENATE($A156,$Q$8,S$10),'Tariff Schedule Lookup Table'!$F$8:$G$286,2,FALSE))=TRUE,"",TEXT(VLOOKUP(CONCATENATE($A156,$Q$8,S$10),'Tariff Schedule Lookup Table'!$F$8:$G$286,2,FALSE),"0000"))</f>
        <v>0420</v>
      </c>
      <c r="T156" s="34" t="str">
        <f>IF(ISERROR(VLOOKUP(CONCATENATE($A156,$Q$8,T$10),'Tariff Schedule Lookup Table'!$F$8:$G$286,2,FALSE))=TRUE,"",TEXT(VLOOKUP(CONCATENATE($A156,$Q$8,T$10),'Tariff Schedule Lookup Table'!$F$8:$G$286,2,FALSE),"0000"))</f>
        <v/>
      </c>
      <c r="U156" s="34" t="str">
        <f>IF(ISERROR(VLOOKUP(CONCATENATE($A156,$U$8,U$10),'Tariff Schedule Lookup Table'!$F$8:$G$286,2,FALSE))=TRUE,"",TEXT(VLOOKUP(CONCATENATE($A156,$U$8,U$10),'Tariff Schedule Lookup Table'!$F$8:$G$286,2,FALSE),"0000"))</f>
        <v/>
      </c>
      <c r="V156" s="34" t="str">
        <f>IF(ISERROR(VLOOKUP(CONCATENATE($A156,$U$8,V$10),'Tariff Schedule Lookup Table'!$F$8:$G$286,2,FALSE))=TRUE,"",TEXT(VLOOKUP(CONCATENATE($A156,$U$8,V$10),'Tariff Schedule Lookup Table'!$F$8:$G$286,2,FALSE),"0000"))</f>
        <v>0500</v>
      </c>
      <c r="W156" s="34" t="str">
        <f>IF(ISERROR(VLOOKUP(CONCATENATE($A156,$U$8,W$10),'Tariff Schedule Lookup Table'!$F$8:$G$286,2,FALSE))=TRUE,"",TEXT(VLOOKUP(CONCATENATE($A156,$U$8,W$10),'Tariff Schedule Lookup Table'!$F$8:$G$286,2,FALSE),"0000"))</f>
        <v>0540</v>
      </c>
      <c r="X156" s="34" t="str">
        <f>IF(ISERROR(VLOOKUP(CONCATENATE($A156,$U$8,X$10),'Tariff Schedule Lookup Table'!$F$8:$G$286,2,FALSE))=TRUE,"",TEXT(VLOOKUP(CONCATENATE($A156,$U$8,X$10),'Tariff Schedule Lookup Table'!$F$8:$G$186,2,FALSE),"0000"))</f>
        <v>0580</v>
      </c>
      <c r="Y156" s="6"/>
      <c r="Z156" s="6"/>
      <c r="AA156" s="6"/>
      <c r="AB156" s="6"/>
      <c r="AC156" s="6"/>
    </row>
    <row r="157" spans="1:29" x14ac:dyDescent="0.2">
      <c r="A157" s="6" t="s">
        <v>1183</v>
      </c>
      <c r="B157" s="35" t="s">
        <v>247</v>
      </c>
      <c r="C157" s="197" t="str">
        <f>VLOOKUP(LEFT(B157,7),'Tariff Schedule Lookup Table'!$A$8:$D$186,3,FALSE)</f>
        <v>3x400</v>
      </c>
      <c r="D157" s="199" t="str">
        <f>VLOOKUP(LEFT(B157,7),'Tariff Schedule Lookup Table'!$A$8:$D$186,2,FALSE)</f>
        <v>Mercury Vapour 3x400</v>
      </c>
      <c r="E157" s="6" t="s">
        <v>996</v>
      </c>
      <c r="F157" s="37">
        <f>VLOOKUP(LEFT(B157,7),'Tariff Schedule Lookup Table'!$A$8:$D$186,4,FALSE)</f>
        <v>1290</v>
      </c>
      <c r="G157" s="33">
        <f>VLOOKUP($B157,'Maintenance Costs'!$A$20:$AG$176,32,FALSE)</f>
        <v>99.652241653589797</v>
      </c>
      <c r="H157" s="67">
        <f>IF(VLOOKUP($B157,'Maintenance Costs'!$A$20:$AG$176,33,FALSE)=0,"",VLOOKUP($B157,'Maintenance Costs'!$A$20:$AG$176,33,FALSE))</f>
        <v>72.103783941753989</v>
      </c>
      <c r="I157" s="34" t="str">
        <f>IF(ISERROR(VLOOKUP(CONCATENATE($A157,$I$8,I$10),'Tariff Schedule Lookup Table'!$F$8:$G$286,2,FALSE))=TRUE,"",TEXT(VLOOKUP(CONCATENATE($A157,$I$8,I$10),'Tariff Schedule Lookup Table'!$F$8:$G$286,2,FALSE),"0000"))</f>
        <v>0030</v>
      </c>
      <c r="J157" s="34" t="str">
        <f>IF(ISERROR(VLOOKUP(CONCATENATE($A157,$I$8,J$10),'Tariff Schedule Lookup Table'!$F$8:$G$286,2,FALSE))=TRUE,"",TEXT(VLOOKUP(CONCATENATE($A157,$I$8,J$10),'Tariff Schedule Lookup Table'!$F$8:$G$286,2,FALSE),"0000"))</f>
        <v>0950</v>
      </c>
      <c r="K157" s="34" t="str">
        <f>IF(ISERROR(VLOOKUP(CONCATENATE($A157,$I$8,K$10),'Tariff Schedule Lookup Table'!$F$8:$G$286,2,FALSE))=TRUE,"",TEXT(VLOOKUP(CONCATENATE($A157,$I$8,K$10),'Tariff Schedule Lookup Table'!$F$8:$G$286,2,FALSE),"0000"))</f>
        <v/>
      </c>
      <c r="L157" s="34" t="str">
        <f>IF(ISERROR(VLOOKUP(CONCATENATE($A157,$I$8,L$10),'Tariff Schedule Lookup Table'!$F$8:$G$286,2,FALSE))=TRUE,"",TEXT(VLOOKUP(CONCATENATE($A157,$I$8,L$10),'Tariff Schedule Lookup Table'!$F$8:$G$286,2,FALSE),"0000"))</f>
        <v/>
      </c>
      <c r="M157" s="34" t="str">
        <f>IF(ISERROR(VLOOKUP(CONCATENATE($A157,$M$8,M$10),'Tariff Schedule Lookup Table'!$F$8:$G$286,2,FALSE))=TRUE,"",TEXT(VLOOKUP(CONCATENATE($A157,$M$8,M$10),'Tariff Schedule Lookup Table'!$F$8:$G$286,2,FALSE),"0000"))</f>
        <v>0210</v>
      </c>
      <c r="N157" s="34" t="str">
        <f>IF(ISERROR(VLOOKUP(CONCATENATE($A157,$M$8,N$10),'Tariff Schedule Lookup Table'!$F$8:$G$286,2,FALSE))=TRUE,"",TEXT(VLOOKUP(CONCATENATE($A157,$M$8,N$10),'Tariff Schedule Lookup Table'!$F$8:$G$286,2,FALSE),"0000"))</f>
        <v>0790</v>
      </c>
      <c r="O157" s="34" t="str">
        <f>IF(ISERROR(VLOOKUP(CONCATENATE($A157,$M$8,O$10),'Tariff Schedule Lookup Table'!$F$8:$G$286,2,FALSE))=TRUE,"",TEXT(VLOOKUP(CONCATENATE($A157,$M$8,O$10),'Tariff Schedule Lookup Table'!$F$8:$G$286,2,FALSE),"0000"))</f>
        <v/>
      </c>
      <c r="P157" s="34" t="str">
        <f>IF(ISERROR(VLOOKUP(CONCATENATE($A157,$M$8,P$10),'Tariff Schedule Lookup Table'!$F$8:$G$286,2,FALSE))=TRUE,"",TEXT(VLOOKUP(CONCATENATE($A157,$M$8,P$10),'Tariff Schedule Lookup Table'!$F$8:$G$286,2,FALSE),"0000"))</f>
        <v/>
      </c>
      <c r="Q157" s="34" t="str">
        <f>IF(ISERROR(VLOOKUP(CONCATENATE($A157,$Q$8,Q$10),'Tariff Schedule Lookup Table'!$F$8:$G$286,2,FALSE))=TRUE,"",TEXT(VLOOKUP(CONCATENATE($A157,$Q$8,Q$10),'Tariff Schedule Lookup Table'!$F$8:$G$286,2,FALSE),"0000"))</f>
        <v>0300</v>
      </c>
      <c r="R157" s="34" t="str">
        <f>IF(ISERROR(VLOOKUP(CONCATENATE($A157,$Q$8,R$10),'Tariff Schedule Lookup Table'!$F$8:$G$286,2,FALSE))=TRUE,"",TEXT(VLOOKUP(CONCATENATE($A157,$Q$8,R$10),'Tariff Schedule Lookup Table'!$F$8:$G$286,2,FALSE),"0000"))</f>
        <v>0380</v>
      </c>
      <c r="S157" s="34" t="str">
        <f>IF(ISERROR(VLOOKUP(CONCATENATE($A157,$Q$8,S$10),'Tariff Schedule Lookup Table'!$F$8:$G$286,2,FALSE))=TRUE,"",TEXT(VLOOKUP(CONCATENATE($A157,$Q$8,S$10),'Tariff Schedule Lookup Table'!$F$8:$G$286,2,FALSE),"0000"))</f>
        <v>0420</v>
      </c>
      <c r="T157" s="34" t="str">
        <f>IF(ISERROR(VLOOKUP(CONCATENATE($A157,$Q$8,T$10),'Tariff Schedule Lookup Table'!$F$8:$G$286,2,FALSE))=TRUE,"",TEXT(VLOOKUP(CONCATENATE($A157,$Q$8,T$10),'Tariff Schedule Lookup Table'!$F$8:$G$286,2,FALSE),"0000"))</f>
        <v/>
      </c>
      <c r="U157" s="34" t="str">
        <f>IF(ISERROR(VLOOKUP(CONCATENATE($A157,$U$8,U$10),'Tariff Schedule Lookup Table'!$F$8:$G$286,2,FALSE))=TRUE,"",TEXT(VLOOKUP(CONCATENATE($A157,$U$8,U$10),'Tariff Schedule Lookup Table'!$F$8:$G$286,2,FALSE),"0000"))</f>
        <v/>
      </c>
      <c r="V157" s="34" t="str">
        <f>IF(ISERROR(VLOOKUP(CONCATENATE($A157,$U$8,V$10),'Tariff Schedule Lookup Table'!$F$8:$G$286,2,FALSE))=TRUE,"",TEXT(VLOOKUP(CONCATENATE($A157,$U$8,V$10),'Tariff Schedule Lookup Table'!$F$8:$G$286,2,FALSE),"0000"))</f>
        <v>0500</v>
      </c>
      <c r="W157" s="34" t="str">
        <f>IF(ISERROR(VLOOKUP(CONCATENATE($A157,$U$8,W$10),'Tariff Schedule Lookup Table'!$F$8:$G$286,2,FALSE))=TRUE,"",TEXT(VLOOKUP(CONCATENATE($A157,$U$8,W$10),'Tariff Schedule Lookup Table'!$F$8:$G$286,2,FALSE),"0000"))</f>
        <v>0540</v>
      </c>
      <c r="X157" s="34" t="str">
        <f>IF(ISERROR(VLOOKUP(CONCATENATE($A157,$U$8,X$10),'Tariff Schedule Lookup Table'!$F$8:$G$286,2,FALSE))=TRUE,"",TEXT(VLOOKUP(CONCATENATE($A157,$U$8,X$10),'Tariff Schedule Lookup Table'!$F$8:$G$186,2,FALSE),"0000"))</f>
        <v>0580</v>
      </c>
      <c r="Y157" s="6"/>
      <c r="Z157" s="6"/>
      <c r="AA157" s="6"/>
      <c r="AB157" s="6"/>
      <c r="AC157" s="6"/>
    </row>
    <row r="158" spans="1:29" x14ac:dyDescent="0.2">
      <c r="A158" s="6" t="s">
        <v>1183</v>
      </c>
      <c r="B158" s="35" t="s">
        <v>2142</v>
      </c>
      <c r="C158" s="197">
        <f>VLOOKUP(LEFT(B158,7),'Tariff Schedule Lookup Table'!$A$8:$D$186,3,FALSE)</f>
        <v>500</v>
      </c>
      <c r="D158" s="199" t="str">
        <f>VLOOKUP(LEFT(B158,7),'Tariff Schedule Lookup Table'!$A$8:$D$186,2,FALSE)</f>
        <v>Mercury Vapour 500</v>
      </c>
      <c r="E158" s="6" t="s">
        <v>996</v>
      </c>
      <c r="F158" s="37">
        <f>VLOOKUP(LEFT(B158,7),'Tariff Schedule Lookup Table'!$A$8:$D$186,4,FALSE)</f>
        <v>530</v>
      </c>
      <c r="G158" s="33">
        <f>VLOOKUP($B158,'Maintenance Costs'!$A$20:$AG$176,32,FALSE)</f>
        <v>81.031788581589808</v>
      </c>
      <c r="H158" s="67">
        <f>IF(VLOOKUP($B158,'Maintenance Costs'!$A$20:$AG$176,33,FALSE)=0,"",VLOOKUP($B158,'Maintenance Costs'!$A$20:$AG$176,33,FALSE))</f>
        <v>45.842871362033989</v>
      </c>
      <c r="I158" s="34" t="str">
        <f>IF(ISERROR(VLOOKUP(CONCATENATE($A158,$I$8,I$10),'Tariff Schedule Lookup Table'!$F$8:$G$286,2,FALSE))=TRUE,"",TEXT(VLOOKUP(CONCATENATE($A158,$I$8,I$10),'Tariff Schedule Lookup Table'!$F$8:$G$286,2,FALSE),"0000"))</f>
        <v>0030</v>
      </c>
      <c r="J158" s="34" t="str">
        <f>IF(ISERROR(VLOOKUP(CONCATENATE($A158,$I$8,J$10),'Tariff Schedule Lookup Table'!$F$8:$G$286,2,FALSE))=TRUE,"",TEXT(VLOOKUP(CONCATENATE($A158,$I$8,J$10),'Tariff Schedule Lookup Table'!$F$8:$G$286,2,FALSE),"0000"))</f>
        <v>0950</v>
      </c>
      <c r="K158" s="34" t="str">
        <f>IF(ISERROR(VLOOKUP(CONCATENATE($A158,$I$8,K$10),'Tariff Schedule Lookup Table'!$F$8:$G$286,2,FALSE))=TRUE,"",TEXT(VLOOKUP(CONCATENATE($A158,$I$8,K$10),'Tariff Schedule Lookup Table'!$F$8:$G$286,2,FALSE),"0000"))</f>
        <v/>
      </c>
      <c r="L158" s="34" t="str">
        <f>IF(ISERROR(VLOOKUP(CONCATENATE($A158,$I$8,L$10),'Tariff Schedule Lookup Table'!$F$8:$G$286,2,FALSE))=TRUE,"",TEXT(VLOOKUP(CONCATENATE($A158,$I$8,L$10),'Tariff Schedule Lookup Table'!$F$8:$G$286,2,FALSE),"0000"))</f>
        <v/>
      </c>
      <c r="M158" s="34" t="str">
        <f>IF(ISERROR(VLOOKUP(CONCATENATE($A158,$M$8,M$10),'Tariff Schedule Lookup Table'!$F$8:$G$286,2,FALSE))=TRUE,"",TEXT(VLOOKUP(CONCATENATE($A158,$M$8,M$10),'Tariff Schedule Lookup Table'!$F$8:$G$286,2,FALSE),"0000"))</f>
        <v>0210</v>
      </c>
      <c r="N158" s="34" t="str">
        <f>IF(ISERROR(VLOOKUP(CONCATENATE($A158,$M$8,N$10),'Tariff Schedule Lookup Table'!$F$8:$G$286,2,FALSE))=TRUE,"",TEXT(VLOOKUP(CONCATENATE($A158,$M$8,N$10),'Tariff Schedule Lookup Table'!$F$8:$G$286,2,FALSE),"0000"))</f>
        <v>0790</v>
      </c>
      <c r="O158" s="34" t="str">
        <f>IF(ISERROR(VLOOKUP(CONCATENATE($A158,$M$8,O$10),'Tariff Schedule Lookup Table'!$F$8:$G$286,2,FALSE))=TRUE,"",TEXT(VLOOKUP(CONCATENATE($A158,$M$8,O$10),'Tariff Schedule Lookup Table'!$F$8:$G$286,2,FALSE),"0000"))</f>
        <v/>
      </c>
      <c r="P158" s="34" t="str">
        <f>IF(ISERROR(VLOOKUP(CONCATENATE($A158,$M$8,P$10),'Tariff Schedule Lookup Table'!$F$8:$G$286,2,FALSE))=TRUE,"",TEXT(VLOOKUP(CONCATENATE($A158,$M$8,P$10),'Tariff Schedule Lookup Table'!$F$8:$G$286,2,FALSE),"0000"))</f>
        <v/>
      </c>
      <c r="Q158" s="34" t="str">
        <f>IF(ISERROR(VLOOKUP(CONCATENATE($A158,$Q$8,Q$10),'Tariff Schedule Lookup Table'!$F$8:$G$286,2,FALSE))=TRUE,"",TEXT(VLOOKUP(CONCATENATE($A158,$Q$8,Q$10),'Tariff Schedule Lookup Table'!$F$8:$G$286,2,FALSE),"0000"))</f>
        <v>0300</v>
      </c>
      <c r="R158" s="34" t="str">
        <f>IF(ISERROR(VLOOKUP(CONCATENATE($A158,$Q$8,R$10),'Tariff Schedule Lookup Table'!$F$8:$G$286,2,FALSE))=TRUE,"",TEXT(VLOOKUP(CONCATENATE($A158,$Q$8,R$10),'Tariff Schedule Lookup Table'!$F$8:$G$286,2,FALSE),"0000"))</f>
        <v>0380</v>
      </c>
      <c r="S158" s="34" t="str">
        <f>IF(ISERROR(VLOOKUP(CONCATENATE($A158,$Q$8,S$10),'Tariff Schedule Lookup Table'!$F$8:$G$286,2,FALSE))=TRUE,"",TEXT(VLOOKUP(CONCATENATE($A158,$Q$8,S$10),'Tariff Schedule Lookup Table'!$F$8:$G$286,2,FALSE),"0000"))</f>
        <v>0420</v>
      </c>
      <c r="T158" s="34" t="str">
        <f>IF(ISERROR(VLOOKUP(CONCATENATE($A158,$Q$8,T$10),'Tariff Schedule Lookup Table'!$F$8:$G$286,2,FALSE))=TRUE,"",TEXT(VLOOKUP(CONCATENATE($A158,$Q$8,T$10),'Tariff Schedule Lookup Table'!$F$8:$G$286,2,FALSE),"0000"))</f>
        <v/>
      </c>
      <c r="U158" s="34" t="str">
        <f>IF(ISERROR(VLOOKUP(CONCATENATE($A158,$U$8,U$10),'Tariff Schedule Lookup Table'!$F$8:$G$286,2,FALSE))=TRUE,"",TEXT(VLOOKUP(CONCATENATE($A158,$U$8,U$10),'Tariff Schedule Lookup Table'!$F$8:$G$286,2,FALSE),"0000"))</f>
        <v/>
      </c>
      <c r="V158" s="34" t="str">
        <f>IF(ISERROR(VLOOKUP(CONCATENATE($A158,$U$8,V$10),'Tariff Schedule Lookup Table'!$F$8:$G$286,2,FALSE))=TRUE,"",TEXT(VLOOKUP(CONCATENATE($A158,$U$8,V$10),'Tariff Schedule Lookup Table'!$F$8:$G$286,2,FALSE),"0000"))</f>
        <v>0500</v>
      </c>
      <c r="W158" s="34" t="str">
        <f>IF(ISERROR(VLOOKUP(CONCATENATE($A158,$U$8,W$10),'Tariff Schedule Lookup Table'!$F$8:$G$286,2,FALSE))=TRUE,"",TEXT(VLOOKUP(CONCATENATE($A158,$U$8,W$10),'Tariff Schedule Lookup Table'!$F$8:$G$286,2,FALSE),"0000"))</f>
        <v>0540</v>
      </c>
      <c r="X158" s="34" t="str">
        <f>IF(ISERROR(VLOOKUP(CONCATENATE($A158,$U$8,X$10),'Tariff Schedule Lookup Table'!$F$8:$G$286,2,FALSE))=TRUE,"",TEXT(VLOOKUP(CONCATENATE($A158,$U$8,X$10),'Tariff Schedule Lookup Table'!$F$8:$G$186,2,FALSE),"0000"))</f>
        <v>0580</v>
      </c>
      <c r="Y158" s="6"/>
      <c r="Z158" s="6"/>
      <c r="AA158" s="6"/>
      <c r="AB158" s="6"/>
      <c r="AC158" s="6"/>
    </row>
    <row r="159" spans="1:29" x14ac:dyDescent="0.2">
      <c r="A159" s="6" t="s">
        <v>1183</v>
      </c>
      <c r="B159" s="35" t="s">
        <v>248</v>
      </c>
      <c r="C159" s="197" t="str">
        <f>VLOOKUP(LEFT(B159,7),'Tariff Schedule Lookup Table'!$A$8:$D$186,3,FALSE)</f>
        <v>2x700</v>
      </c>
      <c r="D159" s="199" t="str">
        <f>VLOOKUP(LEFT(B159,7),'Tariff Schedule Lookup Table'!$A$8:$D$186,2,FALSE)</f>
        <v>Mercury Vapour 2x700</v>
      </c>
      <c r="E159" s="6" t="s">
        <v>996</v>
      </c>
      <c r="F159" s="37">
        <f>VLOOKUP(LEFT(B159,7),'Tariff Schedule Lookup Table'!$A$8:$D$186,4,FALSE)</f>
        <v>1480</v>
      </c>
      <c r="G159" s="33">
        <f>VLOOKUP($B159,'Maintenance Costs'!$A$20:$AG$176,32,FALSE)</f>
        <v>100.57106329758982</v>
      </c>
      <c r="H159" s="67">
        <f>IF(VLOOKUP($B159,'Maintenance Costs'!$A$20:$AG$176,33,FALSE)=0,"",VLOOKUP($B159,'Maintenance Costs'!$A$20:$AG$176,33,FALSE))</f>
        <v>74.086217894993993</v>
      </c>
      <c r="I159" s="34" t="str">
        <f>IF(ISERROR(VLOOKUP(CONCATENATE($A159,$I$8,I$10),'Tariff Schedule Lookup Table'!$F$8:$G$286,2,FALSE))=TRUE,"",TEXT(VLOOKUP(CONCATENATE($A159,$I$8,I$10),'Tariff Schedule Lookup Table'!$F$8:$G$286,2,FALSE),"0000"))</f>
        <v>0030</v>
      </c>
      <c r="J159" s="34" t="str">
        <f>IF(ISERROR(VLOOKUP(CONCATENATE($A159,$I$8,J$10),'Tariff Schedule Lookup Table'!$F$8:$G$286,2,FALSE))=TRUE,"",TEXT(VLOOKUP(CONCATENATE($A159,$I$8,J$10),'Tariff Schedule Lookup Table'!$F$8:$G$286,2,FALSE),"0000"))</f>
        <v>0950</v>
      </c>
      <c r="K159" s="34" t="str">
        <f>IF(ISERROR(VLOOKUP(CONCATENATE($A159,$I$8,K$10),'Tariff Schedule Lookup Table'!$F$8:$G$286,2,FALSE))=TRUE,"",TEXT(VLOOKUP(CONCATENATE($A159,$I$8,K$10),'Tariff Schedule Lookup Table'!$F$8:$G$286,2,FALSE),"0000"))</f>
        <v/>
      </c>
      <c r="L159" s="34" t="str">
        <f>IF(ISERROR(VLOOKUP(CONCATENATE($A159,$I$8,L$10),'Tariff Schedule Lookup Table'!$F$8:$G$286,2,FALSE))=TRUE,"",TEXT(VLOOKUP(CONCATENATE($A159,$I$8,L$10),'Tariff Schedule Lookup Table'!$F$8:$G$286,2,FALSE),"0000"))</f>
        <v/>
      </c>
      <c r="M159" s="34" t="str">
        <f>IF(ISERROR(VLOOKUP(CONCATENATE($A159,$M$8,M$10),'Tariff Schedule Lookup Table'!$F$8:$G$286,2,FALSE))=TRUE,"",TEXT(VLOOKUP(CONCATENATE($A159,$M$8,M$10),'Tariff Schedule Lookup Table'!$F$8:$G$286,2,FALSE),"0000"))</f>
        <v>0210</v>
      </c>
      <c r="N159" s="34" t="str">
        <f>IF(ISERROR(VLOOKUP(CONCATENATE($A159,$M$8,N$10),'Tariff Schedule Lookup Table'!$F$8:$G$286,2,FALSE))=TRUE,"",TEXT(VLOOKUP(CONCATENATE($A159,$M$8,N$10),'Tariff Schedule Lookup Table'!$F$8:$G$286,2,FALSE),"0000"))</f>
        <v>0790</v>
      </c>
      <c r="O159" s="34" t="str">
        <f>IF(ISERROR(VLOOKUP(CONCATENATE($A159,$M$8,O$10),'Tariff Schedule Lookup Table'!$F$8:$G$286,2,FALSE))=TRUE,"",TEXT(VLOOKUP(CONCATENATE($A159,$M$8,O$10),'Tariff Schedule Lookup Table'!$F$8:$G$286,2,FALSE),"0000"))</f>
        <v/>
      </c>
      <c r="P159" s="34" t="str">
        <f>IF(ISERROR(VLOOKUP(CONCATENATE($A159,$M$8,P$10),'Tariff Schedule Lookup Table'!$F$8:$G$286,2,FALSE))=TRUE,"",TEXT(VLOOKUP(CONCATENATE($A159,$M$8,P$10),'Tariff Schedule Lookup Table'!$F$8:$G$286,2,FALSE),"0000"))</f>
        <v/>
      </c>
      <c r="Q159" s="34" t="str">
        <f>IF(ISERROR(VLOOKUP(CONCATENATE($A159,$Q$8,Q$10),'Tariff Schedule Lookup Table'!$F$8:$G$286,2,FALSE))=TRUE,"",TEXT(VLOOKUP(CONCATENATE($A159,$Q$8,Q$10),'Tariff Schedule Lookup Table'!$F$8:$G$286,2,FALSE),"0000"))</f>
        <v>0300</v>
      </c>
      <c r="R159" s="34" t="str">
        <f>IF(ISERROR(VLOOKUP(CONCATENATE($A159,$Q$8,R$10),'Tariff Schedule Lookup Table'!$F$8:$G$286,2,FALSE))=TRUE,"",TEXT(VLOOKUP(CONCATENATE($A159,$Q$8,R$10),'Tariff Schedule Lookup Table'!$F$8:$G$286,2,FALSE),"0000"))</f>
        <v>0380</v>
      </c>
      <c r="S159" s="34" t="str">
        <f>IF(ISERROR(VLOOKUP(CONCATENATE($A159,$Q$8,S$10),'Tariff Schedule Lookup Table'!$F$8:$G$286,2,FALSE))=TRUE,"",TEXT(VLOOKUP(CONCATENATE($A159,$Q$8,S$10),'Tariff Schedule Lookup Table'!$F$8:$G$286,2,FALSE),"0000"))</f>
        <v>0420</v>
      </c>
      <c r="T159" s="34" t="str">
        <f>IF(ISERROR(VLOOKUP(CONCATENATE($A159,$Q$8,T$10),'Tariff Schedule Lookup Table'!$F$8:$G$286,2,FALSE))=TRUE,"",TEXT(VLOOKUP(CONCATENATE($A159,$Q$8,T$10),'Tariff Schedule Lookup Table'!$F$8:$G$286,2,FALSE),"0000"))</f>
        <v/>
      </c>
      <c r="U159" s="34" t="str">
        <f>IF(ISERROR(VLOOKUP(CONCATENATE($A159,$U$8,U$10),'Tariff Schedule Lookup Table'!$F$8:$G$286,2,FALSE))=TRUE,"",TEXT(VLOOKUP(CONCATENATE($A159,$U$8,U$10),'Tariff Schedule Lookup Table'!$F$8:$G$286,2,FALSE),"0000"))</f>
        <v/>
      </c>
      <c r="V159" s="34" t="str">
        <f>IF(ISERROR(VLOOKUP(CONCATENATE($A159,$U$8,V$10),'Tariff Schedule Lookup Table'!$F$8:$G$286,2,FALSE))=TRUE,"",TEXT(VLOOKUP(CONCATENATE($A159,$U$8,V$10),'Tariff Schedule Lookup Table'!$F$8:$G$286,2,FALSE),"0000"))</f>
        <v>0500</v>
      </c>
      <c r="W159" s="34" t="str">
        <f>IF(ISERROR(VLOOKUP(CONCATENATE($A159,$U$8,W$10),'Tariff Schedule Lookup Table'!$F$8:$G$286,2,FALSE))=TRUE,"",TEXT(VLOOKUP(CONCATENATE($A159,$U$8,W$10),'Tariff Schedule Lookup Table'!$F$8:$G$286,2,FALSE),"0000"))</f>
        <v>0540</v>
      </c>
      <c r="X159" s="34" t="str">
        <f>IF(ISERROR(VLOOKUP(CONCATENATE($A159,$U$8,X$10),'Tariff Schedule Lookup Table'!$F$8:$G$286,2,FALSE))=TRUE,"",TEXT(VLOOKUP(CONCATENATE($A159,$U$8,X$10),'Tariff Schedule Lookup Table'!$F$8:$G$186,2,FALSE),"0000"))</f>
        <v>0580</v>
      </c>
      <c r="Y159" s="6"/>
      <c r="Z159" s="6"/>
      <c r="AA159" s="6"/>
      <c r="AB159" s="6"/>
      <c r="AC159" s="6"/>
    </row>
    <row r="160" spans="1:29" x14ac:dyDescent="0.2">
      <c r="A160" s="6" t="s">
        <v>1183</v>
      </c>
      <c r="B160" s="35" t="s">
        <v>249</v>
      </c>
      <c r="C160" s="197">
        <f>VLOOKUP(LEFT(B160,7),'Tariff Schedule Lookup Table'!$A$8:$D$186,3,FALSE)</f>
        <v>800</v>
      </c>
      <c r="D160" s="199" t="str">
        <f>VLOOKUP(LEFT(B160,7),'Tariff Schedule Lookup Table'!$A$8:$D$186,2,FALSE)</f>
        <v>Mercury Vapour 800</v>
      </c>
      <c r="E160" s="6" t="s">
        <v>996</v>
      </c>
      <c r="F160" s="37">
        <f>VLOOKUP(LEFT(B160,7),'Tariff Schedule Lookup Table'!$A$8:$D$186,4,FALSE)</f>
        <v>850</v>
      </c>
      <c r="G160" s="33">
        <f>VLOOKUP($B160,'Maintenance Costs'!$A$20:$AG$176,32,FALSE)</f>
        <v>86.146312671589811</v>
      </c>
      <c r="H160" s="67">
        <f>IF(VLOOKUP($B160,'Maintenance Costs'!$A$20:$AG$176,33,FALSE)=0,"",VLOOKUP($B160,'Maintenance Costs'!$A$20:$AG$176,33,FALSE))</f>
        <v>53.399316483583995</v>
      </c>
      <c r="I160" s="34" t="str">
        <f>IF(ISERROR(VLOOKUP(CONCATENATE($A160,$I$8,I$10),'Tariff Schedule Lookup Table'!$F$8:$G$286,2,FALSE))=TRUE,"",TEXT(VLOOKUP(CONCATENATE($A160,$I$8,I$10),'Tariff Schedule Lookup Table'!$F$8:$G$286,2,FALSE),"0000"))</f>
        <v>0030</v>
      </c>
      <c r="J160" s="34" t="str">
        <f>IF(ISERROR(VLOOKUP(CONCATENATE($A160,$I$8,J$10),'Tariff Schedule Lookup Table'!$F$8:$G$286,2,FALSE))=TRUE,"",TEXT(VLOOKUP(CONCATENATE($A160,$I$8,J$10),'Tariff Schedule Lookup Table'!$F$8:$G$286,2,FALSE),"0000"))</f>
        <v>0950</v>
      </c>
      <c r="K160" s="34" t="str">
        <f>IF(ISERROR(VLOOKUP(CONCATENATE($A160,$I$8,K$10),'Tariff Schedule Lookup Table'!$F$8:$G$286,2,FALSE))=TRUE,"",TEXT(VLOOKUP(CONCATENATE($A160,$I$8,K$10),'Tariff Schedule Lookup Table'!$F$8:$G$286,2,FALSE),"0000"))</f>
        <v/>
      </c>
      <c r="L160" s="34" t="str">
        <f>IF(ISERROR(VLOOKUP(CONCATENATE($A160,$I$8,L$10),'Tariff Schedule Lookup Table'!$F$8:$G$286,2,FALSE))=TRUE,"",TEXT(VLOOKUP(CONCATENATE($A160,$I$8,L$10),'Tariff Schedule Lookup Table'!$F$8:$G$286,2,FALSE),"0000"))</f>
        <v/>
      </c>
      <c r="M160" s="34" t="str">
        <f>IF(ISERROR(VLOOKUP(CONCATENATE($A160,$M$8,M$10),'Tariff Schedule Lookup Table'!$F$8:$G$286,2,FALSE))=TRUE,"",TEXT(VLOOKUP(CONCATENATE($A160,$M$8,M$10),'Tariff Schedule Lookup Table'!$F$8:$G$286,2,FALSE),"0000"))</f>
        <v>0210</v>
      </c>
      <c r="N160" s="34" t="str">
        <f>IF(ISERROR(VLOOKUP(CONCATENATE($A160,$M$8,N$10),'Tariff Schedule Lookup Table'!$F$8:$G$286,2,FALSE))=TRUE,"",TEXT(VLOOKUP(CONCATENATE($A160,$M$8,N$10),'Tariff Schedule Lookup Table'!$F$8:$G$286,2,FALSE),"0000"))</f>
        <v>0790</v>
      </c>
      <c r="O160" s="34" t="str">
        <f>IF(ISERROR(VLOOKUP(CONCATENATE($A160,$M$8,O$10),'Tariff Schedule Lookup Table'!$F$8:$G$286,2,FALSE))=TRUE,"",TEXT(VLOOKUP(CONCATENATE($A160,$M$8,O$10),'Tariff Schedule Lookup Table'!$F$8:$G$286,2,FALSE),"0000"))</f>
        <v/>
      </c>
      <c r="P160" s="34" t="str">
        <f>IF(ISERROR(VLOOKUP(CONCATENATE($A160,$M$8,P$10),'Tariff Schedule Lookup Table'!$F$8:$G$286,2,FALSE))=TRUE,"",TEXT(VLOOKUP(CONCATENATE($A160,$M$8,P$10),'Tariff Schedule Lookup Table'!$F$8:$G$286,2,FALSE),"0000"))</f>
        <v/>
      </c>
      <c r="Q160" s="34" t="str">
        <f>IF(ISERROR(VLOOKUP(CONCATENATE($A160,$Q$8,Q$10),'Tariff Schedule Lookup Table'!$F$8:$G$286,2,FALSE))=TRUE,"",TEXT(VLOOKUP(CONCATENATE($A160,$Q$8,Q$10),'Tariff Schedule Lookup Table'!$F$8:$G$286,2,FALSE),"0000"))</f>
        <v>0300</v>
      </c>
      <c r="R160" s="34" t="str">
        <f>IF(ISERROR(VLOOKUP(CONCATENATE($A160,$Q$8,R$10),'Tariff Schedule Lookup Table'!$F$8:$G$286,2,FALSE))=TRUE,"",TEXT(VLOOKUP(CONCATENATE($A160,$Q$8,R$10),'Tariff Schedule Lookup Table'!$F$8:$G$286,2,FALSE),"0000"))</f>
        <v>0380</v>
      </c>
      <c r="S160" s="34" t="str">
        <f>IF(ISERROR(VLOOKUP(CONCATENATE($A160,$Q$8,S$10),'Tariff Schedule Lookup Table'!$F$8:$G$286,2,FALSE))=TRUE,"",TEXT(VLOOKUP(CONCATENATE($A160,$Q$8,S$10),'Tariff Schedule Lookup Table'!$F$8:$G$286,2,FALSE),"0000"))</f>
        <v>0420</v>
      </c>
      <c r="T160" s="34" t="str">
        <f>IF(ISERROR(VLOOKUP(CONCATENATE($A160,$Q$8,T$10),'Tariff Schedule Lookup Table'!$F$8:$G$286,2,FALSE))=TRUE,"",TEXT(VLOOKUP(CONCATENATE($A160,$Q$8,T$10),'Tariff Schedule Lookup Table'!$F$8:$G$286,2,FALSE),"0000"))</f>
        <v/>
      </c>
      <c r="U160" s="34" t="str">
        <f>IF(ISERROR(VLOOKUP(CONCATENATE($A160,$U$8,U$10),'Tariff Schedule Lookup Table'!$F$8:$G$286,2,FALSE))=TRUE,"",TEXT(VLOOKUP(CONCATENATE($A160,$U$8,U$10),'Tariff Schedule Lookup Table'!$F$8:$G$286,2,FALSE),"0000"))</f>
        <v/>
      </c>
      <c r="V160" s="34" t="str">
        <f>IF(ISERROR(VLOOKUP(CONCATENATE($A160,$U$8,V$10),'Tariff Schedule Lookup Table'!$F$8:$G$286,2,FALSE))=TRUE,"",TEXT(VLOOKUP(CONCATENATE($A160,$U$8,V$10),'Tariff Schedule Lookup Table'!$F$8:$G$286,2,FALSE),"0000"))</f>
        <v>0500</v>
      </c>
      <c r="W160" s="34" t="str">
        <f>IF(ISERROR(VLOOKUP(CONCATENATE($A160,$U$8,W$10),'Tariff Schedule Lookup Table'!$F$8:$G$286,2,FALSE))=TRUE,"",TEXT(VLOOKUP(CONCATENATE($A160,$U$8,W$10),'Tariff Schedule Lookup Table'!$F$8:$G$286,2,FALSE),"0000"))</f>
        <v>0540</v>
      </c>
      <c r="X160" s="34" t="str">
        <f>IF(ISERROR(VLOOKUP(CONCATENATE($A160,$U$8,X$10),'Tariff Schedule Lookup Table'!$F$8:$G$286,2,FALSE))=TRUE,"",TEXT(VLOOKUP(CONCATENATE($A160,$U$8,X$10),'Tariff Schedule Lookup Table'!$F$8:$G$186,2,FALSE),"0000"))</f>
        <v>0580</v>
      </c>
      <c r="Y160" s="6"/>
      <c r="Z160" s="6"/>
      <c r="AA160" s="6"/>
      <c r="AB160" s="6"/>
      <c r="AC160" s="6"/>
    </row>
    <row r="161" spans="1:29" x14ac:dyDescent="0.2">
      <c r="A161" s="6" t="s">
        <v>1103</v>
      </c>
      <c r="B161" s="35" t="s">
        <v>9</v>
      </c>
      <c r="C161" s="197">
        <f>VLOOKUP(LEFT(B161,7),'Tariff Schedule Lookup Table'!$A$8:$D$186,3,FALSE)</f>
        <v>700</v>
      </c>
      <c r="D161" s="199" t="str">
        <f>VLOOKUP(LEFT(B161,7),'Tariff Schedule Lookup Table'!$A$8:$D$186,2,FALSE)</f>
        <v>Mercury Vapour 700</v>
      </c>
      <c r="E161" s="6" t="s">
        <v>1106</v>
      </c>
      <c r="F161" s="37">
        <f>VLOOKUP(LEFT(B161,7),'Tariff Schedule Lookup Table'!$A$8:$D$186,4,FALSE)</f>
        <v>740</v>
      </c>
      <c r="G161" s="33">
        <f>VLOOKUP($B161,'Maintenance Costs'!$A$20:$AG$176,32,FALSE)</f>
        <v>86.146312671589811</v>
      </c>
      <c r="H161" s="67">
        <f>IF(VLOOKUP($B161,'Maintenance Costs'!$A$20:$AG$176,33,FALSE)=0,"",VLOOKUP($B161,'Maintenance Costs'!$A$20:$AG$176,33,FALSE))</f>
        <v>53.399316483583995</v>
      </c>
      <c r="I161" s="34" t="str">
        <f>IF(ISERROR(VLOOKUP(CONCATENATE($A161,$I$8,I$10),'Tariff Schedule Lookup Table'!$F$8:$G$286,2,FALSE))=TRUE,"",TEXT(VLOOKUP(CONCATENATE($A161,$I$8,I$10),'Tariff Schedule Lookup Table'!$F$8:$G$286,2,FALSE),"0000"))</f>
        <v>0190</v>
      </c>
      <c r="J161" s="34" t="str">
        <f>IF(ISERROR(VLOOKUP(CONCATENATE($A161,$I$8,J$10),'Tariff Schedule Lookup Table'!$F$8:$G$286,2,FALSE))=TRUE,"",TEXT(VLOOKUP(CONCATENATE($A161,$I$8,J$10),'Tariff Schedule Lookup Table'!$F$8:$G$286,2,FALSE),"0000"))</f>
        <v/>
      </c>
      <c r="K161" s="34" t="str">
        <f>IF(ISERROR(VLOOKUP(CONCATENATE($A161,$I$8,K$10),'Tariff Schedule Lookup Table'!$F$8:$G$286,2,FALSE))=TRUE,"",TEXT(VLOOKUP(CONCATENATE($A161,$I$8,K$10),'Tariff Schedule Lookup Table'!$F$8:$G$286,2,FALSE),"0000"))</f>
        <v/>
      </c>
      <c r="L161" s="34" t="str">
        <f>IF(ISERROR(VLOOKUP(CONCATENATE($A161,$I$8,L$10),'Tariff Schedule Lookup Table'!$F$8:$G$286,2,FALSE))=TRUE,"",TEXT(VLOOKUP(CONCATENATE($A161,$I$8,L$10),'Tariff Schedule Lookup Table'!$F$8:$G$286,2,FALSE),"0000"))</f>
        <v/>
      </c>
      <c r="M161" s="34" t="str">
        <f>IF(ISERROR(VLOOKUP(CONCATENATE($A161,$M$8,M$10),'Tariff Schedule Lookup Table'!$F$8:$G$286,2,FALSE))=TRUE,"",TEXT(VLOOKUP(CONCATENATE($A161,$M$8,M$10),'Tariff Schedule Lookup Table'!$F$8:$G$286,2,FALSE),"0000"))</f>
        <v>0250</v>
      </c>
      <c r="N161" s="34" t="str">
        <f>IF(ISERROR(VLOOKUP(CONCATENATE($A161,$M$8,N$10),'Tariff Schedule Lookup Table'!$F$8:$G$286,2,FALSE))=TRUE,"",TEXT(VLOOKUP(CONCATENATE($A161,$M$8,N$10),'Tariff Schedule Lookup Table'!$F$8:$G$286,2,FALSE),"0000"))</f>
        <v>0700</v>
      </c>
      <c r="O161" s="34" t="str">
        <f>IF(ISERROR(VLOOKUP(CONCATENATE($A161,$M$8,O$10),'Tariff Schedule Lookup Table'!$F$8:$G$286,2,FALSE))=TRUE,"",TEXT(VLOOKUP(CONCATENATE($A161,$M$8,O$10),'Tariff Schedule Lookup Table'!$F$8:$G$286,2,FALSE),"0000"))</f>
        <v/>
      </c>
      <c r="P161" s="34" t="str">
        <f>IF(ISERROR(VLOOKUP(CONCATENATE($A161,$M$8,P$10),'Tariff Schedule Lookup Table'!$F$8:$G$286,2,FALSE))=TRUE,"",TEXT(VLOOKUP(CONCATENATE($A161,$M$8,P$10),'Tariff Schedule Lookup Table'!$F$8:$G$286,2,FALSE),"0000"))</f>
        <v/>
      </c>
      <c r="Q161" s="34" t="str">
        <f>IF(ISERROR(VLOOKUP(CONCATENATE($A161,$Q$8,Q$10),'Tariff Schedule Lookup Table'!$F$8:$G$286,2,FALSE))=TRUE,"",TEXT(VLOOKUP(CONCATENATE($A161,$Q$8,Q$10),'Tariff Schedule Lookup Table'!$F$8:$G$286,2,FALSE),"0000"))</f>
        <v>0340</v>
      </c>
      <c r="R161" s="34" t="str">
        <f>IF(ISERROR(VLOOKUP(CONCATENATE($A161,$Q$8,R$10),'Tariff Schedule Lookup Table'!$F$8:$G$286,2,FALSE))=TRUE,"",TEXT(VLOOKUP(CONCATENATE($A161,$Q$8,R$10),'Tariff Schedule Lookup Table'!$F$8:$G$286,2,FALSE),"0000"))</f>
        <v/>
      </c>
      <c r="S161" s="34" t="str">
        <f>IF(ISERROR(VLOOKUP(CONCATENATE($A161,$Q$8,S$10),'Tariff Schedule Lookup Table'!$F$8:$G$286,2,FALSE))=TRUE,"",TEXT(VLOOKUP(CONCATENATE($A161,$Q$8,S$10),'Tariff Schedule Lookup Table'!$F$8:$G$286,2,FALSE),"0000"))</f>
        <v/>
      </c>
      <c r="T161" s="34" t="str">
        <f>IF(ISERROR(VLOOKUP(CONCATENATE($A161,$Q$8,T$10),'Tariff Schedule Lookup Table'!$F$8:$G$286,2,FALSE))=TRUE,"",TEXT(VLOOKUP(CONCATENATE($A161,$Q$8,T$10),'Tariff Schedule Lookup Table'!$F$8:$G$286,2,FALSE),"0000"))</f>
        <v/>
      </c>
      <c r="U161" s="34" t="str">
        <f>IF(ISERROR(VLOOKUP(CONCATENATE($A161,$U$8,U$10),'Tariff Schedule Lookup Table'!$F$8:$G$286,2,FALSE))=TRUE,"",TEXT(VLOOKUP(CONCATENATE($A161,$U$8,U$10),'Tariff Schedule Lookup Table'!$F$8:$G$286,2,FALSE),"0000"))</f>
        <v/>
      </c>
      <c r="V161" s="34" t="str">
        <f>IF(ISERROR(VLOOKUP(CONCATENATE($A161,$U$8,V$10),'Tariff Schedule Lookup Table'!$F$8:$G$286,2,FALSE))=TRUE,"",TEXT(VLOOKUP(CONCATENATE($A161,$U$8,V$10),'Tariff Schedule Lookup Table'!$F$8:$G$286,2,FALSE),"0000"))</f>
        <v/>
      </c>
      <c r="W161" s="34" t="str">
        <f>IF(ISERROR(VLOOKUP(CONCATENATE($A161,$U$8,W$10),'Tariff Schedule Lookup Table'!$F$8:$G$286,2,FALSE))=TRUE,"",TEXT(VLOOKUP(CONCATENATE($A161,$U$8,W$10),'Tariff Schedule Lookup Table'!$F$8:$G$286,2,FALSE),"0000"))</f>
        <v/>
      </c>
      <c r="X161" s="34" t="str">
        <f>IF(ISERROR(VLOOKUP(CONCATENATE($A161,$U$8,X$10),'Tariff Schedule Lookup Table'!$F$8:$G$286,2,FALSE))=TRUE,"",TEXT(VLOOKUP(CONCATENATE($A161,$U$8,X$10),'Tariff Schedule Lookup Table'!$F$8:$G$186,2,FALSE),"0000"))</f>
        <v/>
      </c>
      <c r="Y161" s="6"/>
      <c r="Z161" s="6"/>
      <c r="AA161" s="6"/>
      <c r="AB161" s="6"/>
      <c r="AC161" s="6"/>
    </row>
    <row r="162" spans="1:29" x14ac:dyDescent="0.2">
      <c r="A162" s="6" t="s">
        <v>1107</v>
      </c>
      <c r="B162" s="35" t="s">
        <v>10</v>
      </c>
      <c r="C162" s="197">
        <f>VLOOKUP(LEFT(B162,7),'Tariff Schedule Lookup Table'!$A$8:$D$186,3,FALSE)</f>
        <v>1000</v>
      </c>
      <c r="D162" s="199" t="str">
        <f>VLOOKUP(LEFT(B162,7),'Tariff Schedule Lookup Table'!$A$8:$D$186,2,FALSE)</f>
        <v>Mercury Vapour 1000</v>
      </c>
      <c r="E162" s="6" t="s">
        <v>1077</v>
      </c>
      <c r="F162" s="37">
        <f>VLOOKUP(LEFT(B162,7),'Tariff Schedule Lookup Table'!$A$8:$D$186,4,FALSE)</f>
        <v>1040</v>
      </c>
      <c r="G162" s="33">
        <f>VLOOKUP($B162,'Maintenance Costs'!$A$20:$AG$176,32,FALSE)</f>
        <v>109.1703669715898</v>
      </c>
      <c r="H162" s="67">
        <f>IF(VLOOKUP($B162,'Maintenance Costs'!$A$20:$AG$176,33,FALSE)=0,"",VLOOKUP($B162,'Maintenance Costs'!$A$20:$AG$176,33,FALSE))</f>
        <v>91.751446522750641</v>
      </c>
      <c r="I162" s="34" t="str">
        <f>IF(ISERROR(VLOOKUP(CONCATENATE($A162,$I$8,I$10),'Tariff Schedule Lookup Table'!$F$8:$G$286,2,FALSE))=TRUE,"",TEXT(VLOOKUP(CONCATENATE($A162,$I$8,I$10),'Tariff Schedule Lookup Table'!$F$8:$G$286,2,FALSE),"0000"))</f>
        <v>0120</v>
      </c>
      <c r="J162" s="34" t="str">
        <f>IF(ISERROR(VLOOKUP(CONCATENATE($A162,$I$8,J$10),'Tariff Schedule Lookup Table'!$F$8:$G$286,2,FALSE))=TRUE,"",TEXT(VLOOKUP(CONCATENATE($A162,$I$8,J$10),'Tariff Schedule Lookup Table'!$F$8:$G$286,2,FALSE),"0000"))</f>
        <v>1040</v>
      </c>
      <c r="K162" s="34" t="str">
        <f>IF(ISERROR(VLOOKUP(CONCATENATE($A162,$I$8,K$10),'Tariff Schedule Lookup Table'!$F$8:$G$286,2,FALSE))=TRUE,"",TEXT(VLOOKUP(CONCATENATE($A162,$I$8,K$10),'Tariff Schedule Lookup Table'!$F$8:$G$286,2,FALSE),"0000"))</f>
        <v/>
      </c>
      <c r="L162" s="34" t="str">
        <f>IF(ISERROR(VLOOKUP(CONCATENATE($A162,$I$8,L$10),'Tariff Schedule Lookup Table'!$F$8:$G$286,2,FALSE))=TRUE,"",TEXT(VLOOKUP(CONCATENATE($A162,$I$8,L$10),'Tariff Schedule Lookup Table'!$F$8:$G$286,2,FALSE),"0000"))</f>
        <v/>
      </c>
      <c r="M162" s="34" t="str">
        <f>IF(ISERROR(VLOOKUP(CONCATENATE($A162,$M$8,M$10),'Tariff Schedule Lookup Table'!$F$8:$G$286,2,FALSE))=TRUE,"",TEXT(VLOOKUP(CONCATENATE($A162,$M$8,M$10),'Tariff Schedule Lookup Table'!$F$8:$G$286,2,FALSE),"0000"))</f>
        <v>1110</v>
      </c>
      <c r="N162" s="34" t="str">
        <f>IF(ISERROR(VLOOKUP(CONCATENATE($A162,$M$8,N$10),'Tariff Schedule Lookup Table'!$F$8:$G$286,2,FALSE))=TRUE,"",TEXT(VLOOKUP(CONCATENATE($A162,$M$8,N$10),'Tariff Schedule Lookup Table'!$F$8:$G$286,2,FALSE),"0000"))</f>
        <v/>
      </c>
      <c r="O162" s="34" t="str">
        <f>IF(ISERROR(VLOOKUP(CONCATENATE($A162,$M$8,O$10),'Tariff Schedule Lookup Table'!$F$8:$G$286,2,FALSE))=TRUE,"",TEXT(VLOOKUP(CONCATENATE($A162,$M$8,O$10),'Tariff Schedule Lookup Table'!$F$8:$G$286,2,FALSE),"0000"))</f>
        <v/>
      </c>
      <c r="P162" s="34" t="str">
        <f>IF(ISERROR(VLOOKUP(CONCATENATE($A162,$M$8,P$10),'Tariff Schedule Lookup Table'!$F$8:$G$286,2,FALSE))=TRUE,"",TEXT(VLOOKUP(CONCATENATE($A162,$M$8,P$10),'Tariff Schedule Lookup Table'!$F$8:$G$286,2,FALSE),"0000"))</f>
        <v/>
      </c>
      <c r="Q162" s="34" t="str">
        <f>IF(ISERROR(VLOOKUP(CONCATENATE($A162,$Q$8,Q$10),'Tariff Schedule Lookup Table'!$F$8:$G$286,2,FALSE))=TRUE,"",TEXT(VLOOKUP(CONCATENATE($A162,$Q$8,Q$10),'Tariff Schedule Lookup Table'!$F$8:$G$286,2,FALSE),"0000"))</f>
        <v/>
      </c>
      <c r="R162" s="34" t="str">
        <f>IF(ISERROR(VLOOKUP(CONCATENATE($A162,$Q$8,R$10),'Tariff Schedule Lookup Table'!$F$8:$G$286,2,FALSE))=TRUE,"",TEXT(VLOOKUP(CONCATENATE($A162,$Q$8,R$10),'Tariff Schedule Lookup Table'!$F$8:$G$286,2,FALSE),"0000"))</f>
        <v/>
      </c>
      <c r="S162" s="34" t="str">
        <f>IF(ISERROR(VLOOKUP(CONCATENATE($A162,$Q$8,S$10),'Tariff Schedule Lookup Table'!$F$8:$G$286,2,FALSE))=TRUE,"",TEXT(VLOOKUP(CONCATENATE($A162,$Q$8,S$10),'Tariff Schedule Lookup Table'!$F$8:$G$286,2,FALSE),"0000"))</f>
        <v/>
      </c>
      <c r="T162" s="34" t="str">
        <f>IF(ISERROR(VLOOKUP(CONCATENATE($A162,$Q$8,T$10),'Tariff Schedule Lookup Table'!$F$8:$G$286,2,FALSE))=TRUE,"",TEXT(VLOOKUP(CONCATENATE($A162,$Q$8,T$10),'Tariff Schedule Lookup Table'!$F$8:$G$286,2,FALSE),"0000"))</f>
        <v/>
      </c>
      <c r="U162" s="34" t="str">
        <f>IF(ISERROR(VLOOKUP(CONCATENATE($A162,$U$8,U$10),'Tariff Schedule Lookup Table'!$F$8:$G$286,2,FALSE))=TRUE,"",TEXT(VLOOKUP(CONCATENATE($A162,$U$8,U$10),'Tariff Schedule Lookup Table'!$F$8:$G$286,2,FALSE),"0000"))</f>
        <v/>
      </c>
      <c r="V162" s="34" t="str">
        <f>IF(ISERROR(VLOOKUP(CONCATENATE($A162,$U$8,V$10),'Tariff Schedule Lookup Table'!$F$8:$G$286,2,FALSE))=TRUE,"",TEXT(VLOOKUP(CONCATENATE($A162,$U$8,V$10),'Tariff Schedule Lookup Table'!$F$8:$G$286,2,FALSE),"0000"))</f>
        <v>0850</v>
      </c>
      <c r="W162" s="34" t="str">
        <f>IF(ISERROR(VLOOKUP(CONCATENATE($A162,$U$8,W$10),'Tariff Schedule Lookup Table'!$F$8:$G$286,2,FALSE))=TRUE,"",TEXT(VLOOKUP(CONCATENATE($A162,$U$8,W$10),'Tariff Schedule Lookup Table'!$F$8:$G$286,2,FALSE),"0000"))</f>
        <v>0840</v>
      </c>
      <c r="X162" s="34" t="str">
        <f>IF(ISERROR(VLOOKUP(CONCATENATE($A162,$U$8,X$10),'Tariff Schedule Lookup Table'!$F$8:$G$286,2,FALSE))=TRUE,"",TEXT(VLOOKUP(CONCATENATE($A162,$U$8,X$10),'Tariff Schedule Lookup Table'!$F$8:$G$186,2,FALSE),"0000"))</f>
        <v>1050</v>
      </c>
      <c r="Y162" s="6"/>
      <c r="Z162" s="6"/>
      <c r="AA162" s="6"/>
      <c r="AB162" s="6"/>
      <c r="AC162" s="6"/>
    </row>
    <row r="163" spans="1:29" x14ac:dyDescent="0.2">
      <c r="A163" s="6" t="s">
        <v>1107</v>
      </c>
      <c r="B163" s="35" t="s">
        <v>250</v>
      </c>
      <c r="C163" s="197" t="str">
        <f>VLOOKUP(LEFT(B163,7),'Tariff Schedule Lookup Table'!$A$8:$D$186,3,FALSE)</f>
        <v>4x1000</v>
      </c>
      <c r="D163" s="199" t="str">
        <f>VLOOKUP(LEFT(B163,7),'Tariff Schedule Lookup Table'!$A$8:$D$186,2,FALSE)</f>
        <v>Mercury Vapour 4x1000</v>
      </c>
      <c r="E163" s="6" t="s">
        <v>1077</v>
      </c>
      <c r="F163" s="37">
        <f>VLOOKUP(LEFT(B163,7),'Tariff Schedule Lookup Table'!$A$8:$D$186,4,FALSE)</f>
        <v>4160</v>
      </c>
      <c r="G163" s="33">
        <f>VLOOKUP($B163,'Maintenance Costs'!$A$20:$AG$176,32,FALSE)</f>
        <v>221.51678174958982</v>
      </c>
      <c r="H163" s="67">
        <f>IF(VLOOKUP($B163,'Maintenance Costs'!$A$20:$AG$176,33,FALSE)=0,"",VLOOKUP($B163,'Maintenance Costs'!$A$20:$AG$176,33,FALSE))</f>
        <v>268.86854087448057</v>
      </c>
      <c r="I163" s="34" t="str">
        <f>IF(ISERROR(VLOOKUP(CONCATENATE($A163,$I$8,I$10),'Tariff Schedule Lookup Table'!$F$8:$G$286,2,FALSE))=TRUE,"",TEXT(VLOOKUP(CONCATENATE($A163,$I$8,I$10),'Tariff Schedule Lookup Table'!$F$8:$G$286,2,FALSE),"0000"))</f>
        <v>0120</v>
      </c>
      <c r="J163" s="34" t="str">
        <f>IF(ISERROR(VLOOKUP(CONCATENATE($A163,$I$8,J$10),'Tariff Schedule Lookup Table'!$F$8:$G$286,2,FALSE))=TRUE,"",TEXT(VLOOKUP(CONCATENATE($A163,$I$8,J$10),'Tariff Schedule Lookup Table'!$F$8:$G$286,2,FALSE),"0000"))</f>
        <v>1040</v>
      </c>
      <c r="K163" s="34" t="str">
        <f>IF(ISERROR(VLOOKUP(CONCATENATE($A163,$I$8,K$10),'Tariff Schedule Lookup Table'!$F$8:$G$286,2,FALSE))=TRUE,"",TEXT(VLOOKUP(CONCATENATE($A163,$I$8,K$10),'Tariff Schedule Lookup Table'!$F$8:$G$286,2,FALSE),"0000"))</f>
        <v/>
      </c>
      <c r="L163" s="34" t="str">
        <f>IF(ISERROR(VLOOKUP(CONCATENATE($A163,$I$8,L$10),'Tariff Schedule Lookup Table'!$F$8:$G$286,2,FALSE))=TRUE,"",TEXT(VLOOKUP(CONCATENATE($A163,$I$8,L$10),'Tariff Schedule Lookup Table'!$F$8:$G$286,2,FALSE),"0000"))</f>
        <v/>
      </c>
      <c r="M163" s="34" t="str">
        <f>IF(ISERROR(VLOOKUP(CONCATENATE($A163,$M$8,M$10),'Tariff Schedule Lookup Table'!$F$8:$G$286,2,FALSE))=TRUE,"",TEXT(VLOOKUP(CONCATENATE($A163,$M$8,M$10),'Tariff Schedule Lookup Table'!$F$8:$G$286,2,FALSE),"0000"))</f>
        <v>1110</v>
      </c>
      <c r="N163" s="34" t="str">
        <f>IF(ISERROR(VLOOKUP(CONCATENATE($A163,$M$8,N$10),'Tariff Schedule Lookup Table'!$F$8:$G$286,2,FALSE))=TRUE,"",TEXT(VLOOKUP(CONCATENATE($A163,$M$8,N$10),'Tariff Schedule Lookup Table'!$F$8:$G$286,2,FALSE),"0000"))</f>
        <v/>
      </c>
      <c r="O163" s="34" t="str">
        <f>IF(ISERROR(VLOOKUP(CONCATENATE($A163,$M$8,O$10),'Tariff Schedule Lookup Table'!$F$8:$G$286,2,FALSE))=TRUE,"",TEXT(VLOOKUP(CONCATENATE($A163,$M$8,O$10),'Tariff Schedule Lookup Table'!$F$8:$G$286,2,FALSE),"0000"))</f>
        <v/>
      </c>
      <c r="P163" s="34" t="str">
        <f>IF(ISERROR(VLOOKUP(CONCATENATE($A163,$M$8,P$10),'Tariff Schedule Lookup Table'!$F$8:$G$286,2,FALSE))=TRUE,"",TEXT(VLOOKUP(CONCATENATE($A163,$M$8,P$10),'Tariff Schedule Lookup Table'!$F$8:$G$286,2,FALSE),"0000"))</f>
        <v/>
      </c>
      <c r="Q163" s="34" t="str">
        <f>IF(ISERROR(VLOOKUP(CONCATENATE($A163,$Q$8,Q$10),'Tariff Schedule Lookup Table'!$F$8:$G$286,2,FALSE))=TRUE,"",TEXT(VLOOKUP(CONCATENATE($A163,$Q$8,Q$10),'Tariff Schedule Lookup Table'!$F$8:$G$286,2,FALSE),"0000"))</f>
        <v/>
      </c>
      <c r="R163" s="34" t="str">
        <f>IF(ISERROR(VLOOKUP(CONCATENATE($A163,$Q$8,R$10),'Tariff Schedule Lookup Table'!$F$8:$G$286,2,FALSE))=TRUE,"",TEXT(VLOOKUP(CONCATENATE($A163,$Q$8,R$10),'Tariff Schedule Lookup Table'!$F$8:$G$286,2,FALSE),"0000"))</f>
        <v/>
      </c>
      <c r="S163" s="34" t="str">
        <f>IF(ISERROR(VLOOKUP(CONCATENATE($A163,$Q$8,S$10),'Tariff Schedule Lookup Table'!$F$8:$G$286,2,FALSE))=TRUE,"",TEXT(VLOOKUP(CONCATENATE($A163,$Q$8,S$10),'Tariff Schedule Lookup Table'!$F$8:$G$286,2,FALSE),"0000"))</f>
        <v/>
      </c>
      <c r="T163" s="34" t="str">
        <f>IF(ISERROR(VLOOKUP(CONCATENATE($A163,$Q$8,T$10),'Tariff Schedule Lookup Table'!$F$8:$G$286,2,FALSE))=TRUE,"",TEXT(VLOOKUP(CONCATENATE($A163,$Q$8,T$10),'Tariff Schedule Lookup Table'!$F$8:$G$286,2,FALSE),"0000"))</f>
        <v/>
      </c>
      <c r="U163" s="34" t="str">
        <f>IF(ISERROR(VLOOKUP(CONCATENATE($A163,$U$8,U$10),'Tariff Schedule Lookup Table'!$F$8:$G$286,2,FALSE))=TRUE,"",TEXT(VLOOKUP(CONCATENATE($A163,$U$8,U$10),'Tariff Schedule Lookup Table'!$F$8:$G$286,2,FALSE),"0000"))</f>
        <v/>
      </c>
      <c r="V163" s="34" t="str">
        <f>IF(ISERROR(VLOOKUP(CONCATENATE($A163,$U$8,V$10),'Tariff Schedule Lookup Table'!$F$8:$G$286,2,FALSE))=TRUE,"",TEXT(VLOOKUP(CONCATENATE($A163,$U$8,V$10),'Tariff Schedule Lookup Table'!$F$8:$G$286,2,FALSE),"0000"))</f>
        <v>0850</v>
      </c>
      <c r="W163" s="34" t="str">
        <f>IF(ISERROR(VLOOKUP(CONCATENATE($A163,$U$8,W$10),'Tariff Schedule Lookup Table'!$F$8:$G$286,2,FALSE))=TRUE,"",TEXT(VLOOKUP(CONCATENATE($A163,$U$8,W$10),'Tariff Schedule Lookup Table'!$F$8:$G$286,2,FALSE),"0000"))</f>
        <v>0840</v>
      </c>
      <c r="X163" s="34" t="str">
        <f>IF(ISERROR(VLOOKUP(CONCATENATE($A163,$U$8,X$10),'Tariff Schedule Lookup Table'!$F$8:$G$286,2,FALSE))=TRUE,"",TEXT(VLOOKUP(CONCATENATE($A163,$U$8,X$10),'Tariff Schedule Lookup Table'!$F$8:$G$186,2,FALSE),"0000"))</f>
        <v>1050</v>
      </c>
      <c r="Y163" s="6"/>
      <c r="Z163" s="6"/>
      <c r="AA163" s="6"/>
      <c r="AB163" s="6"/>
      <c r="AC163" s="6"/>
    </row>
    <row r="164" spans="1:29" x14ac:dyDescent="0.2">
      <c r="A164" s="6" t="s">
        <v>1107</v>
      </c>
      <c r="B164" s="35" t="s">
        <v>251</v>
      </c>
      <c r="C164" s="197" t="str">
        <f>VLOOKUP(LEFT(B164,7),'Tariff Schedule Lookup Table'!$A$8:$D$186,3,FALSE)</f>
        <v>6x1000</v>
      </c>
      <c r="D164" s="199" t="str">
        <f>VLOOKUP(LEFT(B164,7),'Tariff Schedule Lookup Table'!$A$8:$D$186,2,FALSE)</f>
        <v>Mercury Vapour 6x1000</v>
      </c>
      <c r="E164" s="6" t="s">
        <v>1077</v>
      </c>
      <c r="F164" s="37">
        <f>VLOOKUP(LEFT(B164,7),'Tariff Schedule Lookup Table'!$A$8:$D$186,4,FALSE)</f>
        <v>6240</v>
      </c>
      <c r="G164" s="33">
        <f>VLOOKUP($B164,'Maintenance Costs'!$A$20:$AG$176,32,FALSE)</f>
        <v>296.41439160158973</v>
      </c>
      <c r="H164" s="67">
        <f>IF(VLOOKUP($B164,'Maintenance Costs'!$A$20:$AG$176,33,FALSE)=0,"",VLOOKUP($B164,'Maintenance Costs'!$A$20:$AG$176,33,FALSE))</f>
        <v>386.94660377563389</v>
      </c>
      <c r="I164" s="34" t="str">
        <f>IF(ISERROR(VLOOKUP(CONCATENATE($A164,$I$8,I$10),'Tariff Schedule Lookup Table'!$F$8:$G$286,2,FALSE))=TRUE,"",TEXT(VLOOKUP(CONCATENATE($A164,$I$8,I$10),'Tariff Schedule Lookup Table'!$F$8:$G$286,2,FALSE),"0000"))</f>
        <v>0120</v>
      </c>
      <c r="J164" s="34" t="str">
        <f>IF(ISERROR(VLOOKUP(CONCATENATE($A164,$I$8,J$10),'Tariff Schedule Lookup Table'!$F$8:$G$286,2,FALSE))=TRUE,"",TEXT(VLOOKUP(CONCATENATE($A164,$I$8,J$10),'Tariff Schedule Lookup Table'!$F$8:$G$286,2,FALSE),"0000"))</f>
        <v>1040</v>
      </c>
      <c r="K164" s="34" t="str">
        <f>IF(ISERROR(VLOOKUP(CONCATENATE($A164,$I$8,K$10),'Tariff Schedule Lookup Table'!$F$8:$G$286,2,FALSE))=TRUE,"",TEXT(VLOOKUP(CONCATENATE($A164,$I$8,K$10),'Tariff Schedule Lookup Table'!$F$8:$G$286,2,FALSE),"0000"))</f>
        <v/>
      </c>
      <c r="L164" s="34" t="str">
        <f>IF(ISERROR(VLOOKUP(CONCATENATE($A164,$I$8,L$10),'Tariff Schedule Lookup Table'!$F$8:$G$286,2,FALSE))=TRUE,"",TEXT(VLOOKUP(CONCATENATE($A164,$I$8,L$10),'Tariff Schedule Lookup Table'!$F$8:$G$286,2,FALSE),"0000"))</f>
        <v/>
      </c>
      <c r="M164" s="34" t="str">
        <f>IF(ISERROR(VLOOKUP(CONCATENATE($A164,$M$8,M$10),'Tariff Schedule Lookup Table'!$F$8:$G$286,2,FALSE))=TRUE,"",TEXT(VLOOKUP(CONCATENATE($A164,$M$8,M$10),'Tariff Schedule Lookup Table'!$F$8:$G$286,2,FALSE),"0000"))</f>
        <v>1110</v>
      </c>
      <c r="N164" s="34" t="str">
        <f>IF(ISERROR(VLOOKUP(CONCATENATE($A164,$M$8,N$10),'Tariff Schedule Lookup Table'!$F$8:$G$286,2,FALSE))=TRUE,"",TEXT(VLOOKUP(CONCATENATE($A164,$M$8,N$10),'Tariff Schedule Lookup Table'!$F$8:$G$286,2,FALSE),"0000"))</f>
        <v/>
      </c>
      <c r="O164" s="34" t="str">
        <f>IF(ISERROR(VLOOKUP(CONCATENATE($A164,$M$8,O$10),'Tariff Schedule Lookup Table'!$F$8:$G$286,2,FALSE))=TRUE,"",TEXT(VLOOKUP(CONCATENATE($A164,$M$8,O$10),'Tariff Schedule Lookup Table'!$F$8:$G$286,2,FALSE),"0000"))</f>
        <v/>
      </c>
      <c r="P164" s="34" t="str">
        <f>IF(ISERROR(VLOOKUP(CONCATENATE($A164,$M$8,P$10),'Tariff Schedule Lookup Table'!$F$8:$G$286,2,FALSE))=TRUE,"",TEXT(VLOOKUP(CONCATENATE($A164,$M$8,P$10),'Tariff Schedule Lookup Table'!$F$8:$G$286,2,FALSE),"0000"))</f>
        <v/>
      </c>
      <c r="Q164" s="34" t="str">
        <f>IF(ISERROR(VLOOKUP(CONCATENATE($A164,$Q$8,Q$10),'Tariff Schedule Lookup Table'!$F$8:$G$286,2,FALSE))=TRUE,"",TEXT(VLOOKUP(CONCATENATE($A164,$Q$8,Q$10),'Tariff Schedule Lookup Table'!$F$8:$G$286,2,FALSE),"0000"))</f>
        <v/>
      </c>
      <c r="R164" s="34" t="str">
        <f>IF(ISERROR(VLOOKUP(CONCATENATE($A164,$Q$8,R$10),'Tariff Schedule Lookup Table'!$F$8:$G$286,2,FALSE))=TRUE,"",TEXT(VLOOKUP(CONCATENATE($A164,$Q$8,R$10),'Tariff Schedule Lookup Table'!$F$8:$G$286,2,FALSE),"0000"))</f>
        <v/>
      </c>
      <c r="S164" s="34" t="str">
        <f>IF(ISERROR(VLOOKUP(CONCATENATE($A164,$Q$8,S$10),'Tariff Schedule Lookup Table'!$F$8:$G$286,2,FALSE))=TRUE,"",TEXT(VLOOKUP(CONCATENATE($A164,$Q$8,S$10),'Tariff Schedule Lookup Table'!$F$8:$G$286,2,FALSE),"0000"))</f>
        <v/>
      </c>
      <c r="T164" s="34" t="str">
        <f>IF(ISERROR(VLOOKUP(CONCATENATE($A164,$Q$8,T$10),'Tariff Schedule Lookup Table'!$F$8:$G$286,2,FALSE))=TRUE,"",TEXT(VLOOKUP(CONCATENATE($A164,$Q$8,T$10),'Tariff Schedule Lookup Table'!$F$8:$G$286,2,FALSE),"0000"))</f>
        <v/>
      </c>
      <c r="U164" s="34" t="str">
        <f>IF(ISERROR(VLOOKUP(CONCATENATE($A164,$U$8,U$10),'Tariff Schedule Lookup Table'!$F$8:$G$286,2,FALSE))=TRUE,"",TEXT(VLOOKUP(CONCATENATE($A164,$U$8,U$10),'Tariff Schedule Lookup Table'!$F$8:$G$286,2,FALSE),"0000"))</f>
        <v/>
      </c>
      <c r="V164" s="34" t="str">
        <f>IF(ISERROR(VLOOKUP(CONCATENATE($A164,$U$8,V$10),'Tariff Schedule Lookup Table'!$F$8:$G$286,2,FALSE))=TRUE,"",TEXT(VLOOKUP(CONCATENATE($A164,$U$8,V$10),'Tariff Schedule Lookup Table'!$F$8:$G$286,2,FALSE),"0000"))</f>
        <v>0850</v>
      </c>
      <c r="W164" s="34" t="str">
        <f>IF(ISERROR(VLOOKUP(CONCATENATE($A164,$U$8,W$10),'Tariff Schedule Lookup Table'!$F$8:$G$286,2,FALSE))=TRUE,"",TEXT(VLOOKUP(CONCATENATE($A164,$U$8,W$10),'Tariff Schedule Lookup Table'!$F$8:$G$286,2,FALSE),"0000"))</f>
        <v>0840</v>
      </c>
      <c r="X164" s="34" t="str">
        <f>IF(ISERROR(VLOOKUP(CONCATENATE($A164,$U$8,X$10),'Tariff Schedule Lookup Table'!$F$8:$G$286,2,FALSE))=TRUE,"",TEXT(VLOOKUP(CONCATENATE($A164,$U$8,X$10),'Tariff Schedule Lookup Table'!$F$8:$G$186,2,FALSE),"0000"))</f>
        <v>1050</v>
      </c>
      <c r="Y164" s="6"/>
      <c r="Z164" s="6"/>
      <c r="AA164" s="6"/>
      <c r="AB164" s="6"/>
      <c r="AC164" s="6"/>
    </row>
    <row r="165" spans="1:29" x14ac:dyDescent="0.2">
      <c r="A165" s="6" t="s">
        <v>1107</v>
      </c>
      <c r="B165" s="35" t="s">
        <v>252</v>
      </c>
      <c r="C165" s="197">
        <f>VLOOKUP(LEFT(B165,7),'Tariff Schedule Lookup Table'!$A$8:$D$186,3,FALSE)</f>
        <v>1625</v>
      </c>
      <c r="D165" s="199" t="str">
        <f>VLOOKUP(LEFT(B165,7),'Tariff Schedule Lookup Table'!$A$8:$D$186,2,FALSE)</f>
        <v>Mercury Vapour 1625</v>
      </c>
      <c r="E165" s="6" t="s">
        <v>1077</v>
      </c>
      <c r="F165" s="37">
        <f>VLOOKUP(LEFT(B165,7),'Tariff Schedule Lookup Table'!$A$8:$D$186,4,FALSE)</f>
        <v>1690</v>
      </c>
      <c r="G165" s="33">
        <f>VLOOKUP($B165,'Maintenance Costs'!$A$20:$AG$176,32,FALSE)</f>
        <v>109.1703669715898</v>
      </c>
      <c r="H165" s="67">
        <f>IF(VLOOKUP($B165,'Maintenance Costs'!$A$20:$AG$176,33,FALSE)=0,"",VLOOKUP($B165,'Maintenance Costs'!$A$20:$AG$176,33,FALSE))</f>
        <v>91.751446522750641</v>
      </c>
      <c r="I165" s="34" t="str">
        <f>IF(ISERROR(VLOOKUP(CONCATENATE($A165,$I$8,I$10),'Tariff Schedule Lookup Table'!$F$8:$G$286,2,FALSE))=TRUE,"",TEXT(VLOOKUP(CONCATENATE($A165,$I$8,I$10),'Tariff Schedule Lookup Table'!$F$8:$G$286,2,FALSE),"0000"))</f>
        <v>0120</v>
      </c>
      <c r="J165" s="34" t="str">
        <f>IF(ISERROR(VLOOKUP(CONCATENATE($A165,$I$8,J$10),'Tariff Schedule Lookup Table'!$F$8:$G$286,2,FALSE))=TRUE,"",TEXT(VLOOKUP(CONCATENATE($A165,$I$8,J$10),'Tariff Schedule Lookup Table'!$F$8:$G$286,2,FALSE),"0000"))</f>
        <v>1040</v>
      </c>
      <c r="K165" s="34" t="str">
        <f>IF(ISERROR(VLOOKUP(CONCATENATE($A165,$I$8,K$10),'Tariff Schedule Lookup Table'!$F$8:$G$286,2,FALSE))=TRUE,"",TEXT(VLOOKUP(CONCATENATE($A165,$I$8,K$10),'Tariff Schedule Lookup Table'!$F$8:$G$286,2,FALSE),"0000"))</f>
        <v/>
      </c>
      <c r="L165" s="34" t="str">
        <f>IF(ISERROR(VLOOKUP(CONCATENATE($A165,$I$8,L$10),'Tariff Schedule Lookup Table'!$F$8:$G$286,2,FALSE))=TRUE,"",TEXT(VLOOKUP(CONCATENATE($A165,$I$8,L$10),'Tariff Schedule Lookup Table'!$F$8:$G$286,2,FALSE),"0000"))</f>
        <v/>
      </c>
      <c r="M165" s="34" t="str">
        <f>IF(ISERROR(VLOOKUP(CONCATENATE($A165,$M$8,M$10),'Tariff Schedule Lookup Table'!$F$8:$G$286,2,FALSE))=TRUE,"",TEXT(VLOOKUP(CONCATENATE($A165,$M$8,M$10),'Tariff Schedule Lookup Table'!$F$8:$G$286,2,FALSE),"0000"))</f>
        <v>1110</v>
      </c>
      <c r="N165" s="34" t="str">
        <f>IF(ISERROR(VLOOKUP(CONCATENATE($A165,$M$8,N$10),'Tariff Schedule Lookup Table'!$F$8:$G$286,2,FALSE))=TRUE,"",TEXT(VLOOKUP(CONCATENATE($A165,$M$8,N$10),'Tariff Schedule Lookup Table'!$F$8:$G$286,2,FALSE),"0000"))</f>
        <v/>
      </c>
      <c r="O165" s="34" t="str">
        <f>IF(ISERROR(VLOOKUP(CONCATENATE($A165,$M$8,O$10),'Tariff Schedule Lookup Table'!$F$8:$G$286,2,FALSE))=TRUE,"",TEXT(VLOOKUP(CONCATENATE($A165,$M$8,O$10),'Tariff Schedule Lookup Table'!$F$8:$G$286,2,FALSE),"0000"))</f>
        <v/>
      </c>
      <c r="P165" s="34" t="str">
        <f>IF(ISERROR(VLOOKUP(CONCATENATE($A165,$M$8,P$10),'Tariff Schedule Lookup Table'!$F$8:$G$286,2,FALSE))=TRUE,"",TEXT(VLOOKUP(CONCATENATE($A165,$M$8,P$10),'Tariff Schedule Lookup Table'!$F$8:$G$286,2,FALSE),"0000"))</f>
        <v/>
      </c>
      <c r="Q165" s="34" t="str">
        <f>IF(ISERROR(VLOOKUP(CONCATENATE($A165,$Q$8,Q$10),'Tariff Schedule Lookup Table'!$F$8:$G$286,2,FALSE))=TRUE,"",TEXT(VLOOKUP(CONCATENATE($A165,$Q$8,Q$10),'Tariff Schedule Lookup Table'!$F$8:$G$286,2,FALSE),"0000"))</f>
        <v/>
      </c>
      <c r="R165" s="34" t="str">
        <f>IF(ISERROR(VLOOKUP(CONCATENATE($A165,$Q$8,R$10),'Tariff Schedule Lookup Table'!$F$8:$G$286,2,FALSE))=TRUE,"",TEXT(VLOOKUP(CONCATENATE($A165,$Q$8,R$10),'Tariff Schedule Lookup Table'!$F$8:$G$286,2,FALSE),"0000"))</f>
        <v/>
      </c>
      <c r="S165" s="34" t="str">
        <f>IF(ISERROR(VLOOKUP(CONCATENATE($A165,$Q$8,S$10),'Tariff Schedule Lookup Table'!$F$8:$G$286,2,FALSE))=TRUE,"",TEXT(VLOOKUP(CONCATENATE($A165,$Q$8,S$10),'Tariff Schedule Lookup Table'!$F$8:$G$286,2,FALSE),"0000"))</f>
        <v/>
      </c>
      <c r="T165" s="34" t="str">
        <f>IF(ISERROR(VLOOKUP(CONCATENATE($A165,$Q$8,T$10),'Tariff Schedule Lookup Table'!$F$8:$G$286,2,FALSE))=TRUE,"",TEXT(VLOOKUP(CONCATENATE($A165,$Q$8,T$10),'Tariff Schedule Lookup Table'!$F$8:$G$286,2,FALSE),"0000"))</f>
        <v/>
      </c>
      <c r="U165" s="34" t="str">
        <f>IF(ISERROR(VLOOKUP(CONCATENATE($A165,$U$8,U$10),'Tariff Schedule Lookup Table'!$F$8:$G$286,2,FALSE))=TRUE,"",TEXT(VLOOKUP(CONCATENATE($A165,$U$8,U$10),'Tariff Schedule Lookup Table'!$F$8:$G$286,2,FALSE),"0000"))</f>
        <v/>
      </c>
      <c r="V165" s="34" t="str">
        <f>IF(ISERROR(VLOOKUP(CONCATENATE($A165,$U$8,V$10),'Tariff Schedule Lookup Table'!$F$8:$G$286,2,FALSE))=TRUE,"",TEXT(VLOOKUP(CONCATENATE($A165,$U$8,V$10),'Tariff Schedule Lookup Table'!$F$8:$G$286,2,FALSE),"0000"))</f>
        <v>0850</v>
      </c>
      <c r="W165" s="34" t="str">
        <f>IF(ISERROR(VLOOKUP(CONCATENATE($A165,$U$8,W$10),'Tariff Schedule Lookup Table'!$F$8:$G$286,2,FALSE))=TRUE,"",TEXT(VLOOKUP(CONCATENATE($A165,$U$8,W$10),'Tariff Schedule Lookup Table'!$F$8:$G$286,2,FALSE),"0000"))</f>
        <v>0840</v>
      </c>
      <c r="X165" s="34" t="str">
        <f>IF(ISERROR(VLOOKUP(CONCATENATE($A165,$U$8,X$10),'Tariff Schedule Lookup Table'!$F$8:$G$286,2,FALSE))=TRUE,"",TEXT(VLOOKUP(CONCATENATE($A165,$U$8,X$10),'Tariff Schedule Lookup Table'!$F$8:$G$186,2,FALSE),"0000"))</f>
        <v>1050</v>
      </c>
      <c r="Y165" s="6"/>
      <c r="Z165" s="6"/>
      <c r="AA165" s="6"/>
      <c r="AB165" s="6"/>
      <c r="AC165" s="6"/>
    </row>
    <row r="166" spans="1:29" x14ac:dyDescent="0.2">
      <c r="A166" s="18" t="s">
        <v>1766</v>
      </c>
      <c r="B166" s="35" t="s">
        <v>58</v>
      </c>
      <c r="C166" s="197">
        <f>VLOOKUP(LEFT(B166,7),'Tariff Schedule Lookup Table'!$A$8:$D$186,3,FALSE)</f>
        <v>42</v>
      </c>
      <c r="D166" s="199" t="str">
        <f>VLOOKUP(LEFT(B166,7),'Tariff Schedule Lookup Table'!$A$8:$D$186,2,FALSE)</f>
        <v>Compact Fluorescent 1x42</v>
      </c>
      <c r="E166" s="6" t="s">
        <v>996</v>
      </c>
      <c r="F166" s="37">
        <f>VLOOKUP(LEFT(B166,7),'Tariff Schedule Lookup Table'!$A$8:$D$186,4,FALSE)</f>
        <v>46.4</v>
      </c>
      <c r="G166" s="33">
        <f>VLOOKUP($B166,'Maintenance Costs'!$A$20:$AG$176,32,FALSE)</f>
        <v>80.145074857589805</v>
      </c>
      <c r="H166" s="67">
        <f>IF(VLOOKUP($B166,'Maintenance Costs'!$A$20:$AG$176,33,FALSE)=0,"",VLOOKUP($B166,'Maintenance Costs'!$A$20:$AG$176,33,FALSE))</f>
        <v>55.280352111282582</v>
      </c>
      <c r="I166" s="34" t="str">
        <f>IF(ISERROR(VLOOKUP(CONCATENATE($A166,$I$8,I$10),'Tariff Schedule Lookup Table'!$F$8:$G$286,2,FALSE))=TRUE,"",TEXT(VLOOKUP(CONCATENATE($A166,$I$8,I$10),'Tariff Schedule Lookup Table'!$F$8:$G$286,2,FALSE),"0000"))</f>
        <v>1620</v>
      </c>
      <c r="J166" s="34" t="str">
        <f>IF(ISERROR(VLOOKUP(CONCATENATE($A166,$I$8,J$10),'Tariff Schedule Lookup Table'!$F$8:$G$286,2,FALSE))=TRUE,"",TEXT(VLOOKUP(CONCATENATE($A166,$I$8,J$10),'Tariff Schedule Lookup Table'!$F$8:$G$286,2,FALSE),"0000"))</f>
        <v>1630</v>
      </c>
      <c r="K166" s="34" t="str">
        <f>IF(ISERROR(VLOOKUP(CONCATENATE($A166,$I$8,K$10),'Tariff Schedule Lookup Table'!$F$8:$G$286,2,FALSE))=TRUE,"",TEXT(VLOOKUP(CONCATENATE($A166,$I$8,K$10),'Tariff Schedule Lookup Table'!$F$8:$G$286,2,FALSE),"0000"))</f>
        <v>1640</v>
      </c>
      <c r="L166" s="34" t="str">
        <f>IF(ISERROR(VLOOKUP(CONCATENATE($A166,$I$8,L$10),'Tariff Schedule Lookup Table'!$F$8:$G$286,2,FALSE))=TRUE,"",TEXT(VLOOKUP(CONCATENATE($A166,$I$8,L$10),'Tariff Schedule Lookup Table'!$F$8:$G$286,2,FALSE),"0000"))</f>
        <v>1650</v>
      </c>
      <c r="M166" s="34" t="str">
        <f>IF(ISERROR(VLOOKUP(CONCATENATE($A166,$M$8,M$10),'Tariff Schedule Lookup Table'!$F$8:$G$286,2,FALSE))=TRUE,"",TEXT(VLOOKUP(CONCATENATE($A166,$M$8,M$10),'Tariff Schedule Lookup Table'!$F$8:$G$286,2,FALSE),"0000"))</f>
        <v>1660</v>
      </c>
      <c r="N166" s="34" t="str">
        <f>IF(ISERROR(VLOOKUP(CONCATENATE($A166,$M$8,N$10),'Tariff Schedule Lookup Table'!$F$8:$G$286,2,FALSE))=TRUE,"",TEXT(VLOOKUP(CONCATENATE($A166,$M$8,N$10),'Tariff Schedule Lookup Table'!$F$8:$G$286,2,FALSE),"0000"))</f>
        <v>1670</v>
      </c>
      <c r="O166" s="34" t="str">
        <f>IF(ISERROR(VLOOKUP(CONCATENATE($A166,$M$8,O$10),'Tariff Schedule Lookup Table'!$F$8:$G$286,2,FALSE))=TRUE,"",TEXT(VLOOKUP(CONCATENATE($A166,$M$8,O$10),'Tariff Schedule Lookup Table'!$F$8:$G$286,2,FALSE),"0000"))</f>
        <v>1680</v>
      </c>
      <c r="P166" s="34" t="str">
        <f>IF(ISERROR(VLOOKUP(CONCATENATE($A166,$M$8,P$10),'Tariff Schedule Lookup Table'!$F$8:$G$286,2,FALSE))=TRUE,"",TEXT(VLOOKUP(CONCATENATE($A166,$M$8,P$10),'Tariff Schedule Lookup Table'!$F$8:$G$286,2,FALSE),"0000"))</f>
        <v>1690</v>
      </c>
      <c r="Q166" s="34" t="str">
        <f>IF(ISERROR(VLOOKUP(CONCATENATE($A166,$Q$8,Q$10),'Tariff Schedule Lookup Table'!$F$8:$G$286,2,FALSE))=TRUE,"",TEXT(VLOOKUP(CONCATENATE($A166,$Q$8,Q$10),'Tariff Schedule Lookup Table'!$F$8:$G$286,2,FALSE),"0000"))</f>
        <v>1700</v>
      </c>
      <c r="R166" s="34" t="str">
        <f>IF(ISERROR(VLOOKUP(CONCATENATE($A166,$Q$8,R$10),'Tariff Schedule Lookup Table'!$F$8:$G$286,2,FALSE))=TRUE,"",TEXT(VLOOKUP(CONCATENATE($A166,$Q$8,R$10),'Tariff Schedule Lookup Table'!$F$8:$G$286,2,FALSE),"0000"))</f>
        <v>1710</v>
      </c>
      <c r="S166" s="34" t="str">
        <f>IF(ISERROR(VLOOKUP(CONCATENATE($A166,$Q$8,S$10),'Tariff Schedule Lookup Table'!$F$8:$G$286,2,FALSE))=TRUE,"",TEXT(VLOOKUP(CONCATENATE($A166,$Q$8,S$10),'Tariff Schedule Lookup Table'!$F$8:$G$286,2,FALSE),"0000"))</f>
        <v>1720</v>
      </c>
      <c r="T166" s="34" t="str">
        <f>IF(ISERROR(VLOOKUP(CONCATENATE($A166,$Q$8,T$10),'Tariff Schedule Lookup Table'!$F$8:$G$286,2,FALSE))=TRUE,"",TEXT(VLOOKUP(CONCATENATE($A166,$Q$8,T$10),'Tariff Schedule Lookup Table'!$F$8:$G$286,2,FALSE),"0000"))</f>
        <v>1730</v>
      </c>
      <c r="U166" s="34" t="str">
        <f>IF(ISERROR(VLOOKUP(CONCATENATE($A166,$U$8,U$10),'Tariff Schedule Lookup Table'!$F$8:$G$286,2,FALSE))=TRUE,"",TEXT(VLOOKUP(CONCATENATE($A166,$U$8,U$10),'Tariff Schedule Lookup Table'!$F$8:$G$286,2,FALSE),"0000"))</f>
        <v/>
      </c>
      <c r="V166" s="34" t="str">
        <f>IF(ISERROR(VLOOKUP(CONCATENATE($A166,$U$8,V$10),'Tariff Schedule Lookup Table'!$F$8:$G$286,2,FALSE))=TRUE,"",TEXT(VLOOKUP(CONCATENATE($A166,$U$8,V$10),'Tariff Schedule Lookup Table'!$F$8:$G$286,2,FALSE),"0000"))</f>
        <v/>
      </c>
      <c r="W166" s="34" t="str">
        <f>IF(ISERROR(VLOOKUP(CONCATENATE($A166,$U$8,W$10),'Tariff Schedule Lookup Table'!$F$8:$G$286,2,FALSE))=TRUE,"",TEXT(VLOOKUP(CONCATENATE($A166,$U$8,W$10),'Tariff Schedule Lookup Table'!$F$8:$G$286,2,FALSE),"0000"))</f>
        <v/>
      </c>
      <c r="X166" s="34" t="str">
        <f>IF(ISERROR(VLOOKUP(CONCATENATE($A166,$U$8,X$10),'Tariff Schedule Lookup Table'!$F$8:$G$286,2,FALSE))=TRUE,"",TEXT(VLOOKUP(CONCATENATE($A166,$U$8,X$10),'Tariff Schedule Lookup Table'!$F$8:$G$186,2,FALSE),"0000"))</f>
        <v/>
      </c>
      <c r="Y166" s="6"/>
      <c r="Z166" s="6"/>
      <c r="AA166" s="6"/>
      <c r="AB166" s="6"/>
      <c r="AC166" s="6"/>
    </row>
    <row r="167" spans="1:29" x14ac:dyDescent="0.2">
      <c r="A167" s="6" t="s">
        <v>1779</v>
      </c>
      <c r="B167" s="39" t="s">
        <v>1783</v>
      </c>
      <c r="C167" s="197" t="str">
        <f>VLOOKUP(LEFT(B167,7),'Tariff Schedule Lookup Table'!$A$8:$D$186,3,FALSE)</f>
        <v>2x14</v>
      </c>
      <c r="D167" s="199" t="str">
        <f>VLOOKUP(LEFT(B167,7),'Tariff Schedule Lookup Table'!$A$8:$D$186,2,FALSE)</f>
        <v>T5 2x14W</v>
      </c>
      <c r="E167" s="6" t="s">
        <v>996</v>
      </c>
      <c r="F167" s="37">
        <f>VLOOKUP(LEFT(B167,7),'Tariff Schedule Lookup Table'!$A$8:$D$186,4,FALSE)</f>
        <v>30.2</v>
      </c>
      <c r="G167" s="33">
        <f>VLOOKUP($B167,'Maintenance Costs'!$A$20:$AG$176,32,FALSE)</f>
        <v>78.411247177589814</v>
      </c>
      <c r="H167" s="67">
        <f>IF(VLOOKUP($B167,'Maintenance Costs'!$A$20:$AG$176,33,FALSE)=0,"",VLOOKUP($B167,'Maintenance Costs'!$A$20:$AG$176,33,FALSE))</f>
        <v>56.992457891515912</v>
      </c>
      <c r="I167" s="34" t="str">
        <f>IF(ISERROR(VLOOKUP(CONCATENATE($A167,$I$8,I$10),'Tariff Schedule Lookup Table'!$F$8:$G$286,2,FALSE))=TRUE,"",TEXT(VLOOKUP(CONCATENATE($A167,$I$8,I$10),'Tariff Schedule Lookup Table'!$F$8:$G$286,2,FALSE),"0000"))</f>
        <v>1740</v>
      </c>
      <c r="J167" s="34" t="str">
        <f>IF(ISERROR(VLOOKUP(CONCATENATE($A167,$I$8,J$10),'Tariff Schedule Lookup Table'!$F$8:$G$286,2,FALSE))=TRUE,"",TEXT(VLOOKUP(CONCATENATE($A167,$I$8,J$10),'Tariff Schedule Lookup Table'!$F$8:$G$286,2,FALSE),"0000"))</f>
        <v>1750</v>
      </c>
      <c r="K167" s="34" t="str">
        <f>IF(ISERROR(VLOOKUP(CONCATENATE($A167,$I$8,K$10),'Tariff Schedule Lookup Table'!$F$8:$G$286,2,FALSE))=TRUE,"",TEXT(VLOOKUP(CONCATENATE($A167,$I$8,K$10),'Tariff Schedule Lookup Table'!$F$8:$G$286,2,FALSE),"0000"))</f>
        <v>1760</v>
      </c>
      <c r="L167" s="34" t="str">
        <f>IF(ISERROR(VLOOKUP(CONCATENATE($A167,$I$8,L$10),'Tariff Schedule Lookup Table'!$F$8:$G$286,2,FALSE))=TRUE,"",TEXT(VLOOKUP(CONCATENATE($A167,$I$8,L$10),'Tariff Schedule Lookup Table'!$F$8:$G$286,2,FALSE),"0000"))</f>
        <v>1770</v>
      </c>
      <c r="M167" s="34" t="str">
        <f>IF(ISERROR(VLOOKUP(CONCATENATE($A167,$M$8,M$10),'Tariff Schedule Lookup Table'!$F$8:$G$286,2,FALSE))=TRUE,"",TEXT(VLOOKUP(CONCATENATE($A167,$M$8,M$10),'Tariff Schedule Lookup Table'!$F$8:$G$286,2,FALSE),"0000"))</f>
        <v>1780</v>
      </c>
      <c r="N167" s="34" t="str">
        <f>IF(ISERROR(VLOOKUP(CONCATENATE($A167,$M$8,N$10),'Tariff Schedule Lookup Table'!$F$8:$G$286,2,FALSE))=TRUE,"",TEXT(VLOOKUP(CONCATENATE($A167,$M$8,N$10),'Tariff Schedule Lookup Table'!$F$8:$G$286,2,FALSE),"0000"))</f>
        <v>1790</v>
      </c>
      <c r="O167" s="34" t="str">
        <f>IF(ISERROR(VLOOKUP(CONCATENATE($A167,$M$8,O$10),'Tariff Schedule Lookup Table'!$F$8:$G$286,2,FALSE))=TRUE,"",TEXT(VLOOKUP(CONCATENATE($A167,$M$8,O$10),'Tariff Schedule Lookup Table'!$F$8:$G$286,2,FALSE),"0000"))</f>
        <v>1800</v>
      </c>
      <c r="P167" s="34" t="str">
        <f>IF(ISERROR(VLOOKUP(CONCATENATE($A167,$M$8,P$10),'Tariff Schedule Lookup Table'!$F$8:$G$286,2,FALSE))=TRUE,"",TEXT(VLOOKUP(CONCATENATE($A167,$M$8,P$10),'Tariff Schedule Lookup Table'!$F$8:$G$286,2,FALSE),"0000"))</f>
        <v>1810</v>
      </c>
      <c r="Q167" s="34" t="str">
        <f>IF(ISERROR(VLOOKUP(CONCATENATE($A167,$Q$8,Q$10),'Tariff Schedule Lookup Table'!$F$8:$G$286,2,FALSE))=TRUE,"",TEXT(VLOOKUP(CONCATENATE($A167,$Q$8,Q$10),'Tariff Schedule Lookup Table'!$F$8:$G$286,2,FALSE),"0000"))</f>
        <v>1820</v>
      </c>
      <c r="R167" s="34" t="str">
        <f>IF(ISERROR(VLOOKUP(CONCATENATE($A167,$Q$8,R$10),'Tariff Schedule Lookup Table'!$F$8:$G$286,2,FALSE))=TRUE,"",TEXT(VLOOKUP(CONCATENATE($A167,$Q$8,R$10),'Tariff Schedule Lookup Table'!$F$8:$G$286,2,FALSE),"0000"))</f>
        <v>1830</v>
      </c>
      <c r="S167" s="34" t="str">
        <f>IF(ISERROR(VLOOKUP(CONCATENATE($A167,$Q$8,S$10),'Tariff Schedule Lookup Table'!$F$8:$G$286,2,FALSE))=TRUE,"",TEXT(VLOOKUP(CONCATENATE($A167,$Q$8,S$10),'Tariff Schedule Lookup Table'!$F$8:$G$286,2,FALSE),"0000"))</f>
        <v>1840</v>
      </c>
      <c r="T167" s="34" t="str">
        <f>IF(ISERROR(VLOOKUP(CONCATENATE($A167,$Q$8,T$10),'Tariff Schedule Lookup Table'!$F$8:$G$286,2,FALSE))=TRUE,"",TEXT(VLOOKUP(CONCATENATE($A167,$Q$8,T$10),'Tariff Schedule Lookup Table'!$F$8:$G$286,2,FALSE),"0000"))</f>
        <v>1850</v>
      </c>
      <c r="U167" s="34" t="str">
        <f>IF(ISERROR(VLOOKUP(CONCATENATE($A167,$U$8,U$10),'Tariff Schedule Lookup Table'!$F$8:$G$286,2,FALSE))=TRUE,"",TEXT(VLOOKUP(CONCATENATE($A167,$U$8,U$10),'Tariff Schedule Lookup Table'!$F$8:$G$286,2,FALSE),"0000"))</f>
        <v/>
      </c>
      <c r="V167" s="34" t="str">
        <f>IF(ISERROR(VLOOKUP(CONCATENATE($A167,$U$8,V$10),'Tariff Schedule Lookup Table'!$F$8:$G$286,2,FALSE))=TRUE,"",TEXT(VLOOKUP(CONCATENATE($A167,$U$8,V$10),'Tariff Schedule Lookup Table'!$F$8:$G$286,2,FALSE),"0000"))</f>
        <v/>
      </c>
      <c r="W167" s="34" t="str">
        <f>IF(ISERROR(VLOOKUP(CONCATENATE($A167,$U$8,W$10),'Tariff Schedule Lookup Table'!$F$8:$G$286,2,FALSE))=TRUE,"",TEXT(VLOOKUP(CONCATENATE($A167,$U$8,W$10),'Tariff Schedule Lookup Table'!$F$8:$G$286,2,FALSE),"0000"))</f>
        <v/>
      </c>
      <c r="X167" s="34" t="str">
        <f>IF(ISERROR(VLOOKUP(CONCATENATE($A167,$U$8,X$10),'Tariff Schedule Lookup Table'!$F$8:$G$286,2,FALSE))=TRUE,"",TEXT(VLOOKUP(CONCATENATE($A167,$U$8,X$10),'Tariff Schedule Lookup Table'!$F$8:$G$186,2,FALSE),"0000"))</f>
        <v/>
      </c>
      <c r="Y167" s="6"/>
      <c r="Z167" s="6"/>
      <c r="AA167" s="6"/>
      <c r="AB167" s="6"/>
      <c r="AC167" s="6"/>
    </row>
    <row r="168" spans="1:29" x14ac:dyDescent="0.2">
      <c r="A168" s="6" t="s">
        <v>1780</v>
      </c>
      <c r="B168" s="39" t="s">
        <v>1784</v>
      </c>
      <c r="C168" s="197" t="str">
        <f>VLOOKUP(LEFT(B168,7),'Tariff Schedule Lookup Table'!$A$8:$D$186,3,FALSE)</f>
        <v>2x24</v>
      </c>
      <c r="D168" s="199" t="str">
        <f>VLOOKUP(LEFT(B168,7),'Tariff Schedule Lookup Table'!$A$8:$D$186,2,FALSE)</f>
        <v>T5 2x24W</v>
      </c>
      <c r="E168" s="6" t="s">
        <v>996</v>
      </c>
      <c r="F168" s="37">
        <f>VLOOKUP(LEFT(B168,7),'Tariff Schedule Lookup Table'!$A$8:$D$186,4,FALSE)</f>
        <v>47</v>
      </c>
      <c r="G168" s="33">
        <f>VLOOKUP($B168,'Maintenance Costs'!$A$20:$AG$176,32,FALSE)</f>
        <v>83.79333726758982</v>
      </c>
      <c r="H168" s="67">
        <f>IF(VLOOKUP($B168,'Maintenance Costs'!$A$20:$AG$176,33,FALSE)=0,"",VLOOKUP($B168,'Maintenance Costs'!$A$20:$AG$176,33,FALSE))</f>
        <v>65.595931135682591</v>
      </c>
      <c r="I168" s="34" t="str">
        <f>IF(ISERROR(VLOOKUP(CONCATENATE($A168,$I$8,I$10),'Tariff Schedule Lookup Table'!$F$8:$G$286,2,FALSE))=TRUE,"",TEXT(VLOOKUP(CONCATENATE($A168,$I$8,I$10),'Tariff Schedule Lookup Table'!$F$8:$G$286,2,FALSE),"0000"))</f>
        <v>1860</v>
      </c>
      <c r="J168" s="34" t="str">
        <f>IF(ISERROR(VLOOKUP(CONCATENATE($A168,$I$8,J$10),'Tariff Schedule Lookup Table'!$F$8:$G$286,2,FALSE))=TRUE,"",TEXT(VLOOKUP(CONCATENATE($A168,$I$8,J$10),'Tariff Schedule Lookup Table'!$F$8:$G$286,2,FALSE),"0000"))</f>
        <v>1870</v>
      </c>
      <c r="K168" s="34" t="str">
        <f>IF(ISERROR(VLOOKUP(CONCATENATE($A168,$I$8,K$10),'Tariff Schedule Lookup Table'!$F$8:$G$286,2,FALSE))=TRUE,"",TEXT(VLOOKUP(CONCATENATE($A168,$I$8,K$10),'Tariff Schedule Lookup Table'!$F$8:$G$286,2,FALSE),"0000"))</f>
        <v>1880</v>
      </c>
      <c r="L168" s="34" t="str">
        <f>IF(ISERROR(VLOOKUP(CONCATENATE($A168,$I$8,L$10),'Tariff Schedule Lookup Table'!$F$8:$G$286,2,FALSE))=TRUE,"",TEXT(VLOOKUP(CONCATENATE($A168,$I$8,L$10),'Tariff Schedule Lookup Table'!$F$8:$G$286,2,FALSE),"0000"))</f>
        <v>1890</v>
      </c>
      <c r="M168" s="34" t="str">
        <f>IF(ISERROR(VLOOKUP(CONCATENATE($A168,$M$8,M$10),'Tariff Schedule Lookup Table'!$F$8:$G$286,2,FALSE))=TRUE,"",TEXT(VLOOKUP(CONCATENATE($A168,$M$8,M$10),'Tariff Schedule Lookup Table'!$F$8:$G$286,2,FALSE),"0000"))</f>
        <v>1900</v>
      </c>
      <c r="N168" s="34" t="str">
        <f>IF(ISERROR(VLOOKUP(CONCATENATE($A168,$M$8,N$10),'Tariff Schedule Lookup Table'!$F$8:$G$286,2,FALSE))=TRUE,"",TEXT(VLOOKUP(CONCATENATE($A168,$M$8,N$10),'Tariff Schedule Lookup Table'!$F$8:$G$286,2,FALSE),"0000"))</f>
        <v>1910</v>
      </c>
      <c r="O168" s="34" t="str">
        <f>IF(ISERROR(VLOOKUP(CONCATENATE($A168,$M$8,O$10),'Tariff Schedule Lookup Table'!$F$8:$G$286,2,FALSE))=TRUE,"",TEXT(VLOOKUP(CONCATENATE($A168,$M$8,O$10),'Tariff Schedule Lookup Table'!$F$8:$G$286,2,FALSE),"0000"))</f>
        <v>1920</v>
      </c>
      <c r="P168" s="34" t="str">
        <f>IF(ISERROR(VLOOKUP(CONCATENATE($A168,$M$8,P$10),'Tariff Schedule Lookup Table'!$F$8:$G$286,2,FALSE))=TRUE,"",TEXT(VLOOKUP(CONCATENATE($A168,$M$8,P$10),'Tariff Schedule Lookup Table'!$F$8:$G$286,2,FALSE),"0000"))</f>
        <v>1930</v>
      </c>
      <c r="Q168" s="34" t="str">
        <f>IF(ISERROR(VLOOKUP(CONCATENATE($A168,$Q$8,Q$10),'Tariff Schedule Lookup Table'!$F$8:$G$286,2,FALSE))=TRUE,"",TEXT(VLOOKUP(CONCATENATE($A168,$Q$8,Q$10),'Tariff Schedule Lookup Table'!$F$8:$G$286,2,FALSE),"0000"))</f>
        <v>1940</v>
      </c>
      <c r="R168" s="34" t="str">
        <f>IF(ISERROR(VLOOKUP(CONCATENATE($A168,$Q$8,R$10),'Tariff Schedule Lookup Table'!$F$8:$G$286,2,FALSE))=TRUE,"",TEXT(VLOOKUP(CONCATENATE($A168,$Q$8,R$10),'Tariff Schedule Lookup Table'!$F$8:$G$286,2,FALSE),"0000"))</f>
        <v>1950</v>
      </c>
      <c r="S168" s="34" t="str">
        <f>IF(ISERROR(VLOOKUP(CONCATENATE($A168,$Q$8,S$10),'Tariff Schedule Lookup Table'!$F$8:$G$286,2,FALSE))=TRUE,"",TEXT(VLOOKUP(CONCATENATE($A168,$Q$8,S$10),'Tariff Schedule Lookup Table'!$F$8:$G$286,2,FALSE),"0000"))</f>
        <v>1960</v>
      </c>
      <c r="T168" s="34" t="str">
        <f>IF(ISERROR(VLOOKUP(CONCATENATE($A168,$Q$8,T$10),'Tariff Schedule Lookup Table'!$F$8:$G$286,2,FALSE))=TRUE,"",TEXT(VLOOKUP(CONCATENATE($A168,$Q$8,T$10),'Tariff Schedule Lookup Table'!$F$8:$G$286,2,FALSE),"0000"))</f>
        <v>1970</v>
      </c>
      <c r="U168" s="34" t="str">
        <f>IF(ISERROR(VLOOKUP(CONCATENATE($A168,$U$8,U$10),'Tariff Schedule Lookup Table'!$F$8:$G$186,2,FALSE))=TRUE,"",TEXT(VLOOKUP(CONCATENATE($A168,$U$8,U$10),'Tariff Schedule Lookup Table'!$F$8:$G$186,2,FALSE),"0000"))</f>
        <v/>
      </c>
      <c r="V168" s="34" t="str">
        <f>IF(ISERROR(VLOOKUP(CONCATENATE($A168,$U$8,V$10),'Tariff Schedule Lookup Table'!$F$8:$G$286,2,FALSE))=TRUE,"",TEXT(VLOOKUP(CONCATENATE($A168,$U$8,V$10),'Tariff Schedule Lookup Table'!$F$8:$G$286,2,FALSE),"0000"))</f>
        <v/>
      </c>
      <c r="W168" s="34" t="str">
        <f>IF(ISERROR(VLOOKUP(CONCATENATE($A168,$U$8,W$10),'Tariff Schedule Lookup Table'!$F$8:$G$286,2,FALSE))=TRUE,"",TEXT(VLOOKUP(CONCATENATE($A168,$U$8,W$10),'Tariff Schedule Lookup Table'!$F$8:$G$286,2,FALSE),"0000"))</f>
        <v/>
      </c>
      <c r="X168" s="34" t="str">
        <f>IF(ISERROR(VLOOKUP(CONCATENATE($A168,$U$8,X$10),'Tariff Schedule Lookup Table'!$F$8:$G$286,2,FALSE))=TRUE,"",TEXT(VLOOKUP(CONCATENATE($A168,$U$8,X$10),'Tariff Schedule Lookup Table'!$F$8:$G$186,2,FALSE),"0000"))</f>
        <v/>
      </c>
      <c r="Y168" s="6"/>
      <c r="Z168" s="6"/>
      <c r="AA168" s="6"/>
      <c r="AB168" s="6"/>
      <c r="AC168" s="6"/>
    </row>
    <row r="169" spans="1:29"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row>
    <row r="170" spans="1:29"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row>
    <row r="171" spans="1:29"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row>
    <row r="172" spans="1:29"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row>
    <row r="173" spans="1:29"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row>
    <row r="174" spans="1:29"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row>
    <row r="175" spans="1:29"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row>
    <row r="176" spans="1:29"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row>
    <row r="177" spans="1:29"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row>
    <row r="178" spans="1:29"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row>
    <row r="179" spans="1:29"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row>
    <row r="180" spans="1:29"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row>
    <row r="181" spans="1:29"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row>
    <row r="182" spans="1:29"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row>
    <row r="183" spans="1:29"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row>
    <row r="184" spans="1:29"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row>
    <row r="185" spans="1:29"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row>
    <row r="186" spans="1:29"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row>
    <row r="187" spans="1:29"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row>
    <row r="188" spans="1:29"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row>
    <row r="189" spans="1:29"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row>
    <row r="190" spans="1:29"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row>
  </sheetData>
  <mergeCells count="18">
    <mergeCell ref="I104:X104"/>
    <mergeCell ref="M9:P9"/>
    <mergeCell ref="Q9:T9"/>
    <mergeCell ref="I103:X103"/>
    <mergeCell ref="F7:F10"/>
    <mergeCell ref="G7:H7"/>
    <mergeCell ref="I7:X7"/>
    <mergeCell ref="I8:L8"/>
    <mergeCell ref="M8:P8"/>
    <mergeCell ref="Q8:T8"/>
    <mergeCell ref="U8:X8"/>
    <mergeCell ref="I9:L9"/>
    <mergeCell ref="U9:X9"/>
    <mergeCell ref="E7:E10"/>
    <mergeCell ref="A7:A10"/>
    <mergeCell ref="B7:B10"/>
    <mergeCell ref="C7:C10"/>
    <mergeCell ref="D7:D10"/>
  </mergeCells>
  <phoneticPr fontId="2" type="noConversion"/>
  <printOptions gridLines="1"/>
  <pageMargins left="0.75" right="0.75" top="1" bottom="1" header="0.5" footer="0.5"/>
  <pageSetup paperSize="8" scale="3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761"/>
  <sheetViews>
    <sheetView workbookViewId="0">
      <selection activeCell="A5" sqref="A5:F5"/>
    </sheetView>
  </sheetViews>
  <sheetFormatPr defaultRowHeight="12.75" x14ac:dyDescent="0.2"/>
  <cols>
    <col min="1" max="1" width="12.42578125" customWidth="1"/>
    <col min="2" max="2" width="20.42578125" customWidth="1"/>
    <col min="4" max="5" width="7.42578125" customWidth="1"/>
    <col min="6" max="6" width="52" customWidth="1"/>
    <col min="8" max="8" width="11" customWidth="1"/>
    <col min="9" max="9" width="7.42578125" customWidth="1"/>
    <col min="10" max="10" width="38.7109375" customWidth="1"/>
    <col min="11" max="11" width="19.7109375" customWidth="1"/>
  </cols>
  <sheetData>
    <row r="1" spans="1:25" ht="25.5" x14ac:dyDescent="0.35">
      <c r="A1" s="5" t="s">
        <v>971</v>
      </c>
      <c r="G1" s="513"/>
      <c r="H1" s="514"/>
    </row>
    <row r="2" spans="1:25" x14ac:dyDescent="0.2">
      <c r="G2" s="7"/>
      <c r="H2" s="7"/>
    </row>
    <row r="3" spans="1:25" x14ac:dyDescent="0.2">
      <c r="A3" s="17" t="s">
        <v>965</v>
      </c>
      <c r="B3" s="7"/>
      <c r="C3" s="7"/>
      <c r="D3" s="7"/>
      <c r="E3" s="7"/>
      <c r="F3" s="7"/>
      <c r="G3" s="7"/>
      <c r="H3" s="7"/>
    </row>
    <row r="4" spans="1:25" x14ac:dyDescent="0.2">
      <c r="A4" s="7"/>
      <c r="B4" s="7"/>
      <c r="C4" s="7"/>
      <c r="D4" s="7"/>
      <c r="E4" s="7"/>
      <c r="F4" s="7"/>
      <c r="G4" s="7"/>
      <c r="H4" s="7"/>
    </row>
    <row r="5" spans="1:25" ht="33.75" customHeight="1" x14ac:dyDescent="0.2">
      <c r="A5" s="512" t="s">
        <v>903</v>
      </c>
      <c r="B5" s="494"/>
      <c r="C5" s="494"/>
      <c r="D5" s="494"/>
      <c r="E5" s="494"/>
      <c r="F5" s="494"/>
      <c r="G5" s="7"/>
      <c r="H5" s="7"/>
    </row>
    <row r="6" spans="1:25" ht="14.25" customHeight="1" x14ac:dyDescent="0.2">
      <c r="A6" s="7"/>
      <c r="B6" s="7"/>
      <c r="C6" s="7"/>
      <c r="D6" s="7"/>
      <c r="E6" s="7"/>
      <c r="F6" s="7"/>
      <c r="G6" s="7"/>
      <c r="H6" s="7"/>
    </row>
    <row r="7" spans="1:25" ht="22.5" x14ac:dyDescent="0.2">
      <c r="A7" s="20" t="s">
        <v>974</v>
      </c>
      <c r="B7" s="21" t="s">
        <v>965</v>
      </c>
      <c r="C7" s="21" t="s">
        <v>975</v>
      </c>
      <c r="D7" s="22" t="s">
        <v>976</v>
      </c>
      <c r="E7" s="23"/>
      <c r="F7" s="20" t="s">
        <v>904</v>
      </c>
      <c r="G7" s="22" t="s">
        <v>2056</v>
      </c>
      <c r="H7" s="7"/>
      <c r="I7" s="155" t="s">
        <v>2056</v>
      </c>
      <c r="J7" s="156" t="s">
        <v>904</v>
      </c>
      <c r="K7" s="156" t="s">
        <v>308</v>
      </c>
      <c r="L7" s="157" t="s">
        <v>309</v>
      </c>
      <c r="N7" s="25"/>
      <c r="O7" s="25"/>
      <c r="P7" s="25"/>
      <c r="Q7" s="25"/>
      <c r="R7" s="25"/>
      <c r="S7" s="25"/>
      <c r="T7" s="25"/>
      <c r="U7" s="25"/>
      <c r="V7" s="25"/>
      <c r="W7" s="25"/>
      <c r="X7" s="25"/>
      <c r="Y7" s="25"/>
    </row>
    <row r="8" spans="1:25" x14ac:dyDescent="0.2">
      <c r="A8" s="9" t="s">
        <v>11</v>
      </c>
      <c r="B8" s="18" t="s">
        <v>995</v>
      </c>
      <c r="C8" s="18">
        <v>9</v>
      </c>
      <c r="D8" s="10">
        <v>9</v>
      </c>
      <c r="E8" s="18"/>
      <c r="F8" s="9" t="str">
        <f>CONCATENATE(J8,K8)</f>
        <v>NO CAPITALNO CAPITAL</v>
      </c>
      <c r="G8" s="10">
        <f>I8</f>
        <v>1</v>
      </c>
      <c r="H8" s="7"/>
      <c r="I8" s="9">
        <v>1</v>
      </c>
      <c r="J8" s="148" t="s">
        <v>983</v>
      </c>
      <c r="K8" s="148" t="s">
        <v>983</v>
      </c>
      <c r="L8" s="149">
        <v>1</v>
      </c>
      <c r="N8" s="25"/>
      <c r="O8" s="25"/>
      <c r="P8" s="25"/>
      <c r="Q8" s="25"/>
      <c r="R8" s="25"/>
      <c r="S8" s="25"/>
      <c r="T8" s="25"/>
      <c r="U8" s="25"/>
      <c r="V8" s="25"/>
      <c r="W8" s="25"/>
      <c r="X8" s="25"/>
      <c r="Y8" s="25"/>
    </row>
    <row r="9" spans="1:25" x14ac:dyDescent="0.2">
      <c r="A9" s="9" t="s">
        <v>12</v>
      </c>
      <c r="B9" s="18" t="s">
        <v>998</v>
      </c>
      <c r="C9" s="18">
        <v>11</v>
      </c>
      <c r="D9" s="10">
        <v>11</v>
      </c>
      <c r="E9" s="18"/>
      <c r="F9" s="9" t="str">
        <f>CONCATENATE(J9,K9)</f>
        <v>MAINTENANCE COMPONENTNO CAPITAL</v>
      </c>
      <c r="G9" s="10">
        <f>I9</f>
        <v>5</v>
      </c>
      <c r="H9" s="7"/>
      <c r="I9" s="9">
        <v>5</v>
      </c>
      <c r="J9" s="150" t="s">
        <v>310</v>
      </c>
      <c r="K9" s="150" t="s">
        <v>983</v>
      </c>
      <c r="L9" s="151">
        <v>1</v>
      </c>
      <c r="N9" s="25"/>
      <c r="O9" s="25"/>
      <c r="P9" s="25"/>
      <c r="Q9" s="25"/>
      <c r="R9" s="25"/>
      <c r="S9" s="25"/>
      <c r="T9" s="25"/>
      <c r="U9" s="25"/>
      <c r="V9" s="25"/>
      <c r="W9" s="25"/>
      <c r="X9" s="25"/>
      <c r="Y9" s="25"/>
    </row>
    <row r="10" spans="1:25" x14ac:dyDescent="0.2">
      <c r="A10" s="9" t="s">
        <v>13</v>
      </c>
      <c r="B10" s="18" t="s">
        <v>1000</v>
      </c>
      <c r="C10" s="18">
        <v>13</v>
      </c>
      <c r="D10" s="10">
        <v>13</v>
      </c>
      <c r="E10" s="18"/>
      <c r="F10" s="9" t="str">
        <f t="shared" ref="F10:F73" si="0">CONCATENATE(J10,K10,L10)</f>
        <v>MERCURY VAPOUR 80WSHARED OR NO POLE1</v>
      </c>
      <c r="G10" s="10">
        <f t="shared" ref="G10:G73" si="1">I10</f>
        <v>10</v>
      </c>
      <c r="H10" s="7"/>
      <c r="I10" s="9">
        <v>10</v>
      </c>
      <c r="J10" s="152" t="s">
        <v>993</v>
      </c>
      <c r="K10" s="152" t="s">
        <v>985</v>
      </c>
      <c r="L10" s="153">
        <v>1</v>
      </c>
      <c r="N10" s="25"/>
      <c r="O10" s="25"/>
      <c r="P10" s="25"/>
      <c r="Q10" s="25"/>
      <c r="R10" s="25"/>
      <c r="S10" s="25"/>
      <c r="T10" s="25"/>
      <c r="U10" s="25"/>
      <c r="V10" s="25"/>
      <c r="W10" s="25"/>
      <c r="X10" s="25"/>
      <c r="Y10" s="25"/>
    </row>
    <row r="11" spans="1:25" x14ac:dyDescent="0.2">
      <c r="A11" s="9" t="s">
        <v>14</v>
      </c>
      <c r="B11" s="18" t="s">
        <v>1002</v>
      </c>
      <c r="C11" s="18">
        <v>15</v>
      </c>
      <c r="D11" s="10">
        <v>15</v>
      </c>
      <c r="E11" s="18"/>
      <c r="F11" s="9" t="str">
        <f t="shared" si="0"/>
        <v>MERCURY VAPOUR 250W SHARED OR NO POLE1</v>
      </c>
      <c r="G11" s="10">
        <f t="shared" si="1"/>
        <v>20</v>
      </c>
      <c r="H11" s="7"/>
      <c r="I11" s="9">
        <v>20</v>
      </c>
      <c r="J11" s="152" t="s">
        <v>1178</v>
      </c>
      <c r="K11" s="152" t="s">
        <v>985</v>
      </c>
      <c r="L11" s="153">
        <v>1</v>
      </c>
      <c r="N11" s="25"/>
      <c r="O11" s="25"/>
      <c r="P11" s="25"/>
      <c r="Q11" s="25"/>
      <c r="R11" s="25"/>
      <c r="S11" s="25"/>
      <c r="T11" s="25"/>
      <c r="U11" s="25"/>
      <c r="V11" s="25"/>
      <c r="W11" s="25"/>
      <c r="X11" s="25"/>
      <c r="Y11" s="25"/>
    </row>
    <row r="12" spans="1:25" x14ac:dyDescent="0.2">
      <c r="A12" s="9" t="s">
        <v>15</v>
      </c>
      <c r="B12" s="18" t="s">
        <v>1004</v>
      </c>
      <c r="C12" s="18">
        <v>20</v>
      </c>
      <c r="D12" s="10">
        <v>29</v>
      </c>
      <c r="E12" s="18"/>
      <c r="F12" s="9" t="str">
        <f t="shared" si="0"/>
        <v>MERCURY VAPOUR 400WSHARED OR NO POLE1</v>
      </c>
      <c r="G12" s="10">
        <f t="shared" si="1"/>
        <v>30</v>
      </c>
      <c r="H12" s="7"/>
      <c r="I12" s="9">
        <v>30</v>
      </c>
      <c r="J12" s="152" t="s">
        <v>1183</v>
      </c>
      <c r="K12" s="152" t="s">
        <v>985</v>
      </c>
      <c r="L12" s="153">
        <v>1</v>
      </c>
      <c r="N12" s="25"/>
      <c r="O12" s="25"/>
      <c r="P12" s="25"/>
      <c r="Q12" s="25"/>
      <c r="R12" s="25"/>
      <c r="S12" s="25"/>
      <c r="T12" s="25"/>
      <c r="U12" s="25"/>
      <c r="V12" s="25"/>
      <c r="W12" s="25"/>
      <c r="X12" s="25"/>
      <c r="Y12" s="25"/>
    </row>
    <row r="13" spans="1:25" x14ac:dyDescent="0.2">
      <c r="A13" s="9" t="s">
        <v>16</v>
      </c>
      <c r="B13" s="18" t="s">
        <v>1006</v>
      </c>
      <c r="C13" s="18" t="s">
        <v>1193</v>
      </c>
      <c r="D13" s="10">
        <v>50</v>
      </c>
      <c r="E13" s="18"/>
      <c r="F13" s="9" t="str">
        <f t="shared" si="0"/>
        <v>HIGH PRESSURE SODIUM 70W (100)SHARED OR NO POLE1</v>
      </c>
      <c r="G13" s="10">
        <f t="shared" si="1"/>
        <v>40</v>
      </c>
      <c r="H13" s="7"/>
      <c r="I13" s="9">
        <v>40</v>
      </c>
      <c r="J13" s="152" t="s">
        <v>1044</v>
      </c>
      <c r="K13" s="152" t="s">
        <v>985</v>
      </c>
      <c r="L13" s="153">
        <v>1</v>
      </c>
      <c r="N13" s="25"/>
      <c r="O13" s="25"/>
      <c r="P13" s="25"/>
      <c r="Q13" s="25"/>
      <c r="R13" s="25"/>
      <c r="S13" s="25"/>
      <c r="T13" s="25"/>
      <c r="U13" s="25"/>
      <c r="V13" s="25"/>
      <c r="W13" s="25"/>
      <c r="X13" s="25"/>
      <c r="Y13" s="25"/>
    </row>
    <row r="14" spans="1:25" x14ac:dyDescent="0.2">
      <c r="A14" s="9" t="s">
        <v>17</v>
      </c>
      <c r="B14" s="18" t="s">
        <v>1008</v>
      </c>
      <c r="C14" s="18" t="s">
        <v>1194</v>
      </c>
      <c r="D14" s="10">
        <v>77</v>
      </c>
      <c r="E14" s="18"/>
      <c r="F14" s="9" t="str">
        <f t="shared" si="0"/>
        <v>HIGH PRESSURE SODIUM 150WSHARED OR NO POLE1</v>
      </c>
      <c r="G14" s="10">
        <f t="shared" si="1"/>
        <v>50</v>
      </c>
      <c r="H14" s="7"/>
      <c r="I14" s="9">
        <v>50</v>
      </c>
      <c r="J14" s="152" t="s">
        <v>1067</v>
      </c>
      <c r="K14" s="152" t="s">
        <v>985</v>
      </c>
      <c r="L14" s="153">
        <v>1</v>
      </c>
      <c r="N14" s="25"/>
      <c r="O14" s="25"/>
      <c r="P14" s="25"/>
      <c r="Q14" s="25"/>
      <c r="R14" s="25"/>
      <c r="S14" s="25"/>
      <c r="T14" s="25"/>
      <c r="U14" s="25"/>
      <c r="V14" s="25"/>
      <c r="W14" s="25"/>
      <c r="X14" s="25"/>
      <c r="Y14" s="25"/>
    </row>
    <row r="15" spans="1:25" x14ac:dyDescent="0.2">
      <c r="A15" s="9" t="s">
        <v>18</v>
      </c>
      <c r="B15" s="18" t="s">
        <v>1010</v>
      </c>
      <c r="C15" s="18" t="s">
        <v>1195</v>
      </c>
      <c r="D15" s="10">
        <v>100</v>
      </c>
      <c r="E15" s="18"/>
      <c r="F15" s="9" t="str">
        <f t="shared" si="0"/>
        <v>HIGH PRESSURE SODIUM 250W (210/220)SHARED OR NO POLE1</v>
      </c>
      <c r="G15" s="10">
        <f t="shared" si="1"/>
        <v>60</v>
      </c>
      <c r="H15" s="7"/>
      <c r="I15" s="9">
        <v>60</v>
      </c>
      <c r="J15" s="152" t="s">
        <v>1073</v>
      </c>
      <c r="K15" s="152" t="s">
        <v>985</v>
      </c>
      <c r="L15" s="153">
        <v>1</v>
      </c>
      <c r="N15" s="25"/>
      <c r="O15" s="25"/>
      <c r="P15" s="25"/>
      <c r="Q15" s="25"/>
      <c r="R15" s="25"/>
      <c r="S15" s="25"/>
      <c r="T15" s="25"/>
      <c r="U15" s="25"/>
      <c r="V15" s="25"/>
      <c r="W15" s="25"/>
      <c r="X15" s="25"/>
      <c r="Y15" s="25"/>
    </row>
    <row r="16" spans="1:25" x14ac:dyDescent="0.2">
      <c r="A16" s="9" t="s">
        <v>19</v>
      </c>
      <c r="B16" s="18" t="s">
        <v>1196</v>
      </c>
      <c r="C16" s="18" t="s">
        <v>1197</v>
      </c>
      <c r="D16" s="10">
        <v>150</v>
      </c>
      <c r="E16" s="18"/>
      <c r="F16" s="9" t="str">
        <f t="shared" si="0"/>
        <v>HIGH PRESSURE SODIUM 400W (310/360)SHARED OR NO POLE1</v>
      </c>
      <c r="G16" s="10">
        <f t="shared" si="1"/>
        <v>70</v>
      </c>
      <c r="H16" s="7"/>
      <c r="I16" s="9">
        <v>70</v>
      </c>
      <c r="J16" s="152" t="s">
        <v>1086</v>
      </c>
      <c r="K16" s="152" t="s">
        <v>985</v>
      </c>
      <c r="L16" s="153">
        <v>1</v>
      </c>
      <c r="N16" s="25"/>
      <c r="O16" s="25"/>
      <c r="P16" s="25"/>
      <c r="Q16" s="25"/>
      <c r="R16" s="25"/>
      <c r="S16" s="25"/>
      <c r="T16" s="25"/>
      <c r="U16" s="25"/>
      <c r="V16" s="25"/>
      <c r="W16" s="25"/>
      <c r="X16" s="25"/>
      <c r="Y16" s="25"/>
    </row>
    <row r="17" spans="1:25" x14ac:dyDescent="0.2">
      <c r="A17" s="9" t="s">
        <v>20</v>
      </c>
      <c r="B17" s="18" t="s">
        <v>1012</v>
      </c>
      <c r="C17" s="18">
        <v>26</v>
      </c>
      <c r="D17" s="10">
        <v>32</v>
      </c>
      <c r="E17" s="18"/>
      <c r="F17" s="9" t="str">
        <f t="shared" si="0"/>
        <v>HIGH PRESSURE SODIUM 50W TWIN ARCSHARED OR NO POLE1</v>
      </c>
      <c r="G17" s="10">
        <f t="shared" si="1"/>
        <v>80</v>
      </c>
      <c r="H17" s="7"/>
      <c r="I17" s="9">
        <v>80</v>
      </c>
      <c r="J17" s="152" t="s">
        <v>311</v>
      </c>
      <c r="K17" s="152" t="s">
        <v>985</v>
      </c>
      <c r="L17" s="153">
        <v>1</v>
      </c>
      <c r="N17" s="25"/>
      <c r="O17" s="25"/>
      <c r="P17" s="25"/>
      <c r="Q17" s="25"/>
      <c r="R17" s="25"/>
      <c r="S17" s="25"/>
      <c r="T17" s="25"/>
      <c r="U17" s="25"/>
      <c r="V17" s="25"/>
      <c r="W17" s="25"/>
      <c r="X17" s="25"/>
      <c r="Y17" s="25"/>
    </row>
    <row r="18" spans="1:25" x14ac:dyDescent="0.2">
      <c r="A18" s="9" t="s">
        <v>21</v>
      </c>
      <c r="B18" s="18" t="s">
        <v>1015</v>
      </c>
      <c r="C18" s="18" t="s">
        <v>1014</v>
      </c>
      <c r="D18" s="10">
        <f>2*D17</f>
        <v>64</v>
      </c>
      <c r="E18" s="18"/>
      <c r="F18" s="9" t="str">
        <f t="shared" si="0"/>
        <v>HIGH PRESSURE SODIUM 70W TWIN ARCSHARED OR NO POLE1</v>
      </c>
      <c r="G18" s="10">
        <f t="shared" si="1"/>
        <v>90</v>
      </c>
      <c r="H18" s="7"/>
      <c r="I18" s="9">
        <v>90</v>
      </c>
      <c r="J18" s="152" t="s">
        <v>1059</v>
      </c>
      <c r="K18" s="152" t="s">
        <v>985</v>
      </c>
      <c r="L18" s="153">
        <v>1</v>
      </c>
      <c r="N18" s="25"/>
      <c r="O18" s="25"/>
      <c r="P18" s="25"/>
      <c r="Q18" s="25"/>
      <c r="R18" s="25"/>
      <c r="S18" s="25"/>
      <c r="T18" s="25"/>
      <c r="U18" s="25"/>
      <c r="V18" s="25"/>
      <c r="W18" s="25"/>
      <c r="X18" s="25"/>
      <c r="Y18" s="25"/>
    </row>
    <row r="19" spans="1:25" x14ac:dyDescent="0.2">
      <c r="A19" s="9" t="s">
        <v>22</v>
      </c>
      <c r="B19" s="18" t="s">
        <v>1204</v>
      </c>
      <c r="C19" s="18" t="s">
        <v>1205</v>
      </c>
      <c r="D19" s="10">
        <f>6*D17</f>
        <v>192</v>
      </c>
      <c r="E19" s="18"/>
      <c r="F19" s="9" t="str">
        <f t="shared" si="0"/>
        <v>35W LOW PRESSURE SODIUMSHARED OR NO POLE1</v>
      </c>
      <c r="G19" s="10">
        <f t="shared" si="1"/>
        <v>100</v>
      </c>
      <c r="H19" s="7"/>
      <c r="I19" s="9">
        <v>100</v>
      </c>
      <c r="J19" s="152" t="s">
        <v>312</v>
      </c>
      <c r="K19" s="152" t="s">
        <v>985</v>
      </c>
      <c r="L19" s="153">
        <v>1</v>
      </c>
      <c r="N19" s="25"/>
      <c r="O19" s="25"/>
      <c r="P19" s="25"/>
      <c r="Q19" s="25"/>
      <c r="R19" s="25"/>
      <c r="S19" s="25"/>
      <c r="T19" s="25"/>
      <c r="U19" s="25"/>
      <c r="V19" s="25"/>
      <c r="W19" s="25"/>
      <c r="X19" s="25"/>
      <c r="Y19" s="25"/>
    </row>
    <row r="20" spans="1:25" x14ac:dyDescent="0.2">
      <c r="A20" s="9" t="s">
        <v>23</v>
      </c>
      <c r="B20" s="18" t="s">
        <v>1017</v>
      </c>
      <c r="C20" s="18">
        <v>40</v>
      </c>
      <c r="D20" s="10">
        <v>50</v>
      </c>
      <c r="E20" s="18"/>
      <c r="F20" s="9" t="str">
        <f t="shared" si="0"/>
        <v>BULKHEADS ETC1</v>
      </c>
      <c r="G20" s="10">
        <f t="shared" si="1"/>
        <v>110</v>
      </c>
      <c r="H20" s="7"/>
      <c r="I20" s="9">
        <v>110</v>
      </c>
      <c r="J20" s="152" t="s">
        <v>1128</v>
      </c>
      <c r="K20" s="152"/>
      <c r="L20" s="153">
        <v>1</v>
      </c>
      <c r="N20" s="25"/>
      <c r="O20" s="25"/>
      <c r="P20" s="25"/>
      <c r="Q20" s="25"/>
      <c r="R20" s="25"/>
      <c r="S20" s="25"/>
      <c r="T20" s="25"/>
      <c r="U20" s="25"/>
      <c r="V20" s="25"/>
      <c r="W20" s="25"/>
      <c r="X20" s="25"/>
      <c r="Y20" s="25"/>
    </row>
    <row r="21" spans="1:25" x14ac:dyDescent="0.2">
      <c r="A21" s="9" t="s">
        <v>24</v>
      </c>
      <c r="B21" s="18" t="s">
        <v>1019</v>
      </c>
      <c r="C21" s="18" t="s">
        <v>1206</v>
      </c>
      <c r="D21" s="10">
        <f>2*D20</f>
        <v>100</v>
      </c>
      <c r="E21" s="18"/>
      <c r="F21" s="9" t="str">
        <f t="shared" si="0"/>
        <v>METAL HALIDE 1000W FLOODLIGHT SHARED OR NO POLE1</v>
      </c>
      <c r="G21" s="10">
        <f t="shared" si="1"/>
        <v>120</v>
      </c>
      <c r="H21" s="7"/>
      <c r="I21" s="9">
        <v>120</v>
      </c>
      <c r="J21" s="152" t="s">
        <v>1107</v>
      </c>
      <c r="K21" s="152" t="s">
        <v>985</v>
      </c>
      <c r="L21" s="153">
        <v>1</v>
      </c>
      <c r="N21" s="25"/>
      <c r="O21" s="25"/>
      <c r="P21" s="25"/>
      <c r="Q21" s="25"/>
      <c r="R21" s="25"/>
      <c r="S21" s="25"/>
      <c r="T21" s="25"/>
      <c r="U21" s="25"/>
      <c r="V21" s="25"/>
      <c r="W21" s="25"/>
      <c r="X21" s="25"/>
      <c r="Y21" s="25"/>
    </row>
    <row r="22" spans="1:25" x14ac:dyDescent="0.2">
      <c r="A22" s="9" t="s">
        <v>25</v>
      </c>
      <c r="B22" s="18" t="s">
        <v>1021</v>
      </c>
      <c r="C22" s="18" t="s">
        <v>1207</v>
      </c>
      <c r="D22" s="10">
        <f>3*D20</f>
        <v>150</v>
      </c>
      <c r="E22" s="18"/>
      <c r="F22" s="9" t="str">
        <f t="shared" si="0"/>
        <v>HIGH PRESSURE SODIUM 50W TWIN ARCWOOD POLE1</v>
      </c>
      <c r="G22" s="10">
        <f t="shared" si="1"/>
        <v>140</v>
      </c>
      <c r="H22" s="7"/>
      <c r="I22" s="9">
        <v>140</v>
      </c>
      <c r="J22" s="152" t="s">
        <v>311</v>
      </c>
      <c r="K22" s="152" t="s">
        <v>986</v>
      </c>
      <c r="L22" s="153">
        <v>1</v>
      </c>
      <c r="N22" s="25"/>
      <c r="O22" s="25"/>
      <c r="P22" s="25"/>
      <c r="Q22" s="25"/>
      <c r="R22" s="25"/>
      <c r="S22" s="25"/>
      <c r="T22" s="25"/>
      <c r="U22" s="25"/>
      <c r="V22" s="25"/>
      <c r="W22" s="25"/>
      <c r="X22" s="25"/>
      <c r="Y22" s="25"/>
    </row>
    <row r="23" spans="1:25" x14ac:dyDescent="0.2">
      <c r="A23" s="9" t="s">
        <v>26</v>
      </c>
      <c r="B23" s="18" t="s">
        <v>1023</v>
      </c>
      <c r="C23" s="18" t="s">
        <v>1208</v>
      </c>
      <c r="D23" s="10">
        <f>4*D20</f>
        <v>200</v>
      </c>
      <c r="E23" s="18"/>
      <c r="F23" s="9" t="str">
        <f t="shared" si="0"/>
        <v>HIGH PRESSURE SODIUM 70W TWIN ARCWOOD POLE1</v>
      </c>
      <c r="G23" s="10">
        <f t="shared" si="1"/>
        <v>140</v>
      </c>
      <c r="H23" s="7"/>
      <c r="I23" s="9">
        <v>140</v>
      </c>
      <c r="J23" s="152" t="s">
        <v>1059</v>
      </c>
      <c r="K23" s="152" t="s">
        <v>986</v>
      </c>
      <c r="L23" s="153">
        <v>1</v>
      </c>
      <c r="N23" s="25"/>
      <c r="O23" s="25"/>
      <c r="P23" s="25"/>
      <c r="Q23" s="25"/>
      <c r="R23" s="25"/>
      <c r="S23" s="25"/>
      <c r="T23" s="25"/>
      <c r="U23" s="25"/>
      <c r="V23" s="25"/>
      <c r="W23" s="25"/>
      <c r="X23" s="25"/>
      <c r="Y23" s="25"/>
    </row>
    <row r="24" spans="1:25" x14ac:dyDescent="0.2">
      <c r="A24" s="9" t="s">
        <v>27</v>
      </c>
      <c r="B24" s="18" t="s">
        <v>1026</v>
      </c>
      <c r="C24" s="18" t="s">
        <v>1025</v>
      </c>
      <c r="D24" s="10">
        <f>6*D20</f>
        <v>300</v>
      </c>
      <c r="E24" s="18"/>
      <c r="F24" s="9" t="str">
        <f t="shared" si="0"/>
        <v>35W LOW PRESSURE SODIUMWOOD POLE1</v>
      </c>
      <c r="G24" s="10">
        <f t="shared" si="1"/>
        <v>150</v>
      </c>
      <c r="H24" s="7"/>
      <c r="I24" s="9">
        <v>150</v>
      </c>
      <c r="J24" s="152" t="s">
        <v>312</v>
      </c>
      <c r="K24" s="152" t="s">
        <v>986</v>
      </c>
      <c r="L24" s="153">
        <v>1</v>
      </c>
      <c r="N24" s="25"/>
      <c r="O24" s="25"/>
      <c r="P24" s="25"/>
      <c r="Q24" s="25"/>
      <c r="R24" s="25"/>
      <c r="S24" s="25"/>
      <c r="T24" s="25"/>
      <c r="U24" s="25"/>
      <c r="V24" s="25"/>
      <c r="W24" s="25"/>
      <c r="X24" s="25"/>
      <c r="Y24" s="25"/>
    </row>
    <row r="25" spans="1:25" x14ac:dyDescent="0.2">
      <c r="A25" s="9" t="s">
        <v>28</v>
      </c>
      <c r="B25" s="18" t="s">
        <v>1028</v>
      </c>
      <c r="C25" s="18">
        <v>58</v>
      </c>
      <c r="D25" s="10">
        <v>72</v>
      </c>
      <c r="E25" s="18"/>
      <c r="F25" s="9" t="str">
        <f t="shared" si="0"/>
        <v>HIGH PRESSURE SODIUM 50W TWIN ARCSTEEL POLE1</v>
      </c>
      <c r="G25" s="10">
        <f t="shared" si="1"/>
        <v>170</v>
      </c>
      <c r="H25" s="7"/>
      <c r="I25" s="9">
        <v>170</v>
      </c>
      <c r="J25" s="152" t="s">
        <v>311</v>
      </c>
      <c r="K25" s="152" t="s">
        <v>987</v>
      </c>
      <c r="L25" s="153">
        <v>1</v>
      </c>
      <c r="N25" s="25"/>
      <c r="O25" s="25"/>
      <c r="P25" s="25"/>
      <c r="Q25" s="25"/>
      <c r="R25" s="25"/>
      <c r="S25" s="25"/>
      <c r="T25" s="25"/>
      <c r="U25" s="25"/>
      <c r="V25" s="25"/>
      <c r="W25" s="25"/>
      <c r="X25" s="25"/>
      <c r="Y25" s="25"/>
    </row>
    <row r="26" spans="1:25" x14ac:dyDescent="0.2">
      <c r="A26" s="9" t="s">
        <v>29</v>
      </c>
      <c r="B26" s="18" t="s">
        <v>1031</v>
      </c>
      <c r="C26" s="18" t="s">
        <v>1030</v>
      </c>
      <c r="D26" s="10">
        <f>2*D25</f>
        <v>144</v>
      </c>
      <c r="E26" s="18"/>
      <c r="F26" s="9" t="str">
        <f t="shared" si="0"/>
        <v>HIGH PRESSURE SODIUM 70W TWIN ARCSTEEL POLE1</v>
      </c>
      <c r="G26" s="10">
        <f t="shared" si="1"/>
        <v>170</v>
      </c>
      <c r="H26" s="7"/>
      <c r="I26" s="9">
        <v>170</v>
      </c>
      <c r="J26" s="152" t="s">
        <v>1059</v>
      </c>
      <c r="K26" s="152" t="s">
        <v>987</v>
      </c>
      <c r="L26" s="153">
        <v>1</v>
      </c>
      <c r="N26" s="25"/>
      <c r="O26" s="25"/>
      <c r="P26" s="25"/>
      <c r="Q26" s="25"/>
      <c r="R26" s="25"/>
      <c r="S26" s="25"/>
      <c r="T26" s="25"/>
      <c r="U26" s="25"/>
      <c r="V26" s="25"/>
      <c r="W26" s="25"/>
      <c r="X26" s="25"/>
      <c r="Y26" s="25"/>
    </row>
    <row r="27" spans="1:25" x14ac:dyDescent="0.2">
      <c r="A27" s="9" t="s">
        <v>30</v>
      </c>
      <c r="B27" s="18" t="s">
        <v>1034</v>
      </c>
      <c r="C27" s="18" t="s">
        <v>1033</v>
      </c>
      <c r="D27" s="10">
        <f>4*D25</f>
        <v>288</v>
      </c>
      <c r="E27" s="18"/>
      <c r="F27" s="9" t="str">
        <f t="shared" si="0"/>
        <v>35W LOW PRESSURE SODIUMSTEEL POLE1</v>
      </c>
      <c r="G27" s="10">
        <f t="shared" si="1"/>
        <v>180</v>
      </c>
      <c r="H27" s="7"/>
      <c r="I27" s="9">
        <v>180</v>
      </c>
      <c r="J27" s="152" t="s">
        <v>312</v>
      </c>
      <c r="K27" s="152" t="s">
        <v>987</v>
      </c>
      <c r="L27" s="153">
        <v>1</v>
      </c>
      <c r="N27" s="25"/>
      <c r="O27" s="25"/>
      <c r="P27" s="25"/>
      <c r="Q27" s="25"/>
      <c r="R27" s="25"/>
      <c r="S27" s="25"/>
      <c r="T27" s="25"/>
      <c r="U27" s="25"/>
      <c r="V27" s="25"/>
      <c r="W27" s="25"/>
      <c r="X27" s="25"/>
      <c r="Y27" s="25"/>
    </row>
    <row r="28" spans="1:25" x14ac:dyDescent="0.2">
      <c r="A28" s="9" t="s">
        <v>31</v>
      </c>
      <c r="B28" s="18" t="s">
        <v>1209</v>
      </c>
      <c r="C28" s="18" t="s">
        <v>1210</v>
      </c>
      <c r="D28" s="10">
        <f>5*D25</f>
        <v>360</v>
      </c>
      <c r="E28" s="18"/>
      <c r="F28" s="9" t="str">
        <f t="shared" si="0"/>
        <v>HIGH PRESSURE SODIUM 600W HIGH MASTSHARED OR NO POLE1</v>
      </c>
      <c r="G28" s="10">
        <f t="shared" si="1"/>
        <v>190</v>
      </c>
      <c r="H28" s="7"/>
      <c r="I28" s="9">
        <v>190</v>
      </c>
      <c r="J28" s="152" t="s">
        <v>1103</v>
      </c>
      <c r="K28" s="152" t="s">
        <v>985</v>
      </c>
      <c r="L28" s="153">
        <v>1</v>
      </c>
      <c r="N28" s="25"/>
      <c r="O28" s="25"/>
      <c r="P28" s="25"/>
      <c r="Q28" s="25"/>
      <c r="R28" s="25"/>
      <c r="S28" s="25"/>
      <c r="T28" s="25"/>
      <c r="U28" s="25"/>
      <c r="V28" s="25"/>
      <c r="W28" s="25"/>
      <c r="X28" s="25"/>
      <c r="Y28" s="25"/>
    </row>
    <row r="29" spans="1:25" x14ac:dyDescent="0.2">
      <c r="A29" s="9" t="s">
        <v>32</v>
      </c>
      <c r="B29" s="18" t="s">
        <v>1211</v>
      </c>
      <c r="C29" s="18">
        <v>65</v>
      </c>
      <c r="D29" s="10">
        <v>81</v>
      </c>
      <c r="E29" s="18"/>
      <c r="F29" s="9" t="str">
        <f t="shared" si="0"/>
        <v>MERCURY VAPOUR 250W WOOD POLE1</v>
      </c>
      <c r="G29" s="10">
        <f t="shared" si="1"/>
        <v>200</v>
      </c>
      <c r="H29" s="7"/>
      <c r="I29" s="9">
        <v>200</v>
      </c>
      <c r="J29" s="152" t="s">
        <v>1178</v>
      </c>
      <c r="K29" s="152" t="s">
        <v>986</v>
      </c>
      <c r="L29" s="153">
        <v>1</v>
      </c>
      <c r="N29" s="25"/>
      <c r="O29" s="25"/>
      <c r="P29" s="25"/>
      <c r="Q29" s="25"/>
      <c r="R29" s="25"/>
      <c r="S29" s="25"/>
      <c r="T29" s="25"/>
      <c r="U29" s="25"/>
      <c r="V29" s="25"/>
      <c r="W29" s="25"/>
      <c r="X29" s="25"/>
      <c r="Y29" s="25"/>
    </row>
    <row r="30" spans="1:25" x14ac:dyDescent="0.2">
      <c r="A30" s="9" t="s">
        <v>33</v>
      </c>
      <c r="B30" s="18" t="s">
        <v>1212</v>
      </c>
      <c r="C30" s="18" t="s">
        <v>1213</v>
      </c>
      <c r="D30" s="10">
        <f>5*D29</f>
        <v>405</v>
      </c>
      <c r="E30" s="18"/>
      <c r="F30" s="9" t="str">
        <f t="shared" si="0"/>
        <v>MERCURY VAPOUR 400WWOOD POLE1</v>
      </c>
      <c r="G30" s="10">
        <f t="shared" si="1"/>
        <v>210</v>
      </c>
      <c r="H30" s="7"/>
      <c r="I30" s="9">
        <v>210</v>
      </c>
      <c r="J30" s="152" t="s">
        <v>1183</v>
      </c>
      <c r="K30" s="152" t="s">
        <v>986</v>
      </c>
      <c r="L30" s="153">
        <v>1</v>
      </c>
      <c r="N30" s="25"/>
      <c r="O30" s="25"/>
      <c r="P30" s="25"/>
      <c r="Q30" s="25"/>
      <c r="R30" s="25"/>
      <c r="S30" s="25"/>
      <c r="T30" s="25"/>
      <c r="U30" s="25"/>
      <c r="V30" s="25"/>
      <c r="W30" s="25"/>
      <c r="X30" s="25"/>
      <c r="Y30" s="25"/>
    </row>
    <row r="31" spans="1:25" x14ac:dyDescent="0.2">
      <c r="A31" s="9" t="s">
        <v>34</v>
      </c>
      <c r="B31" s="18" t="s">
        <v>1036</v>
      </c>
      <c r="C31" s="18">
        <v>80</v>
      </c>
      <c r="D31" s="10">
        <v>90</v>
      </c>
      <c r="E31" s="18"/>
      <c r="F31" s="9" t="str">
        <f t="shared" si="0"/>
        <v>HIGH PRESSURE SODIUM 150WWOOD POLE1</v>
      </c>
      <c r="G31" s="10">
        <f t="shared" si="1"/>
        <v>220</v>
      </c>
      <c r="H31" s="7"/>
      <c r="I31" s="9">
        <v>220</v>
      </c>
      <c r="J31" s="152" t="s">
        <v>1067</v>
      </c>
      <c r="K31" s="152" t="s">
        <v>986</v>
      </c>
      <c r="L31" s="153">
        <v>1</v>
      </c>
      <c r="N31" s="25"/>
      <c r="O31" s="25"/>
      <c r="P31" s="25"/>
      <c r="Q31" s="25"/>
      <c r="R31" s="25"/>
      <c r="S31" s="25"/>
      <c r="T31" s="25"/>
      <c r="U31" s="25"/>
      <c r="V31" s="25"/>
      <c r="W31" s="25"/>
      <c r="X31" s="25"/>
      <c r="Y31" s="25"/>
    </row>
    <row r="32" spans="1:25" x14ac:dyDescent="0.2">
      <c r="A32" s="9" t="s">
        <v>35</v>
      </c>
      <c r="B32" s="18" t="s">
        <v>1038</v>
      </c>
      <c r="C32" s="18" t="s">
        <v>1214</v>
      </c>
      <c r="D32" s="10">
        <v>180</v>
      </c>
      <c r="E32" s="18"/>
      <c r="F32" s="9" t="str">
        <f t="shared" si="0"/>
        <v>HIGH PRESSURE SODIUM 250W (210/220)WOOD POLE1</v>
      </c>
      <c r="G32" s="10">
        <f t="shared" si="1"/>
        <v>230</v>
      </c>
      <c r="H32" s="7"/>
      <c r="I32" s="9">
        <v>230</v>
      </c>
      <c r="J32" s="152" t="s">
        <v>1073</v>
      </c>
      <c r="K32" s="152" t="s">
        <v>986</v>
      </c>
      <c r="L32" s="153">
        <v>1</v>
      </c>
      <c r="N32" s="25"/>
      <c r="O32" s="25"/>
      <c r="P32" s="25"/>
      <c r="Q32" s="25"/>
      <c r="R32" s="25"/>
      <c r="S32" s="25"/>
      <c r="T32" s="25"/>
      <c r="U32" s="25"/>
      <c r="V32" s="25"/>
      <c r="W32" s="25"/>
      <c r="X32" s="25"/>
      <c r="Y32" s="25"/>
    </row>
    <row r="33" spans="1:25" x14ac:dyDescent="0.2">
      <c r="A33" s="9" t="s">
        <v>36</v>
      </c>
      <c r="B33" s="18" t="s">
        <v>1040</v>
      </c>
      <c r="C33" s="18" t="s">
        <v>1215</v>
      </c>
      <c r="D33" s="10">
        <f>3*D31</f>
        <v>270</v>
      </c>
      <c r="E33" s="18"/>
      <c r="F33" s="9" t="str">
        <f t="shared" si="0"/>
        <v>HIGH PRESSURE SODIUM 400W (310/360)WOOD POLE1</v>
      </c>
      <c r="G33" s="10">
        <f t="shared" si="1"/>
        <v>240</v>
      </c>
      <c r="H33" s="7"/>
      <c r="I33" s="9">
        <v>240</v>
      </c>
      <c r="J33" s="152" t="s">
        <v>1086</v>
      </c>
      <c r="K33" s="152" t="s">
        <v>986</v>
      </c>
      <c r="L33" s="153">
        <v>1</v>
      </c>
      <c r="N33" s="25"/>
      <c r="O33" s="25"/>
      <c r="P33" s="25"/>
      <c r="Q33" s="25"/>
      <c r="R33" s="25"/>
      <c r="S33" s="25"/>
      <c r="T33" s="25"/>
      <c r="U33" s="25"/>
      <c r="V33" s="25"/>
      <c r="W33" s="25"/>
      <c r="X33" s="25"/>
      <c r="Y33" s="25"/>
    </row>
    <row r="34" spans="1:25" x14ac:dyDescent="0.2">
      <c r="A34" s="9" t="s">
        <v>37</v>
      </c>
      <c r="B34" s="18" t="s">
        <v>1216</v>
      </c>
      <c r="C34" s="18" t="s">
        <v>1217</v>
      </c>
      <c r="D34" s="10">
        <f>4*D31</f>
        <v>360</v>
      </c>
      <c r="E34" s="18"/>
      <c r="F34" s="9" t="str">
        <f t="shared" si="0"/>
        <v>HIGH PRESSURE SODIUM 600W HIGH MASTWOOD POLE1</v>
      </c>
      <c r="G34" s="10">
        <f t="shared" si="1"/>
        <v>250</v>
      </c>
      <c r="H34" s="7"/>
      <c r="I34" s="9">
        <v>250</v>
      </c>
      <c r="J34" s="152" t="s">
        <v>1103</v>
      </c>
      <c r="K34" s="152" t="s">
        <v>986</v>
      </c>
      <c r="L34" s="153">
        <v>1</v>
      </c>
      <c r="N34" s="25"/>
      <c r="O34" s="25"/>
      <c r="P34" s="25"/>
      <c r="Q34" s="25"/>
      <c r="R34" s="25"/>
      <c r="S34" s="25"/>
      <c r="T34" s="25"/>
      <c r="U34" s="25"/>
      <c r="V34" s="25"/>
      <c r="W34" s="25"/>
      <c r="X34" s="25"/>
      <c r="Y34" s="25"/>
    </row>
    <row r="35" spans="1:25" x14ac:dyDescent="0.2">
      <c r="A35" s="9" t="s">
        <v>38</v>
      </c>
      <c r="B35" s="18" t="s">
        <v>1218</v>
      </c>
      <c r="C35" s="18" t="s">
        <v>1219</v>
      </c>
      <c r="D35" s="10">
        <f>5*D31</f>
        <v>450</v>
      </c>
      <c r="E35" s="18"/>
      <c r="F35" s="9" t="str">
        <f t="shared" si="0"/>
        <v>METAL HALIDE/HPS 400W FLOOD (310/360)R/BOUT COLUMN2</v>
      </c>
      <c r="G35" s="10">
        <f t="shared" si="1"/>
        <v>260</v>
      </c>
      <c r="H35" s="7"/>
      <c r="I35" s="9">
        <v>260</v>
      </c>
      <c r="J35" s="152" t="s">
        <v>1092</v>
      </c>
      <c r="K35" s="152" t="s">
        <v>313</v>
      </c>
      <c r="L35" s="153">
        <v>2</v>
      </c>
      <c r="N35" s="25"/>
      <c r="O35" s="25"/>
      <c r="P35" s="25"/>
      <c r="Q35" s="25"/>
      <c r="R35" s="25"/>
      <c r="S35" s="25"/>
      <c r="T35" s="25"/>
      <c r="U35" s="25"/>
      <c r="V35" s="25"/>
      <c r="W35" s="25"/>
      <c r="X35" s="25"/>
      <c r="Y35" s="25"/>
    </row>
    <row r="36" spans="1:25" x14ac:dyDescent="0.2">
      <c r="A36" s="9" t="s">
        <v>39</v>
      </c>
      <c r="B36" s="18" t="s">
        <v>1220</v>
      </c>
      <c r="C36" s="18" t="s">
        <v>1221</v>
      </c>
      <c r="D36" s="10">
        <f>6*D31</f>
        <v>540</v>
      </c>
      <c r="E36" s="18"/>
      <c r="F36" s="9" t="str">
        <f t="shared" si="0"/>
        <v>METAL HALIDE/HPS 400W FLOOD (310/360)R/BOUT COLUMN3</v>
      </c>
      <c r="G36" s="10">
        <f t="shared" si="1"/>
        <v>270</v>
      </c>
      <c r="H36" s="7"/>
      <c r="I36" s="9">
        <v>270</v>
      </c>
      <c r="J36" s="152" t="s">
        <v>1092</v>
      </c>
      <c r="K36" s="152" t="s">
        <v>313</v>
      </c>
      <c r="L36" s="153">
        <v>3</v>
      </c>
      <c r="N36" s="25"/>
      <c r="O36" s="25"/>
      <c r="P36" s="25"/>
      <c r="Q36" s="25"/>
      <c r="R36" s="25"/>
      <c r="S36" s="25"/>
      <c r="T36" s="25"/>
      <c r="U36" s="25"/>
      <c r="V36" s="25"/>
      <c r="W36" s="25"/>
      <c r="X36" s="25"/>
      <c r="Y36" s="25"/>
    </row>
    <row r="37" spans="1:25" x14ac:dyDescent="0.2">
      <c r="A37" s="9" t="s">
        <v>40</v>
      </c>
      <c r="B37" s="18" t="s">
        <v>1043</v>
      </c>
      <c r="C37" s="18" t="s">
        <v>1042</v>
      </c>
      <c r="D37" s="10">
        <v>280</v>
      </c>
      <c r="E37" s="18"/>
      <c r="F37" s="9" t="str">
        <f t="shared" si="0"/>
        <v>METAL HALIDE/HPS 400W FLOOD (310/360)R/BOUT COLUMN4</v>
      </c>
      <c r="G37" s="10">
        <f t="shared" si="1"/>
        <v>280</v>
      </c>
      <c r="H37" s="7"/>
      <c r="I37" s="9">
        <v>280</v>
      </c>
      <c r="J37" s="152" t="s">
        <v>1092</v>
      </c>
      <c r="K37" s="152" t="s">
        <v>313</v>
      </c>
      <c r="L37" s="153">
        <v>4</v>
      </c>
      <c r="N37" s="25"/>
      <c r="O37" s="25"/>
      <c r="P37" s="25"/>
      <c r="Q37" s="25"/>
      <c r="R37" s="25"/>
      <c r="S37" s="25"/>
      <c r="T37" s="25"/>
      <c r="U37" s="25"/>
      <c r="V37" s="25"/>
      <c r="W37" s="25"/>
      <c r="X37" s="25"/>
      <c r="Y37" s="25"/>
    </row>
    <row r="38" spans="1:25" x14ac:dyDescent="0.2">
      <c r="A38" s="9" t="s">
        <v>41</v>
      </c>
      <c r="B38" s="18" t="s">
        <v>1222</v>
      </c>
      <c r="C38" s="18">
        <v>176</v>
      </c>
      <c r="D38" s="10">
        <v>200</v>
      </c>
      <c r="E38" s="18"/>
      <c r="F38" s="9" t="str">
        <f t="shared" si="0"/>
        <v>MERCURY VAPOUR 250W STEEL POLE1</v>
      </c>
      <c r="G38" s="10">
        <f t="shared" si="1"/>
        <v>290</v>
      </c>
      <c r="H38" s="7"/>
      <c r="I38" s="9">
        <v>290</v>
      </c>
      <c r="J38" s="152" t="s">
        <v>1178</v>
      </c>
      <c r="K38" s="152" t="s">
        <v>987</v>
      </c>
      <c r="L38" s="153">
        <v>1</v>
      </c>
      <c r="N38" s="25"/>
      <c r="O38" s="25"/>
      <c r="P38" s="25"/>
      <c r="Q38" s="25"/>
      <c r="R38" s="25"/>
      <c r="S38" s="25"/>
      <c r="T38" s="25"/>
      <c r="U38" s="25"/>
      <c r="V38" s="25"/>
      <c r="W38" s="25"/>
      <c r="X38" s="25"/>
      <c r="Y38" s="25"/>
    </row>
    <row r="39" spans="1:25" x14ac:dyDescent="0.2">
      <c r="A39" s="9" t="s">
        <v>42</v>
      </c>
      <c r="B39" s="18" t="s">
        <v>1223</v>
      </c>
      <c r="C39" s="18">
        <v>236</v>
      </c>
      <c r="D39" s="10">
        <v>275</v>
      </c>
      <c r="E39" s="18"/>
      <c r="F39" s="9" t="str">
        <f t="shared" si="0"/>
        <v>MERCURY VAPOUR 400WSTEEL POLE1</v>
      </c>
      <c r="G39" s="10">
        <f t="shared" si="1"/>
        <v>300</v>
      </c>
      <c r="H39" s="7"/>
      <c r="I39" s="9">
        <v>300</v>
      </c>
      <c r="J39" s="152" t="s">
        <v>1183</v>
      </c>
      <c r="K39" s="152" t="s">
        <v>987</v>
      </c>
      <c r="L39" s="153">
        <v>1</v>
      </c>
      <c r="N39" s="25"/>
      <c r="O39" s="25"/>
      <c r="P39" s="25"/>
      <c r="Q39" s="25"/>
      <c r="R39" s="25"/>
      <c r="S39" s="25"/>
      <c r="T39" s="25"/>
      <c r="U39" s="25"/>
      <c r="V39" s="25"/>
      <c r="W39" s="25"/>
      <c r="X39" s="25"/>
      <c r="Y39" s="25"/>
    </row>
    <row r="40" spans="1:25" x14ac:dyDescent="0.2">
      <c r="A40" s="9" t="s">
        <v>43</v>
      </c>
      <c r="B40" s="18" t="s">
        <v>1058</v>
      </c>
      <c r="C40" s="18">
        <v>50</v>
      </c>
      <c r="D40" s="10">
        <v>60</v>
      </c>
      <c r="E40" s="18"/>
      <c r="F40" s="9" t="str">
        <f t="shared" si="0"/>
        <v>HIGH PRESSURE SODIUM 150WSTEEL POLE1</v>
      </c>
      <c r="G40" s="10">
        <f t="shared" si="1"/>
        <v>310</v>
      </c>
      <c r="H40" s="7"/>
      <c r="I40" s="9">
        <v>310</v>
      </c>
      <c r="J40" s="152" t="s">
        <v>1067</v>
      </c>
      <c r="K40" s="152" t="s">
        <v>987</v>
      </c>
      <c r="L40" s="153">
        <v>1</v>
      </c>
      <c r="N40" s="25"/>
      <c r="O40" s="25"/>
      <c r="P40" s="25"/>
      <c r="Q40" s="25"/>
      <c r="R40" s="25"/>
      <c r="S40" s="25"/>
      <c r="T40" s="25"/>
      <c r="U40" s="25"/>
      <c r="V40" s="25"/>
      <c r="W40" s="25"/>
      <c r="X40" s="25"/>
      <c r="Y40" s="25"/>
    </row>
    <row r="41" spans="1:25" x14ac:dyDescent="0.2">
      <c r="A41" s="9" t="s">
        <v>44</v>
      </c>
      <c r="B41" s="18" t="s">
        <v>1062</v>
      </c>
      <c r="C41" s="18">
        <v>70</v>
      </c>
      <c r="D41" s="10">
        <v>86</v>
      </c>
      <c r="E41" s="18"/>
      <c r="F41" s="9" t="str">
        <f t="shared" si="0"/>
        <v>HIGH PRESSURE SODIUM 250W (210/220)STEEL POLE1</v>
      </c>
      <c r="G41" s="10">
        <f t="shared" si="1"/>
        <v>320</v>
      </c>
      <c r="H41" s="7"/>
      <c r="I41" s="9">
        <v>320</v>
      </c>
      <c r="J41" s="152" t="s">
        <v>1073</v>
      </c>
      <c r="K41" s="152" t="s">
        <v>987</v>
      </c>
      <c r="L41" s="153">
        <v>1</v>
      </c>
      <c r="N41" s="25"/>
      <c r="O41" s="25"/>
      <c r="P41" s="25"/>
      <c r="Q41" s="25"/>
      <c r="R41" s="25"/>
      <c r="S41" s="25"/>
      <c r="T41" s="25"/>
      <c r="U41" s="25"/>
      <c r="V41" s="25"/>
      <c r="W41" s="25"/>
      <c r="X41" s="25"/>
      <c r="Y41" s="25"/>
    </row>
    <row r="42" spans="1:25" x14ac:dyDescent="0.2">
      <c r="A42" s="9" t="s">
        <v>45</v>
      </c>
      <c r="B42" s="18" t="s">
        <v>1224</v>
      </c>
      <c r="C42" s="18" t="s">
        <v>1225</v>
      </c>
      <c r="D42" s="10">
        <f>2*D41</f>
        <v>172</v>
      </c>
      <c r="E42" s="18"/>
      <c r="F42" s="9" t="str">
        <f t="shared" si="0"/>
        <v>HIGH PRESSURE SODIUM 400W (310/360)STEEL POLE1</v>
      </c>
      <c r="G42" s="10">
        <f t="shared" si="1"/>
        <v>330</v>
      </c>
      <c r="H42" s="7"/>
      <c r="I42" s="9">
        <v>330</v>
      </c>
      <c r="J42" s="152" t="s">
        <v>1086</v>
      </c>
      <c r="K42" s="152" t="s">
        <v>987</v>
      </c>
      <c r="L42" s="153">
        <v>1</v>
      </c>
      <c r="N42" s="25"/>
      <c r="O42" s="25"/>
      <c r="P42" s="25"/>
      <c r="Q42" s="25"/>
      <c r="R42" s="25"/>
      <c r="S42" s="25"/>
      <c r="T42" s="25"/>
      <c r="U42" s="25"/>
      <c r="V42" s="25"/>
      <c r="W42" s="25"/>
      <c r="X42" s="25"/>
      <c r="Y42" s="25"/>
    </row>
    <row r="43" spans="1:25" x14ac:dyDescent="0.2">
      <c r="A43" s="9" t="s">
        <v>46</v>
      </c>
      <c r="B43" s="18" t="s">
        <v>1226</v>
      </c>
      <c r="C43" s="18" t="s">
        <v>1227</v>
      </c>
      <c r="D43" s="10">
        <f>3*D41</f>
        <v>258</v>
      </c>
      <c r="E43" s="18"/>
      <c r="F43" s="9" t="str">
        <f t="shared" si="0"/>
        <v>HIGH PRESSURE SODIUM 600W HIGH MASTSTEEL POLE1</v>
      </c>
      <c r="G43" s="10">
        <f t="shared" si="1"/>
        <v>340</v>
      </c>
      <c r="H43" s="7"/>
      <c r="I43" s="9">
        <v>340</v>
      </c>
      <c r="J43" s="152" t="s">
        <v>1103</v>
      </c>
      <c r="K43" s="152" t="s">
        <v>987</v>
      </c>
      <c r="L43" s="153">
        <v>1</v>
      </c>
      <c r="N43" s="25"/>
      <c r="O43" s="25"/>
      <c r="P43" s="25"/>
      <c r="Q43" s="25"/>
      <c r="R43" s="25"/>
      <c r="S43" s="25"/>
      <c r="T43" s="25"/>
      <c r="U43" s="25"/>
      <c r="V43" s="25"/>
      <c r="W43" s="25"/>
      <c r="X43" s="25"/>
      <c r="Y43" s="25"/>
    </row>
    <row r="44" spans="1:25" x14ac:dyDescent="0.2">
      <c r="A44" s="9" t="s">
        <v>47</v>
      </c>
      <c r="B44" s="18" t="s">
        <v>1228</v>
      </c>
      <c r="C44" s="18" t="s">
        <v>1229</v>
      </c>
      <c r="D44" s="10">
        <f>4*D41</f>
        <v>344</v>
      </c>
      <c r="E44" s="18"/>
      <c r="F44" s="9" t="str">
        <f t="shared" si="0"/>
        <v>HIGH PRESSURE SODIUM 70W (100)WOOD POLE1</v>
      </c>
      <c r="G44" s="10">
        <f t="shared" si="1"/>
        <v>350</v>
      </c>
      <c r="H44" s="7"/>
      <c r="I44" s="9">
        <v>350</v>
      </c>
      <c r="J44" s="152" t="s">
        <v>1044</v>
      </c>
      <c r="K44" s="152" t="s">
        <v>986</v>
      </c>
      <c r="L44" s="153">
        <v>1</v>
      </c>
      <c r="N44" s="25"/>
      <c r="O44" s="25"/>
      <c r="P44" s="25"/>
      <c r="Q44" s="25"/>
      <c r="R44" s="25"/>
      <c r="S44" s="25"/>
      <c r="T44" s="25"/>
      <c r="U44" s="25"/>
      <c r="V44" s="25"/>
      <c r="W44" s="25"/>
      <c r="X44" s="25"/>
      <c r="Y44" s="25"/>
    </row>
    <row r="45" spans="1:25" x14ac:dyDescent="0.2">
      <c r="A45" s="9" t="s">
        <v>48</v>
      </c>
      <c r="B45" s="18" t="s">
        <v>1230</v>
      </c>
      <c r="C45" s="18" t="s">
        <v>1231</v>
      </c>
      <c r="D45" s="10">
        <f>8*D41</f>
        <v>688</v>
      </c>
      <c r="E45" s="18"/>
      <c r="F45" s="9" t="str">
        <f t="shared" si="0"/>
        <v>HIGH PRESSURE SODIUM 70W (100)STEEL POLE1</v>
      </c>
      <c r="G45" s="10">
        <f t="shared" si="1"/>
        <v>360</v>
      </c>
      <c r="H45" s="7"/>
      <c r="I45" s="9">
        <v>360</v>
      </c>
      <c r="J45" s="154" t="s">
        <v>1044</v>
      </c>
      <c r="K45" s="154" t="s">
        <v>987</v>
      </c>
      <c r="L45" s="146">
        <v>1</v>
      </c>
      <c r="N45" s="25"/>
      <c r="O45" s="25"/>
      <c r="P45" s="25"/>
      <c r="Q45" s="25"/>
      <c r="R45" s="25"/>
      <c r="S45" s="25"/>
      <c r="T45" s="25"/>
      <c r="U45" s="25"/>
      <c r="V45" s="25"/>
      <c r="W45" s="25"/>
      <c r="X45" s="25"/>
      <c r="Y45" s="25"/>
    </row>
    <row r="46" spans="1:25" x14ac:dyDescent="0.2">
      <c r="A46" s="9" t="s">
        <v>49</v>
      </c>
      <c r="B46" s="18" t="s">
        <v>1065</v>
      </c>
      <c r="C46" s="18">
        <v>100</v>
      </c>
      <c r="D46" s="10">
        <v>120</v>
      </c>
      <c r="E46" s="18"/>
      <c r="F46" s="9" t="str">
        <f t="shared" si="0"/>
        <v>MERCURY VAPOUR 250W STEEL POLE2</v>
      </c>
      <c r="G46" s="10">
        <f t="shared" si="1"/>
        <v>370</v>
      </c>
      <c r="H46" s="7"/>
      <c r="I46" s="9">
        <v>370</v>
      </c>
      <c r="J46" s="154" t="s">
        <v>1178</v>
      </c>
      <c r="K46" s="154" t="s">
        <v>987</v>
      </c>
      <c r="L46" s="146">
        <v>2</v>
      </c>
      <c r="N46" s="25"/>
      <c r="O46" s="25"/>
      <c r="P46" s="25"/>
      <c r="Q46" s="25"/>
      <c r="R46" s="25"/>
      <c r="S46" s="25"/>
      <c r="T46" s="25"/>
      <c r="U46" s="25"/>
      <c r="V46" s="25"/>
      <c r="W46" s="25"/>
      <c r="X46" s="25"/>
      <c r="Y46" s="25"/>
    </row>
    <row r="47" spans="1:25" x14ac:dyDescent="0.2">
      <c r="A47" s="9" t="s">
        <v>50</v>
      </c>
      <c r="B47" s="18" t="s">
        <v>1069</v>
      </c>
      <c r="C47" s="18">
        <v>120</v>
      </c>
      <c r="D47" s="10">
        <v>144</v>
      </c>
      <c r="E47" s="18"/>
      <c r="F47" s="9" t="str">
        <f t="shared" si="0"/>
        <v>MERCURY VAPOUR 400WSTEEL POLE2</v>
      </c>
      <c r="G47" s="10">
        <f t="shared" si="1"/>
        <v>380</v>
      </c>
      <c r="H47" s="7"/>
      <c r="I47" s="9">
        <v>380</v>
      </c>
      <c r="J47" s="154" t="s">
        <v>1183</v>
      </c>
      <c r="K47" s="154" t="s">
        <v>987</v>
      </c>
      <c r="L47" s="146">
        <v>2</v>
      </c>
      <c r="N47" s="25"/>
      <c r="O47" s="25"/>
      <c r="P47" s="25"/>
      <c r="Q47" s="25"/>
      <c r="R47" s="25"/>
      <c r="S47" s="25"/>
      <c r="T47" s="25"/>
      <c r="U47" s="25"/>
      <c r="V47" s="25"/>
      <c r="W47" s="25"/>
      <c r="X47" s="25"/>
      <c r="Y47" s="25"/>
    </row>
    <row r="48" spans="1:25" x14ac:dyDescent="0.2">
      <c r="A48" s="9" t="s">
        <v>51</v>
      </c>
      <c r="B48" s="18" t="s">
        <v>1071</v>
      </c>
      <c r="C48" s="18">
        <v>150</v>
      </c>
      <c r="D48" s="10">
        <v>173</v>
      </c>
      <c r="E48" s="18"/>
      <c r="F48" s="9" t="str">
        <f t="shared" si="0"/>
        <v>HIGH PRESSURE SODIUM 250W (210/220)STEEL POLE2</v>
      </c>
      <c r="G48" s="10">
        <f t="shared" si="1"/>
        <v>390</v>
      </c>
      <c r="H48" s="7"/>
      <c r="I48" s="9">
        <v>390</v>
      </c>
      <c r="J48" s="154" t="s">
        <v>1073</v>
      </c>
      <c r="K48" s="154" t="s">
        <v>987</v>
      </c>
      <c r="L48" s="146">
        <v>2</v>
      </c>
      <c r="N48" s="25"/>
      <c r="O48" s="25"/>
      <c r="P48" s="25"/>
      <c r="Q48" s="25"/>
      <c r="R48" s="25"/>
      <c r="S48" s="25"/>
      <c r="T48" s="25"/>
      <c r="U48" s="25"/>
      <c r="V48" s="25"/>
      <c r="W48" s="25"/>
      <c r="X48" s="25"/>
      <c r="Y48" s="25"/>
    </row>
    <row r="49" spans="1:25" x14ac:dyDescent="0.2">
      <c r="A49" s="9" t="s">
        <v>52</v>
      </c>
      <c r="B49" s="18" t="s">
        <v>1075</v>
      </c>
      <c r="C49" s="18">
        <v>220</v>
      </c>
      <c r="D49" s="10">
        <v>245</v>
      </c>
      <c r="E49" s="18"/>
      <c r="F49" s="9" t="str">
        <f t="shared" si="0"/>
        <v>HIGH PRESSURE SODIUM 400W (310/360)STEEL POLE2</v>
      </c>
      <c r="G49" s="10">
        <f t="shared" si="1"/>
        <v>400</v>
      </c>
      <c r="H49" s="7"/>
      <c r="I49" s="9">
        <v>400</v>
      </c>
      <c r="J49" s="154" t="s">
        <v>1086</v>
      </c>
      <c r="K49" s="154" t="s">
        <v>987</v>
      </c>
      <c r="L49" s="146">
        <v>2</v>
      </c>
      <c r="N49" s="25"/>
      <c r="O49" s="25"/>
      <c r="P49" s="25"/>
      <c r="Q49" s="25"/>
      <c r="R49" s="25"/>
      <c r="S49" s="25"/>
      <c r="T49" s="25"/>
      <c r="U49" s="25"/>
      <c r="V49" s="25"/>
      <c r="W49" s="25"/>
      <c r="X49" s="25"/>
      <c r="Y49" s="25"/>
    </row>
    <row r="50" spans="1:25" x14ac:dyDescent="0.2">
      <c r="A50" s="9" t="s">
        <v>53</v>
      </c>
      <c r="B50" s="18" t="s">
        <v>1079</v>
      </c>
      <c r="C50" s="18">
        <v>250</v>
      </c>
      <c r="D50" s="10">
        <v>273</v>
      </c>
      <c r="E50" s="18"/>
      <c r="F50" s="9" t="str">
        <f t="shared" si="0"/>
        <v>MERCURY VAPOUR 250W STEEL POLE3</v>
      </c>
      <c r="G50" s="10">
        <f t="shared" si="1"/>
        <v>410</v>
      </c>
      <c r="H50" s="7"/>
      <c r="I50" s="9">
        <v>410</v>
      </c>
      <c r="J50" s="154" t="s">
        <v>1178</v>
      </c>
      <c r="K50" s="154" t="s">
        <v>987</v>
      </c>
      <c r="L50" s="146">
        <v>3</v>
      </c>
      <c r="N50" s="25"/>
      <c r="O50" s="25"/>
      <c r="P50" s="25"/>
      <c r="Q50" s="25"/>
      <c r="R50" s="25"/>
      <c r="S50" s="25"/>
      <c r="T50" s="25"/>
      <c r="U50" s="25"/>
      <c r="V50" s="25"/>
      <c r="W50" s="25"/>
      <c r="X50" s="25"/>
      <c r="Y50" s="25"/>
    </row>
    <row r="51" spans="1:25" ht="22.5" x14ac:dyDescent="0.2">
      <c r="A51" s="9" t="s">
        <v>54</v>
      </c>
      <c r="B51" s="18" t="s">
        <v>1084</v>
      </c>
      <c r="C51" s="18" t="s">
        <v>1083</v>
      </c>
      <c r="D51" s="10">
        <f>2*D50</f>
        <v>546</v>
      </c>
      <c r="E51" s="18"/>
      <c r="F51" s="9" t="str">
        <f t="shared" si="0"/>
        <v>MERCURY VAPOUR 400WSTEEL POLE3</v>
      </c>
      <c r="G51" s="10">
        <f t="shared" si="1"/>
        <v>420</v>
      </c>
      <c r="H51" s="7"/>
      <c r="I51" s="9">
        <v>420</v>
      </c>
      <c r="J51" s="154" t="s">
        <v>1183</v>
      </c>
      <c r="K51" s="154" t="s">
        <v>987</v>
      </c>
      <c r="L51" s="146">
        <v>3</v>
      </c>
      <c r="N51" s="25"/>
      <c r="O51" s="25"/>
      <c r="P51" s="25"/>
      <c r="Q51" s="25"/>
      <c r="R51" s="25"/>
      <c r="S51" s="25"/>
      <c r="T51" s="25"/>
      <c r="U51" s="25"/>
      <c r="V51" s="25"/>
      <c r="W51" s="25"/>
      <c r="X51" s="25"/>
      <c r="Y51" s="25"/>
    </row>
    <row r="52" spans="1:25" ht="22.5" x14ac:dyDescent="0.2">
      <c r="A52" s="9" t="s">
        <v>55</v>
      </c>
      <c r="B52" s="18" t="s">
        <v>1232</v>
      </c>
      <c r="C52" s="18" t="s">
        <v>1233</v>
      </c>
      <c r="D52" s="10">
        <f>4*D50</f>
        <v>1092</v>
      </c>
      <c r="E52" s="18"/>
      <c r="F52" s="9" t="str">
        <f t="shared" si="0"/>
        <v>HIGH PRESSURE SODIUM 250W (210/220)STEEL POLE3</v>
      </c>
      <c r="G52" s="10">
        <f t="shared" si="1"/>
        <v>430</v>
      </c>
      <c r="H52" s="7"/>
      <c r="I52" s="9">
        <v>430</v>
      </c>
      <c r="J52" s="154" t="s">
        <v>1073</v>
      </c>
      <c r="K52" s="154" t="s">
        <v>987</v>
      </c>
      <c r="L52" s="146">
        <v>3</v>
      </c>
      <c r="N52" s="25"/>
      <c r="O52" s="25"/>
      <c r="P52" s="25"/>
      <c r="Q52" s="25"/>
      <c r="R52" s="25"/>
      <c r="S52" s="25"/>
      <c r="T52" s="25"/>
      <c r="U52" s="25"/>
      <c r="V52" s="25"/>
      <c r="W52" s="25"/>
      <c r="X52" s="25"/>
      <c r="Y52" s="25"/>
    </row>
    <row r="53" spans="1:25" ht="22.5" x14ac:dyDescent="0.2">
      <c r="A53" s="9" t="s">
        <v>56</v>
      </c>
      <c r="B53" s="18" t="s">
        <v>1089</v>
      </c>
      <c r="C53" s="18" t="s">
        <v>1088</v>
      </c>
      <c r="D53" s="10">
        <v>350</v>
      </c>
      <c r="E53" s="18"/>
      <c r="F53" s="9" t="str">
        <f t="shared" si="0"/>
        <v>HIGH PRESSURE SODIUM 400W (310/360)STEEL POLE3</v>
      </c>
      <c r="G53" s="10">
        <f t="shared" si="1"/>
        <v>440</v>
      </c>
      <c r="H53" s="7"/>
      <c r="I53" s="9">
        <v>440</v>
      </c>
      <c r="J53" s="154" t="s">
        <v>1086</v>
      </c>
      <c r="K53" s="154" t="s">
        <v>987</v>
      </c>
      <c r="L53" s="146">
        <v>3</v>
      </c>
      <c r="N53" s="25"/>
      <c r="O53" s="25"/>
      <c r="P53" s="25"/>
      <c r="Q53" s="25"/>
      <c r="R53" s="25"/>
      <c r="S53" s="25"/>
      <c r="T53" s="25"/>
      <c r="U53" s="25"/>
      <c r="V53" s="25"/>
      <c r="W53" s="25"/>
      <c r="X53" s="25"/>
      <c r="Y53" s="25"/>
    </row>
    <row r="54" spans="1:25" ht="22.5" x14ac:dyDescent="0.2">
      <c r="A54" s="9" t="s">
        <v>57</v>
      </c>
      <c r="B54" s="18" t="s">
        <v>1234</v>
      </c>
      <c r="C54" s="18" t="s">
        <v>1235</v>
      </c>
      <c r="D54" s="10">
        <f>2*D53</f>
        <v>700</v>
      </c>
      <c r="E54" s="18"/>
      <c r="F54" s="9" t="str">
        <f t="shared" si="0"/>
        <v>MERCURY VAPOUR 250W STEEL POLE4</v>
      </c>
      <c r="G54" s="10">
        <f t="shared" si="1"/>
        <v>450</v>
      </c>
      <c r="H54" s="7"/>
      <c r="I54" s="9">
        <v>450</v>
      </c>
      <c r="J54" s="154" t="s">
        <v>1178</v>
      </c>
      <c r="K54" s="154" t="s">
        <v>987</v>
      </c>
      <c r="L54" s="146">
        <v>4</v>
      </c>
      <c r="N54" s="25"/>
      <c r="O54" s="25"/>
      <c r="P54" s="25"/>
      <c r="Q54" s="25"/>
      <c r="R54" s="25"/>
      <c r="S54" s="25"/>
      <c r="T54" s="25"/>
      <c r="U54" s="25"/>
      <c r="V54" s="25"/>
      <c r="W54" s="25"/>
      <c r="X54" s="25"/>
      <c r="Y54" s="25"/>
    </row>
    <row r="55" spans="1:25" x14ac:dyDescent="0.2">
      <c r="A55" s="9" t="s">
        <v>60</v>
      </c>
      <c r="B55" s="18" t="s">
        <v>1091</v>
      </c>
      <c r="C55" s="18">
        <v>360</v>
      </c>
      <c r="D55" s="10">
        <v>396</v>
      </c>
      <c r="E55" s="18"/>
      <c r="F55" s="9" t="str">
        <f t="shared" si="0"/>
        <v>MERCURY VAPOUR 400W STEEL POLE4</v>
      </c>
      <c r="G55" s="10">
        <f t="shared" si="1"/>
        <v>460</v>
      </c>
      <c r="H55" s="7"/>
      <c r="I55" s="9">
        <v>460</v>
      </c>
      <c r="J55" s="154" t="s">
        <v>314</v>
      </c>
      <c r="K55" s="154" t="s">
        <v>987</v>
      </c>
      <c r="L55" s="146">
        <v>4</v>
      </c>
      <c r="N55" s="25"/>
      <c r="O55" s="25"/>
      <c r="P55" s="25"/>
      <c r="Q55" s="25"/>
      <c r="R55" s="25"/>
      <c r="S55" s="25"/>
      <c r="T55" s="25"/>
      <c r="U55" s="25"/>
      <c r="V55" s="25"/>
      <c r="W55" s="25"/>
      <c r="X55" s="25"/>
      <c r="Y55" s="25"/>
    </row>
    <row r="56" spans="1:25" x14ac:dyDescent="0.2">
      <c r="A56" s="9" t="s">
        <v>61</v>
      </c>
      <c r="B56" s="18" t="s">
        <v>1094</v>
      </c>
      <c r="C56" s="18">
        <v>400</v>
      </c>
      <c r="D56" s="10">
        <v>440</v>
      </c>
      <c r="E56" s="18"/>
      <c r="F56" s="9" t="str">
        <f t="shared" si="0"/>
        <v>HIGH PRESSURE SODIUM 250W (210/220)STEEL POLE4</v>
      </c>
      <c r="G56" s="10">
        <f t="shared" si="1"/>
        <v>470</v>
      </c>
      <c r="H56" s="7"/>
      <c r="I56" s="9">
        <v>470</v>
      </c>
      <c r="J56" s="154" t="s">
        <v>1073</v>
      </c>
      <c r="K56" s="154" t="s">
        <v>987</v>
      </c>
      <c r="L56" s="146">
        <v>4</v>
      </c>
      <c r="N56" s="25"/>
      <c r="O56" s="25"/>
      <c r="P56" s="25"/>
      <c r="Q56" s="25"/>
      <c r="R56" s="25"/>
      <c r="S56" s="25"/>
      <c r="T56" s="25"/>
      <c r="U56" s="25"/>
      <c r="V56" s="25"/>
      <c r="W56" s="25"/>
      <c r="X56" s="25"/>
      <c r="Y56" s="25"/>
    </row>
    <row r="57" spans="1:25" ht="22.5" x14ac:dyDescent="0.2">
      <c r="A57" s="9" t="s">
        <v>62</v>
      </c>
      <c r="B57" s="18" t="s">
        <v>1099</v>
      </c>
      <c r="C57" s="18" t="s">
        <v>1236</v>
      </c>
      <c r="D57" s="10">
        <f>2*D56</f>
        <v>880</v>
      </c>
      <c r="E57" s="18"/>
      <c r="F57" s="9" t="str">
        <f t="shared" si="0"/>
        <v>HIGH PRESSURE SODIUM 400W (310/360)STEEL POLE4</v>
      </c>
      <c r="G57" s="10">
        <f t="shared" si="1"/>
        <v>480</v>
      </c>
      <c r="H57" s="7"/>
      <c r="I57" s="9">
        <v>480</v>
      </c>
      <c r="J57" s="154" t="s">
        <v>1086</v>
      </c>
      <c r="K57" s="154" t="s">
        <v>987</v>
      </c>
      <c r="L57" s="146">
        <v>4</v>
      </c>
      <c r="N57" s="25"/>
      <c r="O57" s="25"/>
      <c r="P57" s="25"/>
      <c r="Q57" s="25"/>
      <c r="R57" s="25"/>
      <c r="S57" s="25"/>
      <c r="T57" s="25"/>
      <c r="U57" s="25"/>
      <c r="V57" s="25"/>
      <c r="W57" s="25"/>
      <c r="X57" s="25"/>
      <c r="Y57" s="25"/>
    </row>
    <row r="58" spans="1:25" ht="22.5" x14ac:dyDescent="0.2">
      <c r="A58" s="9" t="s">
        <v>63</v>
      </c>
      <c r="B58" s="18" t="s">
        <v>1102</v>
      </c>
      <c r="C58" s="18" t="s">
        <v>1237</v>
      </c>
      <c r="D58" s="10">
        <f>3*D56</f>
        <v>1320</v>
      </c>
      <c r="E58" s="18"/>
      <c r="F58" s="9" t="str">
        <f t="shared" si="0"/>
        <v>MERCURY VAPOUR 250W R/BOUT COLUMN2</v>
      </c>
      <c r="G58" s="10">
        <f t="shared" si="1"/>
        <v>490</v>
      </c>
      <c r="H58" s="7"/>
      <c r="I58" s="9">
        <v>490</v>
      </c>
      <c r="J58" s="154" t="s">
        <v>1178</v>
      </c>
      <c r="K58" s="154" t="s">
        <v>313</v>
      </c>
      <c r="L58" s="146">
        <v>2</v>
      </c>
      <c r="N58" s="25"/>
      <c r="O58" s="25"/>
      <c r="P58" s="25"/>
      <c r="Q58" s="25"/>
      <c r="R58" s="25"/>
      <c r="S58" s="25"/>
      <c r="T58" s="25"/>
      <c r="U58" s="25"/>
      <c r="V58" s="25"/>
      <c r="W58" s="25"/>
      <c r="X58" s="25"/>
      <c r="Y58" s="25"/>
    </row>
    <row r="59" spans="1:25" ht="22.5" x14ac:dyDescent="0.2">
      <c r="A59" s="9" t="s">
        <v>64</v>
      </c>
      <c r="B59" s="18" t="s">
        <v>1238</v>
      </c>
      <c r="C59" s="18" t="s">
        <v>1239</v>
      </c>
      <c r="D59" s="10">
        <f>4*D56</f>
        <v>1760</v>
      </c>
      <c r="E59" s="18"/>
      <c r="F59" s="9" t="str">
        <f t="shared" si="0"/>
        <v>MERCURY VAPOUR 400WR/BOUT COLUMN2</v>
      </c>
      <c r="G59" s="10">
        <f t="shared" si="1"/>
        <v>500</v>
      </c>
      <c r="H59" s="7"/>
      <c r="I59" s="9">
        <v>500</v>
      </c>
      <c r="J59" s="154" t="s">
        <v>1183</v>
      </c>
      <c r="K59" s="154" t="s">
        <v>313</v>
      </c>
      <c r="L59" s="146">
        <v>2</v>
      </c>
      <c r="N59" s="25"/>
      <c r="O59" s="25"/>
      <c r="P59" s="25"/>
      <c r="Q59" s="25"/>
      <c r="R59" s="25"/>
      <c r="S59" s="25"/>
      <c r="T59" s="25"/>
      <c r="U59" s="25"/>
      <c r="V59" s="25"/>
      <c r="W59" s="25"/>
      <c r="X59" s="25"/>
      <c r="Y59" s="25"/>
    </row>
    <row r="60" spans="1:25" ht="33.75" x14ac:dyDescent="0.2">
      <c r="A60" s="9" t="s">
        <v>65</v>
      </c>
      <c r="B60" s="18" t="s">
        <v>1105</v>
      </c>
      <c r="C60" s="18" t="s">
        <v>1240</v>
      </c>
      <c r="D60" s="10">
        <v>650</v>
      </c>
      <c r="E60" s="18"/>
      <c r="F60" s="9" t="str">
        <f t="shared" si="0"/>
        <v>HIGH PRESSURE SODIUM 250W (210/220)R/BOUT COLUMN2</v>
      </c>
      <c r="G60" s="10">
        <f t="shared" si="1"/>
        <v>510</v>
      </c>
      <c r="H60" s="7"/>
      <c r="I60" s="9">
        <v>510</v>
      </c>
      <c r="J60" s="154" t="s">
        <v>1073</v>
      </c>
      <c r="K60" s="154" t="s">
        <v>313</v>
      </c>
      <c r="L60" s="146">
        <v>2</v>
      </c>
      <c r="N60" s="25"/>
      <c r="O60" s="25"/>
      <c r="P60" s="25"/>
      <c r="Q60" s="25"/>
      <c r="R60" s="25"/>
      <c r="S60" s="25"/>
      <c r="T60" s="25"/>
      <c r="U60" s="25"/>
      <c r="V60" s="25"/>
      <c r="W60" s="25"/>
      <c r="X60" s="25"/>
      <c r="Y60" s="25"/>
    </row>
    <row r="61" spans="1:25" ht="22.5" x14ac:dyDescent="0.2">
      <c r="A61" s="9" t="s">
        <v>66</v>
      </c>
      <c r="B61" s="18" t="s">
        <v>1785</v>
      </c>
      <c r="C61" s="18" t="s">
        <v>1786</v>
      </c>
      <c r="D61" s="10">
        <f>2*D60</f>
        <v>1300</v>
      </c>
      <c r="E61" s="18"/>
      <c r="F61" s="9" t="str">
        <f t="shared" si="0"/>
        <v>HIGH PRESSURE SODIUM 400W (310/360)R/BOUT COLUMN2</v>
      </c>
      <c r="G61" s="10">
        <f t="shared" si="1"/>
        <v>520</v>
      </c>
      <c r="H61" s="7"/>
      <c r="I61" s="9">
        <v>520</v>
      </c>
      <c r="J61" s="154" t="s">
        <v>1086</v>
      </c>
      <c r="K61" s="154" t="s">
        <v>313</v>
      </c>
      <c r="L61" s="146">
        <v>2</v>
      </c>
      <c r="N61" s="25"/>
      <c r="O61" s="25"/>
      <c r="P61" s="25"/>
      <c r="Q61" s="25"/>
      <c r="R61" s="25"/>
      <c r="S61" s="25"/>
      <c r="T61" s="25"/>
      <c r="U61" s="25"/>
      <c r="V61" s="25"/>
      <c r="W61" s="25"/>
      <c r="X61" s="25"/>
      <c r="Y61" s="25"/>
    </row>
    <row r="62" spans="1:25" ht="22.5" x14ac:dyDescent="0.2">
      <c r="A62" s="9" t="s">
        <v>67</v>
      </c>
      <c r="B62" s="18" t="s">
        <v>1787</v>
      </c>
      <c r="C62" s="18" t="s">
        <v>1788</v>
      </c>
      <c r="D62" s="10">
        <f>4*D60</f>
        <v>2600</v>
      </c>
      <c r="E62" s="18"/>
      <c r="F62" s="9" t="str">
        <f t="shared" si="0"/>
        <v>MERCURY VAPOUR 250W R/BOUT COLUMN3</v>
      </c>
      <c r="G62" s="10">
        <f t="shared" si="1"/>
        <v>530</v>
      </c>
      <c r="H62" s="7"/>
      <c r="I62" s="9">
        <v>530</v>
      </c>
      <c r="J62" s="154" t="s">
        <v>1178</v>
      </c>
      <c r="K62" s="154" t="s">
        <v>313</v>
      </c>
      <c r="L62" s="146">
        <v>3</v>
      </c>
      <c r="N62" s="25"/>
      <c r="O62" s="25"/>
      <c r="P62" s="25"/>
      <c r="Q62" s="25"/>
      <c r="R62" s="25"/>
      <c r="S62" s="25"/>
      <c r="T62" s="25"/>
      <c r="U62" s="25"/>
      <c r="V62" s="25"/>
      <c r="W62" s="25"/>
      <c r="X62" s="25"/>
      <c r="Y62" s="25"/>
    </row>
    <row r="63" spans="1:25" ht="22.5" x14ac:dyDescent="0.2">
      <c r="A63" s="9" t="s">
        <v>68</v>
      </c>
      <c r="B63" s="18" t="s">
        <v>1789</v>
      </c>
      <c r="C63" s="18" t="s">
        <v>1790</v>
      </c>
      <c r="D63" s="10">
        <f>6*D60</f>
        <v>3900</v>
      </c>
      <c r="E63" s="18"/>
      <c r="F63" s="9" t="str">
        <f t="shared" si="0"/>
        <v>MERCURY VAPOUR 400WR/BOUT COLUMN3</v>
      </c>
      <c r="G63" s="10">
        <f t="shared" si="1"/>
        <v>540</v>
      </c>
      <c r="H63" s="7"/>
      <c r="I63" s="9">
        <v>540</v>
      </c>
      <c r="J63" s="154" t="s">
        <v>1183</v>
      </c>
      <c r="K63" s="154" t="s">
        <v>313</v>
      </c>
      <c r="L63" s="146">
        <v>3</v>
      </c>
      <c r="N63" s="25"/>
      <c r="O63" s="25"/>
      <c r="P63" s="25"/>
      <c r="Q63" s="25"/>
      <c r="R63" s="25"/>
      <c r="S63" s="25"/>
      <c r="T63" s="25"/>
      <c r="U63" s="25"/>
      <c r="V63" s="25"/>
      <c r="W63" s="25"/>
      <c r="X63" s="25"/>
      <c r="Y63" s="25"/>
    </row>
    <row r="64" spans="1:25" x14ac:dyDescent="0.2">
      <c r="A64" s="9" t="s">
        <v>69</v>
      </c>
      <c r="B64" s="18" t="s">
        <v>1109</v>
      </c>
      <c r="C64" s="18">
        <v>1000</v>
      </c>
      <c r="D64" s="10">
        <v>1064</v>
      </c>
      <c r="E64" s="18"/>
      <c r="F64" s="9" t="str">
        <f t="shared" si="0"/>
        <v>HIGH PRESSURE SODIUM 250W (210/220)R/BOUT COLUMN3</v>
      </c>
      <c r="G64" s="10">
        <f t="shared" si="1"/>
        <v>550</v>
      </c>
      <c r="H64" s="7"/>
      <c r="I64" s="9">
        <v>550</v>
      </c>
      <c r="J64" s="154" t="s">
        <v>1073</v>
      </c>
      <c r="K64" s="154" t="s">
        <v>313</v>
      </c>
      <c r="L64" s="146">
        <v>3</v>
      </c>
      <c r="N64" s="25"/>
      <c r="O64" s="25"/>
      <c r="P64" s="25"/>
      <c r="Q64" s="25"/>
      <c r="R64" s="25"/>
      <c r="S64" s="25"/>
      <c r="T64" s="25"/>
      <c r="U64" s="25"/>
      <c r="V64" s="25"/>
      <c r="W64" s="25"/>
      <c r="X64" s="25"/>
      <c r="Y64" s="25"/>
    </row>
    <row r="65" spans="1:25" ht="22.5" x14ac:dyDescent="0.2">
      <c r="A65" s="9" t="s">
        <v>70</v>
      </c>
      <c r="B65" s="18" t="s">
        <v>1791</v>
      </c>
      <c r="C65" s="18" t="s">
        <v>1792</v>
      </c>
      <c r="D65" s="10">
        <f>4*D64</f>
        <v>4256</v>
      </c>
      <c r="E65" s="18"/>
      <c r="F65" s="9" t="str">
        <f t="shared" si="0"/>
        <v>HIGH PRESSURE SODIUM 400W (310/360)R/BOUT COLUMN3</v>
      </c>
      <c r="G65" s="10">
        <f t="shared" si="1"/>
        <v>560</v>
      </c>
      <c r="H65" s="7"/>
      <c r="I65" s="9">
        <v>560</v>
      </c>
      <c r="J65" s="154" t="s">
        <v>1086</v>
      </c>
      <c r="K65" s="154" t="s">
        <v>313</v>
      </c>
      <c r="L65" s="146">
        <v>3</v>
      </c>
      <c r="N65" s="25"/>
      <c r="O65" s="25"/>
      <c r="P65" s="25"/>
      <c r="Q65" s="25"/>
      <c r="R65" s="25"/>
      <c r="S65" s="25"/>
      <c r="T65" s="25"/>
      <c r="U65" s="25"/>
      <c r="V65" s="25"/>
      <c r="W65" s="25"/>
      <c r="X65" s="25"/>
      <c r="Y65" s="25"/>
    </row>
    <row r="66" spans="1:25" x14ac:dyDescent="0.2">
      <c r="A66" s="9" t="s">
        <v>71</v>
      </c>
      <c r="B66" s="18" t="s">
        <v>1111</v>
      </c>
      <c r="C66" s="18">
        <v>30</v>
      </c>
      <c r="D66" s="10">
        <v>30</v>
      </c>
      <c r="E66" s="18"/>
      <c r="F66" s="9" t="str">
        <f t="shared" si="0"/>
        <v>MERCURY VAPOUR 250W R/BOUT COLUMN4</v>
      </c>
      <c r="G66" s="10">
        <f t="shared" si="1"/>
        <v>570</v>
      </c>
      <c r="H66" s="7"/>
      <c r="I66" s="9">
        <v>570</v>
      </c>
      <c r="J66" s="154" t="s">
        <v>1178</v>
      </c>
      <c r="K66" s="154" t="s">
        <v>313</v>
      </c>
      <c r="L66" s="146">
        <v>4</v>
      </c>
      <c r="N66" s="25"/>
      <c r="O66" s="25"/>
      <c r="P66" s="25"/>
      <c r="Q66" s="25"/>
      <c r="R66" s="25"/>
      <c r="S66" s="25"/>
      <c r="T66" s="25"/>
      <c r="U66" s="25"/>
      <c r="V66" s="25"/>
      <c r="W66" s="25"/>
      <c r="X66" s="25"/>
      <c r="Y66" s="25"/>
    </row>
    <row r="67" spans="1:25" x14ac:dyDescent="0.2">
      <c r="A67" s="9" t="s">
        <v>72</v>
      </c>
      <c r="B67" s="18" t="s">
        <v>1113</v>
      </c>
      <c r="C67" s="18">
        <v>40</v>
      </c>
      <c r="D67" s="10">
        <v>40</v>
      </c>
      <c r="E67" s="18"/>
      <c r="F67" s="9" t="str">
        <f t="shared" si="0"/>
        <v>MERCURY VAPOUR 400WR/BOUT COLUMN4</v>
      </c>
      <c r="G67" s="10">
        <f t="shared" si="1"/>
        <v>580</v>
      </c>
      <c r="H67" s="7"/>
      <c r="I67" s="9">
        <v>580</v>
      </c>
      <c r="J67" s="154" t="s">
        <v>1183</v>
      </c>
      <c r="K67" s="154" t="s">
        <v>313</v>
      </c>
      <c r="L67" s="146">
        <v>4</v>
      </c>
      <c r="N67" s="25"/>
      <c r="O67" s="25"/>
      <c r="P67" s="25"/>
      <c r="Q67" s="25"/>
      <c r="R67" s="25"/>
      <c r="S67" s="25"/>
      <c r="T67" s="25"/>
      <c r="U67" s="25"/>
      <c r="V67" s="25"/>
      <c r="W67" s="25"/>
      <c r="X67" s="25"/>
      <c r="Y67" s="25"/>
    </row>
    <row r="68" spans="1:25" x14ac:dyDescent="0.2">
      <c r="A68" s="9" t="s">
        <v>73</v>
      </c>
      <c r="B68" s="18" t="s">
        <v>1115</v>
      </c>
      <c r="C68" s="18">
        <v>60</v>
      </c>
      <c r="D68" s="10">
        <v>60</v>
      </c>
      <c r="E68" s="18"/>
      <c r="F68" s="9" t="str">
        <f t="shared" si="0"/>
        <v>HIGH PRESSURE SODIUM 250W (210/220)R/BOUT COLUMN4</v>
      </c>
      <c r="G68" s="10">
        <f t="shared" si="1"/>
        <v>590</v>
      </c>
      <c r="H68" s="7"/>
      <c r="I68" s="9">
        <v>590</v>
      </c>
      <c r="J68" s="154" t="s">
        <v>1073</v>
      </c>
      <c r="K68" s="154" t="s">
        <v>313</v>
      </c>
      <c r="L68" s="146">
        <v>4</v>
      </c>
      <c r="N68" s="25"/>
      <c r="O68" s="25"/>
      <c r="P68" s="25"/>
      <c r="Q68" s="25"/>
      <c r="R68" s="25"/>
      <c r="S68" s="25"/>
      <c r="T68" s="25"/>
      <c r="U68" s="25"/>
      <c r="V68" s="25"/>
      <c r="W68" s="25"/>
      <c r="X68" s="25"/>
      <c r="Y68" s="25"/>
    </row>
    <row r="69" spans="1:25" x14ac:dyDescent="0.2">
      <c r="A69" s="9" t="s">
        <v>74</v>
      </c>
      <c r="B69" s="18" t="s">
        <v>1117</v>
      </c>
      <c r="C69" s="18">
        <v>75</v>
      </c>
      <c r="D69" s="10">
        <v>75</v>
      </c>
      <c r="E69" s="18"/>
      <c r="F69" s="9" t="str">
        <f t="shared" si="0"/>
        <v>HIGH PRESSURE SODIUM 400W (310/360)R/BOUT COLUMN4</v>
      </c>
      <c r="G69" s="10">
        <f t="shared" si="1"/>
        <v>600</v>
      </c>
      <c r="H69" s="7"/>
      <c r="I69" s="9">
        <v>600</v>
      </c>
      <c r="J69" s="154" t="s">
        <v>1086</v>
      </c>
      <c r="K69" s="154" t="s">
        <v>313</v>
      </c>
      <c r="L69" s="146">
        <v>4</v>
      </c>
      <c r="N69" s="25"/>
      <c r="O69" s="25"/>
      <c r="P69" s="25"/>
      <c r="Q69" s="25"/>
      <c r="R69" s="25"/>
      <c r="S69" s="25"/>
      <c r="T69" s="25"/>
      <c r="U69" s="25"/>
      <c r="V69" s="25"/>
      <c r="W69" s="25"/>
      <c r="X69" s="25"/>
      <c r="Y69" s="25"/>
    </row>
    <row r="70" spans="1:25" x14ac:dyDescent="0.2">
      <c r="A70" s="9" t="s">
        <v>75</v>
      </c>
      <c r="B70" s="18" t="s">
        <v>1119</v>
      </c>
      <c r="C70" s="18">
        <v>100</v>
      </c>
      <c r="D70" s="10">
        <v>100</v>
      </c>
      <c r="E70" s="18"/>
      <c r="F70" s="9" t="str">
        <f t="shared" si="0"/>
        <v>METAL HALIDE/HPS 250W FLOOD (210/220)SHARED OR NO POLE1</v>
      </c>
      <c r="G70" s="10">
        <f t="shared" si="1"/>
        <v>610</v>
      </c>
      <c r="H70" s="7"/>
      <c r="I70" s="9">
        <v>610</v>
      </c>
      <c r="J70" s="154" t="s">
        <v>1076</v>
      </c>
      <c r="K70" s="154" t="s">
        <v>985</v>
      </c>
      <c r="L70" s="146">
        <v>1</v>
      </c>
      <c r="N70" s="25"/>
      <c r="O70" s="25"/>
      <c r="P70" s="25"/>
      <c r="Q70" s="25"/>
      <c r="R70" s="25"/>
      <c r="S70" s="25"/>
      <c r="T70" s="25"/>
      <c r="U70" s="25"/>
      <c r="V70" s="25"/>
      <c r="W70" s="25"/>
      <c r="X70" s="25"/>
      <c r="Y70" s="25"/>
    </row>
    <row r="71" spans="1:25" x14ac:dyDescent="0.2">
      <c r="A71" s="9" t="s">
        <v>76</v>
      </c>
      <c r="B71" s="18" t="s">
        <v>1793</v>
      </c>
      <c r="C71" s="18" t="s">
        <v>1794</v>
      </c>
      <c r="D71" s="10">
        <f>3*D70</f>
        <v>300</v>
      </c>
      <c r="E71" s="18"/>
      <c r="F71" s="9" t="str">
        <f t="shared" si="0"/>
        <v>METAL HALIDE/HPS 400W FLOOD (310/360)SHARED OR NO POLE1</v>
      </c>
      <c r="G71" s="10">
        <f t="shared" si="1"/>
        <v>620</v>
      </c>
      <c r="H71" s="7"/>
      <c r="I71" s="9">
        <v>620</v>
      </c>
      <c r="J71" s="154" t="s">
        <v>1092</v>
      </c>
      <c r="K71" s="154" t="s">
        <v>985</v>
      </c>
      <c r="L71" s="146">
        <v>1</v>
      </c>
      <c r="N71" s="25"/>
      <c r="O71" s="25"/>
      <c r="P71" s="25"/>
      <c r="Q71" s="25"/>
      <c r="R71" s="25"/>
      <c r="S71" s="25"/>
      <c r="T71" s="25"/>
      <c r="U71" s="25"/>
      <c r="V71" s="25"/>
      <c r="W71" s="25"/>
      <c r="X71" s="25"/>
      <c r="Y71" s="25"/>
    </row>
    <row r="72" spans="1:25" x14ac:dyDescent="0.2">
      <c r="A72" s="9" t="s">
        <v>77</v>
      </c>
      <c r="B72" s="18" t="s">
        <v>1121</v>
      </c>
      <c r="C72" s="18">
        <v>130</v>
      </c>
      <c r="D72" s="10">
        <v>130</v>
      </c>
      <c r="E72" s="18"/>
      <c r="F72" s="9" t="str">
        <f t="shared" si="0"/>
        <v>METAL HALIDE/HPS 250W FLOOD (210/220)SHARED OR NO POLE1</v>
      </c>
      <c r="G72" s="10">
        <f t="shared" si="1"/>
        <v>630</v>
      </c>
      <c r="H72" s="7"/>
      <c r="I72" s="9">
        <v>630</v>
      </c>
      <c r="J72" s="154" t="s">
        <v>1076</v>
      </c>
      <c r="K72" s="154" t="s">
        <v>985</v>
      </c>
      <c r="L72" s="146">
        <v>1</v>
      </c>
      <c r="N72" s="25"/>
      <c r="O72" s="25"/>
      <c r="P72" s="25"/>
      <c r="Q72" s="25"/>
      <c r="R72" s="25"/>
      <c r="S72" s="25"/>
      <c r="T72" s="25"/>
      <c r="U72" s="25"/>
      <c r="V72" s="25"/>
      <c r="W72" s="25"/>
      <c r="X72" s="25"/>
      <c r="Y72" s="25"/>
    </row>
    <row r="73" spans="1:25" x14ac:dyDescent="0.2">
      <c r="A73" s="9" t="s">
        <v>78</v>
      </c>
      <c r="B73" s="18" t="s">
        <v>1123</v>
      </c>
      <c r="C73" s="18">
        <v>150</v>
      </c>
      <c r="D73" s="10">
        <v>150</v>
      </c>
      <c r="E73" s="18"/>
      <c r="F73" s="9" t="str">
        <f t="shared" si="0"/>
        <v>METAL HALIDE/HPS 400W FLOOD (310/360)SHARED OR NO POLE1</v>
      </c>
      <c r="G73" s="10">
        <f t="shared" si="1"/>
        <v>640</v>
      </c>
      <c r="H73" s="7"/>
      <c r="I73" s="9">
        <v>640</v>
      </c>
      <c r="J73" s="154" t="s">
        <v>1092</v>
      </c>
      <c r="K73" s="154" t="s">
        <v>985</v>
      </c>
      <c r="L73" s="146">
        <v>1</v>
      </c>
      <c r="N73" s="25"/>
      <c r="O73" s="25"/>
      <c r="P73" s="25"/>
      <c r="Q73" s="25"/>
      <c r="R73" s="25"/>
      <c r="S73" s="25"/>
      <c r="T73" s="25"/>
      <c r="U73" s="25"/>
      <c r="V73" s="25"/>
      <c r="W73" s="25"/>
      <c r="X73" s="25"/>
      <c r="Y73" s="25"/>
    </row>
    <row r="74" spans="1:25" x14ac:dyDescent="0.2">
      <c r="A74" s="9" t="s">
        <v>79</v>
      </c>
      <c r="B74" s="18" t="s">
        <v>1125</v>
      </c>
      <c r="C74" s="18">
        <v>200</v>
      </c>
      <c r="D74" s="10">
        <v>200</v>
      </c>
      <c r="E74" s="18"/>
      <c r="F74" s="9" t="str">
        <f t="shared" ref="F74:F137" si="2">CONCATENATE(J74,K74,L74)</f>
        <v>METAL HALIDE/HPS 250W FLOOD (210/220)SHARED OR NO POLE2</v>
      </c>
      <c r="G74" s="10">
        <f t="shared" ref="G74:G137" si="3">I74</f>
        <v>650</v>
      </c>
      <c r="H74" s="7"/>
      <c r="I74" s="9">
        <v>650</v>
      </c>
      <c r="J74" s="154" t="s">
        <v>1076</v>
      </c>
      <c r="K74" s="154" t="s">
        <v>985</v>
      </c>
      <c r="L74" s="146">
        <v>2</v>
      </c>
      <c r="N74" s="25"/>
      <c r="O74" s="25"/>
      <c r="P74" s="25"/>
      <c r="Q74" s="25"/>
      <c r="R74" s="25"/>
      <c r="S74" s="25"/>
      <c r="T74" s="25"/>
      <c r="U74" s="25"/>
      <c r="V74" s="25"/>
      <c r="W74" s="25"/>
      <c r="X74" s="25"/>
      <c r="Y74" s="25"/>
    </row>
    <row r="75" spans="1:25" x14ac:dyDescent="0.2">
      <c r="A75" s="9" t="s">
        <v>80</v>
      </c>
      <c r="B75" s="18" t="s">
        <v>1127</v>
      </c>
      <c r="C75" s="18">
        <v>300</v>
      </c>
      <c r="D75" s="10">
        <v>300</v>
      </c>
      <c r="E75" s="18"/>
      <c r="F75" s="9" t="str">
        <f t="shared" si="2"/>
        <v>METAL HALIDE/HPS 400W FLOOD (310/360)SHARED OR NO POLE2</v>
      </c>
      <c r="G75" s="10">
        <f t="shared" si="3"/>
        <v>660</v>
      </c>
      <c r="H75" s="7"/>
      <c r="I75" s="9">
        <v>660</v>
      </c>
      <c r="J75" s="154" t="s">
        <v>1092</v>
      </c>
      <c r="K75" s="154" t="s">
        <v>985</v>
      </c>
      <c r="L75" s="146">
        <v>2</v>
      </c>
      <c r="N75" s="25"/>
      <c r="O75" s="25"/>
      <c r="P75" s="25"/>
      <c r="Q75" s="25"/>
      <c r="R75" s="25"/>
      <c r="S75" s="25"/>
      <c r="T75" s="25"/>
      <c r="U75" s="25"/>
      <c r="V75" s="25"/>
      <c r="W75" s="25"/>
      <c r="X75" s="25"/>
      <c r="Y75" s="25"/>
    </row>
    <row r="76" spans="1:25" x14ac:dyDescent="0.2">
      <c r="A76" s="9" t="s">
        <v>81</v>
      </c>
      <c r="B76" s="18" t="s">
        <v>1130</v>
      </c>
      <c r="C76" s="18">
        <v>500</v>
      </c>
      <c r="D76" s="10">
        <v>500</v>
      </c>
      <c r="E76" s="18"/>
      <c r="F76" s="9" t="str">
        <f t="shared" si="2"/>
        <v>METAL HALIDE/HPS 250W FLOOD (210/220)SHARED OR NO POLE2</v>
      </c>
      <c r="G76" s="10">
        <f t="shared" si="3"/>
        <v>670</v>
      </c>
      <c r="H76" s="7"/>
      <c r="I76" s="9">
        <v>670</v>
      </c>
      <c r="J76" s="154" t="s">
        <v>1076</v>
      </c>
      <c r="K76" s="154" t="s">
        <v>985</v>
      </c>
      <c r="L76" s="146">
        <v>2</v>
      </c>
      <c r="N76" s="25"/>
      <c r="O76" s="25"/>
      <c r="P76" s="25"/>
      <c r="Q76" s="25"/>
      <c r="R76" s="25"/>
      <c r="S76" s="25"/>
      <c r="T76" s="25"/>
      <c r="U76" s="25"/>
      <c r="V76" s="25"/>
      <c r="W76" s="25"/>
      <c r="X76" s="25"/>
      <c r="Y76" s="25"/>
    </row>
    <row r="77" spans="1:25" x14ac:dyDescent="0.2">
      <c r="A77" s="9" t="s">
        <v>82</v>
      </c>
      <c r="B77" s="18" t="s">
        <v>1795</v>
      </c>
      <c r="C77" s="18">
        <v>750</v>
      </c>
      <c r="D77" s="10">
        <v>750</v>
      </c>
      <c r="E77" s="18"/>
      <c r="F77" s="9" t="str">
        <f t="shared" si="2"/>
        <v>METAL HALIDE/HPS 400W FLOOD (310/360)SHARED OR NO POLE2</v>
      </c>
      <c r="G77" s="10">
        <f t="shared" si="3"/>
        <v>680</v>
      </c>
      <c r="H77" s="7"/>
      <c r="I77" s="9">
        <v>680</v>
      </c>
      <c r="J77" s="154" t="s">
        <v>1092</v>
      </c>
      <c r="K77" s="154" t="s">
        <v>985</v>
      </c>
      <c r="L77" s="146">
        <v>2</v>
      </c>
      <c r="N77" s="25"/>
      <c r="O77" s="25"/>
      <c r="P77" s="25"/>
      <c r="Q77" s="25"/>
      <c r="R77" s="25"/>
      <c r="S77" s="25"/>
      <c r="T77" s="25"/>
      <c r="U77" s="25"/>
      <c r="V77" s="25"/>
      <c r="W77" s="25"/>
      <c r="X77" s="25"/>
      <c r="Y77" s="25"/>
    </row>
    <row r="78" spans="1:25" x14ac:dyDescent="0.2">
      <c r="A78" s="9" t="s">
        <v>83</v>
      </c>
      <c r="B78" s="18" t="s">
        <v>1133</v>
      </c>
      <c r="C78" s="18">
        <v>800</v>
      </c>
      <c r="D78" s="10">
        <v>800</v>
      </c>
      <c r="E78" s="18"/>
      <c r="F78" s="9" t="str">
        <f t="shared" si="2"/>
        <v>HIGH PRESSURE SODIUM 150WSTEEL POLE2</v>
      </c>
      <c r="G78" s="10">
        <f t="shared" si="3"/>
        <v>690</v>
      </c>
      <c r="H78" s="7"/>
      <c r="I78" s="9">
        <v>690</v>
      </c>
      <c r="J78" s="154" t="s">
        <v>1067</v>
      </c>
      <c r="K78" s="154" t="s">
        <v>987</v>
      </c>
      <c r="L78" s="146">
        <v>2</v>
      </c>
      <c r="N78" s="25"/>
      <c r="O78" s="25"/>
      <c r="P78" s="25"/>
      <c r="Q78" s="25"/>
      <c r="R78" s="25"/>
      <c r="S78" s="25"/>
      <c r="T78" s="25"/>
      <c r="U78" s="25"/>
      <c r="V78" s="25"/>
      <c r="W78" s="25"/>
      <c r="X78" s="25"/>
      <c r="Y78" s="25"/>
    </row>
    <row r="79" spans="1:25" x14ac:dyDescent="0.2">
      <c r="A79" s="9" t="s">
        <v>84</v>
      </c>
      <c r="B79" s="18" t="s">
        <v>1135</v>
      </c>
      <c r="C79" s="18">
        <v>1000</v>
      </c>
      <c r="D79" s="10">
        <v>1000</v>
      </c>
      <c r="E79" s="18"/>
      <c r="F79" s="9" t="str">
        <f t="shared" si="2"/>
        <v>HIGH PRESSURE SODIUM 600W HIGH MASTWOOD POLE2</v>
      </c>
      <c r="G79" s="10">
        <f t="shared" si="3"/>
        <v>700</v>
      </c>
      <c r="H79" s="7"/>
      <c r="I79" s="9">
        <v>700</v>
      </c>
      <c r="J79" s="154" t="s">
        <v>1103</v>
      </c>
      <c r="K79" s="154" t="s">
        <v>986</v>
      </c>
      <c r="L79" s="146">
        <v>2</v>
      </c>
      <c r="N79" s="25"/>
      <c r="O79" s="25"/>
      <c r="P79" s="25"/>
      <c r="Q79" s="25"/>
      <c r="R79" s="25"/>
      <c r="S79" s="25"/>
      <c r="T79" s="25"/>
      <c r="U79" s="25"/>
      <c r="V79" s="25"/>
      <c r="W79" s="25"/>
      <c r="X79" s="25"/>
      <c r="Y79" s="25"/>
    </row>
    <row r="80" spans="1:25" x14ac:dyDescent="0.2">
      <c r="A80" s="9" t="s">
        <v>85</v>
      </c>
      <c r="B80" s="18" t="s">
        <v>1796</v>
      </c>
      <c r="C80" s="18">
        <v>1440</v>
      </c>
      <c r="D80" s="10">
        <v>1440</v>
      </c>
      <c r="E80" s="18"/>
      <c r="F80" s="9" t="str">
        <f t="shared" si="2"/>
        <v>HIGH PRESSURE SODIUM 150WSTEEL POLE3</v>
      </c>
      <c r="G80" s="10">
        <f t="shared" si="3"/>
        <v>710</v>
      </c>
      <c r="H80" s="7"/>
      <c r="I80" s="9">
        <v>710</v>
      </c>
      <c r="J80" s="154" t="s">
        <v>1067</v>
      </c>
      <c r="K80" s="154" t="s">
        <v>987</v>
      </c>
      <c r="L80" s="146">
        <v>3</v>
      </c>
      <c r="N80" s="25"/>
      <c r="O80" s="25"/>
      <c r="P80" s="25"/>
      <c r="Q80" s="25"/>
      <c r="R80" s="25"/>
      <c r="S80" s="25"/>
      <c r="T80" s="25"/>
      <c r="U80" s="25"/>
      <c r="V80" s="25"/>
      <c r="W80" s="25"/>
      <c r="X80" s="25"/>
      <c r="Y80" s="25"/>
    </row>
    <row r="81" spans="1:25" x14ac:dyDescent="0.2">
      <c r="A81" s="9" t="s">
        <v>86</v>
      </c>
      <c r="B81" s="18" t="s">
        <v>1137</v>
      </c>
      <c r="C81" s="18">
        <v>1500</v>
      </c>
      <c r="D81" s="10">
        <v>1500</v>
      </c>
      <c r="E81" s="18"/>
      <c r="F81" s="9" t="str">
        <f t="shared" si="2"/>
        <v>HIGH PRESSURE SODIUM 150WSTEEL POLE4</v>
      </c>
      <c r="G81" s="10">
        <f t="shared" si="3"/>
        <v>720</v>
      </c>
      <c r="H81" s="7"/>
      <c r="I81" s="9">
        <v>720</v>
      </c>
      <c r="J81" s="154" t="s">
        <v>1067</v>
      </c>
      <c r="K81" s="154" t="s">
        <v>987</v>
      </c>
      <c r="L81" s="146">
        <v>4</v>
      </c>
      <c r="N81" s="25"/>
      <c r="O81" s="25"/>
      <c r="P81" s="25"/>
      <c r="Q81" s="25"/>
      <c r="R81" s="25"/>
      <c r="S81" s="25"/>
      <c r="T81" s="25"/>
      <c r="U81" s="25"/>
      <c r="V81" s="25"/>
      <c r="W81" s="25"/>
      <c r="X81" s="25"/>
      <c r="Y81" s="25"/>
    </row>
    <row r="82" spans="1:25" x14ac:dyDescent="0.2">
      <c r="A82" s="9" t="s">
        <v>87</v>
      </c>
      <c r="B82" s="18" t="s">
        <v>1797</v>
      </c>
      <c r="C82" s="18">
        <v>2880</v>
      </c>
      <c r="D82" s="10">
        <v>2880</v>
      </c>
      <c r="E82" s="18"/>
      <c r="F82" s="9" t="str">
        <f t="shared" si="2"/>
        <v>HIGH PRESSURE SODIUM 70W (100)STEEL POLE2</v>
      </c>
      <c r="G82" s="10">
        <f t="shared" si="3"/>
        <v>730</v>
      </c>
      <c r="H82" s="7"/>
      <c r="I82" s="9">
        <v>730</v>
      </c>
      <c r="J82" s="154" t="s">
        <v>1044</v>
      </c>
      <c r="K82" s="154" t="s">
        <v>987</v>
      </c>
      <c r="L82" s="146">
        <v>2</v>
      </c>
      <c r="N82" s="25"/>
      <c r="O82" s="25"/>
      <c r="P82" s="25"/>
      <c r="Q82" s="25"/>
      <c r="R82" s="25"/>
      <c r="S82" s="25"/>
      <c r="T82" s="25"/>
      <c r="U82" s="25"/>
      <c r="V82" s="25"/>
      <c r="W82" s="25"/>
      <c r="X82" s="25"/>
      <c r="Y82" s="25"/>
    </row>
    <row r="83" spans="1:25" x14ac:dyDescent="0.2">
      <c r="A83" s="9" t="s">
        <v>88</v>
      </c>
      <c r="B83" s="18" t="s">
        <v>1139</v>
      </c>
      <c r="C83" s="18">
        <v>18</v>
      </c>
      <c r="D83" s="10">
        <v>29</v>
      </c>
      <c r="E83" s="18"/>
      <c r="F83" s="9" t="str">
        <f t="shared" si="2"/>
        <v>MERCURY VAPOUR 80WSHARED OR NO POLE2</v>
      </c>
      <c r="G83" s="10">
        <f t="shared" si="3"/>
        <v>740</v>
      </c>
      <c r="H83" s="7"/>
      <c r="I83" s="9">
        <v>740</v>
      </c>
      <c r="J83" s="154" t="s">
        <v>993</v>
      </c>
      <c r="K83" s="154" t="s">
        <v>985</v>
      </c>
      <c r="L83" s="146">
        <v>2</v>
      </c>
      <c r="N83" s="25"/>
      <c r="O83" s="25"/>
      <c r="P83" s="25"/>
      <c r="Q83" s="25"/>
      <c r="R83" s="25"/>
      <c r="S83" s="25"/>
      <c r="T83" s="25"/>
      <c r="U83" s="25"/>
      <c r="V83" s="25"/>
      <c r="W83" s="25"/>
      <c r="X83" s="25"/>
      <c r="Y83" s="25"/>
    </row>
    <row r="84" spans="1:25" x14ac:dyDescent="0.2">
      <c r="A84" s="9" t="s">
        <v>89</v>
      </c>
      <c r="B84" s="18" t="s">
        <v>1141</v>
      </c>
      <c r="C84" s="18">
        <v>35</v>
      </c>
      <c r="D84" s="10">
        <v>60</v>
      </c>
      <c r="E84" s="18"/>
      <c r="F84" s="9" t="str">
        <f t="shared" si="2"/>
        <v>HIGH PRESSURE SODIUM 70W (100)SHARED OR NO POLE3</v>
      </c>
      <c r="G84" s="10">
        <f t="shared" si="3"/>
        <v>750</v>
      </c>
      <c r="H84" s="7"/>
      <c r="I84" s="9">
        <v>750</v>
      </c>
      <c r="J84" s="154" t="s">
        <v>1044</v>
      </c>
      <c r="K84" s="154" t="s">
        <v>985</v>
      </c>
      <c r="L84" s="146">
        <v>3</v>
      </c>
      <c r="N84" s="25"/>
      <c r="O84" s="25"/>
      <c r="P84" s="25"/>
      <c r="Q84" s="25"/>
      <c r="R84" s="25"/>
      <c r="S84" s="25"/>
      <c r="T84" s="25"/>
      <c r="U84" s="25"/>
      <c r="V84" s="25"/>
      <c r="W84" s="25"/>
      <c r="X84" s="25"/>
      <c r="Y84" s="25"/>
    </row>
    <row r="85" spans="1:25" x14ac:dyDescent="0.2">
      <c r="A85" s="9" t="s">
        <v>90</v>
      </c>
      <c r="B85" s="18" t="s">
        <v>1143</v>
      </c>
      <c r="C85" s="18">
        <v>55</v>
      </c>
      <c r="D85" s="10">
        <v>80</v>
      </c>
      <c r="E85" s="18"/>
      <c r="F85" s="9" t="str">
        <f t="shared" si="2"/>
        <v>HIGH PRESSURE SODIUM 250W (210/220)WOOD POLE2</v>
      </c>
      <c r="G85" s="10">
        <f t="shared" si="3"/>
        <v>760</v>
      </c>
      <c r="H85" s="7"/>
      <c r="I85" s="9">
        <v>760</v>
      </c>
      <c r="J85" s="154" t="s">
        <v>1073</v>
      </c>
      <c r="K85" s="154" t="s">
        <v>986</v>
      </c>
      <c r="L85" s="146">
        <v>2</v>
      </c>
      <c r="N85" s="25"/>
      <c r="O85" s="25"/>
      <c r="P85" s="25"/>
      <c r="Q85" s="25"/>
      <c r="R85" s="25"/>
      <c r="S85" s="25"/>
      <c r="T85" s="25"/>
      <c r="U85" s="25"/>
      <c r="V85" s="25"/>
      <c r="W85" s="25"/>
      <c r="X85" s="25"/>
      <c r="Y85" s="25"/>
    </row>
    <row r="86" spans="1:25" ht="22.5" x14ac:dyDescent="0.2">
      <c r="A86" s="9" t="s">
        <v>91</v>
      </c>
      <c r="B86" s="18" t="s">
        <v>1145</v>
      </c>
      <c r="C86" s="18" t="s">
        <v>1798</v>
      </c>
      <c r="D86" s="10">
        <v>120</v>
      </c>
      <c r="E86" s="18"/>
      <c r="F86" s="9" t="str">
        <f t="shared" si="2"/>
        <v>HIGH PRESSURE SODIUM 400W (310/360)WOOD POLE2</v>
      </c>
      <c r="G86" s="10">
        <f t="shared" si="3"/>
        <v>770</v>
      </c>
      <c r="H86" s="7"/>
      <c r="I86" s="9">
        <v>770</v>
      </c>
      <c r="J86" s="154" t="s">
        <v>1086</v>
      </c>
      <c r="K86" s="154" t="s">
        <v>986</v>
      </c>
      <c r="L86" s="146">
        <v>2</v>
      </c>
      <c r="N86" s="25"/>
      <c r="O86" s="25"/>
      <c r="P86" s="25"/>
      <c r="Q86" s="25"/>
      <c r="R86" s="25"/>
      <c r="S86" s="25"/>
      <c r="T86" s="25"/>
      <c r="U86" s="25"/>
      <c r="V86" s="25"/>
      <c r="W86" s="25"/>
      <c r="X86" s="25"/>
      <c r="Y86" s="25"/>
    </row>
    <row r="87" spans="1:25" x14ac:dyDescent="0.2">
      <c r="A87" s="9" t="s">
        <v>92</v>
      </c>
      <c r="B87" s="18" t="s">
        <v>1147</v>
      </c>
      <c r="C87" s="18">
        <v>135</v>
      </c>
      <c r="D87" s="10">
        <v>170</v>
      </c>
      <c r="E87" s="18"/>
      <c r="F87" s="9" t="str">
        <f t="shared" si="2"/>
        <v>MERCURY VAPOUR 250W WOOD POLE2</v>
      </c>
      <c r="G87" s="10">
        <f t="shared" si="3"/>
        <v>780</v>
      </c>
      <c r="H87" s="7"/>
      <c r="I87" s="9">
        <v>780</v>
      </c>
      <c r="J87" s="154" t="s">
        <v>1178</v>
      </c>
      <c r="K87" s="154" t="s">
        <v>986</v>
      </c>
      <c r="L87" s="146">
        <v>2</v>
      </c>
      <c r="N87" s="25"/>
      <c r="O87" s="25"/>
      <c r="P87" s="25"/>
      <c r="Q87" s="25"/>
      <c r="R87" s="25"/>
      <c r="S87" s="25"/>
      <c r="T87" s="25"/>
      <c r="U87" s="25"/>
      <c r="V87" s="25"/>
      <c r="W87" s="25"/>
      <c r="X87" s="25"/>
      <c r="Y87" s="25"/>
    </row>
    <row r="88" spans="1:25" x14ac:dyDescent="0.2">
      <c r="A88" s="9" t="s">
        <v>93</v>
      </c>
      <c r="B88" s="18" t="s">
        <v>1149</v>
      </c>
      <c r="C88" s="18">
        <v>150</v>
      </c>
      <c r="D88" s="10">
        <v>186</v>
      </c>
      <c r="E88" s="18"/>
      <c r="F88" s="9" t="str">
        <f t="shared" si="2"/>
        <v>MERCURY VAPOUR 400WWOOD POLE2</v>
      </c>
      <c r="G88" s="10">
        <f t="shared" si="3"/>
        <v>790</v>
      </c>
      <c r="H88" s="7"/>
      <c r="I88" s="9">
        <v>790</v>
      </c>
      <c r="J88" s="154" t="s">
        <v>1183</v>
      </c>
      <c r="K88" s="154" t="s">
        <v>986</v>
      </c>
      <c r="L88" s="146">
        <v>2</v>
      </c>
      <c r="N88" s="25"/>
      <c r="O88" s="25"/>
      <c r="P88" s="25"/>
      <c r="Q88" s="25"/>
      <c r="R88" s="25"/>
      <c r="S88" s="25"/>
      <c r="T88" s="25"/>
      <c r="U88" s="25"/>
      <c r="V88" s="25"/>
      <c r="W88" s="25"/>
      <c r="X88" s="25"/>
      <c r="Y88" s="25"/>
    </row>
    <row r="89" spans="1:25" x14ac:dyDescent="0.2">
      <c r="A89" s="9" t="s">
        <v>94</v>
      </c>
      <c r="B89" s="18" t="s">
        <v>1799</v>
      </c>
      <c r="C89" s="18">
        <v>160</v>
      </c>
      <c r="D89" s="10">
        <v>194</v>
      </c>
      <c r="E89" s="18"/>
      <c r="F89" s="9" t="str">
        <f t="shared" si="2"/>
        <v>SV 600W HIGH MASTR/BOUT COLUMN6</v>
      </c>
      <c r="G89" s="10">
        <f t="shared" si="3"/>
        <v>800</v>
      </c>
      <c r="H89" s="7"/>
      <c r="I89" s="9">
        <v>800</v>
      </c>
      <c r="J89" s="154" t="s">
        <v>315</v>
      </c>
      <c r="K89" s="154" t="s">
        <v>313</v>
      </c>
      <c r="L89" s="146">
        <v>6</v>
      </c>
      <c r="N89" s="25"/>
      <c r="O89" s="25"/>
      <c r="P89" s="25"/>
      <c r="Q89" s="25"/>
      <c r="R89" s="25"/>
      <c r="S89" s="25"/>
      <c r="T89" s="25"/>
      <c r="U89" s="25"/>
      <c r="V89" s="25"/>
      <c r="W89" s="25"/>
      <c r="X89" s="25"/>
      <c r="Y89" s="25"/>
    </row>
    <row r="90" spans="1:25" x14ac:dyDescent="0.2">
      <c r="A90" s="9" t="s">
        <v>95</v>
      </c>
      <c r="B90" s="18" t="s">
        <v>1152</v>
      </c>
      <c r="C90" s="18">
        <v>180</v>
      </c>
      <c r="D90" s="10">
        <v>212</v>
      </c>
      <c r="E90" s="18"/>
      <c r="F90" s="9" t="str">
        <f t="shared" si="2"/>
        <v>MERCURY VAPOUR 80WWOOD POLE1</v>
      </c>
      <c r="G90" s="10">
        <f t="shared" si="3"/>
        <v>810</v>
      </c>
      <c r="H90" s="7"/>
      <c r="I90" s="9">
        <v>810</v>
      </c>
      <c r="J90" s="154" t="s">
        <v>993</v>
      </c>
      <c r="K90" s="154" t="s">
        <v>986</v>
      </c>
      <c r="L90" s="146">
        <v>1</v>
      </c>
      <c r="N90" s="25"/>
      <c r="O90" s="25"/>
      <c r="P90" s="25"/>
      <c r="Q90" s="25"/>
      <c r="R90" s="25"/>
      <c r="S90" s="25"/>
      <c r="T90" s="25"/>
      <c r="U90" s="25"/>
      <c r="V90" s="25"/>
      <c r="W90" s="25"/>
      <c r="X90" s="25"/>
      <c r="Y90" s="25"/>
    </row>
    <row r="91" spans="1:25" x14ac:dyDescent="0.2">
      <c r="A91" s="9" t="s">
        <v>96</v>
      </c>
      <c r="B91" s="18" t="s">
        <v>1154</v>
      </c>
      <c r="C91" s="18">
        <v>310</v>
      </c>
      <c r="D91" s="10">
        <v>340</v>
      </c>
      <c r="E91" s="18"/>
      <c r="F91" s="9" t="str">
        <f t="shared" si="2"/>
        <v>MERCURY VAPOUR 80WSHARED OR NO POLE3</v>
      </c>
      <c r="G91" s="10">
        <f t="shared" si="3"/>
        <v>820</v>
      </c>
      <c r="H91" s="7"/>
      <c r="I91" s="9">
        <v>820</v>
      </c>
      <c r="J91" s="154" t="s">
        <v>993</v>
      </c>
      <c r="K91" s="154" t="s">
        <v>985</v>
      </c>
      <c r="L91" s="146">
        <v>3</v>
      </c>
      <c r="N91" s="25"/>
      <c r="O91" s="25"/>
      <c r="P91" s="25"/>
      <c r="Q91" s="25"/>
      <c r="R91" s="25"/>
      <c r="S91" s="25"/>
      <c r="T91" s="25"/>
      <c r="U91" s="25"/>
      <c r="V91" s="25"/>
      <c r="W91" s="25"/>
      <c r="X91" s="25"/>
      <c r="Y91" s="25"/>
    </row>
    <row r="92" spans="1:25" ht="22.5" x14ac:dyDescent="0.2">
      <c r="A92" s="9" t="s">
        <v>97</v>
      </c>
      <c r="B92" s="18" t="s">
        <v>1800</v>
      </c>
      <c r="C92" s="18">
        <v>150</v>
      </c>
      <c r="D92" s="10">
        <v>173</v>
      </c>
      <c r="E92" s="18"/>
      <c r="F92" s="9" t="str">
        <f t="shared" si="2"/>
        <v>MERCURY VAPOUR 80WSHARED OR NO POLE4</v>
      </c>
      <c r="G92" s="10">
        <f t="shared" si="3"/>
        <v>830</v>
      </c>
      <c r="H92" s="7"/>
      <c r="I92" s="9">
        <v>830</v>
      </c>
      <c r="J92" s="154" t="s">
        <v>993</v>
      </c>
      <c r="K92" s="154" t="s">
        <v>985</v>
      </c>
      <c r="L92" s="146">
        <v>4</v>
      </c>
      <c r="N92" s="25"/>
      <c r="O92" s="25"/>
      <c r="P92" s="25"/>
      <c r="Q92" s="25"/>
      <c r="R92" s="25"/>
      <c r="S92" s="25"/>
      <c r="T92" s="25"/>
      <c r="U92" s="25"/>
      <c r="V92" s="25"/>
      <c r="W92" s="25"/>
      <c r="X92" s="25"/>
      <c r="Y92" s="25"/>
    </row>
    <row r="93" spans="1:25" ht="22.5" x14ac:dyDescent="0.2">
      <c r="A93" s="9" t="s">
        <v>98</v>
      </c>
      <c r="B93" s="18" t="s">
        <v>1801</v>
      </c>
      <c r="C93" s="18">
        <v>250</v>
      </c>
      <c r="D93" s="10">
        <v>286</v>
      </c>
      <c r="E93" s="18"/>
      <c r="F93" s="9" t="str">
        <f t="shared" si="2"/>
        <v>METAL HALIDE 1000W FLOODLIGHT R/BOUT COLUMN3</v>
      </c>
      <c r="G93" s="10">
        <f t="shared" si="3"/>
        <v>840</v>
      </c>
      <c r="H93" s="7"/>
      <c r="I93" s="9">
        <v>840</v>
      </c>
      <c r="J93" s="154" t="s">
        <v>1107</v>
      </c>
      <c r="K93" s="154" t="s">
        <v>313</v>
      </c>
      <c r="L93" s="146">
        <v>3</v>
      </c>
      <c r="N93" s="25"/>
      <c r="O93" s="25"/>
      <c r="P93" s="25"/>
      <c r="Q93" s="25"/>
      <c r="R93" s="25"/>
      <c r="S93" s="25"/>
      <c r="T93" s="25"/>
      <c r="U93" s="25"/>
      <c r="V93" s="25"/>
      <c r="W93" s="25"/>
      <c r="X93" s="25"/>
      <c r="Y93" s="25"/>
    </row>
    <row r="94" spans="1:25" ht="22.5" x14ac:dyDescent="0.2">
      <c r="A94" s="9" t="s">
        <v>99</v>
      </c>
      <c r="B94" s="18" t="s">
        <v>1802</v>
      </c>
      <c r="C94" s="18">
        <v>400</v>
      </c>
      <c r="D94" s="10">
        <v>449</v>
      </c>
      <c r="E94" s="18"/>
      <c r="F94" s="9" t="str">
        <f t="shared" si="2"/>
        <v>METAL HALIDE 1000W FLOODLIGHT R/BOUT COLUMN2</v>
      </c>
      <c r="G94" s="10">
        <f t="shared" si="3"/>
        <v>850</v>
      </c>
      <c r="H94" s="7"/>
      <c r="I94" s="9">
        <v>850</v>
      </c>
      <c r="J94" s="154" t="s">
        <v>1107</v>
      </c>
      <c r="K94" s="154" t="s">
        <v>313</v>
      </c>
      <c r="L94" s="146">
        <v>2</v>
      </c>
      <c r="N94" s="25"/>
      <c r="O94" s="25"/>
      <c r="P94" s="25"/>
      <c r="Q94" s="25"/>
      <c r="R94" s="25"/>
      <c r="S94" s="25"/>
      <c r="T94" s="25"/>
      <c r="U94" s="25"/>
      <c r="V94" s="25"/>
      <c r="W94" s="25"/>
      <c r="X94" s="25"/>
      <c r="Y94" s="25"/>
    </row>
    <row r="95" spans="1:25" ht="22.5" x14ac:dyDescent="0.2">
      <c r="A95" s="9" t="s">
        <v>100</v>
      </c>
      <c r="B95" s="18" t="s">
        <v>1156</v>
      </c>
      <c r="C95" s="18">
        <v>70</v>
      </c>
      <c r="D95" s="10">
        <v>81.5</v>
      </c>
      <c r="E95" s="18"/>
      <c r="F95" s="9" t="str">
        <f t="shared" si="2"/>
        <v>HIGH PRESSURE SODIUM 2X250 W OR 2X400 W FLOODR/BOUT COLUMN3</v>
      </c>
      <c r="G95" s="10">
        <f t="shared" si="3"/>
        <v>860</v>
      </c>
      <c r="H95" s="7"/>
      <c r="I95" s="9">
        <v>860</v>
      </c>
      <c r="J95" s="154" t="s">
        <v>1081</v>
      </c>
      <c r="K95" s="154" t="s">
        <v>313</v>
      </c>
      <c r="L95" s="146">
        <v>3</v>
      </c>
      <c r="N95" s="25"/>
      <c r="O95" s="25"/>
      <c r="P95" s="25"/>
      <c r="Q95" s="25"/>
      <c r="R95" s="25"/>
      <c r="S95" s="25"/>
      <c r="T95" s="25"/>
      <c r="U95" s="25"/>
      <c r="V95" s="25"/>
      <c r="W95" s="25"/>
      <c r="X95" s="25"/>
      <c r="Y95" s="25"/>
    </row>
    <row r="96" spans="1:25" ht="22.5" x14ac:dyDescent="0.2">
      <c r="A96" s="9" t="s">
        <v>101</v>
      </c>
      <c r="B96" s="18" t="s">
        <v>1158</v>
      </c>
      <c r="C96" s="18">
        <v>100</v>
      </c>
      <c r="D96" s="10">
        <v>110</v>
      </c>
      <c r="E96" s="18"/>
      <c r="F96" s="9" t="str">
        <f t="shared" si="2"/>
        <v>HIGH PRESSURE SODIUM 2X250 W OR 2X400 W FLOODR/BOUT COLUMN4</v>
      </c>
      <c r="G96" s="10">
        <f t="shared" si="3"/>
        <v>870</v>
      </c>
      <c r="H96" s="7"/>
      <c r="I96" s="9">
        <v>870</v>
      </c>
      <c r="J96" s="154" t="s">
        <v>1081</v>
      </c>
      <c r="K96" s="154" t="s">
        <v>313</v>
      </c>
      <c r="L96" s="146">
        <v>4</v>
      </c>
      <c r="N96" s="25"/>
      <c r="O96" s="25"/>
      <c r="P96" s="25"/>
      <c r="Q96" s="25"/>
      <c r="R96" s="25"/>
      <c r="S96" s="25"/>
      <c r="T96" s="25"/>
      <c r="U96" s="25"/>
      <c r="V96" s="25"/>
      <c r="W96" s="25"/>
      <c r="X96" s="25"/>
      <c r="Y96" s="25"/>
    </row>
    <row r="97" spans="1:25" ht="22.5" x14ac:dyDescent="0.2">
      <c r="A97" s="9" t="s">
        <v>103</v>
      </c>
      <c r="B97" s="18" t="s">
        <v>1160</v>
      </c>
      <c r="C97" s="18">
        <v>150</v>
      </c>
      <c r="D97" s="10">
        <v>168</v>
      </c>
      <c r="E97" s="18"/>
      <c r="F97" s="9" t="str">
        <f t="shared" si="2"/>
        <v>HIGH PRESSURE SODIUM 70W (100)STEEL POLE4</v>
      </c>
      <c r="G97" s="10">
        <f t="shared" si="3"/>
        <v>880</v>
      </c>
      <c r="H97" s="7"/>
      <c r="I97" s="9">
        <v>880</v>
      </c>
      <c r="J97" s="154" t="s">
        <v>1044</v>
      </c>
      <c r="K97" s="154" t="s">
        <v>987</v>
      </c>
      <c r="L97" s="146">
        <v>4</v>
      </c>
      <c r="N97" s="25"/>
      <c r="O97" s="25"/>
      <c r="P97" s="25"/>
      <c r="Q97" s="25"/>
      <c r="R97" s="25"/>
      <c r="S97" s="25"/>
      <c r="T97" s="25"/>
      <c r="U97" s="25"/>
      <c r="V97" s="25"/>
      <c r="W97" s="25"/>
      <c r="X97" s="25"/>
      <c r="Y97" s="25"/>
    </row>
    <row r="98" spans="1:25" ht="22.5" x14ac:dyDescent="0.2">
      <c r="A98" s="9" t="s">
        <v>104</v>
      </c>
      <c r="B98" s="18" t="s">
        <v>1803</v>
      </c>
      <c r="C98" s="18" t="s">
        <v>1804</v>
      </c>
      <c r="D98" s="10">
        <f>4*D97</f>
        <v>672</v>
      </c>
      <c r="E98" s="18"/>
      <c r="F98" s="9" t="str">
        <f t="shared" si="2"/>
        <v>HIGH PRESSURE SODIUM 70W (100)SHARED OR NO POLE2</v>
      </c>
      <c r="G98" s="10">
        <f t="shared" si="3"/>
        <v>890</v>
      </c>
      <c r="H98" s="7"/>
      <c r="I98" s="9">
        <v>890</v>
      </c>
      <c r="J98" s="154" t="s">
        <v>1044</v>
      </c>
      <c r="K98" s="154" t="s">
        <v>985</v>
      </c>
      <c r="L98" s="146">
        <v>2</v>
      </c>
      <c r="N98" s="25"/>
      <c r="O98" s="25"/>
      <c r="P98" s="25"/>
      <c r="Q98" s="25"/>
      <c r="R98" s="25"/>
      <c r="S98" s="25"/>
      <c r="T98" s="25"/>
      <c r="U98" s="25"/>
      <c r="V98" s="25"/>
      <c r="W98" s="25"/>
      <c r="X98" s="25"/>
      <c r="Y98" s="25"/>
    </row>
    <row r="99" spans="1:25" ht="22.5" x14ac:dyDescent="0.2">
      <c r="A99" s="9" t="s">
        <v>105</v>
      </c>
      <c r="B99" s="18" t="s">
        <v>1805</v>
      </c>
      <c r="C99" s="18">
        <v>175</v>
      </c>
      <c r="D99" s="10">
        <v>191</v>
      </c>
      <c r="E99" s="18"/>
      <c r="F99" s="9" t="str">
        <f t="shared" si="2"/>
        <v>METAL HALIDE/HPS 400W FLOOD (310/360)WOOD POLE2</v>
      </c>
      <c r="G99" s="10">
        <f t="shared" si="3"/>
        <v>900</v>
      </c>
      <c r="H99" s="7"/>
      <c r="I99" s="9">
        <v>900</v>
      </c>
      <c r="J99" s="154" t="s">
        <v>1092</v>
      </c>
      <c r="K99" s="154" t="s">
        <v>986</v>
      </c>
      <c r="L99" s="146">
        <v>2</v>
      </c>
      <c r="N99" s="25"/>
      <c r="O99" s="25"/>
      <c r="P99" s="25"/>
      <c r="Q99" s="25"/>
      <c r="R99" s="25"/>
      <c r="S99" s="25"/>
      <c r="T99" s="25"/>
      <c r="U99" s="25"/>
      <c r="V99" s="25"/>
      <c r="W99" s="25"/>
      <c r="X99" s="25"/>
      <c r="Y99" s="25"/>
    </row>
    <row r="100" spans="1:25" ht="22.5" x14ac:dyDescent="0.2">
      <c r="A100" s="9" t="s">
        <v>106</v>
      </c>
      <c r="B100" s="18" t="s">
        <v>1162</v>
      </c>
      <c r="C100" s="18">
        <v>250</v>
      </c>
      <c r="D100" s="10">
        <v>268</v>
      </c>
      <c r="E100" s="18"/>
      <c r="F100" s="9" t="str">
        <f t="shared" si="2"/>
        <v>HIGH PRESSURE SODIUM 70W (100)WOOD POLE2</v>
      </c>
      <c r="G100" s="10">
        <f t="shared" si="3"/>
        <v>910</v>
      </c>
      <c r="H100" s="7"/>
      <c r="I100" s="9">
        <v>910</v>
      </c>
      <c r="J100" s="154" t="s">
        <v>1044</v>
      </c>
      <c r="K100" s="154" t="s">
        <v>986</v>
      </c>
      <c r="L100" s="146">
        <v>2</v>
      </c>
      <c r="N100" s="25"/>
      <c r="O100" s="25"/>
      <c r="P100" s="25"/>
      <c r="Q100" s="25"/>
      <c r="R100" s="25"/>
      <c r="S100" s="25"/>
      <c r="T100" s="25"/>
      <c r="U100" s="25"/>
      <c r="V100" s="25"/>
      <c r="W100" s="25"/>
      <c r="X100" s="25"/>
      <c r="Y100" s="25"/>
    </row>
    <row r="101" spans="1:25" ht="22.5" x14ac:dyDescent="0.2">
      <c r="A101" s="9" t="s">
        <v>107</v>
      </c>
      <c r="B101" s="18" t="s">
        <v>1166</v>
      </c>
      <c r="C101" s="18">
        <v>400</v>
      </c>
      <c r="D101" s="10">
        <v>425</v>
      </c>
      <c r="E101" s="18"/>
      <c r="F101" s="9" t="str">
        <f t="shared" si="2"/>
        <v>HIGH PRESSURE SODIUM 70W (100)SHARED OR NO POLE4</v>
      </c>
      <c r="G101" s="10">
        <f t="shared" si="3"/>
        <v>920</v>
      </c>
      <c r="H101" s="7"/>
      <c r="I101" s="9">
        <v>920</v>
      </c>
      <c r="J101" s="154" t="s">
        <v>1044</v>
      </c>
      <c r="K101" s="154" t="s">
        <v>985</v>
      </c>
      <c r="L101" s="146">
        <v>4</v>
      </c>
      <c r="N101" s="25"/>
      <c r="O101" s="25"/>
      <c r="P101" s="25"/>
      <c r="Q101" s="25"/>
      <c r="R101" s="25"/>
      <c r="S101" s="25"/>
      <c r="T101" s="25"/>
      <c r="U101" s="25"/>
      <c r="V101" s="25"/>
      <c r="W101" s="25"/>
      <c r="X101" s="25"/>
      <c r="Y101" s="25"/>
    </row>
    <row r="102" spans="1:25" ht="22.5" x14ac:dyDescent="0.2">
      <c r="A102" s="9" t="s">
        <v>108</v>
      </c>
      <c r="B102" s="18" t="s">
        <v>1806</v>
      </c>
      <c r="C102" s="18" t="s">
        <v>1236</v>
      </c>
      <c r="D102" s="10">
        <f>2*D101</f>
        <v>850</v>
      </c>
      <c r="E102" s="18"/>
      <c r="F102" s="9" t="str">
        <f t="shared" si="2"/>
        <v>HIGH PRESSURE SODIUM 250W (210/220)WOOD POLE3</v>
      </c>
      <c r="G102" s="10">
        <f t="shared" si="3"/>
        <v>930</v>
      </c>
      <c r="H102" s="7"/>
      <c r="I102" s="9">
        <v>930</v>
      </c>
      <c r="J102" s="154" t="s">
        <v>1073</v>
      </c>
      <c r="K102" s="154" t="s">
        <v>986</v>
      </c>
      <c r="L102" s="146">
        <v>3</v>
      </c>
      <c r="N102" s="25"/>
      <c r="O102" s="25"/>
      <c r="P102" s="25"/>
      <c r="Q102" s="25"/>
      <c r="R102" s="25"/>
      <c r="S102" s="25"/>
      <c r="T102" s="25"/>
      <c r="U102" s="25"/>
      <c r="V102" s="25"/>
      <c r="W102" s="25"/>
      <c r="X102" s="25"/>
      <c r="Y102" s="25"/>
    </row>
    <row r="103" spans="1:25" ht="22.5" x14ac:dyDescent="0.2">
      <c r="A103" s="9" t="s">
        <v>109</v>
      </c>
      <c r="B103" s="18" t="s">
        <v>1168</v>
      </c>
      <c r="C103" s="18">
        <v>500</v>
      </c>
      <c r="D103" s="10">
        <v>525</v>
      </c>
      <c r="E103" s="18"/>
      <c r="F103" s="9" t="str">
        <f t="shared" si="2"/>
        <v>MERCURY VAPOUR 250W SHARED OR NO POLE2</v>
      </c>
      <c r="G103" s="10">
        <f t="shared" si="3"/>
        <v>940</v>
      </c>
      <c r="H103" s="7"/>
      <c r="I103" s="9">
        <v>940</v>
      </c>
      <c r="J103" s="154" t="s">
        <v>1178</v>
      </c>
      <c r="K103" s="154" t="s">
        <v>985</v>
      </c>
      <c r="L103" s="146">
        <v>2</v>
      </c>
      <c r="N103" s="25"/>
      <c r="O103" s="25"/>
      <c r="P103" s="25"/>
      <c r="Q103" s="25"/>
      <c r="R103" s="25"/>
      <c r="S103" s="25"/>
      <c r="T103" s="25"/>
      <c r="U103" s="25"/>
      <c r="V103" s="25"/>
      <c r="W103" s="25"/>
      <c r="X103" s="25"/>
      <c r="Y103" s="25"/>
    </row>
    <row r="104" spans="1:25" ht="22.5" x14ac:dyDescent="0.2">
      <c r="A104" s="9" t="s">
        <v>110</v>
      </c>
      <c r="B104" s="18" t="s">
        <v>1170</v>
      </c>
      <c r="C104" s="18">
        <v>1000</v>
      </c>
      <c r="D104" s="10">
        <v>1040</v>
      </c>
      <c r="E104" s="18"/>
      <c r="F104" s="9" t="str">
        <f t="shared" si="2"/>
        <v>MERCURY VAPOUR 400WSHARED OR NO POLE2</v>
      </c>
      <c r="G104" s="10">
        <f t="shared" si="3"/>
        <v>950</v>
      </c>
      <c r="H104" s="7"/>
      <c r="I104" s="9">
        <v>950</v>
      </c>
      <c r="J104" s="154" t="s">
        <v>1183</v>
      </c>
      <c r="K104" s="154" t="s">
        <v>985</v>
      </c>
      <c r="L104" s="146">
        <v>2</v>
      </c>
      <c r="N104" s="25"/>
      <c r="O104" s="25"/>
      <c r="P104" s="25"/>
      <c r="Q104" s="25"/>
      <c r="R104" s="25"/>
      <c r="S104" s="25"/>
      <c r="T104" s="25"/>
      <c r="U104" s="25"/>
      <c r="V104" s="25"/>
      <c r="W104" s="25"/>
      <c r="X104" s="25"/>
      <c r="Y104" s="25"/>
    </row>
    <row r="105" spans="1:25" ht="22.5" x14ac:dyDescent="0.2">
      <c r="A105" s="9" t="s">
        <v>111</v>
      </c>
      <c r="B105" s="18" t="s">
        <v>1807</v>
      </c>
      <c r="C105" s="18">
        <v>1500</v>
      </c>
      <c r="D105" s="10">
        <v>1560</v>
      </c>
      <c r="E105" s="18"/>
      <c r="F105" s="9" t="str">
        <f t="shared" si="2"/>
        <v>HIGH PRESSURE SODIUM 250W (210/220)SHARED OR NO POLE2</v>
      </c>
      <c r="G105" s="10">
        <f t="shared" si="3"/>
        <v>960</v>
      </c>
      <c r="H105" s="7"/>
      <c r="I105" s="9">
        <v>960</v>
      </c>
      <c r="J105" s="154" t="s">
        <v>1073</v>
      </c>
      <c r="K105" s="154" t="s">
        <v>985</v>
      </c>
      <c r="L105" s="146">
        <v>2</v>
      </c>
      <c r="N105" s="25"/>
      <c r="O105" s="25"/>
      <c r="P105" s="25"/>
      <c r="Q105" s="25"/>
      <c r="R105" s="25"/>
      <c r="S105" s="25"/>
      <c r="T105" s="25"/>
      <c r="U105" s="25"/>
      <c r="V105" s="25"/>
      <c r="W105" s="25"/>
      <c r="X105" s="25"/>
      <c r="Y105" s="25"/>
    </row>
    <row r="106" spans="1:25" ht="22.5" x14ac:dyDescent="0.2">
      <c r="A106" s="9" t="s">
        <v>112</v>
      </c>
      <c r="B106" s="18" t="s">
        <v>1808</v>
      </c>
      <c r="C106" s="18">
        <v>2000</v>
      </c>
      <c r="D106" s="10">
        <v>2070</v>
      </c>
      <c r="E106" s="18"/>
      <c r="F106" s="9" t="str">
        <f t="shared" si="2"/>
        <v>HIGH PRESSURE SODIUM 250W (210/220)SHARED OR NO POLE4</v>
      </c>
      <c r="G106" s="10">
        <f t="shared" si="3"/>
        <v>970</v>
      </c>
      <c r="H106" s="7"/>
      <c r="I106" s="9">
        <v>970</v>
      </c>
      <c r="J106" s="154" t="s">
        <v>1073</v>
      </c>
      <c r="K106" s="154" t="s">
        <v>985</v>
      </c>
      <c r="L106" s="146">
        <v>4</v>
      </c>
      <c r="N106" s="25"/>
      <c r="O106" s="25"/>
      <c r="P106" s="25"/>
      <c r="Q106" s="25"/>
      <c r="R106" s="25"/>
      <c r="S106" s="25"/>
      <c r="T106" s="25"/>
      <c r="U106" s="25"/>
      <c r="V106" s="25"/>
      <c r="W106" s="25"/>
      <c r="X106" s="25"/>
      <c r="Y106" s="25"/>
    </row>
    <row r="107" spans="1:25" ht="22.5" x14ac:dyDescent="0.2">
      <c r="A107" s="9" t="s">
        <v>113</v>
      </c>
      <c r="B107" s="18" t="s">
        <v>1809</v>
      </c>
      <c r="C107" s="18">
        <v>3745</v>
      </c>
      <c r="D107" s="10">
        <v>3745</v>
      </c>
      <c r="E107" s="18"/>
      <c r="F107" s="9" t="str">
        <f t="shared" si="2"/>
        <v>HIGH PRESSURE SODIUM 150WWOOD POLE2</v>
      </c>
      <c r="G107" s="10">
        <f t="shared" si="3"/>
        <v>980</v>
      </c>
      <c r="H107" s="7"/>
      <c r="I107" s="9">
        <v>980</v>
      </c>
      <c r="J107" s="154" t="s">
        <v>1067</v>
      </c>
      <c r="K107" s="154" t="s">
        <v>986</v>
      </c>
      <c r="L107" s="146">
        <v>2</v>
      </c>
      <c r="N107" s="25"/>
      <c r="O107" s="25"/>
      <c r="P107" s="25"/>
      <c r="Q107" s="25"/>
      <c r="R107" s="25"/>
      <c r="S107" s="25"/>
      <c r="T107" s="25"/>
      <c r="U107" s="25"/>
      <c r="V107" s="25"/>
      <c r="W107" s="25"/>
      <c r="X107" s="25"/>
      <c r="Y107" s="25"/>
    </row>
    <row r="108" spans="1:25" x14ac:dyDescent="0.2">
      <c r="A108" s="9" t="s">
        <v>114</v>
      </c>
      <c r="B108" s="18" t="s">
        <v>1171</v>
      </c>
      <c r="C108" s="18">
        <v>50</v>
      </c>
      <c r="D108" s="10">
        <v>65</v>
      </c>
      <c r="E108" s="18"/>
      <c r="F108" s="9" t="str">
        <f t="shared" si="2"/>
        <v>MERCURY VAPOUR 80WSTEEL POLE1</v>
      </c>
      <c r="G108" s="10">
        <f t="shared" si="3"/>
        <v>990</v>
      </c>
      <c r="H108" s="7"/>
      <c r="I108" s="9">
        <v>990</v>
      </c>
      <c r="J108" s="154" t="s">
        <v>993</v>
      </c>
      <c r="K108" s="154" t="s">
        <v>987</v>
      </c>
      <c r="L108" s="146">
        <v>1</v>
      </c>
      <c r="N108" s="25"/>
      <c r="O108" s="25"/>
      <c r="P108" s="25"/>
      <c r="Q108" s="25"/>
      <c r="R108" s="25"/>
      <c r="S108" s="25"/>
      <c r="T108" s="25"/>
      <c r="U108" s="25"/>
      <c r="V108" s="25"/>
      <c r="W108" s="25"/>
      <c r="X108" s="25"/>
      <c r="Y108" s="25"/>
    </row>
    <row r="109" spans="1:25" x14ac:dyDescent="0.2">
      <c r="A109" s="9" t="s">
        <v>115</v>
      </c>
      <c r="B109" s="18" t="s">
        <v>1173</v>
      </c>
      <c r="C109" s="18">
        <v>80</v>
      </c>
      <c r="D109" s="10">
        <v>95.8</v>
      </c>
      <c r="E109" s="18"/>
      <c r="F109" s="9" t="str">
        <f t="shared" si="2"/>
        <v>MERCURY VAPOUR 80WSTEEL POLE2</v>
      </c>
      <c r="G109" s="10">
        <f t="shared" si="3"/>
        <v>1000</v>
      </c>
      <c r="H109" s="7"/>
      <c r="I109" s="9">
        <v>1000</v>
      </c>
      <c r="J109" s="154" t="s">
        <v>993</v>
      </c>
      <c r="K109" s="154" t="s">
        <v>987</v>
      </c>
      <c r="L109" s="146">
        <v>2</v>
      </c>
      <c r="N109" s="25"/>
      <c r="O109" s="25"/>
      <c r="P109" s="25"/>
      <c r="Q109" s="25"/>
      <c r="R109" s="25"/>
      <c r="S109" s="25"/>
      <c r="T109" s="25"/>
      <c r="U109" s="25"/>
      <c r="V109" s="25"/>
      <c r="W109" s="25"/>
      <c r="X109" s="25"/>
      <c r="Y109" s="25"/>
    </row>
    <row r="110" spans="1:25" x14ac:dyDescent="0.2">
      <c r="A110" s="9" t="s">
        <v>116</v>
      </c>
      <c r="B110" s="18" t="s">
        <v>1810</v>
      </c>
      <c r="C110" s="18" t="s">
        <v>1214</v>
      </c>
      <c r="D110" s="10">
        <f>2*+D109</f>
        <v>191.6</v>
      </c>
      <c r="E110" s="18"/>
      <c r="F110" s="9" t="str">
        <f t="shared" si="2"/>
        <v>HIGH PRESSURE SODIUM 150WSHARED OR NO POLE2</v>
      </c>
      <c r="G110" s="10">
        <f t="shared" si="3"/>
        <v>1010</v>
      </c>
      <c r="H110" s="7"/>
      <c r="I110" s="9">
        <v>1010</v>
      </c>
      <c r="J110" s="154" t="s">
        <v>1067</v>
      </c>
      <c r="K110" s="154" t="s">
        <v>985</v>
      </c>
      <c r="L110" s="146">
        <v>2</v>
      </c>
      <c r="N110" s="25"/>
      <c r="O110" s="25"/>
      <c r="P110" s="25"/>
      <c r="Q110" s="25"/>
      <c r="R110" s="25"/>
      <c r="S110" s="25"/>
      <c r="T110" s="25"/>
      <c r="U110" s="25"/>
      <c r="V110" s="25"/>
      <c r="W110" s="25"/>
      <c r="X110" s="25"/>
      <c r="Y110" s="25"/>
    </row>
    <row r="111" spans="1:25" x14ac:dyDescent="0.2">
      <c r="A111" s="9" t="s">
        <v>117</v>
      </c>
      <c r="B111" s="18" t="s">
        <v>1811</v>
      </c>
      <c r="C111" s="18" t="s">
        <v>1215</v>
      </c>
      <c r="D111" s="10">
        <f>3*D109</f>
        <v>287.39999999999998</v>
      </c>
      <c r="E111" s="18"/>
      <c r="F111" s="9" t="str">
        <f t="shared" si="2"/>
        <v>HIGH PRESSURE SODIUM 250W (210/220)SHARED OR NO POLE3</v>
      </c>
      <c r="G111" s="10">
        <f t="shared" si="3"/>
        <v>1020</v>
      </c>
      <c r="H111" s="7"/>
      <c r="I111" s="9">
        <v>1020</v>
      </c>
      <c r="J111" s="154" t="s">
        <v>1073</v>
      </c>
      <c r="K111" s="154" t="s">
        <v>985</v>
      </c>
      <c r="L111" s="146">
        <v>3</v>
      </c>
      <c r="N111" s="25"/>
      <c r="O111" s="25"/>
      <c r="P111" s="25"/>
      <c r="Q111" s="25"/>
      <c r="R111" s="25"/>
      <c r="S111" s="25"/>
      <c r="T111" s="25"/>
      <c r="U111" s="25"/>
      <c r="V111" s="25"/>
      <c r="W111" s="25"/>
      <c r="X111" s="25"/>
      <c r="Y111" s="25"/>
    </row>
    <row r="112" spans="1:25" x14ac:dyDescent="0.2">
      <c r="A112" s="9" t="s">
        <v>118</v>
      </c>
      <c r="B112" s="18" t="s">
        <v>1812</v>
      </c>
      <c r="C112" s="18" t="s">
        <v>1217</v>
      </c>
      <c r="D112" s="10">
        <f>4*D109</f>
        <v>383.2</v>
      </c>
      <c r="E112" s="18"/>
      <c r="F112" s="9" t="str">
        <f t="shared" si="2"/>
        <v>HIGH PRESSURE SODIUM 400W (310/360)SHARED OR NO POLE2</v>
      </c>
      <c r="G112" s="10">
        <f t="shared" si="3"/>
        <v>1030</v>
      </c>
      <c r="H112" s="7"/>
      <c r="I112" s="9">
        <v>1030</v>
      </c>
      <c r="J112" s="154" t="s">
        <v>1086</v>
      </c>
      <c r="K112" s="154" t="s">
        <v>985</v>
      </c>
      <c r="L112" s="146">
        <v>2</v>
      </c>
      <c r="N112" s="25"/>
      <c r="O112" s="25"/>
      <c r="P112" s="25"/>
      <c r="Q112" s="25"/>
      <c r="R112" s="25"/>
      <c r="S112" s="25"/>
      <c r="T112" s="25"/>
      <c r="U112" s="25"/>
      <c r="V112" s="25"/>
      <c r="W112" s="25"/>
      <c r="X112" s="25"/>
      <c r="Y112" s="25"/>
    </row>
    <row r="113" spans="1:25" x14ac:dyDescent="0.2">
      <c r="A113" s="9" t="s">
        <v>119</v>
      </c>
      <c r="B113" s="18" t="s">
        <v>1813</v>
      </c>
      <c r="C113" s="18" t="s">
        <v>1221</v>
      </c>
      <c r="D113" s="10">
        <f>6*D109</f>
        <v>574.79999999999995</v>
      </c>
      <c r="E113" s="18"/>
      <c r="F113" s="9" t="str">
        <f t="shared" si="2"/>
        <v>METAL HALIDE 1000W FLOODLIGHT SHARED OR NO POLE2</v>
      </c>
      <c r="G113" s="10">
        <f t="shared" si="3"/>
        <v>1040</v>
      </c>
      <c r="H113" s="7"/>
      <c r="I113" s="9">
        <v>1040</v>
      </c>
      <c r="J113" s="154" t="s">
        <v>1107</v>
      </c>
      <c r="K113" s="154" t="s">
        <v>985</v>
      </c>
      <c r="L113" s="146">
        <v>2</v>
      </c>
      <c r="N113" s="25"/>
      <c r="O113" s="25"/>
      <c r="P113" s="25"/>
      <c r="Q113" s="25"/>
      <c r="R113" s="25"/>
      <c r="S113" s="25"/>
      <c r="T113" s="25"/>
      <c r="U113" s="25"/>
      <c r="V113" s="25"/>
      <c r="W113" s="25"/>
      <c r="X113" s="25"/>
      <c r="Y113" s="25"/>
    </row>
    <row r="114" spans="1:25" x14ac:dyDescent="0.2">
      <c r="A114" s="9" t="s">
        <v>120</v>
      </c>
      <c r="B114" s="18" t="s">
        <v>1814</v>
      </c>
      <c r="C114" s="18" t="s">
        <v>1815</v>
      </c>
      <c r="D114" s="10">
        <f>7*D109</f>
        <v>670.6</v>
      </c>
      <c r="E114" s="18"/>
      <c r="F114" s="9" t="str">
        <f t="shared" si="2"/>
        <v>METAL HALIDE 1000W FLOODLIGHT R/BOUT COLUMN4</v>
      </c>
      <c r="G114" s="10">
        <f t="shared" si="3"/>
        <v>1050</v>
      </c>
      <c r="H114" s="7"/>
      <c r="I114" s="9">
        <v>1050</v>
      </c>
      <c r="J114" s="154" t="s">
        <v>1107</v>
      </c>
      <c r="K114" s="154" t="s">
        <v>313</v>
      </c>
      <c r="L114" s="146">
        <v>4</v>
      </c>
      <c r="N114" s="25"/>
      <c r="O114" s="25"/>
      <c r="P114" s="25"/>
      <c r="Q114" s="25"/>
      <c r="R114" s="25"/>
      <c r="S114" s="25"/>
      <c r="T114" s="25"/>
      <c r="U114" s="25"/>
      <c r="V114" s="25"/>
      <c r="W114" s="25"/>
      <c r="X114" s="25"/>
      <c r="Y114" s="25"/>
    </row>
    <row r="115" spans="1:25" x14ac:dyDescent="0.2">
      <c r="A115" s="9" t="s">
        <v>121</v>
      </c>
      <c r="B115" s="18" t="s">
        <v>1175</v>
      </c>
      <c r="C115" s="18">
        <v>125</v>
      </c>
      <c r="D115" s="10">
        <v>142</v>
      </c>
      <c r="E115" s="18"/>
      <c r="F115" s="9" t="str">
        <f t="shared" si="2"/>
        <v>HIGH PRESSURE SODIUM 400W (310/360)WOOD POLE4</v>
      </c>
      <c r="G115" s="10">
        <f t="shared" si="3"/>
        <v>1060</v>
      </c>
      <c r="H115" s="7"/>
      <c r="I115" s="9">
        <v>1060</v>
      </c>
      <c r="J115" s="154" t="s">
        <v>1086</v>
      </c>
      <c r="K115" s="154" t="s">
        <v>986</v>
      </c>
      <c r="L115" s="146">
        <v>4</v>
      </c>
      <c r="N115" s="25"/>
      <c r="O115" s="25"/>
      <c r="P115" s="25"/>
      <c r="Q115" s="25"/>
      <c r="R115" s="25"/>
      <c r="S115" s="25"/>
      <c r="T115" s="25"/>
      <c r="U115" s="25"/>
      <c r="V115" s="25"/>
      <c r="W115" s="25"/>
      <c r="X115" s="25"/>
      <c r="Y115" s="25"/>
    </row>
    <row r="116" spans="1:25" x14ac:dyDescent="0.2">
      <c r="A116" s="9" t="s">
        <v>122</v>
      </c>
      <c r="B116" s="18" t="s">
        <v>1820</v>
      </c>
      <c r="C116" s="18" t="s">
        <v>1042</v>
      </c>
      <c r="D116" s="10">
        <f>2*D115</f>
        <v>284</v>
      </c>
      <c r="E116" s="18"/>
      <c r="F116" s="9" t="str">
        <f t="shared" si="2"/>
        <v>METAL HALIDE/HPS 250W FLOOD (210/220)WOOD POLE1</v>
      </c>
      <c r="G116" s="10">
        <f t="shared" si="3"/>
        <v>1070</v>
      </c>
      <c r="H116" s="7"/>
      <c r="I116" s="9">
        <v>1070</v>
      </c>
      <c r="J116" s="154" t="s">
        <v>1076</v>
      </c>
      <c r="K116" s="154" t="s">
        <v>986</v>
      </c>
      <c r="L116" s="146">
        <v>1</v>
      </c>
      <c r="N116" s="25"/>
      <c r="O116" s="25"/>
      <c r="P116" s="25"/>
      <c r="Q116" s="25"/>
      <c r="R116" s="25"/>
      <c r="S116" s="25"/>
      <c r="T116" s="25"/>
      <c r="U116" s="25"/>
      <c r="V116" s="25"/>
      <c r="W116" s="25"/>
      <c r="X116" s="25"/>
      <c r="Y116" s="25"/>
    </row>
    <row r="117" spans="1:25" x14ac:dyDescent="0.2">
      <c r="A117" s="9" t="s">
        <v>123</v>
      </c>
      <c r="B117" s="18" t="s">
        <v>1821</v>
      </c>
      <c r="C117" s="18" t="s">
        <v>1822</v>
      </c>
      <c r="D117" s="10">
        <f>3*D115</f>
        <v>426</v>
      </c>
      <c r="E117" s="18"/>
      <c r="F117" s="9" t="str">
        <f t="shared" si="2"/>
        <v>METAL HALIDE/HPS 400W FLOOD (310/360)WOOD POLE1</v>
      </c>
      <c r="G117" s="10">
        <f t="shared" si="3"/>
        <v>1100</v>
      </c>
      <c r="H117" s="7"/>
      <c r="I117" s="9">
        <v>1100</v>
      </c>
      <c r="J117" s="154" t="s">
        <v>1092</v>
      </c>
      <c r="K117" s="154" t="s">
        <v>986</v>
      </c>
      <c r="L117" s="146">
        <v>1</v>
      </c>
      <c r="N117" s="25"/>
      <c r="O117" s="25"/>
      <c r="P117" s="25"/>
      <c r="Q117" s="25"/>
      <c r="R117" s="25"/>
      <c r="S117" s="25"/>
      <c r="T117" s="25"/>
      <c r="U117" s="25"/>
      <c r="V117" s="25"/>
      <c r="W117" s="25"/>
      <c r="X117" s="25"/>
      <c r="Y117" s="25"/>
    </row>
    <row r="118" spans="1:25" x14ac:dyDescent="0.2">
      <c r="A118" s="9" t="s">
        <v>124</v>
      </c>
      <c r="B118" s="18" t="s">
        <v>1823</v>
      </c>
      <c r="C118" s="18" t="s">
        <v>1824</v>
      </c>
      <c r="D118" s="10">
        <f>6*D115</f>
        <v>852</v>
      </c>
      <c r="E118" s="18"/>
      <c r="F118" s="9" t="str">
        <f t="shared" si="2"/>
        <v>METAL HALIDE/HPS 250W FLOOD (210/220)WOOD POLE1</v>
      </c>
      <c r="G118" s="10">
        <f t="shared" si="3"/>
        <v>1070</v>
      </c>
      <c r="H118" s="7"/>
      <c r="I118" s="9">
        <v>1070</v>
      </c>
      <c r="J118" s="154" t="s">
        <v>1076</v>
      </c>
      <c r="K118" s="154" t="s">
        <v>986</v>
      </c>
      <c r="L118" s="146">
        <v>1</v>
      </c>
      <c r="N118" s="25"/>
      <c r="O118" s="25"/>
      <c r="P118" s="25"/>
      <c r="Q118" s="25"/>
      <c r="R118" s="25"/>
      <c r="S118" s="25"/>
      <c r="T118" s="25"/>
      <c r="U118" s="25"/>
      <c r="V118" s="25"/>
      <c r="W118" s="25"/>
      <c r="X118" s="25"/>
      <c r="Y118" s="25"/>
    </row>
    <row r="119" spans="1:25" x14ac:dyDescent="0.2">
      <c r="A119" s="9" t="s">
        <v>125</v>
      </c>
      <c r="B119" s="18" t="s">
        <v>1177</v>
      </c>
      <c r="C119" s="18">
        <v>160</v>
      </c>
      <c r="D119" s="10">
        <v>175</v>
      </c>
      <c r="E119" s="18"/>
      <c r="F119" s="9" t="str">
        <f t="shared" si="2"/>
        <v>METAL HALIDE/HPS 400W FLOOD (310/360)WOOD POLE1</v>
      </c>
      <c r="G119" s="10">
        <f t="shared" si="3"/>
        <v>1100</v>
      </c>
      <c r="H119" s="7"/>
      <c r="I119" s="9">
        <v>1100</v>
      </c>
      <c r="J119" s="154" t="s">
        <v>1092</v>
      </c>
      <c r="K119" s="154" t="s">
        <v>986</v>
      </c>
      <c r="L119" s="146">
        <v>1</v>
      </c>
      <c r="N119" s="25"/>
      <c r="O119" s="25"/>
      <c r="P119" s="25"/>
      <c r="Q119" s="25"/>
      <c r="R119" s="25"/>
      <c r="S119" s="25"/>
      <c r="T119" s="25"/>
      <c r="U119" s="25"/>
      <c r="V119" s="25"/>
      <c r="W119" s="25"/>
      <c r="X119" s="25"/>
      <c r="Y119" s="25"/>
    </row>
    <row r="120" spans="1:25" x14ac:dyDescent="0.2">
      <c r="A120" s="9" t="s">
        <v>126</v>
      </c>
      <c r="B120" s="18" t="s">
        <v>1825</v>
      </c>
      <c r="C120" s="18" t="s">
        <v>1826</v>
      </c>
      <c r="D120" s="10">
        <f>2*D119</f>
        <v>350</v>
      </c>
      <c r="E120" s="18"/>
      <c r="F120" s="9" t="str">
        <f t="shared" si="2"/>
        <v>METAL HALIDE 1000W FLOODLIGHT WOOD POLE1</v>
      </c>
      <c r="G120" s="10">
        <f t="shared" si="3"/>
        <v>1110</v>
      </c>
      <c r="H120" s="7"/>
      <c r="I120" s="9">
        <v>1110</v>
      </c>
      <c r="J120" s="154" t="s">
        <v>1107</v>
      </c>
      <c r="K120" s="154" t="s">
        <v>986</v>
      </c>
      <c r="L120" s="146">
        <v>1</v>
      </c>
      <c r="N120" s="25"/>
      <c r="O120" s="25"/>
      <c r="P120" s="25"/>
      <c r="Q120" s="25"/>
      <c r="R120" s="25"/>
      <c r="S120" s="25"/>
      <c r="T120" s="25"/>
      <c r="U120" s="25"/>
      <c r="V120" s="25"/>
      <c r="W120" s="25"/>
      <c r="X120" s="25"/>
      <c r="Y120" s="25"/>
    </row>
    <row r="121" spans="1:25" x14ac:dyDescent="0.2">
      <c r="A121" s="9" t="s">
        <v>127</v>
      </c>
      <c r="B121" s="18" t="s">
        <v>1827</v>
      </c>
      <c r="C121" s="18" t="s">
        <v>1828</v>
      </c>
      <c r="D121" s="10">
        <f>3*D119</f>
        <v>525</v>
      </c>
      <c r="E121" s="18"/>
      <c r="F121" s="9" t="str">
        <f t="shared" si="2"/>
        <v>METAL HALIDE/HPS 250W FLOOD (210/220)STEEL POLE1</v>
      </c>
      <c r="G121" s="10">
        <f t="shared" si="3"/>
        <v>1120</v>
      </c>
      <c r="H121" s="7"/>
      <c r="I121" s="9">
        <v>1120</v>
      </c>
      <c r="J121" s="154" t="s">
        <v>1076</v>
      </c>
      <c r="K121" s="154" t="s">
        <v>987</v>
      </c>
      <c r="L121" s="146">
        <v>1</v>
      </c>
      <c r="N121" s="25"/>
      <c r="O121" s="25"/>
      <c r="P121" s="25"/>
      <c r="Q121" s="25"/>
      <c r="R121" s="25"/>
      <c r="S121" s="25"/>
      <c r="T121" s="25"/>
      <c r="U121" s="25"/>
      <c r="V121" s="25"/>
      <c r="W121" s="25"/>
      <c r="X121" s="25"/>
      <c r="Y121" s="25"/>
    </row>
    <row r="122" spans="1:25" x14ac:dyDescent="0.2">
      <c r="A122" s="9" t="s">
        <v>128</v>
      </c>
      <c r="B122" s="18" t="s">
        <v>1829</v>
      </c>
      <c r="C122" s="18" t="s">
        <v>1830</v>
      </c>
      <c r="D122" s="10">
        <f>6*D119</f>
        <v>1050</v>
      </c>
      <c r="E122" s="18"/>
      <c r="F122" s="9" t="str">
        <f t="shared" si="2"/>
        <v>METAL HALIDE/HPS 400W FLOOD (310/360)STEEL POLE2</v>
      </c>
      <c r="G122" s="10">
        <f t="shared" si="3"/>
        <v>1130</v>
      </c>
      <c r="H122" s="7"/>
      <c r="I122" s="9">
        <v>1130</v>
      </c>
      <c r="J122" s="154" t="s">
        <v>1092</v>
      </c>
      <c r="K122" s="154" t="s">
        <v>987</v>
      </c>
      <c r="L122" s="146">
        <v>2</v>
      </c>
      <c r="N122" s="25"/>
      <c r="O122" s="25"/>
      <c r="P122" s="25"/>
      <c r="Q122" s="25"/>
      <c r="R122" s="25"/>
      <c r="S122" s="25"/>
      <c r="T122" s="25"/>
      <c r="U122" s="25"/>
      <c r="V122" s="25"/>
      <c r="W122" s="25"/>
      <c r="X122" s="25"/>
      <c r="Y122" s="25"/>
    </row>
    <row r="123" spans="1:25" x14ac:dyDescent="0.2">
      <c r="A123" s="9" t="s">
        <v>129</v>
      </c>
      <c r="B123" s="18" t="s">
        <v>1831</v>
      </c>
      <c r="C123" s="18" t="s">
        <v>1832</v>
      </c>
      <c r="D123" s="10">
        <f>9*D119</f>
        <v>1575</v>
      </c>
      <c r="E123" s="18"/>
      <c r="F123" s="9" t="str">
        <f t="shared" si="2"/>
        <v>METAL HALIDE/HPS 250W FLOOD (210/220)STEEL POLE2</v>
      </c>
      <c r="G123" s="10">
        <f t="shared" si="3"/>
        <v>1140</v>
      </c>
      <c r="H123" s="7"/>
      <c r="I123" s="9">
        <v>1140</v>
      </c>
      <c r="J123" s="154" t="s">
        <v>1076</v>
      </c>
      <c r="K123" s="154" t="s">
        <v>987</v>
      </c>
      <c r="L123" s="146">
        <v>2</v>
      </c>
      <c r="N123" s="25"/>
      <c r="O123" s="25"/>
      <c r="P123" s="25"/>
      <c r="Q123" s="25"/>
      <c r="R123" s="25"/>
      <c r="S123" s="25"/>
      <c r="T123" s="25"/>
      <c r="U123" s="25"/>
      <c r="V123" s="25"/>
      <c r="W123" s="25"/>
      <c r="X123" s="25"/>
      <c r="Y123" s="25"/>
    </row>
    <row r="124" spans="1:25" x14ac:dyDescent="0.2">
      <c r="A124" s="9" t="s">
        <v>130</v>
      </c>
      <c r="B124" s="18" t="s">
        <v>1180</v>
      </c>
      <c r="C124" s="18">
        <v>175</v>
      </c>
      <c r="D124" s="10">
        <v>195</v>
      </c>
      <c r="E124" s="18"/>
      <c r="F124" s="9" t="str">
        <f t="shared" si="2"/>
        <v>METAL HALIDE/HPS 250W FLOOD (210/220)STEEL POLE3</v>
      </c>
      <c r="G124" s="10">
        <f t="shared" si="3"/>
        <v>1150</v>
      </c>
      <c r="H124" s="7"/>
      <c r="I124" s="9">
        <v>1150</v>
      </c>
      <c r="J124" s="154" t="s">
        <v>1076</v>
      </c>
      <c r="K124" s="154" t="s">
        <v>987</v>
      </c>
      <c r="L124" s="146">
        <v>3</v>
      </c>
      <c r="N124" s="25"/>
      <c r="O124" s="25"/>
      <c r="P124" s="25"/>
      <c r="Q124" s="25"/>
      <c r="R124" s="25"/>
      <c r="S124" s="25"/>
      <c r="T124" s="25"/>
      <c r="U124" s="25"/>
      <c r="V124" s="25"/>
      <c r="W124" s="25"/>
      <c r="X124" s="25"/>
      <c r="Y124" s="25"/>
    </row>
    <row r="125" spans="1:25" x14ac:dyDescent="0.2">
      <c r="A125" s="9" t="s">
        <v>131</v>
      </c>
      <c r="B125" s="18" t="s">
        <v>1833</v>
      </c>
      <c r="C125" s="18" t="s">
        <v>1834</v>
      </c>
      <c r="D125" s="10">
        <f>2*D124</f>
        <v>390</v>
      </c>
      <c r="E125" s="18"/>
      <c r="F125" s="9" t="str">
        <f t="shared" si="2"/>
        <v>METAL HALIDE/HPS 250W FLOOD (210/220)WOOD POLE2</v>
      </c>
      <c r="G125" s="10">
        <f t="shared" si="3"/>
        <v>1160</v>
      </c>
      <c r="H125" s="7"/>
      <c r="I125" s="9">
        <v>1160</v>
      </c>
      <c r="J125" s="154" t="s">
        <v>1076</v>
      </c>
      <c r="K125" s="154" t="s">
        <v>986</v>
      </c>
      <c r="L125" s="146">
        <v>2</v>
      </c>
      <c r="N125" s="25"/>
      <c r="O125" s="25"/>
      <c r="P125" s="25"/>
      <c r="Q125" s="25"/>
      <c r="R125" s="25"/>
      <c r="S125" s="25"/>
      <c r="T125" s="25"/>
      <c r="U125" s="25"/>
      <c r="V125" s="25"/>
      <c r="W125" s="25"/>
      <c r="X125" s="25"/>
      <c r="Y125" s="25"/>
    </row>
    <row r="126" spans="1:25" x14ac:dyDescent="0.2">
      <c r="A126" s="9" t="s">
        <v>132</v>
      </c>
      <c r="B126" s="18" t="s">
        <v>1182</v>
      </c>
      <c r="C126" s="18">
        <v>250</v>
      </c>
      <c r="D126" s="10">
        <v>270</v>
      </c>
      <c r="E126" s="18"/>
      <c r="F126" s="9" t="str">
        <f t="shared" si="2"/>
        <v>METAL HALIDE/HPS 400W FLOOD (310/360)STEEL POLE1</v>
      </c>
      <c r="G126" s="10">
        <f t="shared" si="3"/>
        <v>1170</v>
      </c>
      <c r="H126" s="7"/>
      <c r="I126" s="9">
        <v>1170</v>
      </c>
      <c r="J126" s="154" t="s">
        <v>1092</v>
      </c>
      <c r="K126" s="154" t="s">
        <v>987</v>
      </c>
      <c r="L126" s="146">
        <v>1</v>
      </c>
      <c r="N126" s="25"/>
      <c r="O126" s="25"/>
      <c r="P126" s="25"/>
      <c r="Q126" s="25"/>
      <c r="R126" s="25"/>
      <c r="S126" s="25"/>
      <c r="T126" s="25"/>
      <c r="U126" s="25"/>
      <c r="V126" s="25"/>
      <c r="W126" s="25"/>
      <c r="X126" s="25"/>
      <c r="Y126" s="25"/>
    </row>
    <row r="127" spans="1:25" x14ac:dyDescent="0.2">
      <c r="A127" s="9" t="s">
        <v>133</v>
      </c>
      <c r="B127" s="18" t="s">
        <v>1835</v>
      </c>
      <c r="C127" s="18" t="s">
        <v>1083</v>
      </c>
      <c r="D127" s="10">
        <f>2*D126</f>
        <v>540</v>
      </c>
      <c r="E127" s="18"/>
      <c r="F127" s="9" t="str">
        <f t="shared" si="2"/>
        <v>HIGH PRESSURE SODIUM 70W TWIN ARCSHARED OR NO POLE2</v>
      </c>
      <c r="G127" s="10">
        <f t="shared" si="3"/>
        <v>1180</v>
      </c>
      <c r="H127" s="7"/>
      <c r="I127" s="9">
        <v>1180</v>
      </c>
      <c r="J127" s="154" t="s">
        <v>1059</v>
      </c>
      <c r="K127" s="154" t="s">
        <v>985</v>
      </c>
      <c r="L127" s="146">
        <v>2</v>
      </c>
      <c r="N127" s="25"/>
      <c r="O127" s="25"/>
      <c r="P127" s="25"/>
      <c r="Q127" s="25"/>
      <c r="R127" s="25"/>
      <c r="S127" s="25"/>
      <c r="T127" s="25"/>
      <c r="U127" s="25"/>
      <c r="V127" s="25"/>
      <c r="W127" s="25"/>
      <c r="X127" s="25"/>
      <c r="Y127" s="25"/>
    </row>
    <row r="128" spans="1:25" x14ac:dyDescent="0.2">
      <c r="A128" s="9" t="s">
        <v>134</v>
      </c>
      <c r="B128" s="18" t="s">
        <v>1836</v>
      </c>
      <c r="C128" s="18" t="s">
        <v>1837</v>
      </c>
      <c r="D128" s="10">
        <f>3*D126</f>
        <v>810</v>
      </c>
      <c r="E128" s="18"/>
      <c r="F128" s="9" t="str">
        <f t="shared" si="2"/>
        <v>HIGH PRESSURE SODIUM 70W TWIN ARCSHARED OR NO POLE3</v>
      </c>
      <c r="G128" s="10">
        <f t="shared" si="3"/>
        <v>1190</v>
      </c>
      <c r="H128" s="7"/>
      <c r="I128" s="9">
        <v>1190</v>
      </c>
      <c r="J128" s="154" t="s">
        <v>1059</v>
      </c>
      <c r="K128" s="154" t="s">
        <v>985</v>
      </c>
      <c r="L128" s="146">
        <v>3</v>
      </c>
      <c r="N128" s="25"/>
      <c r="O128" s="25"/>
      <c r="P128" s="25"/>
      <c r="Q128" s="25"/>
      <c r="R128" s="25"/>
      <c r="S128" s="25"/>
      <c r="T128" s="25"/>
      <c r="U128" s="25"/>
      <c r="V128" s="25"/>
      <c r="W128" s="25"/>
      <c r="X128" s="25"/>
      <c r="Y128" s="25"/>
    </row>
    <row r="129" spans="1:25" x14ac:dyDescent="0.2">
      <c r="A129" s="9" t="s">
        <v>135</v>
      </c>
      <c r="B129" s="18" t="s">
        <v>1185</v>
      </c>
      <c r="C129" s="18">
        <v>400</v>
      </c>
      <c r="D129" s="10">
        <v>430</v>
      </c>
      <c r="E129" s="18"/>
      <c r="F129" s="9" t="str">
        <f t="shared" si="2"/>
        <v>HIGH PRESSURE SODIUM 70W TWIN ARCSHARED OR NO POLE4</v>
      </c>
      <c r="G129" s="10">
        <f t="shared" si="3"/>
        <v>1200</v>
      </c>
      <c r="H129" s="7"/>
      <c r="I129" s="9">
        <v>1200</v>
      </c>
      <c r="J129" s="154" t="s">
        <v>1059</v>
      </c>
      <c r="K129" s="154" t="s">
        <v>985</v>
      </c>
      <c r="L129" s="146">
        <v>4</v>
      </c>
      <c r="N129" s="25"/>
      <c r="O129" s="25"/>
      <c r="P129" s="25"/>
      <c r="Q129" s="25"/>
      <c r="R129" s="25"/>
      <c r="S129" s="25"/>
      <c r="T129" s="25"/>
      <c r="U129" s="25"/>
      <c r="V129" s="25"/>
      <c r="W129" s="25"/>
      <c r="X129" s="25"/>
      <c r="Y129" s="25"/>
    </row>
    <row r="130" spans="1:25" x14ac:dyDescent="0.2">
      <c r="A130" s="9" t="s">
        <v>136</v>
      </c>
      <c r="B130" s="18" t="s">
        <v>1838</v>
      </c>
      <c r="C130" s="18" t="s">
        <v>1236</v>
      </c>
      <c r="D130" s="10">
        <f>2*D129</f>
        <v>860</v>
      </c>
      <c r="E130" s="18"/>
      <c r="F130" s="9" t="str">
        <f t="shared" si="2"/>
        <v>HIGH PRESSURE SODIUM 70W TWIN ARCWOOD POLE2</v>
      </c>
      <c r="G130" s="10">
        <f t="shared" si="3"/>
        <v>1210</v>
      </c>
      <c r="H130" s="7"/>
      <c r="I130" s="9">
        <v>1210</v>
      </c>
      <c r="J130" s="154" t="s">
        <v>1059</v>
      </c>
      <c r="K130" s="154" t="s">
        <v>986</v>
      </c>
      <c r="L130" s="146">
        <v>2</v>
      </c>
      <c r="N130" s="25"/>
      <c r="O130" s="25"/>
      <c r="P130" s="25"/>
      <c r="Q130" s="25"/>
      <c r="R130" s="25"/>
      <c r="S130" s="25"/>
      <c r="T130" s="25"/>
      <c r="U130" s="25"/>
      <c r="V130" s="25"/>
      <c r="W130" s="25"/>
      <c r="X130" s="25"/>
      <c r="Y130" s="25"/>
    </row>
    <row r="131" spans="1:25" x14ac:dyDescent="0.2">
      <c r="A131" s="9" t="s">
        <v>137</v>
      </c>
      <c r="B131" s="18" t="s">
        <v>1839</v>
      </c>
      <c r="C131" s="18" t="s">
        <v>1237</v>
      </c>
      <c r="D131" s="10">
        <f>3*D129</f>
        <v>1290</v>
      </c>
      <c r="E131" s="18"/>
      <c r="F131" s="9" t="str">
        <f t="shared" si="2"/>
        <v>HIGH PRESSURE SODIUM 70W TWIN ARCSTEEL POLE2</v>
      </c>
      <c r="G131" s="10">
        <f t="shared" si="3"/>
        <v>1220</v>
      </c>
      <c r="H131" s="7"/>
      <c r="I131" s="9">
        <v>1220</v>
      </c>
      <c r="J131" s="154" t="s">
        <v>1059</v>
      </c>
      <c r="K131" s="154" t="s">
        <v>987</v>
      </c>
      <c r="L131" s="146">
        <v>2</v>
      </c>
      <c r="N131" s="25"/>
      <c r="O131" s="25"/>
      <c r="P131" s="25"/>
      <c r="Q131" s="25"/>
      <c r="R131" s="25"/>
      <c r="S131" s="25"/>
      <c r="T131" s="25"/>
      <c r="U131" s="25"/>
      <c r="V131" s="25"/>
      <c r="W131" s="25"/>
      <c r="X131" s="25"/>
      <c r="Y131" s="25"/>
    </row>
    <row r="132" spans="1:25" x14ac:dyDescent="0.2">
      <c r="A132" s="9" t="s">
        <v>138</v>
      </c>
      <c r="B132" s="18" t="s">
        <v>1187</v>
      </c>
      <c r="C132" s="18">
        <v>500</v>
      </c>
      <c r="D132" s="10">
        <v>530</v>
      </c>
      <c r="E132" s="18"/>
      <c r="F132" s="9" t="str">
        <f t="shared" si="2"/>
        <v>HIGH PRESSURE SODIUM 70W TWIN ARCSTEEL POLE3</v>
      </c>
      <c r="G132" s="10">
        <f t="shared" si="3"/>
        <v>1230</v>
      </c>
      <c r="H132" s="7"/>
      <c r="I132" s="9">
        <v>1230</v>
      </c>
      <c r="J132" s="154" t="s">
        <v>1059</v>
      </c>
      <c r="K132" s="154" t="s">
        <v>987</v>
      </c>
      <c r="L132" s="146">
        <v>3</v>
      </c>
      <c r="N132" s="25"/>
      <c r="O132" s="25"/>
      <c r="P132" s="25"/>
      <c r="Q132" s="25"/>
      <c r="R132" s="25"/>
      <c r="S132" s="25"/>
      <c r="T132" s="25"/>
      <c r="U132" s="25"/>
      <c r="V132" s="25"/>
      <c r="W132" s="25"/>
      <c r="X132" s="25"/>
      <c r="Y132" s="25"/>
    </row>
    <row r="133" spans="1:25" x14ac:dyDescent="0.2">
      <c r="A133" s="9" t="s">
        <v>139</v>
      </c>
      <c r="B133" s="18" t="s">
        <v>1189</v>
      </c>
      <c r="C133" s="18">
        <v>700</v>
      </c>
      <c r="D133" s="10">
        <v>740</v>
      </c>
      <c r="E133" s="18"/>
      <c r="F133" s="9" t="str">
        <f t="shared" si="2"/>
        <v>HIGH PRESSURE SODIUM 70W TWIN ARCSTEEL POLE4</v>
      </c>
      <c r="G133" s="10">
        <f t="shared" si="3"/>
        <v>1240</v>
      </c>
      <c r="H133" s="7"/>
      <c r="I133" s="9">
        <v>1240</v>
      </c>
      <c r="J133" s="154" t="s">
        <v>1059</v>
      </c>
      <c r="K133" s="154" t="s">
        <v>987</v>
      </c>
      <c r="L133" s="146">
        <v>4</v>
      </c>
      <c r="N133" s="25"/>
      <c r="O133" s="25"/>
      <c r="P133" s="25"/>
      <c r="Q133" s="25"/>
      <c r="R133" s="25"/>
      <c r="S133" s="25"/>
      <c r="T133" s="25"/>
      <c r="U133" s="25"/>
      <c r="V133" s="25"/>
      <c r="W133" s="25"/>
      <c r="X133" s="25"/>
      <c r="Y133" s="25"/>
    </row>
    <row r="134" spans="1:25" x14ac:dyDescent="0.2">
      <c r="A134" s="9" t="s">
        <v>141</v>
      </c>
      <c r="B134" s="18" t="s">
        <v>1840</v>
      </c>
      <c r="C134" s="18" t="s">
        <v>1841</v>
      </c>
      <c r="D134" s="10">
        <f>2*D133</f>
        <v>1480</v>
      </c>
      <c r="E134" s="18"/>
      <c r="F134" s="9" t="str">
        <f t="shared" si="2"/>
        <v>METAL HALIDE/HPS 400W FLOOD (310/360)WOOD POLE3</v>
      </c>
      <c r="G134" s="10">
        <f t="shared" si="3"/>
        <v>1250</v>
      </c>
      <c r="H134" s="7"/>
      <c r="I134" s="9">
        <v>1250</v>
      </c>
      <c r="J134" s="154" t="s">
        <v>1092</v>
      </c>
      <c r="K134" s="154" t="s">
        <v>986</v>
      </c>
      <c r="L134" s="146">
        <v>3</v>
      </c>
      <c r="N134" s="25"/>
      <c r="O134" s="25"/>
      <c r="P134" s="25"/>
      <c r="Q134" s="25"/>
      <c r="R134" s="25"/>
      <c r="S134" s="25"/>
      <c r="T134" s="25"/>
      <c r="U134" s="25"/>
      <c r="V134" s="25"/>
      <c r="W134" s="25"/>
      <c r="X134" s="25"/>
      <c r="Y134" s="25"/>
    </row>
    <row r="135" spans="1:25" x14ac:dyDescent="0.2">
      <c r="A135" s="9" t="s">
        <v>142</v>
      </c>
      <c r="B135" s="18" t="s">
        <v>1842</v>
      </c>
      <c r="C135" s="18">
        <v>800</v>
      </c>
      <c r="D135" s="10">
        <v>850</v>
      </c>
      <c r="E135" s="18"/>
      <c r="F135" s="9" t="str">
        <f t="shared" si="2"/>
        <v>MERCURY VAPOUR 80WWOOD POLE2</v>
      </c>
      <c r="G135" s="10">
        <f t="shared" si="3"/>
        <v>1260</v>
      </c>
      <c r="H135" s="7"/>
      <c r="I135" s="9">
        <v>1260</v>
      </c>
      <c r="J135" s="154" t="s">
        <v>993</v>
      </c>
      <c r="K135" s="154" t="s">
        <v>986</v>
      </c>
      <c r="L135" s="146">
        <v>2</v>
      </c>
      <c r="N135" s="25"/>
      <c r="O135" s="25"/>
      <c r="P135" s="25"/>
      <c r="Q135" s="25"/>
      <c r="R135" s="25"/>
      <c r="S135" s="25"/>
      <c r="T135" s="25"/>
      <c r="U135" s="25"/>
      <c r="V135" s="25"/>
      <c r="W135" s="25"/>
      <c r="X135" s="25"/>
      <c r="Y135" s="25"/>
    </row>
    <row r="136" spans="1:25" x14ac:dyDescent="0.2">
      <c r="A136" s="9" t="s">
        <v>143</v>
      </c>
      <c r="B136" s="18" t="s">
        <v>1191</v>
      </c>
      <c r="C136" s="18">
        <v>1000</v>
      </c>
      <c r="D136" s="10">
        <v>1040</v>
      </c>
      <c r="E136" s="18"/>
      <c r="F136" s="9" t="str">
        <f t="shared" si="2"/>
        <v>METAL HALIDE 250W BOSTON 3STEEL POLE1</v>
      </c>
      <c r="G136" s="10">
        <f t="shared" si="3"/>
        <v>1270</v>
      </c>
      <c r="H136" s="7"/>
      <c r="I136" s="9">
        <v>1270</v>
      </c>
      <c r="J136" s="154" t="s">
        <v>316</v>
      </c>
      <c r="K136" s="154" t="s">
        <v>987</v>
      </c>
      <c r="L136" s="146">
        <v>1</v>
      </c>
      <c r="N136" s="25"/>
      <c r="O136" s="25"/>
      <c r="P136" s="25"/>
      <c r="Q136" s="25"/>
      <c r="R136" s="25"/>
      <c r="S136" s="25"/>
      <c r="T136" s="25"/>
      <c r="U136" s="25"/>
      <c r="V136" s="25"/>
      <c r="W136" s="25"/>
      <c r="X136" s="25"/>
      <c r="Y136" s="25"/>
    </row>
    <row r="137" spans="1:25" x14ac:dyDescent="0.2">
      <c r="A137" s="9" t="s">
        <v>144</v>
      </c>
      <c r="B137" s="18" t="s">
        <v>1843</v>
      </c>
      <c r="C137" s="18" t="s">
        <v>1792</v>
      </c>
      <c r="D137" s="10">
        <f>4*D136</f>
        <v>4160</v>
      </c>
      <c r="E137" s="18"/>
      <c r="F137" s="9" t="str">
        <f t="shared" si="2"/>
        <v>METAL HALIDE 250W BOSTON 3STEEL POLE2</v>
      </c>
      <c r="G137" s="10">
        <f t="shared" si="3"/>
        <v>1280</v>
      </c>
      <c r="H137" s="7"/>
      <c r="I137" s="9">
        <v>1280</v>
      </c>
      <c r="J137" s="154" t="s">
        <v>316</v>
      </c>
      <c r="K137" s="154" t="s">
        <v>987</v>
      </c>
      <c r="L137" s="146">
        <v>2</v>
      </c>
      <c r="N137" s="25"/>
      <c r="O137" s="25"/>
      <c r="P137" s="25"/>
      <c r="Q137" s="25"/>
      <c r="R137" s="25"/>
      <c r="S137" s="25"/>
      <c r="T137" s="25"/>
      <c r="U137" s="25"/>
      <c r="V137" s="25"/>
      <c r="W137" s="25"/>
      <c r="X137" s="25"/>
      <c r="Y137" s="25"/>
    </row>
    <row r="138" spans="1:25" x14ac:dyDescent="0.2">
      <c r="A138" s="9" t="s">
        <v>145</v>
      </c>
      <c r="B138" s="18" t="s">
        <v>1844</v>
      </c>
      <c r="C138" s="18" t="s">
        <v>1845</v>
      </c>
      <c r="D138" s="10">
        <f>6*D136</f>
        <v>6240</v>
      </c>
      <c r="E138" s="18"/>
      <c r="F138" s="9" t="str">
        <f t="shared" ref="F138:F187" si="4">CONCATENATE(J138,K138,L138)</f>
        <v>METAL HALIDE 250W BOSTON 3STEEL POLE4</v>
      </c>
      <c r="G138" s="10">
        <f t="shared" ref="G138:G187" si="5">I138</f>
        <v>1290</v>
      </c>
      <c r="H138" s="7"/>
      <c r="I138" s="9">
        <v>1290</v>
      </c>
      <c r="J138" s="154" t="s">
        <v>316</v>
      </c>
      <c r="K138" s="154" t="s">
        <v>987</v>
      </c>
      <c r="L138" s="146">
        <v>4</v>
      </c>
      <c r="N138" s="25"/>
      <c r="O138" s="25"/>
      <c r="P138" s="25"/>
      <c r="Q138" s="25"/>
      <c r="R138" s="25"/>
      <c r="S138" s="25"/>
      <c r="T138" s="25"/>
      <c r="U138" s="25"/>
      <c r="V138" s="25"/>
      <c r="W138" s="25"/>
      <c r="X138" s="25"/>
      <c r="Y138" s="25"/>
    </row>
    <row r="139" spans="1:25" x14ac:dyDescent="0.2">
      <c r="A139" s="9" t="s">
        <v>146</v>
      </c>
      <c r="B139" s="18" t="s">
        <v>1846</v>
      </c>
      <c r="C139" s="18">
        <v>1625</v>
      </c>
      <c r="D139" s="10">
        <v>1690</v>
      </c>
      <c r="E139" s="18"/>
      <c r="F139" s="9" t="str">
        <f t="shared" si="4"/>
        <v>HIGH PRESSURE SODIUM DECORATIVE 150WSTEEL POLE1</v>
      </c>
      <c r="G139" s="10">
        <f t="shared" si="5"/>
        <v>1300</v>
      </c>
      <c r="H139" s="7"/>
      <c r="I139" s="9">
        <v>1300</v>
      </c>
      <c r="J139" s="154" t="s">
        <v>317</v>
      </c>
      <c r="K139" s="154" t="s">
        <v>987</v>
      </c>
      <c r="L139" s="146">
        <v>1</v>
      </c>
      <c r="N139" s="25"/>
      <c r="O139" s="25"/>
      <c r="P139" s="25"/>
      <c r="Q139" s="25"/>
      <c r="R139" s="25"/>
      <c r="S139" s="25"/>
      <c r="T139" s="25"/>
      <c r="U139" s="25"/>
      <c r="V139" s="25"/>
      <c r="W139" s="25"/>
      <c r="X139" s="25"/>
      <c r="Y139" s="25"/>
    </row>
    <row r="140" spans="1:25" x14ac:dyDescent="0.2">
      <c r="A140" s="9" t="s">
        <v>59</v>
      </c>
      <c r="B140" s="18" t="s">
        <v>1778</v>
      </c>
      <c r="C140" s="18">
        <v>42</v>
      </c>
      <c r="D140" s="10">
        <v>46.4</v>
      </c>
      <c r="E140" s="18"/>
      <c r="F140" s="9" t="str">
        <f t="shared" si="4"/>
        <v>HIGH PRESSURE SODIUM DECORATIVE 150WSTEEL POLE2</v>
      </c>
      <c r="G140" s="10">
        <f t="shared" si="5"/>
        <v>1310</v>
      </c>
      <c r="H140" s="7"/>
      <c r="I140" s="9">
        <v>1310</v>
      </c>
      <c r="J140" s="154" t="s">
        <v>317</v>
      </c>
      <c r="K140" s="154" t="s">
        <v>987</v>
      </c>
      <c r="L140" s="146">
        <v>2</v>
      </c>
      <c r="N140" s="25"/>
      <c r="O140" s="25"/>
      <c r="P140" s="25"/>
      <c r="Q140" s="25"/>
      <c r="R140" s="25"/>
      <c r="S140" s="25"/>
      <c r="T140" s="25"/>
      <c r="U140" s="25"/>
      <c r="V140" s="25"/>
      <c r="W140" s="25"/>
      <c r="X140" s="25"/>
      <c r="Y140" s="25"/>
    </row>
    <row r="141" spans="1:25" x14ac:dyDescent="0.2">
      <c r="A141" s="124" t="s">
        <v>1769</v>
      </c>
      <c r="B141" s="23" t="s">
        <v>1779</v>
      </c>
      <c r="C141" s="23" t="s">
        <v>1781</v>
      </c>
      <c r="D141" s="185">
        <v>30.2</v>
      </c>
      <c r="E141" s="18"/>
      <c r="F141" s="9" t="str">
        <f t="shared" si="4"/>
        <v>HIGH PRESSURE SODIUM DECORATIVE 150WSTEEL POLE4</v>
      </c>
      <c r="G141" s="10">
        <f t="shared" si="5"/>
        <v>1320</v>
      </c>
      <c r="H141" s="7"/>
      <c r="I141" s="9">
        <v>1320</v>
      </c>
      <c r="J141" s="154" t="s">
        <v>317</v>
      </c>
      <c r="K141" s="154" t="s">
        <v>987</v>
      </c>
      <c r="L141" s="146">
        <v>4</v>
      </c>
      <c r="N141" s="25"/>
      <c r="O141" s="25"/>
      <c r="P141" s="25"/>
      <c r="Q141" s="25"/>
      <c r="R141" s="25"/>
      <c r="S141" s="25"/>
      <c r="T141" s="25"/>
      <c r="U141" s="25"/>
      <c r="V141" s="25"/>
      <c r="W141" s="25"/>
      <c r="X141" s="25"/>
      <c r="Y141" s="25"/>
    </row>
    <row r="142" spans="1:25" ht="22.5" x14ac:dyDescent="0.2">
      <c r="A142" s="186" t="s">
        <v>1770</v>
      </c>
      <c r="B142" s="187" t="s">
        <v>1780</v>
      </c>
      <c r="C142" s="187" t="s">
        <v>1782</v>
      </c>
      <c r="D142" s="188">
        <v>47</v>
      </c>
      <c r="E142" s="18"/>
      <c r="F142" s="9" t="str">
        <f t="shared" si="4"/>
        <v>HIGH PRESSURE SODIUM DECORATIVE 250W (210/220)STEEL POLE1</v>
      </c>
      <c r="G142" s="10">
        <f t="shared" si="5"/>
        <v>1330</v>
      </c>
      <c r="H142" s="7"/>
      <c r="I142" s="9">
        <v>1330</v>
      </c>
      <c r="J142" s="154" t="s">
        <v>318</v>
      </c>
      <c r="K142" s="154" t="s">
        <v>987</v>
      </c>
      <c r="L142" s="146">
        <v>1</v>
      </c>
      <c r="N142" s="25"/>
      <c r="O142" s="25"/>
      <c r="P142" s="25"/>
      <c r="Q142" s="25"/>
      <c r="R142" s="25"/>
      <c r="S142" s="25"/>
      <c r="T142" s="25"/>
      <c r="U142" s="25"/>
      <c r="V142" s="25"/>
      <c r="W142" s="25"/>
      <c r="X142" s="25"/>
      <c r="Y142" s="25"/>
    </row>
    <row r="143" spans="1:25" ht="22.5" x14ac:dyDescent="0.2">
      <c r="A143" s="7"/>
      <c r="B143" s="7"/>
      <c r="C143" s="7"/>
      <c r="D143" s="7"/>
      <c r="E143" s="7"/>
      <c r="F143" s="9" t="str">
        <f t="shared" si="4"/>
        <v>HIGH PRESSURE SODIUM DECORATIVE 250W (210/220)STEEL POLE2</v>
      </c>
      <c r="G143" s="10">
        <f t="shared" si="5"/>
        <v>1340</v>
      </c>
      <c r="H143" s="7"/>
      <c r="I143" s="9">
        <v>1340</v>
      </c>
      <c r="J143" s="154" t="s">
        <v>318</v>
      </c>
      <c r="K143" s="154" t="s">
        <v>987</v>
      </c>
      <c r="L143" s="146">
        <v>2</v>
      </c>
      <c r="N143" s="25"/>
      <c r="O143" s="25"/>
      <c r="P143" s="25"/>
      <c r="Q143" s="25"/>
      <c r="R143" s="25"/>
      <c r="S143" s="25"/>
      <c r="T143" s="25"/>
      <c r="U143" s="25"/>
      <c r="V143" s="25"/>
      <c r="W143" s="25"/>
      <c r="X143" s="25"/>
      <c r="Y143" s="25"/>
    </row>
    <row r="144" spans="1:25" ht="22.5" x14ac:dyDescent="0.2">
      <c r="A144" s="7"/>
      <c r="B144" s="7"/>
      <c r="C144" s="7"/>
      <c r="D144" s="7"/>
      <c r="E144" s="7"/>
      <c r="F144" s="9" t="str">
        <f t="shared" si="4"/>
        <v>HIGH PRESSURE SODIUM DECORATIVE 250W (210/220)STEEL POLE4</v>
      </c>
      <c r="G144" s="10">
        <f t="shared" si="5"/>
        <v>1350</v>
      </c>
      <c r="H144" s="7"/>
      <c r="I144" s="9">
        <v>1350</v>
      </c>
      <c r="J144" s="154" t="s">
        <v>318</v>
      </c>
      <c r="K144" s="154" t="s">
        <v>987</v>
      </c>
      <c r="L144" s="146">
        <v>4</v>
      </c>
      <c r="N144" s="25"/>
      <c r="O144" s="25"/>
      <c r="P144" s="25"/>
      <c r="Q144" s="25"/>
      <c r="R144" s="25"/>
      <c r="S144" s="25"/>
      <c r="T144" s="25"/>
      <c r="U144" s="25"/>
      <c r="V144" s="25"/>
      <c r="W144" s="25"/>
      <c r="X144" s="25"/>
      <c r="Y144" s="25"/>
    </row>
    <row r="145" spans="1:25" x14ac:dyDescent="0.2">
      <c r="A145" s="7"/>
      <c r="B145" s="7"/>
      <c r="C145" s="7"/>
      <c r="D145" s="7"/>
      <c r="E145" s="7"/>
      <c r="F145" s="9" t="str">
        <f t="shared" si="4"/>
        <v>HIGH PRESSURE SODIUM 150WR/BOUT COLUMN3</v>
      </c>
      <c r="G145" s="10">
        <f t="shared" si="5"/>
        <v>1360</v>
      </c>
      <c r="H145" s="7"/>
      <c r="I145" s="9">
        <v>1360</v>
      </c>
      <c r="J145" s="154" t="s">
        <v>1067</v>
      </c>
      <c r="K145" s="154" t="s">
        <v>313</v>
      </c>
      <c r="L145" s="146">
        <v>3</v>
      </c>
      <c r="N145" s="25"/>
      <c r="O145" s="25"/>
      <c r="P145" s="25"/>
      <c r="Q145" s="25"/>
      <c r="R145" s="25"/>
      <c r="S145" s="25"/>
      <c r="T145" s="25"/>
      <c r="U145" s="25"/>
      <c r="V145" s="25"/>
      <c r="W145" s="25"/>
      <c r="X145" s="25"/>
      <c r="Y145" s="25"/>
    </row>
    <row r="146" spans="1:25" x14ac:dyDescent="0.2">
      <c r="A146" s="7"/>
      <c r="B146" s="7"/>
      <c r="C146" s="7"/>
      <c r="D146" s="7"/>
      <c r="E146" s="7"/>
      <c r="F146" s="9" t="str">
        <f t="shared" si="4"/>
        <v>HIGH PRESSURE SODIUM 150WR/BOUT COLUMN4</v>
      </c>
      <c r="G146" s="10">
        <f t="shared" si="5"/>
        <v>1370</v>
      </c>
      <c r="H146" s="7"/>
      <c r="I146" s="9">
        <v>1370</v>
      </c>
      <c r="J146" s="154" t="s">
        <v>1067</v>
      </c>
      <c r="K146" s="154" t="s">
        <v>313</v>
      </c>
      <c r="L146" s="146">
        <v>4</v>
      </c>
      <c r="N146" s="25"/>
      <c r="O146" s="25"/>
      <c r="P146" s="25"/>
      <c r="Q146" s="25"/>
      <c r="R146" s="25"/>
      <c r="S146" s="25"/>
      <c r="T146" s="25"/>
      <c r="U146" s="25"/>
      <c r="V146" s="25"/>
      <c r="W146" s="25"/>
      <c r="X146" s="25"/>
      <c r="Y146" s="25"/>
    </row>
    <row r="147" spans="1:25" x14ac:dyDescent="0.2">
      <c r="A147" s="7"/>
      <c r="B147" s="7"/>
      <c r="C147" s="7"/>
      <c r="D147" s="7"/>
      <c r="E147" s="7"/>
      <c r="F147" s="9" t="str">
        <f t="shared" si="4"/>
        <v>METAL HALIDE/HPS 250W FLOOD (210/220)R/BOUT COLUMN3</v>
      </c>
      <c r="G147" s="10">
        <f t="shared" si="5"/>
        <v>1380</v>
      </c>
      <c r="H147" s="7"/>
      <c r="I147" s="9">
        <v>1380</v>
      </c>
      <c r="J147" s="154" t="s">
        <v>1076</v>
      </c>
      <c r="K147" s="154" t="s">
        <v>313</v>
      </c>
      <c r="L147" s="146">
        <v>3</v>
      </c>
      <c r="N147" s="25"/>
      <c r="O147" s="25"/>
      <c r="P147" s="25"/>
      <c r="Q147" s="25"/>
      <c r="R147" s="25"/>
      <c r="S147" s="25"/>
      <c r="T147" s="25"/>
      <c r="U147" s="25"/>
      <c r="V147" s="25"/>
      <c r="W147" s="25"/>
      <c r="X147" s="25"/>
      <c r="Y147" s="25"/>
    </row>
    <row r="148" spans="1:25" x14ac:dyDescent="0.2">
      <c r="A148" s="7"/>
      <c r="B148" s="7"/>
      <c r="C148" s="7"/>
      <c r="D148" s="7"/>
      <c r="E148" s="7"/>
      <c r="F148" s="9" t="str">
        <f t="shared" si="4"/>
        <v>METAL HALIDE/HPS 250W FLOOD (210/220)R/BOUT COLUMN4</v>
      </c>
      <c r="G148" s="10">
        <f t="shared" si="5"/>
        <v>1450</v>
      </c>
      <c r="H148" s="7"/>
      <c r="I148" s="9">
        <v>1450</v>
      </c>
      <c r="J148" s="154" t="s">
        <v>1076</v>
      </c>
      <c r="K148" s="154" t="s">
        <v>313</v>
      </c>
      <c r="L148" s="146">
        <v>4</v>
      </c>
      <c r="N148" s="25"/>
      <c r="O148" s="25"/>
      <c r="P148" s="25"/>
      <c r="Q148" s="25"/>
      <c r="R148" s="25"/>
      <c r="S148" s="25"/>
      <c r="T148" s="25"/>
      <c r="U148" s="25"/>
      <c r="V148" s="25"/>
      <c r="W148" s="25"/>
      <c r="X148" s="25"/>
      <c r="Y148" s="25"/>
    </row>
    <row r="149" spans="1:25" x14ac:dyDescent="0.2">
      <c r="A149" s="7"/>
      <c r="B149" s="7"/>
      <c r="C149" s="7"/>
      <c r="D149" s="7"/>
      <c r="E149" s="7"/>
      <c r="F149" s="9" t="str">
        <f t="shared" si="4"/>
        <v>MERCURY VAPOUR 80WSTEEL POLE3</v>
      </c>
      <c r="G149" s="10">
        <f t="shared" si="5"/>
        <v>1460</v>
      </c>
      <c r="H149" s="7"/>
      <c r="I149" s="9">
        <v>1460</v>
      </c>
      <c r="J149" s="154" t="s">
        <v>993</v>
      </c>
      <c r="K149" s="154" t="s">
        <v>987</v>
      </c>
      <c r="L149" s="146">
        <v>3</v>
      </c>
      <c r="N149" s="25"/>
      <c r="O149" s="25"/>
      <c r="P149" s="25"/>
      <c r="Q149" s="25"/>
      <c r="R149" s="25"/>
      <c r="S149" s="25"/>
      <c r="T149" s="25"/>
      <c r="U149" s="25"/>
      <c r="V149" s="25"/>
      <c r="W149" s="25"/>
      <c r="X149" s="25"/>
      <c r="Y149" s="25"/>
    </row>
    <row r="150" spans="1:25" x14ac:dyDescent="0.2">
      <c r="A150" s="7"/>
      <c r="B150" s="7"/>
      <c r="C150" s="7"/>
      <c r="D150" s="7"/>
      <c r="E150" s="7"/>
      <c r="F150" s="9" t="str">
        <f t="shared" si="4"/>
        <v>HIGH PRESSURE SODIUM 3X400 W POST TOPR/BOUT COLUMN1</v>
      </c>
      <c r="G150" s="10">
        <f t="shared" si="5"/>
        <v>1470</v>
      </c>
      <c r="H150" s="7"/>
      <c r="I150" s="9">
        <v>1470</v>
      </c>
      <c r="J150" s="154" t="s">
        <v>1101</v>
      </c>
      <c r="K150" s="154" t="s">
        <v>313</v>
      </c>
      <c r="L150" s="146">
        <v>1</v>
      </c>
      <c r="N150" s="25"/>
      <c r="O150" s="25"/>
      <c r="P150" s="25"/>
      <c r="Q150" s="25"/>
      <c r="R150" s="25"/>
      <c r="S150" s="25"/>
      <c r="T150" s="25"/>
      <c r="U150" s="25"/>
      <c r="V150" s="25"/>
      <c r="W150" s="25"/>
      <c r="X150" s="25"/>
      <c r="Y150" s="25"/>
    </row>
    <row r="151" spans="1:25" x14ac:dyDescent="0.2">
      <c r="A151" s="7"/>
      <c r="B151" s="7"/>
      <c r="C151" s="7"/>
      <c r="D151" s="7"/>
      <c r="E151" s="7"/>
      <c r="F151" s="9" t="str">
        <f t="shared" si="4"/>
        <v>HIGH PRESSURE SODIUM 1X400 W POST TOPR/BOUT COLUMN1</v>
      </c>
      <c r="G151" s="10">
        <f t="shared" si="5"/>
        <v>1480</v>
      </c>
      <c r="H151" s="7"/>
      <c r="I151" s="9">
        <v>1480</v>
      </c>
      <c r="J151" s="154" t="s">
        <v>319</v>
      </c>
      <c r="K151" s="154" t="s">
        <v>313</v>
      </c>
      <c r="L151" s="146">
        <v>1</v>
      </c>
      <c r="N151" s="25"/>
      <c r="O151" s="25"/>
      <c r="P151" s="25"/>
      <c r="Q151" s="25"/>
      <c r="R151" s="25"/>
      <c r="S151" s="25"/>
      <c r="T151" s="25"/>
      <c r="U151" s="25"/>
      <c r="V151" s="25"/>
      <c r="W151" s="25"/>
      <c r="X151" s="25"/>
      <c r="Y151" s="25"/>
    </row>
    <row r="152" spans="1:25" ht="22.5" x14ac:dyDescent="0.2">
      <c r="A152" s="7"/>
      <c r="B152" s="7"/>
      <c r="C152" s="7"/>
      <c r="D152" s="7"/>
      <c r="E152" s="7"/>
      <c r="F152" s="9" t="str">
        <f t="shared" si="4"/>
        <v>HIGH PRESSURE SODIUM 2X250 W OR 2X400 W FLOODR/BOUT COLUMN2</v>
      </c>
      <c r="G152" s="10">
        <f t="shared" si="5"/>
        <v>1490</v>
      </c>
      <c r="H152" s="7"/>
      <c r="I152" s="9">
        <v>1490</v>
      </c>
      <c r="J152" s="154" t="s">
        <v>1081</v>
      </c>
      <c r="K152" s="154" t="s">
        <v>313</v>
      </c>
      <c r="L152" s="146">
        <v>2</v>
      </c>
      <c r="N152" s="25"/>
      <c r="O152" s="25"/>
      <c r="P152" s="25"/>
      <c r="Q152" s="25"/>
      <c r="R152" s="25"/>
      <c r="S152" s="25"/>
      <c r="T152" s="25"/>
      <c r="U152" s="25"/>
      <c r="V152" s="25"/>
      <c r="W152" s="25"/>
      <c r="X152" s="25"/>
      <c r="Y152" s="25"/>
    </row>
    <row r="153" spans="1:25" x14ac:dyDescent="0.2">
      <c r="A153" s="7"/>
      <c r="B153" s="7"/>
      <c r="C153" s="7"/>
      <c r="D153" s="7"/>
      <c r="E153" s="7"/>
      <c r="F153" s="9" t="str">
        <f t="shared" si="4"/>
        <v>MERCURY VAPOUR 80WSTEEL POLE4</v>
      </c>
      <c r="G153" s="10">
        <f t="shared" si="5"/>
        <v>1500</v>
      </c>
      <c r="H153" s="7"/>
      <c r="I153" s="9">
        <v>1500</v>
      </c>
      <c r="J153" s="154" t="s">
        <v>993</v>
      </c>
      <c r="K153" s="154" t="s">
        <v>987</v>
      </c>
      <c r="L153" s="146">
        <v>4</v>
      </c>
      <c r="N153" s="25"/>
      <c r="O153" s="25"/>
      <c r="P153" s="25"/>
      <c r="Q153" s="25"/>
      <c r="R153" s="25"/>
      <c r="S153" s="25"/>
      <c r="T153" s="25"/>
      <c r="U153" s="25"/>
      <c r="V153" s="25"/>
      <c r="W153" s="25"/>
      <c r="X153" s="25"/>
      <c r="Y153" s="25"/>
    </row>
    <row r="154" spans="1:25" x14ac:dyDescent="0.2">
      <c r="A154" s="7"/>
      <c r="B154" s="7"/>
      <c r="C154" s="7"/>
      <c r="D154" s="7"/>
      <c r="E154" s="7"/>
      <c r="F154" s="9" t="str">
        <f t="shared" si="4"/>
        <v>KENSINGTON 80 WSTEEL POLE1</v>
      </c>
      <c r="G154" s="10">
        <f t="shared" si="5"/>
        <v>1600</v>
      </c>
      <c r="H154" s="7"/>
      <c r="I154" s="9">
        <v>1600</v>
      </c>
      <c r="J154" s="154" t="s">
        <v>320</v>
      </c>
      <c r="K154" s="154" t="s">
        <v>987</v>
      </c>
      <c r="L154" s="146">
        <v>1</v>
      </c>
      <c r="N154" s="25"/>
      <c r="O154" s="25"/>
      <c r="P154" s="25"/>
      <c r="Q154" s="25"/>
      <c r="R154" s="25"/>
      <c r="S154" s="25"/>
      <c r="T154" s="25"/>
      <c r="U154" s="25"/>
      <c r="V154" s="25"/>
      <c r="W154" s="25"/>
      <c r="X154" s="25"/>
      <c r="Y154" s="25"/>
    </row>
    <row r="155" spans="1:25" x14ac:dyDescent="0.2">
      <c r="A155" s="7"/>
      <c r="B155" s="7"/>
      <c r="C155" s="7"/>
      <c r="D155" s="7"/>
      <c r="E155" s="7"/>
      <c r="F155" s="9" t="str">
        <f t="shared" si="4"/>
        <v>NOSTALGIA 80 WSTEEL POLE1</v>
      </c>
      <c r="G155" s="10">
        <f t="shared" si="5"/>
        <v>1610</v>
      </c>
      <c r="H155" s="7"/>
      <c r="I155" s="9">
        <v>1610</v>
      </c>
      <c r="J155" s="154" t="s">
        <v>321</v>
      </c>
      <c r="K155" s="154" t="s">
        <v>987</v>
      </c>
      <c r="L155" s="146">
        <v>1</v>
      </c>
      <c r="N155" s="25"/>
      <c r="O155" s="25"/>
      <c r="P155" s="25"/>
      <c r="Q155" s="25"/>
      <c r="R155" s="25"/>
      <c r="S155" s="25"/>
      <c r="T155" s="25"/>
      <c r="U155" s="25"/>
      <c r="V155" s="25"/>
      <c r="W155" s="25"/>
      <c r="X155" s="25"/>
      <c r="Y155" s="25"/>
    </row>
    <row r="156" spans="1:25" x14ac:dyDescent="0.2">
      <c r="A156" s="7"/>
      <c r="B156" s="7"/>
      <c r="C156" s="7"/>
      <c r="D156" s="7"/>
      <c r="E156" s="7"/>
      <c r="F156" s="9" t="str">
        <f t="shared" si="4"/>
        <v>REXEL OPTISPAN MINOR CFL57SHARED OR NO POLE1</v>
      </c>
      <c r="G156" s="10">
        <f t="shared" si="5"/>
        <v>7090</v>
      </c>
      <c r="H156" s="7"/>
      <c r="I156" s="9">
        <v>7090</v>
      </c>
      <c r="J156" s="154" t="s">
        <v>322</v>
      </c>
      <c r="K156" s="154" t="s">
        <v>985</v>
      </c>
      <c r="L156" s="146">
        <v>1</v>
      </c>
      <c r="N156" s="25"/>
      <c r="O156" s="25"/>
      <c r="P156" s="25"/>
      <c r="Q156" s="25"/>
      <c r="R156" s="25"/>
      <c r="S156" s="25"/>
      <c r="T156" s="25"/>
      <c r="U156" s="25"/>
      <c r="V156" s="25"/>
      <c r="W156" s="25"/>
      <c r="X156" s="25"/>
      <c r="Y156" s="25"/>
    </row>
    <row r="157" spans="1:25" x14ac:dyDescent="0.2">
      <c r="A157" s="7"/>
      <c r="B157" s="7"/>
      <c r="C157" s="7"/>
      <c r="D157" s="7"/>
      <c r="E157" s="7"/>
      <c r="F157" s="9" t="str">
        <f t="shared" si="4"/>
        <v>REXEL OPTISPAN MINOR CFL57WOOD POLE1</v>
      </c>
      <c r="G157" s="10">
        <f t="shared" si="5"/>
        <v>7140</v>
      </c>
      <c r="H157" s="7"/>
      <c r="I157" s="9">
        <v>7140</v>
      </c>
      <c r="J157" s="154" t="s">
        <v>322</v>
      </c>
      <c r="K157" s="154" t="s">
        <v>986</v>
      </c>
      <c r="L157" s="146">
        <v>1</v>
      </c>
      <c r="N157" s="25"/>
      <c r="O157" s="25"/>
      <c r="P157" s="25"/>
      <c r="Q157" s="25"/>
      <c r="R157" s="25"/>
      <c r="S157" s="25"/>
      <c r="T157" s="25"/>
      <c r="U157" s="25"/>
      <c r="V157" s="25"/>
      <c r="W157" s="25"/>
      <c r="X157" s="25"/>
      <c r="Y157" s="25"/>
    </row>
    <row r="158" spans="1:25" x14ac:dyDescent="0.2">
      <c r="A158" s="7"/>
      <c r="B158" s="7"/>
      <c r="C158" s="7"/>
      <c r="D158" s="7"/>
      <c r="E158" s="7"/>
      <c r="F158" s="9" t="str">
        <f t="shared" si="4"/>
        <v>REXEL OPTISPAN MINOR CFL57STEEL POLE1</v>
      </c>
      <c r="G158" s="10">
        <f t="shared" si="5"/>
        <v>7170</v>
      </c>
      <c r="H158" s="7"/>
      <c r="I158" s="9">
        <v>7170</v>
      </c>
      <c r="J158" s="154" t="s">
        <v>322</v>
      </c>
      <c r="K158" s="154" t="s">
        <v>987</v>
      </c>
      <c r="L158" s="146">
        <v>1</v>
      </c>
      <c r="N158" s="25"/>
      <c r="O158" s="25"/>
      <c r="P158" s="25"/>
      <c r="Q158" s="25"/>
      <c r="R158" s="25"/>
      <c r="S158" s="25"/>
      <c r="T158" s="25"/>
      <c r="U158" s="25"/>
      <c r="V158" s="25"/>
      <c r="W158" s="25"/>
      <c r="X158" s="25"/>
      <c r="Y158" s="25"/>
    </row>
    <row r="159" spans="1:25" x14ac:dyDescent="0.2">
      <c r="A159" s="7"/>
      <c r="B159" s="7"/>
      <c r="C159" s="7"/>
      <c r="D159" s="7"/>
      <c r="E159" s="7"/>
      <c r="F159" s="9" t="str">
        <f t="shared" si="4"/>
        <v>REXEL OPTISPAN MINOR 70 HPSSHARED OR NO POLE1</v>
      </c>
      <c r="G159" s="10">
        <f t="shared" si="5"/>
        <v>8090</v>
      </c>
      <c r="H159" s="7"/>
      <c r="I159" s="9">
        <v>8090</v>
      </c>
      <c r="J159" s="154" t="s">
        <v>323</v>
      </c>
      <c r="K159" s="154" t="s">
        <v>985</v>
      </c>
      <c r="L159" s="146">
        <v>1</v>
      </c>
      <c r="N159" s="25"/>
      <c r="O159" s="25"/>
      <c r="P159" s="25"/>
      <c r="Q159" s="25"/>
      <c r="R159" s="25"/>
      <c r="S159" s="25"/>
      <c r="T159" s="25"/>
      <c r="U159" s="25"/>
      <c r="V159" s="25"/>
      <c r="W159" s="25"/>
      <c r="X159" s="25"/>
      <c r="Y159" s="25"/>
    </row>
    <row r="160" spans="1:25" x14ac:dyDescent="0.2">
      <c r="A160" s="7"/>
      <c r="B160" s="7"/>
      <c r="C160" s="7"/>
      <c r="D160" s="7"/>
      <c r="E160" s="7"/>
      <c r="F160" s="9" t="str">
        <f t="shared" si="4"/>
        <v>REXEL OPTISPAN MINOR 70 HPSWOOD POLE1</v>
      </c>
      <c r="G160" s="10">
        <f t="shared" si="5"/>
        <v>8140</v>
      </c>
      <c r="H160" s="7"/>
      <c r="I160" s="9">
        <v>8140</v>
      </c>
      <c r="J160" s="154" t="s">
        <v>323</v>
      </c>
      <c r="K160" s="154" t="s">
        <v>986</v>
      </c>
      <c r="L160" s="146">
        <v>1</v>
      </c>
      <c r="N160" s="25"/>
      <c r="O160" s="25"/>
      <c r="P160" s="25"/>
      <c r="Q160" s="25"/>
      <c r="R160" s="25"/>
      <c r="S160" s="25"/>
      <c r="T160" s="25"/>
      <c r="U160" s="25"/>
      <c r="V160" s="25"/>
      <c r="W160" s="25"/>
      <c r="X160" s="25"/>
      <c r="Y160" s="25"/>
    </row>
    <row r="161" spans="1:36" x14ac:dyDescent="0.2">
      <c r="A161" s="7"/>
      <c r="B161" s="7"/>
      <c r="C161" s="7"/>
      <c r="D161" s="7"/>
      <c r="E161" s="7"/>
      <c r="F161" s="9" t="str">
        <f t="shared" si="4"/>
        <v>REXEL OPTISPAN MINOR 70 HPSSTEEL POLE1</v>
      </c>
      <c r="G161" s="10">
        <f t="shared" si="5"/>
        <v>8170</v>
      </c>
      <c r="H161" s="7"/>
      <c r="I161" s="9">
        <v>8170</v>
      </c>
      <c r="J161" s="154" t="s">
        <v>323</v>
      </c>
      <c r="K161" s="154" t="s">
        <v>987</v>
      </c>
      <c r="L161" s="146">
        <v>1</v>
      </c>
      <c r="N161" s="25"/>
      <c r="O161" s="25"/>
      <c r="P161" s="25"/>
      <c r="Q161" s="25"/>
      <c r="R161" s="25"/>
      <c r="S161" s="25"/>
      <c r="T161" s="25"/>
      <c r="U161" s="25"/>
      <c r="V161" s="25"/>
      <c r="W161" s="25"/>
      <c r="X161" s="25"/>
      <c r="Y161" s="25"/>
    </row>
    <row r="162" spans="1:36" x14ac:dyDescent="0.2">
      <c r="A162" s="7"/>
      <c r="B162" s="7"/>
      <c r="C162" s="7"/>
      <c r="D162" s="7"/>
      <c r="E162" s="7"/>
      <c r="F162" s="9" t="str">
        <f t="shared" si="4"/>
        <v xml:space="preserve">2000 W MH FLOODLIGHT </v>
      </c>
      <c r="G162" s="10">
        <f t="shared" si="5"/>
        <v>8180</v>
      </c>
      <c r="H162" s="7"/>
      <c r="I162" s="9">
        <v>8180</v>
      </c>
      <c r="J162" s="154" t="s">
        <v>179</v>
      </c>
      <c r="K162" s="154"/>
      <c r="L162" s="146"/>
      <c r="N162" s="25"/>
      <c r="O162" s="25"/>
      <c r="P162" s="25"/>
      <c r="Q162" s="25"/>
      <c r="R162" s="25"/>
      <c r="S162" s="25"/>
      <c r="T162" s="25"/>
      <c r="U162" s="25"/>
      <c r="V162" s="25"/>
      <c r="W162" s="25"/>
      <c r="X162" s="25"/>
      <c r="Y162" s="25"/>
    </row>
    <row r="163" spans="1:36" x14ac:dyDescent="0.2">
      <c r="A163" s="7"/>
      <c r="B163" s="7"/>
      <c r="C163" s="7"/>
      <c r="D163" s="7"/>
      <c r="E163" s="7"/>
      <c r="F163" s="9" t="str">
        <f t="shared" si="4"/>
        <v xml:space="preserve">2000 W MH FLOODLIGHT </v>
      </c>
      <c r="G163" s="10">
        <f t="shared" si="5"/>
        <v>8190</v>
      </c>
      <c r="H163" s="7"/>
      <c r="I163" s="9">
        <v>8190</v>
      </c>
      <c r="J163" s="154" t="s">
        <v>179</v>
      </c>
      <c r="K163" s="154"/>
      <c r="L163" s="146"/>
      <c r="N163" s="25"/>
      <c r="O163" s="25"/>
      <c r="P163" s="25"/>
      <c r="Q163" s="25"/>
      <c r="R163" s="25"/>
      <c r="S163" s="25"/>
      <c r="T163" s="25"/>
      <c r="U163" s="25"/>
      <c r="V163" s="25"/>
      <c r="W163" s="25"/>
      <c r="X163" s="25"/>
      <c r="Y163" s="25"/>
    </row>
    <row r="164" spans="1:36" x14ac:dyDescent="0.2">
      <c r="A164" s="7"/>
      <c r="B164" s="7"/>
      <c r="C164" s="7"/>
      <c r="D164" s="7"/>
      <c r="E164" s="7"/>
      <c r="F164" s="9" t="str">
        <f t="shared" si="4"/>
        <v xml:space="preserve">2000 W MH FLOODLIGHT </v>
      </c>
      <c r="G164" s="10">
        <f t="shared" si="5"/>
        <v>8200</v>
      </c>
      <c r="H164" s="7"/>
      <c r="I164" s="9">
        <v>8200</v>
      </c>
      <c r="J164" s="154" t="s">
        <v>179</v>
      </c>
      <c r="K164" s="154"/>
      <c r="L164" s="146"/>
      <c r="N164" s="25"/>
      <c r="O164" s="25"/>
      <c r="P164" s="25"/>
      <c r="Q164" s="25"/>
      <c r="R164" s="25"/>
      <c r="S164" s="25"/>
      <c r="T164" s="25"/>
      <c r="U164" s="25"/>
      <c r="V164" s="25"/>
      <c r="W164" s="25"/>
      <c r="X164" s="25"/>
      <c r="Y164" s="25"/>
    </row>
    <row r="165" spans="1:36" x14ac:dyDescent="0.2">
      <c r="A165" s="7"/>
      <c r="B165" s="7"/>
      <c r="C165" s="7"/>
      <c r="D165" s="7"/>
      <c r="E165" s="7"/>
      <c r="F165" s="9" t="str">
        <f t="shared" si="4"/>
        <v>COMPACT FLUORESCENT 42WSHARED OR NO POLE1</v>
      </c>
      <c r="G165" s="10">
        <f t="shared" si="5"/>
        <v>1620</v>
      </c>
      <c r="H165" s="7"/>
      <c r="I165" s="9">
        <v>1620</v>
      </c>
      <c r="J165" s="18" t="s">
        <v>1766</v>
      </c>
      <c r="K165" s="154" t="s">
        <v>985</v>
      </c>
      <c r="L165" s="10">
        <v>1</v>
      </c>
      <c r="M165" s="6"/>
      <c r="N165" s="7"/>
      <c r="O165" s="7"/>
      <c r="P165" s="7"/>
      <c r="Q165" s="7"/>
      <c r="R165" s="7"/>
      <c r="S165" s="7"/>
      <c r="T165" s="7"/>
      <c r="U165" s="7"/>
      <c r="V165" s="7"/>
      <c r="W165" s="7"/>
      <c r="X165" s="7"/>
      <c r="Y165" s="7"/>
      <c r="Z165" s="6"/>
      <c r="AA165" s="6"/>
      <c r="AB165" s="6"/>
      <c r="AC165" s="6"/>
      <c r="AD165" s="6"/>
      <c r="AE165" s="6"/>
      <c r="AF165" s="6"/>
      <c r="AG165" s="6"/>
      <c r="AH165" s="6"/>
      <c r="AI165" s="6"/>
      <c r="AJ165" s="6"/>
    </row>
    <row r="166" spans="1:36" x14ac:dyDescent="0.2">
      <c r="A166" s="7"/>
      <c r="B166" s="7"/>
      <c r="C166" s="7"/>
      <c r="D166" s="7"/>
      <c r="E166" s="7"/>
      <c r="F166" s="9" t="str">
        <f t="shared" si="4"/>
        <v>COMPACT FLUORESCENT 42WSHARED OR NO POLE2</v>
      </c>
      <c r="G166" s="10">
        <f t="shared" si="5"/>
        <v>1630</v>
      </c>
      <c r="H166" s="7"/>
      <c r="I166" s="9">
        <v>1630</v>
      </c>
      <c r="J166" s="18" t="s">
        <v>1766</v>
      </c>
      <c r="K166" s="154" t="s">
        <v>985</v>
      </c>
      <c r="L166" s="10">
        <v>2</v>
      </c>
      <c r="M166" s="6"/>
      <c r="N166" s="7"/>
      <c r="O166" s="7"/>
      <c r="P166" s="7"/>
      <c r="Q166" s="7"/>
      <c r="R166" s="7"/>
      <c r="S166" s="7"/>
      <c r="T166" s="7"/>
      <c r="U166" s="7"/>
      <c r="V166" s="7"/>
      <c r="W166" s="7"/>
      <c r="X166" s="7"/>
      <c r="Y166" s="7"/>
      <c r="Z166" s="6"/>
      <c r="AA166" s="6"/>
      <c r="AB166" s="6"/>
      <c r="AC166" s="6"/>
      <c r="AD166" s="6"/>
      <c r="AE166" s="6"/>
      <c r="AF166" s="6"/>
      <c r="AG166" s="6"/>
      <c r="AH166" s="6"/>
      <c r="AI166" s="6"/>
      <c r="AJ166" s="6"/>
    </row>
    <row r="167" spans="1:36" x14ac:dyDescent="0.2">
      <c r="A167" s="7"/>
      <c r="B167" s="7"/>
      <c r="C167" s="7"/>
      <c r="D167" s="7"/>
      <c r="E167" s="7"/>
      <c r="F167" s="9" t="str">
        <f t="shared" si="4"/>
        <v>COMPACT FLUORESCENT 42WSHARED OR NO POLE3</v>
      </c>
      <c r="G167" s="10">
        <f t="shared" si="5"/>
        <v>1640</v>
      </c>
      <c r="H167" s="7"/>
      <c r="I167" s="9">
        <v>1640</v>
      </c>
      <c r="J167" s="18" t="s">
        <v>1766</v>
      </c>
      <c r="K167" s="154" t="s">
        <v>985</v>
      </c>
      <c r="L167" s="10">
        <v>3</v>
      </c>
      <c r="M167" s="6"/>
      <c r="N167" s="7"/>
      <c r="O167" s="7"/>
      <c r="P167" s="7"/>
      <c r="Q167" s="7"/>
      <c r="R167" s="7"/>
      <c r="S167" s="7"/>
      <c r="T167" s="7"/>
      <c r="U167" s="7"/>
      <c r="V167" s="7"/>
      <c r="W167" s="7"/>
      <c r="X167" s="7"/>
      <c r="Y167" s="7"/>
      <c r="Z167" s="6"/>
      <c r="AA167" s="6"/>
      <c r="AB167" s="6"/>
      <c r="AC167" s="6"/>
      <c r="AD167" s="6"/>
      <c r="AE167" s="6"/>
      <c r="AF167" s="6"/>
      <c r="AG167" s="6"/>
      <c r="AH167" s="6"/>
      <c r="AI167" s="6"/>
      <c r="AJ167" s="6"/>
    </row>
    <row r="168" spans="1:36" x14ac:dyDescent="0.2">
      <c r="A168" s="7"/>
      <c r="B168" s="7"/>
      <c r="C168" s="7"/>
      <c r="D168" s="7"/>
      <c r="E168" s="7"/>
      <c r="F168" s="9" t="str">
        <f t="shared" si="4"/>
        <v>COMPACT FLUORESCENT 42WSHARED OR NO POLE4</v>
      </c>
      <c r="G168" s="10">
        <f t="shared" si="5"/>
        <v>1650</v>
      </c>
      <c r="H168" s="7"/>
      <c r="I168" s="9">
        <v>1650</v>
      </c>
      <c r="J168" s="18" t="s">
        <v>1766</v>
      </c>
      <c r="K168" s="154" t="s">
        <v>985</v>
      </c>
      <c r="L168" s="10">
        <v>4</v>
      </c>
      <c r="M168" s="6"/>
      <c r="N168" s="7"/>
      <c r="O168" s="7"/>
      <c r="P168" s="7"/>
      <c r="Q168" s="7"/>
      <c r="R168" s="7"/>
      <c r="S168" s="7"/>
      <c r="T168" s="7"/>
      <c r="U168" s="7"/>
      <c r="V168" s="7"/>
      <c r="W168" s="7"/>
      <c r="X168" s="7"/>
      <c r="Y168" s="7"/>
      <c r="Z168" s="6"/>
      <c r="AA168" s="6"/>
      <c r="AB168" s="6"/>
      <c r="AC168" s="6"/>
      <c r="AD168" s="6"/>
      <c r="AE168" s="6"/>
      <c r="AF168" s="6"/>
      <c r="AG168" s="6"/>
      <c r="AH168" s="6"/>
      <c r="AI168" s="6"/>
      <c r="AJ168" s="6"/>
    </row>
    <row r="169" spans="1:36" x14ac:dyDescent="0.2">
      <c r="A169" s="7"/>
      <c r="B169" s="7"/>
      <c r="C169" s="7"/>
      <c r="D169" s="7"/>
      <c r="E169" s="7"/>
      <c r="F169" s="9" t="str">
        <f t="shared" si="4"/>
        <v>COMPACT FLUORESCENT 42WWOOD POLE1</v>
      </c>
      <c r="G169" s="10">
        <f t="shared" si="5"/>
        <v>1660</v>
      </c>
      <c r="H169" s="7"/>
      <c r="I169" s="9">
        <v>1660</v>
      </c>
      <c r="J169" s="18" t="s">
        <v>1766</v>
      </c>
      <c r="K169" s="154" t="s">
        <v>986</v>
      </c>
      <c r="L169" s="10">
        <v>1</v>
      </c>
      <c r="M169" s="6"/>
      <c r="N169" s="7"/>
      <c r="O169" s="7"/>
      <c r="P169" s="7"/>
      <c r="Q169" s="7"/>
      <c r="R169" s="7"/>
      <c r="S169" s="7"/>
      <c r="T169" s="7"/>
      <c r="U169" s="7"/>
      <c r="V169" s="7"/>
      <c r="W169" s="7"/>
      <c r="X169" s="7"/>
      <c r="Y169" s="7"/>
      <c r="Z169" s="6"/>
      <c r="AA169" s="6"/>
      <c r="AB169" s="6"/>
      <c r="AC169" s="6"/>
      <c r="AD169" s="6"/>
      <c r="AE169" s="6"/>
      <c r="AF169" s="6"/>
      <c r="AG169" s="6"/>
      <c r="AH169" s="6"/>
      <c r="AI169" s="6"/>
      <c r="AJ169" s="6"/>
    </row>
    <row r="170" spans="1:36" x14ac:dyDescent="0.2">
      <c r="A170" s="7"/>
      <c r="B170" s="7"/>
      <c r="C170" s="7"/>
      <c r="D170" s="7"/>
      <c r="E170" s="7"/>
      <c r="F170" s="9" t="str">
        <f t="shared" si="4"/>
        <v>COMPACT FLUORESCENT 42WWOOD POLE2</v>
      </c>
      <c r="G170" s="10">
        <f t="shared" si="5"/>
        <v>1670</v>
      </c>
      <c r="H170" s="7"/>
      <c r="I170" s="9">
        <v>1670</v>
      </c>
      <c r="J170" s="18" t="s">
        <v>1766</v>
      </c>
      <c r="K170" s="154" t="s">
        <v>986</v>
      </c>
      <c r="L170" s="10">
        <v>2</v>
      </c>
      <c r="M170" s="6"/>
      <c r="N170" s="7"/>
      <c r="O170" s="7"/>
      <c r="P170" s="7"/>
      <c r="Q170" s="7"/>
      <c r="R170" s="7"/>
      <c r="S170" s="7"/>
      <c r="T170" s="7"/>
      <c r="U170" s="7"/>
      <c r="V170" s="7"/>
      <c r="W170" s="7"/>
      <c r="X170" s="7"/>
      <c r="Y170" s="7"/>
      <c r="Z170" s="6"/>
      <c r="AA170" s="6"/>
      <c r="AB170" s="6"/>
      <c r="AC170" s="6"/>
      <c r="AD170" s="6"/>
      <c r="AE170" s="6"/>
      <c r="AF170" s="6"/>
      <c r="AG170" s="6"/>
      <c r="AH170" s="6"/>
      <c r="AI170" s="6"/>
      <c r="AJ170" s="6"/>
    </row>
    <row r="171" spans="1:36" x14ac:dyDescent="0.2">
      <c r="A171" s="7"/>
      <c r="B171" s="7"/>
      <c r="C171" s="7"/>
      <c r="D171" s="7"/>
      <c r="E171" s="7"/>
      <c r="F171" s="9" t="str">
        <f t="shared" si="4"/>
        <v>COMPACT FLUORESCENT 42WWOOD POLE3</v>
      </c>
      <c r="G171" s="10">
        <f t="shared" si="5"/>
        <v>1680</v>
      </c>
      <c r="H171" s="7"/>
      <c r="I171" s="9">
        <v>1680</v>
      </c>
      <c r="J171" s="18" t="s">
        <v>1766</v>
      </c>
      <c r="K171" s="154" t="s">
        <v>986</v>
      </c>
      <c r="L171" s="10">
        <v>3</v>
      </c>
      <c r="M171" s="6"/>
      <c r="N171" s="7"/>
      <c r="O171" s="7"/>
      <c r="P171" s="7"/>
      <c r="Q171" s="7"/>
      <c r="R171" s="7"/>
      <c r="S171" s="7"/>
      <c r="T171" s="7"/>
      <c r="U171" s="7"/>
      <c r="V171" s="7"/>
      <c r="W171" s="7"/>
      <c r="X171" s="7"/>
      <c r="Y171" s="7"/>
      <c r="Z171" s="6"/>
      <c r="AA171" s="6"/>
      <c r="AB171" s="6"/>
      <c r="AC171" s="6"/>
      <c r="AD171" s="6"/>
      <c r="AE171" s="6"/>
      <c r="AF171" s="6"/>
      <c r="AG171" s="6"/>
      <c r="AH171" s="6"/>
      <c r="AI171" s="6"/>
      <c r="AJ171" s="6"/>
    </row>
    <row r="172" spans="1:36" x14ac:dyDescent="0.2">
      <c r="A172" s="7"/>
      <c r="B172" s="7"/>
      <c r="C172" s="7"/>
      <c r="D172" s="7"/>
      <c r="E172" s="7"/>
      <c r="F172" s="9" t="str">
        <f t="shared" si="4"/>
        <v>COMPACT FLUORESCENT 42WWOOD POLE4</v>
      </c>
      <c r="G172" s="10">
        <f t="shared" si="5"/>
        <v>1690</v>
      </c>
      <c r="H172" s="7"/>
      <c r="I172" s="9">
        <v>1690</v>
      </c>
      <c r="J172" s="18" t="s">
        <v>1766</v>
      </c>
      <c r="K172" s="154" t="s">
        <v>986</v>
      </c>
      <c r="L172" s="10">
        <v>4</v>
      </c>
      <c r="M172" s="6"/>
      <c r="N172" s="7"/>
      <c r="O172" s="7"/>
      <c r="P172" s="7"/>
      <c r="Q172" s="7"/>
      <c r="R172" s="7"/>
      <c r="S172" s="7"/>
      <c r="T172" s="7"/>
      <c r="U172" s="7"/>
      <c r="V172" s="7"/>
      <c r="W172" s="7"/>
      <c r="X172" s="7"/>
      <c r="Y172" s="7"/>
      <c r="Z172" s="6"/>
      <c r="AA172" s="6"/>
      <c r="AB172" s="6"/>
      <c r="AC172" s="6"/>
      <c r="AD172" s="6"/>
      <c r="AE172" s="6"/>
      <c r="AF172" s="6"/>
      <c r="AG172" s="6"/>
      <c r="AH172" s="6"/>
      <c r="AI172" s="6"/>
      <c r="AJ172" s="6"/>
    </row>
    <row r="173" spans="1:36" x14ac:dyDescent="0.2">
      <c r="A173" s="7"/>
      <c r="B173" s="7"/>
      <c r="C173" s="7"/>
      <c r="D173" s="7"/>
      <c r="E173" s="7"/>
      <c r="F173" s="9" t="str">
        <f t="shared" si="4"/>
        <v>COMPACT FLUORESCENT 42WSTEEL POLE1</v>
      </c>
      <c r="G173" s="10">
        <f t="shared" si="5"/>
        <v>1700</v>
      </c>
      <c r="H173" s="7"/>
      <c r="I173" s="9">
        <v>1700</v>
      </c>
      <c r="J173" s="18" t="s">
        <v>1766</v>
      </c>
      <c r="K173" s="154" t="s">
        <v>987</v>
      </c>
      <c r="L173" s="10">
        <v>1</v>
      </c>
      <c r="M173" s="6"/>
      <c r="N173" s="7"/>
      <c r="O173" s="7"/>
      <c r="P173" s="7"/>
      <c r="Q173" s="7"/>
      <c r="R173" s="7"/>
      <c r="S173" s="7"/>
      <c r="T173" s="7"/>
      <c r="U173" s="7"/>
      <c r="V173" s="7"/>
      <c r="W173" s="7"/>
      <c r="X173" s="7"/>
      <c r="Y173" s="7"/>
      <c r="Z173" s="6"/>
      <c r="AA173" s="6"/>
      <c r="AB173" s="6"/>
      <c r="AC173" s="6"/>
      <c r="AD173" s="6"/>
      <c r="AE173" s="6"/>
      <c r="AF173" s="6"/>
      <c r="AG173" s="6"/>
      <c r="AH173" s="6"/>
      <c r="AI173" s="6"/>
      <c r="AJ173" s="6"/>
    </row>
    <row r="174" spans="1:36" x14ac:dyDescent="0.2">
      <c r="A174" s="7"/>
      <c r="B174" s="7"/>
      <c r="C174" s="7"/>
      <c r="D174" s="7"/>
      <c r="E174" s="7"/>
      <c r="F174" s="9" t="str">
        <f t="shared" si="4"/>
        <v>COMPACT FLUORESCENT 42WSTEEL POLE2</v>
      </c>
      <c r="G174" s="10">
        <f t="shared" si="5"/>
        <v>1710</v>
      </c>
      <c r="H174" s="7"/>
      <c r="I174" s="9">
        <v>1710</v>
      </c>
      <c r="J174" s="18" t="s">
        <v>1766</v>
      </c>
      <c r="K174" s="154" t="s">
        <v>987</v>
      </c>
      <c r="L174" s="10">
        <v>2</v>
      </c>
      <c r="M174" s="6"/>
      <c r="N174" s="7"/>
      <c r="O174" s="7"/>
      <c r="P174" s="7"/>
      <c r="Q174" s="7"/>
      <c r="R174" s="7"/>
      <c r="S174" s="7"/>
      <c r="T174" s="7"/>
      <c r="U174" s="7"/>
      <c r="V174" s="7"/>
      <c r="W174" s="7"/>
      <c r="X174" s="7"/>
      <c r="Y174" s="7"/>
      <c r="Z174" s="6"/>
      <c r="AA174" s="6"/>
      <c r="AB174" s="6"/>
      <c r="AC174" s="6"/>
      <c r="AD174" s="6"/>
      <c r="AE174" s="6"/>
      <c r="AF174" s="6"/>
      <c r="AG174" s="6"/>
      <c r="AH174" s="6"/>
      <c r="AI174" s="6"/>
      <c r="AJ174" s="6"/>
    </row>
    <row r="175" spans="1:36" x14ac:dyDescent="0.2">
      <c r="A175" s="7"/>
      <c r="B175" s="7"/>
      <c r="C175" s="7"/>
      <c r="D175" s="7"/>
      <c r="E175" s="7"/>
      <c r="F175" s="9" t="str">
        <f t="shared" si="4"/>
        <v>COMPACT FLUORESCENT 42WSTEEL POLE3</v>
      </c>
      <c r="G175" s="10">
        <f t="shared" si="5"/>
        <v>1720</v>
      </c>
      <c r="H175" s="7"/>
      <c r="I175" s="9">
        <v>1720</v>
      </c>
      <c r="J175" s="18" t="s">
        <v>1766</v>
      </c>
      <c r="K175" s="154" t="s">
        <v>987</v>
      </c>
      <c r="L175" s="10">
        <v>3</v>
      </c>
      <c r="M175" s="6"/>
      <c r="N175" s="7"/>
      <c r="O175" s="7"/>
      <c r="P175" s="7"/>
      <c r="Q175" s="7"/>
      <c r="R175" s="7"/>
      <c r="S175" s="7"/>
      <c r="T175" s="7"/>
      <c r="U175" s="7"/>
      <c r="V175" s="7"/>
      <c r="W175" s="7"/>
      <c r="X175" s="7"/>
      <c r="Y175" s="7"/>
      <c r="Z175" s="6"/>
      <c r="AA175" s="6"/>
      <c r="AB175" s="6"/>
      <c r="AC175" s="6"/>
      <c r="AD175" s="6"/>
      <c r="AE175" s="6"/>
      <c r="AF175" s="6"/>
      <c r="AG175" s="6"/>
      <c r="AH175" s="6"/>
      <c r="AI175" s="6"/>
      <c r="AJ175" s="6"/>
    </row>
    <row r="176" spans="1:36" x14ac:dyDescent="0.2">
      <c r="A176" s="7"/>
      <c r="B176" s="7"/>
      <c r="C176" s="7"/>
      <c r="D176" s="7"/>
      <c r="E176" s="7"/>
      <c r="F176" s="9" t="str">
        <f t="shared" si="4"/>
        <v>COMPACT FLUORESCENT 42WSTEEL POLE4</v>
      </c>
      <c r="G176" s="10">
        <f t="shared" si="5"/>
        <v>1730</v>
      </c>
      <c r="H176" s="7"/>
      <c r="I176" s="9">
        <v>1730</v>
      </c>
      <c r="J176" s="18" t="s">
        <v>1766</v>
      </c>
      <c r="K176" s="154" t="s">
        <v>987</v>
      </c>
      <c r="L176" s="10">
        <v>4</v>
      </c>
      <c r="M176" s="6"/>
      <c r="N176" s="7"/>
      <c r="O176" s="7"/>
      <c r="P176" s="7"/>
      <c r="Q176" s="7"/>
      <c r="R176" s="7"/>
      <c r="S176" s="7"/>
      <c r="T176" s="7"/>
      <c r="U176" s="7"/>
      <c r="V176" s="7"/>
      <c r="W176" s="7"/>
      <c r="X176" s="7"/>
      <c r="Y176" s="7"/>
      <c r="Z176" s="6"/>
      <c r="AA176" s="6"/>
      <c r="AB176" s="6"/>
      <c r="AC176" s="6"/>
      <c r="AD176" s="6"/>
      <c r="AE176" s="6"/>
      <c r="AF176" s="6"/>
      <c r="AG176" s="6"/>
      <c r="AH176" s="6"/>
      <c r="AI176" s="6"/>
      <c r="AJ176" s="6"/>
    </row>
    <row r="177" spans="1:36" x14ac:dyDescent="0.2">
      <c r="A177" s="7"/>
      <c r="B177" s="7"/>
      <c r="C177" s="7"/>
      <c r="D177" s="7"/>
      <c r="E177" s="7"/>
      <c r="F177" s="9" t="str">
        <f t="shared" si="4"/>
        <v>T5 2x14WSHARED OR NO POLE1</v>
      </c>
      <c r="G177" s="10">
        <f t="shared" si="5"/>
        <v>1740</v>
      </c>
      <c r="H177" s="7"/>
      <c r="I177" s="9">
        <v>1740</v>
      </c>
      <c r="J177" s="18" t="s">
        <v>1779</v>
      </c>
      <c r="K177" s="154" t="s">
        <v>985</v>
      </c>
      <c r="L177" s="10">
        <v>1</v>
      </c>
      <c r="M177" s="6"/>
      <c r="N177" s="7"/>
      <c r="O177" s="7"/>
      <c r="P177" s="7"/>
      <c r="Q177" s="7"/>
      <c r="R177" s="7"/>
      <c r="S177" s="7"/>
      <c r="T177" s="7"/>
      <c r="U177" s="7"/>
      <c r="V177" s="7"/>
      <c r="W177" s="7"/>
      <c r="X177" s="7"/>
      <c r="Y177" s="7"/>
      <c r="Z177" s="6"/>
      <c r="AA177" s="6"/>
      <c r="AB177" s="6"/>
      <c r="AC177" s="6"/>
      <c r="AD177" s="6"/>
      <c r="AE177" s="6"/>
      <c r="AF177" s="6"/>
      <c r="AG177" s="6"/>
      <c r="AH177" s="6"/>
      <c r="AI177" s="6"/>
      <c r="AJ177" s="6"/>
    </row>
    <row r="178" spans="1:36" x14ac:dyDescent="0.2">
      <c r="A178" s="7"/>
      <c r="B178" s="7"/>
      <c r="C178" s="7"/>
      <c r="D178" s="7"/>
      <c r="E178" s="7"/>
      <c r="F178" s="9" t="str">
        <f t="shared" si="4"/>
        <v>T5 2x14WSHARED OR NO POLE2</v>
      </c>
      <c r="G178" s="10">
        <f t="shared" si="5"/>
        <v>1750</v>
      </c>
      <c r="H178" s="7"/>
      <c r="I178" s="9">
        <v>1750</v>
      </c>
      <c r="J178" s="18" t="s">
        <v>1779</v>
      </c>
      <c r="K178" s="154" t="s">
        <v>985</v>
      </c>
      <c r="L178" s="10">
        <v>2</v>
      </c>
      <c r="M178" s="6"/>
      <c r="N178" s="7"/>
      <c r="O178" s="7"/>
      <c r="P178" s="7"/>
      <c r="Q178" s="7"/>
      <c r="R178" s="7"/>
      <c r="S178" s="7"/>
      <c r="T178" s="7"/>
      <c r="U178" s="7"/>
      <c r="V178" s="7"/>
      <c r="W178" s="7"/>
      <c r="X178" s="7"/>
      <c r="Y178" s="7"/>
      <c r="Z178" s="6"/>
      <c r="AA178" s="6"/>
      <c r="AB178" s="6"/>
      <c r="AC178" s="6"/>
      <c r="AD178" s="6"/>
      <c r="AE178" s="6"/>
      <c r="AF178" s="6"/>
      <c r="AG178" s="6"/>
      <c r="AH178" s="6"/>
      <c r="AI178" s="6"/>
      <c r="AJ178" s="6"/>
    </row>
    <row r="179" spans="1:36" x14ac:dyDescent="0.2">
      <c r="A179" s="7"/>
      <c r="B179" s="7"/>
      <c r="C179" s="7"/>
      <c r="D179" s="7"/>
      <c r="E179" s="7"/>
      <c r="F179" s="9" t="str">
        <f t="shared" si="4"/>
        <v>T5 2x14WSHARED OR NO POLE3</v>
      </c>
      <c r="G179" s="10">
        <f t="shared" si="5"/>
        <v>1760</v>
      </c>
      <c r="H179" s="7"/>
      <c r="I179" s="9">
        <v>1760</v>
      </c>
      <c r="J179" s="18" t="s">
        <v>1779</v>
      </c>
      <c r="K179" s="154" t="s">
        <v>985</v>
      </c>
      <c r="L179" s="10">
        <v>3</v>
      </c>
      <c r="M179" s="6"/>
      <c r="N179" s="7"/>
      <c r="O179" s="7"/>
      <c r="P179" s="7"/>
      <c r="Q179" s="7"/>
      <c r="R179" s="7"/>
      <c r="S179" s="7"/>
      <c r="T179" s="7"/>
      <c r="U179" s="7"/>
      <c r="V179" s="7"/>
      <c r="W179" s="7"/>
      <c r="X179" s="7"/>
      <c r="Y179" s="7"/>
      <c r="Z179" s="6"/>
      <c r="AA179" s="6"/>
      <c r="AB179" s="6"/>
      <c r="AC179" s="6"/>
      <c r="AD179" s="6"/>
      <c r="AE179" s="6"/>
      <c r="AF179" s="6"/>
      <c r="AG179" s="6"/>
      <c r="AH179" s="6"/>
      <c r="AI179" s="6"/>
      <c r="AJ179" s="6"/>
    </row>
    <row r="180" spans="1:36" x14ac:dyDescent="0.2">
      <c r="A180" s="7"/>
      <c r="B180" s="7"/>
      <c r="C180" s="7"/>
      <c r="D180" s="7"/>
      <c r="E180" s="7"/>
      <c r="F180" s="9" t="str">
        <f t="shared" si="4"/>
        <v>T5 2x14WSHARED OR NO POLE4</v>
      </c>
      <c r="G180" s="10">
        <f t="shared" si="5"/>
        <v>1770</v>
      </c>
      <c r="H180" s="7"/>
      <c r="I180" s="9">
        <v>1770</v>
      </c>
      <c r="J180" s="18" t="s">
        <v>1779</v>
      </c>
      <c r="K180" s="154" t="s">
        <v>985</v>
      </c>
      <c r="L180" s="10">
        <v>4</v>
      </c>
      <c r="M180" s="6"/>
      <c r="N180" s="7"/>
      <c r="O180" s="7"/>
      <c r="P180" s="7"/>
      <c r="Q180" s="7"/>
      <c r="R180" s="7"/>
      <c r="S180" s="7"/>
      <c r="T180" s="7"/>
      <c r="U180" s="7"/>
      <c r="V180" s="7"/>
      <c r="W180" s="7"/>
      <c r="X180" s="7"/>
      <c r="Y180" s="7"/>
      <c r="Z180" s="6"/>
      <c r="AA180" s="6"/>
      <c r="AB180" s="6"/>
      <c r="AC180" s="6"/>
      <c r="AD180" s="6"/>
      <c r="AE180" s="6"/>
      <c r="AF180" s="6"/>
      <c r="AG180" s="6"/>
      <c r="AH180" s="6"/>
      <c r="AI180" s="6"/>
      <c r="AJ180" s="6"/>
    </row>
    <row r="181" spans="1:36" x14ac:dyDescent="0.2">
      <c r="A181" s="7"/>
      <c r="B181" s="7"/>
      <c r="C181" s="7"/>
      <c r="D181" s="7"/>
      <c r="E181" s="7"/>
      <c r="F181" s="9" t="str">
        <f t="shared" si="4"/>
        <v>T5 2x14WWOOD POLE1</v>
      </c>
      <c r="G181" s="10">
        <f t="shared" si="5"/>
        <v>1780</v>
      </c>
      <c r="H181" s="7"/>
      <c r="I181" s="9">
        <v>1780</v>
      </c>
      <c r="J181" s="18" t="s">
        <v>1779</v>
      </c>
      <c r="K181" s="154" t="s">
        <v>986</v>
      </c>
      <c r="L181" s="10">
        <v>1</v>
      </c>
      <c r="M181" s="6"/>
      <c r="N181" s="7"/>
      <c r="O181" s="7"/>
      <c r="P181" s="7"/>
      <c r="Q181" s="7"/>
      <c r="R181" s="7"/>
      <c r="S181" s="7"/>
      <c r="T181" s="7"/>
      <c r="U181" s="7"/>
      <c r="V181" s="7"/>
      <c r="W181" s="7"/>
      <c r="X181" s="7"/>
      <c r="Y181" s="7"/>
      <c r="Z181" s="6"/>
      <c r="AA181" s="6"/>
      <c r="AB181" s="6"/>
      <c r="AC181" s="6"/>
      <c r="AD181" s="6"/>
      <c r="AE181" s="6"/>
      <c r="AF181" s="6"/>
      <c r="AG181" s="6"/>
      <c r="AH181" s="6"/>
      <c r="AI181" s="6"/>
      <c r="AJ181" s="6"/>
    </row>
    <row r="182" spans="1:36" x14ac:dyDescent="0.2">
      <c r="A182" s="7"/>
      <c r="B182" s="7"/>
      <c r="C182" s="7"/>
      <c r="D182" s="7"/>
      <c r="E182" s="7"/>
      <c r="F182" s="9" t="str">
        <f t="shared" si="4"/>
        <v>T5 2x14WWOOD POLE2</v>
      </c>
      <c r="G182" s="10">
        <f t="shared" si="5"/>
        <v>1790</v>
      </c>
      <c r="H182" s="7"/>
      <c r="I182" s="9">
        <v>1790</v>
      </c>
      <c r="J182" s="18" t="s">
        <v>1779</v>
      </c>
      <c r="K182" s="154" t="s">
        <v>986</v>
      </c>
      <c r="L182" s="10">
        <v>2</v>
      </c>
      <c r="M182" s="6"/>
      <c r="N182" s="7"/>
      <c r="O182" s="7"/>
      <c r="P182" s="7"/>
      <c r="Q182" s="7"/>
      <c r="R182" s="7"/>
      <c r="S182" s="7"/>
      <c r="T182" s="7"/>
      <c r="U182" s="7"/>
      <c r="V182" s="7"/>
      <c r="W182" s="7"/>
      <c r="X182" s="7"/>
      <c r="Y182" s="7"/>
      <c r="Z182" s="6"/>
      <c r="AA182" s="6"/>
      <c r="AB182" s="6"/>
      <c r="AC182" s="6"/>
      <c r="AD182" s="6"/>
      <c r="AE182" s="6"/>
      <c r="AF182" s="6"/>
      <c r="AG182" s="6"/>
      <c r="AH182" s="6"/>
      <c r="AI182" s="6"/>
      <c r="AJ182" s="6"/>
    </row>
    <row r="183" spans="1:36" x14ac:dyDescent="0.2">
      <c r="A183" s="7"/>
      <c r="B183" s="7"/>
      <c r="C183" s="7"/>
      <c r="D183" s="7"/>
      <c r="E183" s="7"/>
      <c r="F183" s="9" t="str">
        <f t="shared" si="4"/>
        <v>T5 2x14WWOOD POLE3</v>
      </c>
      <c r="G183" s="10">
        <f t="shared" si="5"/>
        <v>1800</v>
      </c>
      <c r="H183" s="7"/>
      <c r="I183" s="9">
        <v>1800</v>
      </c>
      <c r="J183" s="18" t="s">
        <v>1779</v>
      </c>
      <c r="K183" s="154" t="s">
        <v>986</v>
      </c>
      <c r="L183" s="10">
        <v>3</v>
      </c>
      <c r="M183" s="6"/>
      <c r="N183" s="7"/>
      <c r="O183" s="7"/>
      <c r="P183" s="7"/>
      <c r="Q183" s="7"/>
      <c r="R183" s="7"/>
      <c r="S183" s="7"/>
      <c r="T183" s="7"/>
      <c r="U183" s="7"/>
      <c r="V183" s="7"/>
      <c r="W183" s="7"/>
      <c r="X183" s="7"/>
      <c r="Y183" s="7"/>
      <c r="Z183" s="6"/>
      <c r="AA183" s="6"/>
      <c r="AB183" s="6"/>
      <c r="AC183" s="6"/>
      <c r="AD183" s="6"/>
      <c r="AE183" s="6"/>
      <c r="AF183" s="6"/>
      <c r="AG183" s="6"/>
      <c r="AH183" s="6"/>
      <c r="AI183" s="6"/>
      <c r="AJ183" s="6"/>
    </row>
    <row r="184" spans="1:36" x14ac:dyDescent="0.2">
      <c r="A184" s="7"/>
      <c r="B184" s="7"/>
      <c r="C184" s="7"/>
      <c r="D184" s="7"/>
      <c r="E184" s="7"/>
      <c r="F184" s="9" t="str">
        <f t="shared" si="4"/>
        <v>T5 2x14WWOOD POLE4</v>
      </c>
      <c r="G184" s="10">
        <f t="shared" si="5"/>
        <v>1810</v>
      </c>
      <c r="H184" s="7"/>
      <c r="I184" s="9">
        <v>1810</v>
      </c>
      <c r="J184" s="18" t="s">
        <v>1779</v>
      </c>
      <c r="K184" s="154" t="s">
        <v>986</v>
      </c>
      <c r="L184" s="10">
        <v>4</v>
      </c>
      <c r="M184" s="6"/>
      <c r="N184" s="7"/>
      <c r="O184" s="7"/>
      <c r="P184" s="7"/>
      <c r="Q184" s="7"/>
      <c r="R184" s="7"/>
      <c r="S184" s="7"/>
      <c r="T184" s="7"/>
      <c r="U184" s="7"/>
      <c r="V184" s="7"/>
      <c r="W184" s="7"/>
      <c r="X184" s="7"/>
      <c r="Y184" s="7"/>
      <c r="Z184" s="6"/>
      <c r="AA184" s="6"/>
      <c r="AB184" s="6"/>
      <c r="AC184" s="6"/>
      <c r="AD184" s="6"/>
      <c r="AE184" s="6"/>
      <c r="AF184" s="6"/>
      <c r="AG184" s="6"/>
      <c r="AH184" s="6"/>
      <c r="AI184" s="6"/>
      <c r="AJ184" s="6"/>
    </row>
    <row r="185" spans="1:36" x14ac:dyDescent="0.2">
      <c r="A185" s="7"/>
      <c r="B185" s="7"/>
      <c r="C185" s="7"/>
      <c r="D185" s="7"/>
      <c r="E185" s="7"/>
      <c r="F185" s="9" t="str">
        <f t="shared" si="4"/>
        <v>T5 2x14WSTEEL POLE1</v>
      </c>
      <c r="G185" s="10">
        <f t="shared" si="5"/>
        <v>1820</v>
      </c>
      <c r="H185" s="7"/>
      <c r="I185" s="9">
        <v>1820</v>
      </c>
      <c r="J185" s="18" t="s">
        <v>1779</v>
      </c>
      <c r="K185" s="154" t="s">
        <v>987</v>
      </c>
      <c r="L185" s="10">
        <v>1</v>
      </c>
      <c r="M185" s="6"/>
      <c r="N185" s="7"/>
      <c r="O185" s="7"/>
      <c r="P185" s="7"/>
      <c r="Q185" s="7"/>
      <c r="R185" s="7"/>
      <c r="S185" s="7"/>
      <c r="T185" s="7"/>
      <c r="U185" s="7"/>
      <c r="V185" s="7"/>
      <c r="W185" s="7"/>
      <c r="X185" s="7"/>
      <c r="Y185" s="7"/>
      <c r="Z185" s="6"/>
      <c r="AA185" s="6"/>
      <c r="AB185" s="6"/>
      <c r="AC185" s="6"/>
      <c r="AD185" s="6"/>
      <c r="AE185" s="6"/>
      <c r="AF185" s="6"/>
      <c r="AG185" s="6"/>
      <c r="AH185" s="6"/>
      <c r="AI185" s="6"/>
      <c r="AJ185" s="6"/>
    </row>
    <row r="186" spans="1:36" x14ac:dyDescent="0.2">
      <c r="A186" s="7"/>
      <c r="B186" s="7"/>
      <c r="C186" s="7"/>
      <c r="D186" s="7"/>
      <c r="E186" s="7"/>
      <c r="F186" s="9" t="str">
        <f t="shared" si="4"/>
        <v>T5 2x14WSTEEL POLE2</v>
      </c>
      <c r="G186" s="10">
        <f t="shared" si="5"/>
        <v>1830</v>
      </c>
      <c r="H186" s="7"/>
      <c r="I186" s="9">
        <v>1830</v>
      </c>
      <c r="J186" s="18" t="s">
        <v>1779</v>
      </c>
      <c r="K186" s="154" t="s">
        <v>987</v>
      </c>
      <c r="L186" s="10">
        <v>2</v>
      </c>
      <c r="M186" s="6"/>
      <c r="N186" s="7"/>
      <c r="O186" s="7"/>
      <c r="P186" s="7"/>
      <c r="Q186" s="7"/>
      <c r="R186" s="7"/>
      <c r="S186" s="7"/>
      <c r="T186" s="7"/>
      <c r="U186" s="7"/>
      <c r="V186" s="7"/>
      <c r="W186" s="7"/>
      <c r="X186" s="7"/>
      <c r="Y186" s="7"/>
      <c r="Z186" s="6"/>
      <c r="AA186" s="6"/>
      <c r="AB186" s="6"/>
      <c r="AC186" s="6"/>
      <c r="AD186" s="6"/>
      <c r="AE186" s="6"/>
      <c r="AF186" s="6"/>
      <c r="AG186" s="6"/>
      <c r="AH186" s="6"/>
      <c r="AI186" s="6"/>
      <c r="AJ186" s="6"/>
    </row>
    <row r="187" spans="1:36" x14ac:dyDescent="0.2">
      <c r="A187" s="7"/>
      <c r="B187" s="7"/>
      <c r="C187" s="7"/>
      <c r="D187" s="7"/>
      <c r="E187" s="7"/>
      <c r="F187" s="9" t="str">
        <f t="shared" si="4"/>
        <v>T5 2x14WSTEEL POLE3</v>
      </c>
      <c r="G187" s="10">
        <f t="shared" si="5"/>
        <v>1840</v>
      </c>
      <c r="H187" s="7"/>
      <c r="I187" s="9">
        <v>1840</v>
      </c>
      <c r="J187" s="18" t="s">
        <v>1779</v>
      </c>
      <c r="K187" s="154" t="s">
        <v>987</v>
      </c>
      <c r="L187" s="10">
        <v>3</v>
      </c>
      <c r="M187" s="6"/>
      <c r="N187" s="7"/>
      <c r="O187" s="7"/>
      <c r="P187" s="7"/>
      <c r="Q187" s="7"/>
      <c r="R187" s="7"/>
      <c r="S187" s="7"/>
      <c r="T187" s="7"/>
      <c r="U187" s="7"/>
      <c r="V187" s="7"/>
      <c r="W187" s="7"/>
      <c r="X187" s="7"/>
      <c r="Y187" s="7"/>
      <c r="Z187" s="6"/>
      <c r="AA187" s="6"/>
      <c r="AB187" s="6"/>
      <c r="AC187" s="6"/>
      <c r="AD187" s="6"/>
      <c r="AE187" s="6"/>
      <c r="AF187" s="6"/>
      <c r="AG187" s="6"/>
      <c r="AH187" s="6"/>
      <c r="AI187" s="6"/>
      <c r="AJ187" s="6"/>
    </row>
    <row r="188" spans="1:36" x14ac:dyDescent="0.2">
      <c r="A188" s="7"/>
      <c r="B188" s="7"/>
      <c r="C188" s="7"/>
      <c r="D188" s="7"/>
      <c r="E188" s="7"/>
      <c r="F188" s="9" t="str">
        <f t="shared" ref="F188:F200" si="6">CONCATENATE(J188,K188,L188)</f>
        <v>T5 2x14WSTEEL POLE4</v>
      </c>
      <c r="G188" s="10">
        <f t="shared" ref="G188:G200" si="7">I188</f>
        <v>1850</v>
      </c>
      <c r="H188" s="7"/>
      <c r="I188" s="9">
        <v>1850</v>
      </c>
      <c r="J188" s="18" t="s">
        <v>1779</v>
      </c>
      <c r="K188" s="154" t="s">
        <v>987</v>
      </c>
      <c r="L188" s="10">
        <v>4</v>
      </c>
      <c r="M188" s="6"/>
      <c r="N188" s="7"/>
      <c r="O188" s="7"/>
      <c r="P188" s="7"/>
      <c r="Q188" s="7"/>
      <c r="R188" s="7"/>
      <c r="S188" s="7"/>
      <c r="T188" s="7"/>
      <c r="U188" s="7"/>
      <c r="V188" s="7"/>
      <c r="W188" s="7"/>
      <c r="X188" s="7"/>
      <c r="Y188" s="7"/>
      <c r="Z188" s="6"/>
      <c r="AA188" s="6"/>
      <c r="AB188" s="6"/>
      <c r="AC188" s="6"/>
      <c r="AD188" s="6"/>
      <c r="AE188" s="6"/>
      <c r="AF188" s="6"/>
      <c r="AG188" s="6"/>
      <c r="AH188" s="6"/>
      <c r="AI188" s="6"/>
      <c r="AJ188" s="6"/>
    </row>
    <row r="189" spans="1:36" x14ac:dyDescent="0.2">
      <c r="A189" s="7"/>
      <c r="B189" s="7"/>
      <c r="C189" s="7"/>
      <c r="D189" s="7"/>
      <c r="E189" s="7"/>
      <c r="F189" s="9" t="str">
        <f t="shared" si="6"/>
        <v>T5 2x24WSHARED OR NO POLE1</v>
      </c>
      <c r="G189" s="10">
        <f t="shared" si="7"/>
        <v>1860</v>
      </c>
      <c r="H189" s="18"/>
      <c r="I189" s="9">
        <v>1860</v>
      </c>
      <c r="J189" s="18" t="s">
        <v>1780</v>
      </c>
      <c r="K189" s="154" t="s">
        <v>985</v>
      </c>
      <c r="L189" s="10">
        <v>1</v>
      </c>
      <c r="M189" s="6"/>
      <c r="N189" s="7"/>
      <c r="O189" s="7"/>
      <c r="P189" s="7"/>
      <c r="Q189" s="7"/>
      <c r="R189" s="7"/>
      <c r="S189" s="7"/>
      <c r="T189" s="7"/>
      <c r="U189" s="7"/>
      <c r="V189" s="7"/>
      <c r="W189" s="7"/>
      <c r="X189" s="7"/>
      <c r="Y189" s="7"/>
      <c r="Z189" s="6"/>
      <c r="AA189" s="6"/>
      <c r="AB189" s="6"/>
      <c r="AC189" s="6"/>
      <c r="AD189" s="6"/>
      <c r="AE189" s="6"/>
      <c r="AF189" s="6"/>
      <c r="AG189" s="6"/>
      <c r="AH189" s="6"/>
      <c r="AI189" s="6"/>
      <c r="AJ189" s="6"/>
    </row>
    <row r="190" spans="1:36" x14ac:dyDescent="0.2">
      <c r="A190" s="7"/>
      <c r="B190" s="7"/>
      <c r="C190" s="7"/>
      <c r="D190" s="7"/>
      <c r="E190" s="7"/>
      <c r="F190" s="9" t="str">
        <f t="shared" si="6"/>
        <v>T5 2x24WSHARED OR NO POLE2</v>
      </c>
      <c r="G190" s="10">
        <f t="shared" si="7"/>
        <v>1870</v>
      </c>
      <c r="H190" s="7"/>
      <c r="I190" s="9">
        <v>1870</v>
      </c>
      <c r="J190" s="18" t="s">
        <v>1780</v>
      </c>
      <c r="K190" s="154" t="s">
        <v>985</v>
      </c>
      <c r="L190" s="10">
        <v>2</v>
      </c>
      <c r="M190" s="6"/>
      <c r="N190" s="7"/>
      <c r="O190" s="7"/>
      <c r="P190" s="7"/>
      <c r="Q190" s="7"/>
      <c r="R190" s="7"/>
      <c r="S190" s="7"/>
      <c r="T190" s="7"/>
      <c r="U190" s="7"/>
      <c r="V190" s="7"/>
      <c r="W190" s="7"/>
      <c r="X190" s="7"/>
      <c r="Y190" s="7"/>
      <c r="Z190" s="6"/>
      <c r="AA190" s="6"/>
      <c r="AB190" s="6"/>
      <c r="AC190" s="6"/>
      <c r="AD190" s="6"/>
      <c r="AE190" s="6"/>
      <c r="AF190" s="6"/>
      <c r="AG190" s="6"/>
      <c r="AH190" s="6"/>
      <c r="AI190" s="6"/>
      <c r="AJ190" s="6"/>
    </row>
    <row r="191" spans="1:36" x14ac:dyDescent="0.2">
      <c r="A191" s="7"/>
      <c r="B191" s="7"/>
      <c r="C191" s="7"/>
      <c r="D191" s="7"/>
      <c r="E191" s="7"/>
      <c r="F191" s="9" t="str">
        <f t="shared" si="6"/>
        <v>T5 2x24WSHARED OR NO POLE3</v>
      </c>
      <c r="G191" s="10">
        <f t="shared" si="7"/>
        <v>1880</v>
      </c>
      <c r="H191" s="7"/>
      <c r="I191" s="9">
        <v>1880</v>
      </c>
      <c r="J191" s="18" t="s">
        <v>1780</v>
      </c>
      <c r="K191" s="154" t="s">
        <v>985</v>
      </c>
      <c r="L191" s="10">
        <v>3</v>
      </c>
      <c r="M191" s="6"/>
      <c r="N191" s="7"/>
      <c r="O191" s="7"/>
      <c r="P191" s="7"/>
      <c r="Q191" s="7"/>
      <c r="R191" s="7"/>
      <c r="S191" s="7"/>
      <c r="T191" s="7"/>
      <c r="U191" s="7"/>
      <c r="V191" s="7"/>
      <c r="W191" s="7"/>
      <c r="X191" s="7"/>
      <c r="Y191" s="7"/>
      <c r="Z191" s="6"/>
      <c r="AA191" s="6"/>
      <c r="AB191" s="6"/>
      <c r="AC191" s="6"/>
      <c r="AD191" s="6"/>
      <c r="AE191" s="6"/>
      <c r="AF191" s="6"/>
      <c r="AG191" s="6"/>
      <c r="AH191" s="6"/>
      <c r="AI191" s="6"/>
      <c r="AJ191" s="6"/>
    </row>
    <row r="192" spans="1:36" x14ac:dyDescent="0.2">
      <c r="A192" s="7"/>
      <c r="B192" s="7"/>
      <c r="C192" s="7"/>
      <c r="D192" s="7"/>
      <c r="E192" s="7"/>
      <c r="F192" s="9" t="str">
        <f t="shared" si="6"/>
        <v>T5 2x24WSHARED OR NO POLE4</v>
      </c>
      <c r="G192" s="10">
        <f t="shared" si="7"/>
        <v>1890</v>
      </c>
      <c r="H192" s="7"/>
      <c r="I192" s="9">
        <v>1890</v>
      </c>
      <c r="J192" s="18" t="s">
        <v>1780</v>
      </c>
      <c r="K192" s="154" t="s">
        <v>985</v>
      </c>
      <c r="L192" s="10">
        <v>4</v>
      </c>
      <c r="M192" s="6"/>
      <c r="N192" s="7"/>
      <c r="O192" s="7"/>
      <c r="P192" s="7"/>
      <c r="Q192" s="7"/>
      <c r="R192" s="7"/>
      <c r="S192" s="7"/>
      <c r="T192" s="7"/>
      <c r="U192" s="7"/>
      <c r="V192" s="7"/>
      <c r="W192" s="7"/>
      <c r="X192" s="7"/>
      <c r="Y192" s="7"/>
      <c r="Z192" s="6"/>
      <c r="AA192" s="6"/>
      <c r="AB192" s="6"/>
      <c r="AC192" s="6"/>
      <c r="AD192" s="6"/>
      <c r="AE192" s="6"/>
      <c r="AF192" s="6"/>
      <c r="AG192" s="6"/>
      <c r="AH192" s="6"/>
      <c r="AI192" s="6"/>
      <c r="AJ192" s="6"/>
    </row>
    <row r="193" spans="1:36" x14ac:dyDescent="0.2">
      <c r="A193" s="7"/>
      <c r="B193" s="7"/>
      <c r="C193" s="7"/>
      <c r="D193" s="7"/>
      <c r="E193" s="7"/>
      <c r="F193" s="9" t="str">
        <f t="shared" si="6"/>
        <v>T5 2x24WWOOD POLE1</v>
      </c>
      <c r="G193" s="10">
        <f t="shared" si="7"/>
        <v>1900</v>
      </c>
      <c r="H193" s="7"/>
      <c r="I193" s="9">
        <v>1900</v>
      </c>
      <c r="J193" s="18" t="s">
        <v>1780</v>
      </c>
      <c r="K193" s="154" t="s">
        <v>986</v>
      </c>
      <c r="L193" s="10">
        <v>1</v>
      </c>
      <c r="M193" s="6"/>
      <c r="N193" s="7"/>
      <c r="O193" s="7"/>
      <c r="P193" s="7"/>
      <c r="Q193" s="7"/>
      <c r="R193" s="7"/>
      <c r="S193" s="7"/>
      <c r="T193" s="7"/>
      <c r="U193" s="7"/>
      <c r="V193" s="7"/>
      <c r="W193" s="7"/>
      <c r="X193" s="7"/>
      <c r="Y193" s="7"/>
      <c r="Z193" s="6"/>
      <c r="AA193" s="6"/>
      <c r="AB193" s="6"/>
      <c r="AC193" s="6"/>
      <c r="AD193" s="6"/>
      <c r="AE193" s="6"/>
      <c r="AF193" s="6"/>
      <c r="AG193" s="6"/>
      <c r="AH193" s="6"/>
      <c r="AI193" s="6"/>
      <c r="AJ193" s="6"/>
    </row>
    <row r="194" spans="1:36" x14ac:dyDescent="0.2">
      <c r="A194" s="7"/>
      <c r="B194" s="7"/>
      <c r="C194" s="7"/>
      <c r="D194" s="7"/>
      <c r="E194" s="7"/>
      <c r="F194" s="9" t="str">
        <f t="shared" si="6"/>
        <v>T5 2x24WWOOD POLE2</v>
      </c>
      <c r="G194" s="10">
        <f t="shared" si="7"/>
        <v>1910</v>
      </c>
      <c r="H194" s="7"/>
      <c r="I194" s="9">
        <v>1910</v>
      </c>
      <c r="J194" s="18" t="s">
        <v>1780</v>
      </c>
      <c r="K194" s="154" t="s">
        <v>986</v>
      </c>
      <c r="L194" s="10">
        <v>2</v>
      </c>
      <c r="M194" s="6"/>
      <c r="N194" s="7"/>
      <c r="O194" s="7"/>
      <c r="P194" s="7"/>
      <c r="Q194" s="7"/>
      <c r="R194" s="7"/>
      <c r="S194" s="7"/>
      <c r="T194" s="7"/>
      <c r="U194" s="7"/>
      <c r="V194" s="7"/>
      <c r="W194" s="7"/>
      <c r="X194" s="7"/>
      <c r="Y194" s="7"/>
      <c r="Z194" s="6"/>
      <c r="AA194" s="6"/>
      <c r="AB194" s="6"/>
      <c r="AC194" s="6"/>
      <c r="AD194" s="6"/>
      <c r="AE194" s="6"/>
      <c r="AF194" s="6"/>
      <c r="AG194" s="6"/>
      <c r="AH194" s="6"/>
      <c r="AI194" s="6"/>
      <c r="AJ194" s="6"/>
    </row>
    <row r="195" spans="1:36" x14ac:dyDescent="0.2">
      <c r="A195" s="7"/>
      <c r="B195" s="7"/>
      <c r="C195" s="7"/>
      <c r="D195" s="7"/>
      <c r="E195" s="7"/>
      <c r="F195" s="9" t="str">
        <f t="shared" si="6"/>
        <v>T5 2x24WWOOD POLE3</v>
      </c>
      <c r="G195" s="10">
        <f t="shared" si="7"/>
        <v>1920</v>
      </c>
      <c r="H195" s="7"/>
      <c r="I195" s="9">
        <v>1920</v>
      </c>
      <c r="J195" s="18" t="s">
        <v>1780</v>
      </c>
      <c r="K195" s="154" t="s">
        <v>986</v>
      </c>
      <c r="L195" s="10">
        <v>3</v>
      </c>
      <c r="M195" s="6"/>
      <c r="N195" s="7"/>
      <c r="O195" s="7"/>
      <c r="P195" s="7"/>
      <c r="Q195" s="7"/>
      <c r="R195" s="7"/>
      <c r="S195" s="7"/>
      <c r="T195" s="7"/>
      <c r="U195" s="7"/>
      <c r="V195" s="7"/>
      <c r="W195" s="7"/>
      <c r="X195" s="7"/>
      <c r="Y195" s="7"/>
      <c r="Z195" s="6"/>
      <c r="AA195" s="6"/>
      <c r="AB195" s="6"/>
      <c r="AC195" s="6"/>
      <c r="AD195" s="6"/>
      <c r="AE195" s="6"/>
      <c r="AF195" s="6"/>
      <c r="AG195" s="6"/>
      <c r="AH195" s="6"/>
      <c r="AI195" s="6"/>
      <c r="AJ195" s="6"/>
    </row>
    <row r="196" spans="1:36" x14ac:dyDescent="0.2">
      <c r="A196" s="7"/>
      <c r="B196" s="7"/>
      <c r="C196" s="7"/>
      <c r="D196" s="7"/>
      <c r="E196" s="7"/>
      <c r="F196" s="9" t="str">
        <f t="shared" si="6"/>
        <v>T5 2x24WWOOD POLE4</v>
      </c>
      <c r="G196" s="10">
        <f t="shared" si="7"/>
        <v>1930</v>
      </c>
      <c r="H196" s="7"/>
      <c r="I196" s="9">
        <v>1930</v>
      </c>
      <c r="J196" s="18" t="s">
        <v>1780</v>
      </c>
      <c r="K196" s="154" t="s">
        <v>986</v>
      </c>
      <c r="L196" s="10">
        <v>4</v>
      </c>
      <c r="M196" s="6"/>
      <c r="N196" s="7"/>
      <c r="O196" s="7"/>
      <c r="P196" s="7"/>
      <c r="Q196" s="7"/>
      <c r="R196" s="7"/>
      <c r="S196" s="7"/>
      <c r="T196" s="7"/>
      <c r="U196" s="7"/>
      <c r="V196" s="7"/>
      <c r="W196" s="7"/>
      <c r="X196" s="7"/>
      <c r="Y196" s="7"/>
      <c r="Z196" s="6"/>
      <c r="AA196" s="6"/>
      <c r="AB196" s="6"/>
      <c r="AC196" s="6"/>
      <c r="AD196" s="6"/>
      <c r="AE196" s="6"/>
      <c r="AF196" s="6"/>
      <c r="AG196" s="6"/>
      <c r="AH196" s="6"/>
      <c r="AI196" s="6"/>
      <c r="AJ196" s="6"/>
    </row>
    <row r="197" spans="1:36" x14ac:dyDescent="0.2">
      <c r="A197" s="7"/>
      <c r="B197" s="7"/>
      <c r="C197" s="7"/>
      <c r="D197" s="7"/>
      <c r="E197" s="7"/>
      <c r="F197" s="9" t="str">
        <f t="shared" si="6"/>
        <v>T5 2x24WSTEEL POLE1</v>
      </c>
      <c r="G197" s="10">
        <f t="shared" si="7"/>
        <v>1940</v>
      </c>
      <c r="H197" s="7"/>
      <c r="I197" s="9">
        <v>1940</v>
      </c>
      <c r="J197" s="18" t="s">
        <v>1780</v>
      </c>
      <c r="K197" s="154" t="s">
        <v>987</v>
      </c>
      <c r="L197" s="10">
        <v>1</v>
      </c>
      <c r="M197" s="6"/>
      <c r="N197" s="7"/>
      <c r="O197" s="7"/>
      <c r="P197" s="7"/>
      <c r="Q197" s="7"/>
      <c r="R197" s="7"/>
      <c r="S197" s="7"/>
      <c r="T197" s="7"/>
      <c r="U197" s="7"/>
      <c r="V197" s="7"/>
      <c r="W197" s="7"/>
      <c r="X197" s="7"/>
      <c r="Y197" s="7"/>
      <c r="Z197" s="6"/>
      <c r="AA197" s="6"/>
      <c r="AB197" s="6"/>
      <c r="AC197" s="6"/>
      <c r="AD197" s="6"/>
      <c r="AE197" s="6"/>
      <c r="AF197" s="6"/>
      <c r="AG197" s="6"/>
      <c r="AH197" s="6"/>
      <c r="AI197" s="6"/>
      <c r="AJ197" s="6"/>
    </row>
    <row r="198" spans="1:36" x14ac:dyDescent="0.2">
      <c r="A198" s="7"/>
      <c r="B198" s="7"/>
      <c r="C198" s="7"/>
      <c r="D198" s="7"/>
      <c r="E198" s="7"/>
      <c r="F198" s="9" t="str">
        <f t="shared" si="6"/>
        <v>T5 2x24WSTEEL POLE2</v>
      </c>
      <c r="G198" s="10">
        <f t="shared" si="7"/>
        <v>1950</v>
      </c>
      <c r="H198" s="7"/>
      <c r="I198" s="9">
        <v>1950</v>
      </c>
      <c r="J198" s="18" t="s">
        <v>1780</v>
      </c>
      <c r="K198" s="154" t="s">
        <v>987</v>
      </c>
      <c r="L198" s="10">
        <v>2</v>
      </c>
      <c r="M198" s="6"/>
      <c r="N198" s="7"/>
      <c r="O198" s="7"/>
      <c r="P198" s="7"/>
      <c r="Q198" s="7"/>
      <c r="R198" s="7"/>
      <c r="S198" s="7"/>
      <c r="T198" s="7"/>
      <c r="U198" s="7"/>
      <c r="V198" s="7"/>
      <c r="W198" s="7"/>
      <c r="X198" s="7"/>
      <c r="Y198" s="7"/>
      <c r="Z198" s="6"/>
      <c r="AA198" s="6"/>
      <c r="AB198" s="6"/>
      <c r="AC198" s="6"/>
      <c r="AD198" s="6"/>
      <c r="AE198" s="6"/>
      <c r="AF198" s="6"/>
      <c r="AG198" s="6"/>
      <c r="AH198" s="6"/>
      <c r="AI198" s="6"/>
      <c r="AJ198" s="6"/>
    </row>
    <row r="199" spans="1:36" x14ac:dyDescent="0.2">
      <c r="A199" s="7"/>
      <c r="B199" s="7"/>
      <c r="C199" s="7"/>
      <c r="D199" s="7"/>
      <c r="E199" s="7"/>
      <c r="F199" s="9" t="str">
        <f t="shared" si="6"/>
        <v>T5 2x24WSTEEL POLE3</v>
      </c>
      <c r="G199" s="10">
        <f t="shared" si="7"/>
        <v>1960</v>
      </c>
      <c r="H199" s="7"/>
      <c r="I199" s="9">
        <v>1960</v>
      </c>
      <c r="J199" s="18" t="s">
        <v>1780</v>
      </c>
      <c r="K199" s="154" t="s">
        <v>987</v>
      </c>
      <c r="L199" s="10">
        <v>3</v>
      </c>
      <c r="M199" s="6"/>
      <c r="N199" s="7"/>
      <c r="O199" s="7"/>
      <c r="P199" s="7"/>
      <c r="Q199" s="7"/>
      <c r="R199" s="7"/>
      <c r="S199" s="7"/>
      <c r="T199" s="7"/>
      <c r="U199" s="7"/>
      <c r="V199" s="7"/>
      <c r="W199" s="7"/>
      <c r="X199" s="7"/>
      <c r="Y199" s="7"/>
      <c r="Z199" s="6"/>
      <c r="AA199" s="6"/>
      <c r="AB199" s="6"/>
      <c r="AC199" s="6"/>
      <c r="AD199" s="6"/>
      <c r="AE199" s="6"/>
      <c r="AF199" s="6"/>
      <c r="AG199" s="6"/>
      <c r="AH199" s="6"/>
      <c r="AI199" s="6"/>
      <c r="AJ199" s="6"/>
    </row>
    <row r="200" spans="1:36" x14ac:dyDescent="0.2">
      <c r="A200" s="7"/>
      <c r="B200" s="7"/>
      <c r="C200" s="7"/>
      <c r="D200" s="7"/>
      <c r="E200" s="7"/>
      <c r="F200" s="11" t="str">
        <f t="shared" si="6"/>
        <v>T5 2x24WSTEEL POLE4</v>
      </c>
      <c r="G200" s="12">
        <f t="shared" si="7"/>
        <v>1970</v>
      </c>
      <c r="H200" s="7"/>
      <c r="I200" s="11">
        <v>1970</v>
      </c>
      <c r="J200" s="19" t="s">
        <v>1780</v>
      </c>
      <c r="K200" s="145" t="s">
        <v>987</v>
      </c>
      <c r="L200" s="12">
        <v>4</v>
      </c>
      <c r="M200" s="6"/>
      <c r="N200" s="7"/>
      <c r="O200" s="7"/>
      <c r="P200" s="7"/>
      <c r="Q200" s="7"/>
      <c r="R200" s="7"/>
      <c r="S200" s="7"/>
      <c r="T200" s="7"/>
      <c r="U200" s="7"/>
      <c r="V200" s="7"/>
      <c r="W200" s="7"/>
      <c r="X200" s="7"/>
      <c r="Y200" s="7"/>
      <c r="Z200" s="6"/>
      <c r="AA200" s="6"/>
      <c r="AB200" s="6"/>
      <c r="AC200" s="6"/>
      <c r="AD200" s="6"/>
      <c r="AE200" s="6"/>
      <c r="AF200" s="6"/>
      <c r="AG200" s="6"/>
      <c r="AH200" s="6"/>
      <c r="AI200" s="6"/>
      <c r="AJ200" s="6"/>
    </row>
    <row r="201" spans="1:36" x14ac:dyDescent="0.2">
      <c r="A201" s="7"/>
      <c r="B201" s="7"/>
      <c r="C201" s="7"/>
      <c r="D201" s="7"/>
      <c r="E201" s="7"/>
      <c r="F201" s="7"/>
      <c r="G201" s="7"/>
      <c r="H201" s="7"/>
      <c r="I201" s="7"/>
      <c r="J201" s="7"/>
      <c r="K201" s="7"/>
      <c r="L201" s="7"/>
      <c r="M201" s="6"/>
      <c r="N201" s="7"/>
      <c r="O201" s="7"/>
      <c r="P201" s="7"/>
      <c r="Q201" s="7"/>
      <c r="R201" s="7"/>
      <c r="S201" s="7"/>
      <c r="T201" s="7"/>
      <c r="U201" s="7"/>
      <c r="V201" s="7"/>
      <c r="W201" s="7"/>
      <c r="X201" s="7"/>
      <c r="Y201" s="7"/>
      <c r="Z201" s="6"/>
      <c r="AA201" s="6"/>
      <c r="AB201" s="6"/>
      <c r="AC201" s="6"/>
      <c r="AD201" s="6"/>
      <c r="AE201" s="6"/>
      <c r="AF201" s="6"/>
      <c r="AG201" s="6"/>
      <c r="AH201" s="6"/>
      <c r="AI201" s="6"/>
      <c r="AJ201" s="6"/>
    </row>
    <row r="202" spans="1:36" x14ac:dyDescent="0.2">
      <c r="A202" s="7"/>
      <c r="B202" s="7"/>
      <c r="C202" s="7"/>
      <c r="D202" s="7"/>
      <c r="E202" s="7"/>
      <c r="F202" s="7"/>
      <c r="G202" s="7"/>
      <c r="H202" s="7"/>
      <c r="I202" s="7"/>
      <c r="J202" s="7"/>
      <c r="K202" s="7"/>
      <c r="L202" s="7"/>
      <c r="M202" s="6"/>
      <c r="N202" s="7"/>
      <c r="O202" s="7"/>
      <c r="P202" s="7"/>
      <c r="Q202" s="7"/>
      <c r="R202" s="7"/>
      <c r="S202" s="7"/>
      <c r="T202" s="7"/>
      <c r="U202" s="7"/>
      <c r="V202" s="7"/>
      <c r="W202" s="7"/>
      <c r="X202" s="7"/>
      <c r="Y202" s="7"/>
      <c r="Z202" s="6"/>
      <c r="AA202" s="6"/>
      <c r="AB202" s="6"/>
      <c r="AC202" s="6"/>
      <c r="AD202" s="6"/>
      <c r="AE202" s="6"/>
      <c r="AF202" s="6"/>
      <c r="AG202" s="6"/>
      <c r="AH202" s="6"/>
      <c r="AI202" s="6"/>
      <c r="AJ202" s="6"/>
    </row>
    <row r="203" spans="1:36" x14ac:dyDescent="0.2">
      <c r="A203" s="7"/>
      <c r="B203" s="7"/>
      <c r="C203" s="7"/>
      <c r="D203" s="7"/>
      <c r="E203" s="7"/>
      <c r="F203" s="7"/>
      <c r="G203" s="7"/>
      <c r="H203" s="7"/>
      <c r="I203" s="7"/>
      <c r="J203" s="7"/>
      <c r="K203" s="7"/>
      <c r="L203" s="7"/>
      <c r="M203" s="6"/>
      <c r="N203" s="7"/>
      <c r="O203" s="7"/>
      <c r="P203" s="7"/>
      <c r="Q203" s="7"/>
      <c r="R203" s="7"/>
      <c r="S203" s="7"/>
      <c r="T203" s="7"/>
      <c r="U203" s="7"/>
      <c r="V203" s="7"/>
      <c r="W203" s="7"/>
      <c r="X203" s="7"/>
      <c r="Y203" s="7"/>
      <c r="Z203" s="6"/>
      <c r="AA203" s="6"/>
      <c r="AB203" s="6"/>
      <c r="AC203" s="6"/>
      <c r="AD203" s="6"/>
      <c r="AE203" s="6"/>
      <c r="AF203" s="6"/>
      <c r="AG203" s="6"/>
      <c r="AH203" s="6"/>
      <c r="AI203" s="6"/>
      <c r="AJ203" s="6"/>
    </row>
    <row r="204" spans="1:36" x14ac:dyDescent="0.2">
      <c r="A204" s="7"/>
      <c r="B204" s="7"/>
      <c r="C204" s="7"/>
      <c r="D204" s="7"/>
      <c r="E204" s="7"/>
      <c r="F204" s="7"/>
      <c r="G204" s="7"/>
      <c r="H204" s="7"/>
      <c r="I204" s="7"/>
      <c r="J204" s="7"/>
      <c r="K204" s="7"/>
      <c r="L204" s="7"/>
      <c r="M204" s="6"/>
      <c r="N204" s="7"/>
      <c r="O204" s="7"/>
      <c r="P204" s="7"/>
      <c r="Q204" s="7"/>
      <c r="R204" s="7"/>
      <c r="S204" s="7"/>
      <c r="T204" s="7"/>
      <c r="U204" s="7"/>
      <c r="V204" s="7"/>
      <c r="W204" s="7"/>
      <c r="X204" s="7"/>
      <c r="Y204" s="7"/>
      <c r="Z204" s="6"/>
      <c r="AA204" s="6"/>
      <c r="AB204" s="6"/>
      <c r="AC204" s="6"/>
      <c r="AD204" s="6"/>
      <c r="AE204" s="6"/>
      <c r="AF204" s="6"/>
      <c r="AG204" s="6"/>
      <c r="AH204" s="6"/>
      <c r="AI204" s="6"/>
      <c r="AJ204" s="6"/>
    </row>
    <row r="205" spans="1:36" x14ac:dyDescent="0.2">
      <c r="A205" s="7"/>
      <c r="B205" s="7"/>
      <c r="C205" s="7"/>
      <c r="D205" s="7"/>
      <c r="E205" s="7"/>
      <c r="F205" s="7"/>
      <c r="G205" s="7"/>
      <c r="H205" s="7"/>
      <c r="I205" s="7"/>
      <c r="J205" s="7"/>
      <c r="K205" s="7"/>
      <c r="L205" s="7"/>
      <c r="M205" s="6"/>
      <c r="N205" s="7"/>
      <c r="O205" s="7"/>
      <c r="P205" s="7"/>
      <c r="Q205" s="7"/>
      <c r="R205" s="7"/>
      <c r="S205" s="7"/>
      <c r="T205" s="7"/>
      <c r="U205" s="7"/>
      <c r="V205" s="7"/>
      <c r="W205" s="7"/>
      <c r="X205" s="7"/>
      <c r="Y205" s="7"/>
      <c r="Z205" s="6"/>
      <c r="AA205" s="6"/>
      <c r="AB205" s="6"/>
      <c r="AC205" s="6"/>
      <c r="AD205" s="6"/>
      <c r="AE205" s="6"/>
      <c r="AF205" s="6"/>
      <c r="AG205" s="6"/>
      <c r="AH205" s="6"/>
      <c r="AI205" s="6"/>
      <c r="AJ205" s="6"/>
    </row>
    <row r="206" spans="1:36" x14ac:dyDescent="0.2">
      <c r="A206" s="7"/>
      <c r="B206" s="7"/>
      <c r="C206" s="7"/>
      <c r="D206" s="7"/>
      <c r="E206" s="7"/>
      <c r="F206" s="7"/>
      <c r="G206" s="7"/>
      <c r="H206" s="7"/>
      <c r="I206" s="7"/>
      <c r="J206" s="7"/>
      <c r="K206" s="7"/>
      <c r="L206" s="7"/>
      <c r="M206" s="6"/>
      <c r="N206" s="7"/>
      <c r="O206" s="7"/>
      <c r="P206" s="7"/>
      <c r="Q206" s="7"/>
      <c r="R206" s="7"/>
      <c r="S206" s="7"/>
      <c r="T206" s="7"/>
      <c r="U206" s="7"/>
      <c r="V206" s="7"/>
      <c r="W206" s="7"/>
      <c r="X206" s="7"/>
      <c r="Y206" s="7"/>
      <c r="Z206" s="6"/>
      <c r="AA206" s="6"/>
      <c r="AB206" s="6"/>
      <c r="AC206" s="6"/>
      <c r="AD206" s="6"/>
      <c r="AE206" s="6"/>
      <c r="AF206" s="6"/>
      <c r="AG206" s="6"/>
      <c r="AH206" s="6"/>
      <c r="AI206" s="6"/>
      <c r="AJ206" s="6"/>
    </row>
    <row r="207" spans="1:36" x14ac:dyDescent="0.2">
      <c r="A207" s="7"/>
      <c r="B207" s="7"/>
      <c r="C207" s="7"/>
      <c r="D207" s="7"/>
      <c r="E207" s="7"/>
      <c r="F207" s="7"/>
      <c r="G207" s="7"/>
      <c r="H207" s="7"/>
      <c r="I207" s="7"/>
      <c r="J207" s="7"/>
      <c r="K207" s="7"/>
      <c r="L207" s="7"/>
      <c r="M207" s="6"/>
      <c r="N207" s="7"/>
      <c r="O207" s="7"/>
      <c r="P207" s="7"/>
      <c r="Q207" s="7"/>
      <c r="R207" s="7"/>
      <c r="S207" s="7"/>
      <c r="T207" s="7"/>
      <c r="U207" s="7"/>
      <c r="V207" s="7"/>
      <c r="W207" s="7"/>
      <c r="X207" s="7"/>
      <c r="Y207" s="7"/>
      <c r="Z207" s="6"/>
      <c r="AA207" s="6"/>
      <c r="AB207" s="6"/>
      <c r="AC207" s="6"/>
      <c r="AD207" s="6"/>
      <c r="AE207" s="6"/>
      <c r="AF207" s="6"/>
      <c r="AG207" s="6"/>
      <c r="AH207" s="6"/>
      <c r="AI207" s="6"/>
      <c r="AJ207" s="6"/>
    </row>
    <row r="208" spans="1:36" x14ac:dyDescent="0.2">
      <c r="A208" s="7"/>
      <c r="B208" s="7"/>
      <c r="C208" s="7"/>
      <c r="D208" s="7"/>
      <c r="E208" s="7"/>
      <c r="F208" s="7"/>
      <c r="G208" s="7"/>
      <c r="H208" s="7"/>
      <c r="I208" s="7"/>
      <c r="J208" s="7"/>
      <c r="K208" s="7"/>
      <c r="L208" s="7"/>
      <c r="M208" s="6"/>
      <c r="N208" s="7"/>
      <c r="O208" s="7"/>
      <c r="P208" s="7"/>
      <c r="Q208" s="7"/>
      <c r="R208" s="7"/>
      <c r="S208" s="7"/>
      <c r="T208" s="7"/>
      <c r="U208" s="7"/>
      <c r="V208" s="7"/>
      <c r="W208" s="7"/>
      <c r="X208" s="7"/>
      <c r="Y208" s="7"/>
      <c r="Z208" s="6"/>
      <c r="AA208" s="6"/>
      <c r="AB208" s="6"/>
      <c r="AC208" s="6"/>
      <c r="AD208" s="6"/>
      <c r="AE208" s="6"/>
      <c r="AF208" s="6"/>
      <c r="AG208" s="6"/>
      <c r="AH208" s="6"/>
      <c r="AI208" s="6"/>
      <c r="AJ208" s="6"/>
    </row>
    <row r="209" spans="1:36" x14ac:dyDescent="0.2">
      <c r="A209" s="7"/>
      <c r="B209" s="7"/>
      <c r="C209" s="7"/>
      <c r="D209" s="7"/>
      <c r="E209" s="7"/>
      <c r="F209" s="7"/>
      <c r="G209" s="7"/>
      <c r="H209" s="7"/>
      <c r="I209" s="7"/>
      <c r="J209" s="7"/>
      <c r="K209" s="7"/>
      <c r="L209" s="7"/>
      <c r="M209" s="6"/>
      <c r="N209" s="7"/>
      <c r="O209" s="7"/>
      <c r="P209" s="7"/>
      <c r="Q209" s="7"/>
      <c r="R209" s="7"/>
      <c r="S209" s="7"/>
      <c r="T209" s="7"/>
      <c r="U209" s="7"/>
      <c r="V209" s="7"/>
      <c r="W209" s="7"/>
      <c r="X209" s="7"/>
      <c r="Y209" s="7"/>
      <c r="Z209" s="6"/>
      <c r="AA209" s="6"/>
      <c r="AB209" s="6"/>
      <c r="AC209" s="6"/>
      <c r="AD209" s="6"/>
      <c r="AE209" s="6"/>
      <c r="AF209" s="6"/>
      <c r="AG209" s="6"/>
      <c r="AH209" s="6"/>
      <c r="AI209" s="6"/>
      <c r="AJ209" s="6"/>
    </row>
    <row r="210" spans="1:36" x14ac:dyDescent="0.2">
      <c r="A210" s="7"/>
      <c r="B210" s="7"/>
      <c r="C210" s="7"/>
      <c r="D210" s="7"/>
      <c r="E210" s="7"/>
      <c r="F210" s="7"/>
      <c r="G210" s="6"/>
      <c r="H210" s="6"/>
      <c r="I210" s="7"/>
      <c r="J210" s="7"/>
      <c r="K210" s="7"/>
      <c r="L210" s="7"/>
      <c r="M210" s="6"/>
      <c r="N210" s="7"/>
      <c r="O210" s="7"/>
      <c r="P210" s="7"/>
      <c r="Q210" s="7"/>
      <c r="R210" s="7"/>
      <c r="S210" s="7"/>
      <c r="T210" s="7"/>
      <c r="U210" s="7"/>
      <c r="V210" s="7"/>
      <c r="W210" s="7"/>
      <c r="X210" s="7"/>
      <c r="Y210" s="7"/>
      <c r="Z210" s="6"/>
      <c r="AA210" s="6"/>
      <c r="AB210" s="6"/>
      <c r="AC210" s="6"/>
      <c r="AD210" s="6"/>
      <c r="AE210" s="6"/>
      <c r="AF210" s="6"/>
      <c r="AG210" s="6"/>
      <c r="AH210" s="6"/>
      <c r="AI210" s="6"/>
      <c r="AJ210" s="6"/>
    </row>
    <row r="211" spans="1:36" x14ac:dyDescent="0.2">
      <c r="A211" s="7"/>
      <c r="B211" s="7"/>
      <c r="C211" s="7"/>
      <c r="D211" s="7"/>
      <c r="E211" s="7"/>
      <c r="F211" s="7"/>
      <c r="G211" s="6"/>
      <c r="H211" s="6"/>
      <c r="I211" s="7"/>
      <c r="J211" s="7"/>
      <c r="K211" s="7"/>
      <c r="L211" s="7"/>
      <c r="M211" s="6"/>
      <c r="N211" s="7"/>
      <c r="O211" s="7"/>
      <c r="P211" s="7"/>
      <c r="Q211" s="7"/>
      <c r="R211" s="7"/>
      <c r="S211" s="7"/>
      <c r="T211" s="7"/>
      <c r="U211" s="7"/>
      <c r="V211" s="7"/>
      <c r="W211" s="7"/>
      <c r="X211" s="7"/>
      <c r="Y211" s="7"/>
      <c r="Z211" s="6"/>
      <c r="AA211" s="6"/>
      <c r="AB211" s="6"/>
      <c r="AC211" s="6"/>
      <c r="AD211" s="6"/>
      <c r="AE211" s="6"/>
      <c r="AF211" s="6"/>
      <c r="AG211" s="6"/>
      <c r="AH211" s="6"/>
      <c r="AI211" s="6"/>
      <c r="AJ211" s="6"/>
    </row>
    <row r="212" spans="1:36" x14ac:dyDescent="0.2">
      <c r="A212" s="7"/>
      <c r="B212" s="7"/>
      <c r="C212" s="7"/>
      <c r="D212" s="7"/>
      <c r="E212" s="7"/>
      <c r="F212" s="7"/>
      <c r="G212" s="6"/>
      <c r="H212" s="6"/>
      <c r="I212" s="7"/>
      <c r="J212" s="7"/>
      <c r="K212" s="7"/>
      <c r="L212" s="7"/>
      <c r="M212" s="6"/>
      <c r="N212" s="7"/>
      <c r="O212" s="7"/>
      <c r="P212" s="7"/>
      <c r="Q212" s="7"/>
      <c r="R212" s="7"/>
      <c r="S212" s="7"/>
      <c r="T212" s="7"/>
      <c r="U212" s="7"/>
      <c r="V212" s="7"/>
      <c r="W212" s="7"/>
      <c r="X212" s="7"/>
      <c r="Y212" s="7"/>
      <c r="Z212" s="6"/>
      <c r="AA212" s="6"/>
      <c r="AB212" s="6"/>
      <c r="AC212" s="6"/>
      <c r="AD212" s="6"/>
      <c r="AE212" s="6"/>
      <c r="AF212" s="6"/>
      <c r="AG212" s="6"/>
      <c r="AH212" s="6"/>
      <c r="AI212" s="6"/>
      <c r="AJ212" s="6"/>
    </row>
    <row r="213" spans="1:36" x14ac:dyDescent="0.2">
      <c r="A213" s="7"/>
      <c r="B213" s="7"/>
      <c r="C213" s="7"/>
      <c r="D213" s="7"/>
      <c r="E213" s="7"/>
      <c r="F213" s="7"/>
      <c r="G213" s="6"/>
      <c r="H213" s="6"/>
      <c r="I213" s="7"/>
      <c r="J213" s="7"/>
      <c r="K213" s="7"/>
      <c r="L213" s="7"/>
      <c r="M213" s="6"/>
      <c r="N213" s="7"/>
      <c r="O213" s="7"/>
      <c r="P213" s="7"/>
      <c r="Q213" s="7"/>
      <c r="R213" s="7"/>
      <c r="S213" s="7"/>
      <c r="T213" s="7"/>
      <c r="U213" s="7"/>
      <c r="V213" s="7"/>
      <c r="W213" s="7"/>
      <c r="X213" s="7"/>
      <c r="Y213" s="7"/>
      <c r="Z213" s="6"/>
      <c r="AA213" s="6"/>
      <c r="AB213" s="6"/>
      <c r="AC213" s="6"/>
      <c r="AD213" s="6"/>
      <c r="AE213" s="6"/>
      <c r="AF213" s="6"/>
      <c r="AG213" s="6"/>
      <c r="AH213" s="6"/>
      <c r="AI213" s="6"/>
      <c r="AJ213" s="6"/>
    </row>
    <row r="214" spans="1:36" x14ac:dyDescent="0.2">
      <c r="A214" s="7"/>
      <c r="B214" s="7"/>
      <c r="C214" s="7"/>
      <c r="D214" s="7"/>
      <c r="E214" s="7"/>
      <c r="F214" s="7"/>
      <c r="G214" s="6"/>
      <c r="H214" s="6"/>
      <c r="I214" s="7"/>
      <c r="J214" s="7"/>
      <c r="K214" s="7"/>
      <c r="L214" s="7"/>
      <c r="M214" s="6"/>
      <c r="N214" s="7"/>
      <c r="O214" s="7"/>
      <c r="P214" s="7"/>
      <c r="Q214" s="7"/>
      <c r="R214" s="7"/>
      <c r="S214" s="7"/>
      <c r="T214" s="7"/>
      <c r="U214" s="7"/>
      <c r="V214" s="7"/>
      <c r="W214" s="7"/>
      <c r="X214" s="7"/>
      <c r="Y214" s="7"/>
      <c r="Z214" s="6"/>
      <c r="AA214" s="6"/>
      <c r="AB214" s="6"/>
      <c r="AC214" s="6"/>
      <c r="AD214" s="6"/>
      <c r="AE214" s="6"/>
      <c r="AF214" s="6"/>
      <c r="AG214" s="6"/>
      <c r="AH214" s="6"/>
      <c r="AI214" s="6"/>
      <c r="AJ214" s="6"/>
    </row>
    <row r="215" spans="1:36" x14ac:dyDescent="0.2">
      <c r="A215" s="7"/>
      <c r="B215" s="7"/>
      <c r="C215" s="7"/>
      <c r="D215" s="7"/>
      <c r="E215" s="7"/>
      <c r="F215" s="7"/>
      <c r="G215" s="6"/>
      <c r="H215" s="6"/>
      <c r="I215" s="7"/>
      <c r="J215" s="7"/>
      <c r="K215" s="7"/>
      <c r="L215" s="7"/>
      <c r="M215" s="6"/>
      <c r="N215" s="7"/>
      <c r="O215" s="7"/>
      <c r="P215" s="7"/>
      <c r="Q215" s="7"/>
      <c r="R215" s="7"/>
      <c r="S215" s="7"/>
      <c r="T215" s="7"/>
      <c r="U215" s="7"/>
      <c r="V215" s="7"/>
      <c r="W215" s="7"/>
      <c r="X215" s="7"/>
      <c r="Y215" s="7"/>
      <c r="Z215" s="6"/>
      <c r="AA215" s="6"/>
      <c r="AB215" s="6"/>
      <c r="AC215" s="6"/>
      <c r="AD215" s="6"/>
      <c r="AE215" s="6"/>
      <c r="AF215" s="6"/>
      <c r="AG215" s="6"/>
      <c r="AH215" s="6"/>
      <c r="AI215" s="6"/>
      <c r="AJ215" s="6"/>
    </row>
    <row r="216" spans="1:36" x14ac:dyDescent="0.2">
      <c r="A216" s="7"/>
      <c r="B216" s="7"/>
      <c r="C216" s="7"/>
      <c r="D216" s="7"/>
      <c r="E216" s="7"/>
      <c r="F216" s="7"/>
      <c r="G216" s="6"/>
      <c r="H216" s="6"/>
      <c r="I216" s="7"/>
      <c r="J216" s="7"/>
      <c r="K216" s="7"/>
      <c r="L216" s="7"/>
      <c r="M216" s="6"/>
      <c r="N216" s="7"/>
      <c r="O216" s="7"/>
      <c r="P216" s="7"/>
      <c r="Q216" s="7"/>
      <c r="R216" s="7"/>
      <c r="S216" s="7"/>
      <c r="T216" s="7"/>
      <c r="U216" s="7"/>
      <c r="V216" s="7"/>
      <c r="W216" s="7"/>
      <c r="X216" s="7"/>
      <c r="Y216" s="7"/>
      <c r="Z216" s="6"/>
      <c r="AA216" s="6"/>
      <c r="AB216" s="6"/>
      <c r="AC216" s="6"/>
      <c r="AD216" s="6"/>
      <c r="AE216" s="6"/>
      <c r="AF216" s="6"/>
      <c r="AG216" s="6"/>
      <c r="AH216" s="6"/>
      <c r="AI216" s="6"/>
      <c r="AJ216" s="6"/>
    </row>
    <row r="217" spans="1:36" x14ac:dyDescent="0.2">
      <c r="A217" s="7"/>
      <c r="B217" s="7"/>
      <c r="C217" s="7"/>
      <c r="D217" s="7"/>
      <c r="E217" s="7"/>
      <c r="F217" s="7"/>
      <c r="G217" s="6"/>
      <c r="H217" s="6"/>
      <c r="I217" s="7"/>
      <c r="J217" s="7"/>
      <c r="K217" s="7"/>
      <c r="L217" s="7"/>
      <c r="M217" s="6"/>
      <c r="N217" s="7"/>
      <c r="O217" s="7"/>
      <c r="P217" s="7"/>
      <c r="Q217" s="7"/>
      <c r="R217" s="7"/>
      <c r="S217" s="7"/>
      <c r="T217" s="7"/>
      <c r="U217" s="7"/>
      <c r="V217" s="7"/>
      <c r="W217" s="7"/>
      <c r="X217" s="7"/>
      <c r="Y217" s="7"/>
      <c r="Z217" s="6"/>
      <c r="AA217" s="6"/>
      <c r="AB217" s="6"/>
      <c r="AC217" s="6"/>
      <c r="AD217" s="6"/>
      <c r="AE217" s="6"/>
      <c r="AF217" s="6"/>
      <c r="AG217" s="6"/>
      <c r="AH217" s="6"/>
      <c r="AI217" s="6"/>
      <c r="AJ217" s="6"/>
    </row>
    <row r="218" spans="1:36" x14ac:dyDescent="0.2">
      <c r="A218" s="7"/>
      <c r="B218" s="7"/>
      <c r="C218" s="7"/>
      <c r="D218" s="7"/>
      <c r="E218" s="7"/>
      <c r="F218" s="7"/>
      <c r="G218" s="6"/>
      <c r="H218" s="6"/>
      <c r="I218" s="7"/>
      <c r="J218" s="7"/>
      <c r="K218" s="7"/>
      <c r="L218" s="7"/>
      <c r="M218" s="6"/>
      <c r="N218" s="7"/>
      <c r="O218" s="7"/>
      <c r="P218" s="7"/>
      <c r="Q218" s="7"/>
      <c r="R218" s="7"/>
      <c r="S218" s="7"/>
      <c r="T218" s="7"/>
      <c r="U218" s="7"/>
      <c r="V218" s="7"/>
      <c r="W218" s="7"/>
      <c r="X218" s="7"/>
      <c r="Y218" s="7"/>
      <c r="Z218" s="6"/>
      <c r="AA218" s="6"/>
      <c r="AB218" s="6"/>
      <c r="AC218" s="6"/>
      <c r="AD218" s="6"/>
      <c r="AE218" s="6"/>
      <c r="AF218" s="6"/>
      <c r="AG218" s="6"/>
      <c r="AH218" s="6"/>
      <c r="AI218" s="6"/>
      <c r="AJ218" s="6"/>
    </row>
    <row r="219" spans="1:36" x14ac:dyDescent="0.2">
      <c r="A219" s="7"/>
      <c r="B219" s="7"/>
      <c r="C219" s="7"/>
      <c r="D219" s="7"/>
      <c r="E219" s="7"/>
      <c r="F219" s="7"/>
      <c r="G219" s="6"/>
      <c r="H219" s="6"/>
      <c r="I219" s="7"/>
      <c r="J219" s="7"/>
      <c r="K219" s="7"/>
      <c r="L219" s="7"/>
      <c r="M219" s="6"/>
      <c r="N219" s="7"/>
      <c r="O219" s="7"/>
      <c r="P219" s="7"/>
      <c r="Q219" s="7"/>
      <c r="R219" s="7"/>
      <c r="S219" s="7"/>
      <c r="T219" s="7"/>
      <c r="U219" s="7"/>
      <c r="V219" s="7"/>
      <c r="W219" s="7"/>
      <c r="X219" s="7"/>
      <c r="Y219" s="7"/>
      <c r="Z219" s="6"/>
      <c r="AA219" s="6"/>
      <c r="AB219" s="6"/>
      <c r="AC219" s="6"/>
      <c r="AD219" s="6"/>
      <c r="AE219" s="6"/>
      <c r="AF219" s="6"/>
      <c r="AG219" s="6"/>
      <c r="AH219" s="6"/>
      <c r="AI219" s="6"/>
      <c r="AJ219" s="6"/>
    </row>
    <row r="220" spans="1:36" x14ac:dyDescent="0.2">
      <c r="A220" s="7"/>
      <c r="B220" s="7"/>
      <c r="C220" s="7"/>
      <c r="D220" s="7"/>
      <c r="E220" s="7"/>
      <c r="F220" s="7"/>
      <c r="G220" s="6"/>
      <c r="H220" s="6"/>
      <c r="I220" s="7"/>
      <c r="J220" s="7"/>
      <c r="K220" s="7"/>
      <c r="L220" s="7"/>
      <c r="M220" s="6"/>
      <c r="N220" s="7"/>
      <c r="O220" s="7"/>
      <c r="P220" s="7"/>
      <c r="Q220" s="7"/>
      <c r="R220" s="7"/>
      <c r="S220" s="7"/>
      <c r="T220" s="7"/>
      <c r="U220" s="7"/>
      <c r="V220" s="7"/>
      <c r="W220" s="7"/>
      <c r="X220" s="7"/>
      <c r="Y220" s="7"/>
      <c r="Z220" s="6"/>
      <c r="AA220" s="6"/>
      <c r="AB220" s="6"/>
      <c r="AC220" s="6"/>
      <c r="AD220" s="6"/>
      <c r="AE220" s="6"/>
      <c r="AF220" s="6"/>
      <c r="AG220" s="6"/>
      <c r="AH220" s="6"/>
      <c r="AI220" s="6"/>
      <c r="AJ220" s="6"/>
    </row>
    <row r="221" spans="1:36" x14ac:dyDescent="0.2">
      <c r="A221" s="7"/>
      <c r="B221" s="7"/>
      <c r="C221" s="7"/>
      <c r="D221" s="7"/>
      <c r="E221" s="7"/>
      <c r="F221" s="7"/>
      <c r="G221" s="6"/>
      <c r="H221" s="6"/>
      <c r="I221" s="7"/>
      <c r="J221" s="7"/>
      <c r="K221" s="7"/>
      <c r="L221" s="7"/>
      <c r="M221" s="6"/>
      <c r="N221" s="7"/>
      <c r="O221" s="7"/>
      <c r="P221" s="7"/>
      <c r="Q221" s="7"/>
      <c r="R221" s="7"/>
      <c r="S221" s="7"/>
      <c r="T221" s="7"/>
      <c r="U221" s="7"/>
      <c r="V221" s="7"/>
      <c r="W221" s="7"/>
      <c r="X221" s="7"/>
      <c r="Y221" s="7"/>
      <c r="Z221" s="6"/>
      <c r="AA221" s="6"/>
      <c r="AB221" s="6"/>
      <c r="AC221" s="6"/>
      <c r="AD221" s="6"/>
      <c r="AE221" s="6"/>
      <c r="AF221" s="6"/>
      <c r="AG221" s="6"/>
      <c r="AH221" s="6"/>
      <c r="AI221" s="6"/>
      <c r="AJ221" s="6"/>
    </row>
    <row r="222" spans="1:36" x14ac:dyDescent="0.2">
      <c r="A222" s="7"/>
      <c r="B222" s="7"/>
      <c r="C222" s="7"/>
      <c r="D222" s="7"/>
      <c r="E222" s="7"/>
      <c r="F222" s="7"/>
      <c r="G222" s="6"/>
      <c r="H222" s="6"/>
      <c r="I222" s="7"/>
      <c r="J222" s="7"/>
      <c r="K222" s="7"/>
      <c r="L222" s="7"/>
      <c r="M222" s="6"/>
      <c r="N222" s="7"/>
      <c r="O222" s="7"/>
      <c r="P222" s="7"/>
      <c r="Q222" s="7"/>
      <c r="R222" s="7"/>
      <c r="S222" s="7"/>
      <c r="T222" s="7"/>
      <c r="U222" s="7"/>
      <c r="V222" s="7"/>
      <c r="W222" s="7"/>
      <c r="X222" s="7"/>
      <c r="Y222" s="7"/>
      <c r="Z222" s="6"/>
      <c r="AA222" s="6"/>
      <c r="AB222" s="6"/>
      <c r="AC222" s="6"/>
      <c r="AD222" s="6"/>
      <c r="AE222" s="6"/>
      <c r="AF222" s="6"/>
      <c r="AG222" s="6"/>
      <c r="AH222" s="6"/>
      <c r="AI222" s="6"/>
      <c r="AJ222" s="6"/>
    </row>
    <row r="223" spans="1:36" x14ac:dyDescent="0.2">
      <c r="A223" s="7"/>
      <c r="B223" s="7"/>
      <c r="C223" s="7"/>
      <c r="D223" s="7"/>
      <c r="E223" s="7"/>
      <c r="F223" s="7"/>
      <c r="G223" s="6"/>
      <c r="H223" s="6"/>
      <c r="I223" s="7"/>
      <c r="J223" s="7"/>
      <c r="K223" s="7"/>
      <c r="L223" s="7"/>
      <c r="M223" s="6"/>
      <c r="N223" s="7"/>
      <c r="O223" s="7"/>
      <c r="P223" s="7"/>
      <c r="Q223" s="7"/>
      <c r="R223" s="7"/>
      <c r="S223" s="7"/>
      <c r="T223" s="7"/>
      <c r="U223" s="7"/>
      <c r="V223" s="7"/>
      <c r="W223" s="7"/>
      <c r="X223" s="7"/>
      <c r="Y223" s="7"/>
      <c r="Z223" s="6"/>
      <c r="AA223" s="6"/>
      <c r="AB223" s="6"/>
      <c r="AC223" s="6"/>
      <c r="AD223" s="6"/>
      <c r="AE223" s="6"/>
      <c r="AF223" s="6"/>
      <c r="AG223" s="6"/>
      <c r="AH223" s="6"/>
      <c r="AI223" s="6"/>
      <c r="AJ223" s="6"/>
    </row>
    <row r="224" spans="1:36" x14ac:dyDescent="0.2">
      <c r="A224" s="7"/>
      <c r="B224" s="7"/>
      <c r="C224" s="7"/>
      <c r="D224" s="7"/>
      <c r="E224" s="7"/>
      <c r="F224" s="7"/>
      <c r="G224" s="6"/>
      <c r="H224" s="6"/>
      <c r="I224" s="7"/>
      <c r="J224" s="7"/>
      <c r="K224" s="7"/>
      <c r="L224" s="7"/>
      <c r="M224" s="6"/>
      <c r="N224" s="7"/>
      <c r="O224" s="7"/>
      <c r="P224" s="7"/>
      <c r="Q224" s="7"/>
      <c r="R224" s="7"/>
      <c r="S224" s="7"/>
      <c r="T224" s="7"/>
      <c r="U224" s="7"/>
      <c r="V224" s="7"/>
      <c r="W224" s="7"/>
      <c r="X224" s="7"/>
      <c r="Y224" s="7"/>
      <c r="Z224" s="6"/>
      <c r="AA224" s="6"/>
      <c r="AB224" s="6"/>
      <c r="AC224" s="6"/>
      <c r="AD224" s="6"/>
      <c r="AE224" s="6"/>
      <c r="AF224" s="6"/>
      <c r="AG224" s="6"/>
      <c r="AH224" s="6"/>
      <c r="AI224" s="6"/>
      <c r="AJ224" s="6"/>
    </row>
    <row r="225" spans="1:36" x14ac:dyDescent="0.2">
      <c r="A225" s="7"/>
      <c r="B225" s="7"/>
      <c r="C225" s="7"/>
      <c r="D225" s="7"/>
      <c r="E225" s="7"/>
      <c r="F225" s="7"/>
      <c r="G225" s="6"/>
      <c r="H225" s="6"/>
      <c r="I225" s="7"/>
      <c r="J225" s="7"/>
      <c r="K225" s="7"/>
      <c r="L225" s="7"/>
      <c r="M225" s="6"/>
      <c r="N225" s="7"/>
      <c r="O225" s="7"/>
      <c r="P225" s="7"/>
      <c r="Q225" s="7"/>
      <c r="R225" s="7"/>
      <c r="S225" s="7"/>
      <c r="T225" s="7"/>
      <c r="U225" s="7"/>
      <c r="V225" s="7"/>
      <c r="W225" s="7"/>
      <c r="X225" s="7"/>
      <c r="Y225" s="7"/>
      <c r="Z225" s="6"/>
      <c r="AA225" s="6"/>
      <c r="AB225" s="6"/>
      <c r="AC225" s="6"/>
      <c r="AD225" s="6"/>
      <c r="AE225" s="6"/>
      <c r="AF225" s="6"/>
      <c r="AG225" s="6"/>
      <c r="AH225" s="6"/>
      <c r="AI225" s="6"/>
      <c r="AJ225" s="6"/>
    </row>
    <row r="226" spans="1:36" x14ac:dyDescent="0.2">
      <c r="A226" s="7"/>
      <c r="B226" s="7"/>
      <c r="C226" s="7"/>
      <c r="D226" s="7"/>
      <c r="E226" s="7"/>
      <c r="F226" s="7"/>
      <c r="G226" s="6"/>
      <c r="H226" s="6"/>
      <c r="I226" s="7"/>
      <c r="J226" s="7"/>
      <c r="K226" s="7"/>
      <c r="L226" s="7"/>
      <c r="M226" s="6"/>
      <c r="N226" s="7"/>
      <c r="O226" s="7"/>
      <c r="P226" s="7"/>
      <c r="Q226" s="7"/>
      <c r="R226" s="7"/>
      <c r="S226" s="7"/>
      <c r="T226" s="7"/>
      <c r="U226" s="7"/>
      <c r="V226" s="7"/>
      <c r="W226" s="7"/>
      <c r="X226" s="7"/>
      <c r="Y226" s="7"/>
      <c r="Z226" s="6"/>
      <c r="AA226" s="6"/>
      <c r="AB226" s="6"/>
      <c r="AC226" s="6"/>
      <c r="AD226" s="6"/>
      <c r="AE226" s="6"/>
      <c r="AF226" s="6"/>
      <c r="AG226" s="6"/>
      <c r="AH226" s="6"/>
      <c r="AI226" s="6"/>
      <c r="AJ226" s="6"/>
    </row>
    <row r="227" spans="1:36" x14ac:dyDescent="0.2">
      <c r="A227" s="7"/>
      <c r="B227" s="7"/>
      <c r="C227" s="7"/>
      <c r="D227" s="7"/>
      <c r="E227" s="7"/>
      <c r="F227" s="7"/>
      <c r="G227" s="6"/>
      <c r="H227" s="6"/>
      <c r="I227" s="7"/>
      <c r="J227" s="7"/>
      <c r="K227" s="7"/>
      <c r="L227" s="7"/>
      <c r="M227" s="6"/>
      <c r="N227" s="7"/>
      <c r="O227" s="7"/>
      <c r="P227" s="7"/>
      <c r="Q227" s="7"/>
      <c r="R227" s="7"/>
      <c r="S227" s="7"/>
      <c r="T227" s="7"/>
      <c r="U227" s="7"/>
      <c r="V227" s="7"/>
      <c r="W227" s="7"/>
      <c r="X227" s="7"/>
      <c r="Y227" s="7"/>
      <c r="Z227" s="6"/>
      <c r="AA227" s="6"/>
      <c r="AB227" s="6"/>
      <c r="AC227" s="6"/>
      <c r="AD227" s="6"/>
      <c r="AE227" s="6"/>
      <c r="AF227" s="6"/>
      <c r="AG227" s="6"/>
      <c r="AH227" s="6"/>
      <c r="AI227" s="6"/>
      <c r="AJ227" s="6"/>
    </row>
    <row r="228" spans="1:36" x14ac:dyDescent="0.2">
      <c r="A228" s="7"/>
      <c r="B228" s="7"/>
      <c r="C228" s="7"/>
      <c r="D228" s="7"/>
      <c r="E228" s="7"/>
      <c r="F228" s="7"/>
      <c r="G228" s="6"/>
      <c r="H228" s="6"/>
      <c r="I228" s="7"/>
      <c r="J228" s="7"/>
      <c r="K228" s="7"/>
      <c r="L228" s="7"/>
      <c r="M228" s="6"/>
      <c r="N228" s="7"/>
      <c r="O228" s="7"/>
      <c r="P228" s="7"/>
      <c r="Q228" s="7"/>
      <c r="R228" s="7"/>
      <c r="S228" s="7"/>
      <c r="T228" s="7"/>
      <c r="U228" s="7"/>
      <c r="V228" s="7"/>
      <c r="W228" s="7"/>
      <c r="X228" s="7"/>
      <c r="Y228" s="7"/>
      <c r="Z228" s="6"/>
      <c r="AA228" s="6"/>
      <c r="AB228" s="6"/>
      <c r="AC228" s="6"/>
      <c r="AD228" s="6"/>
      <c r="AE228" s="6"/>
      <c r="AF228" s="6"/>
      <c r="AG228" s="6"/>
      <c r="AH228" s="6"/>
      <c r="AI228" s="6"/>
      <c r="AJ228" s="6"/>
    </row>
    <row r="229" spans="1:36" x14ac:dyDescent="0.2">
      <c r="A229" s="7"/>
      <c r="B229" s="7"/>
      <c r="C229" s="7"/>
      <c r="D229" s="7"/>
      <c r="E229" s="7"/>
      <c r="F229" s="7"/>
      <c r="G229" s="6"/>
      <c r="H229" s="6"/>
      <c r="I229" s="7"/>
      <c r="J229" s="7"/>
      <c r="K229" s="7"/>
      <c r="L229" s="7"/>
      <c r="M229" s="6"/>
      <c r="N229" s="7"/>
      <c r="O229" s="7"/>
      <c r="P229" s="7"/>
      <c r="Q229" s="7"/>
      <c r="R229" s="7"/>
      <c r="S229" s="7"/>
      <c r="T229" s="7"/>
      <c r="U229" s="7"/>
      <c r="V229" s="7"/>
      <c r="W229" s="7"/>
      <c r="X229" s="7"/>
      <c r="Y229" s="7"/>
      <c r="Z229" s="6"/>
      <c r="AA229" s="6"/>
      <c r="AB229" s="6"/>
      <c r="AC229" s="6"/>
      <c r="AD229" s="6"/>
      <c r="AE229" s="6"/>
      <c r="AF229" s="6"/>
      <c r="AG229" s="6"/>
      <c r="AH229" s="6"/>
      <c r="AI229" s="6"/>
      <c r="AJ229" s="6"/>
    </row>
    <row r="230" spans="1:36" x14ac:dyDescent="0.2">
      <c r="A230" s="7"/>
      <c r="B230" s="7"/>
      <c r="C230" s="7"/>
      <c r="D230" s="7"/>
      <c r="E230" s="7"/>
      <c r="F230" s="7"/>
      <c r="G230" s="6"/>
      <c r="H230" s="6"/>
      <c r="I230" s="7"/>
      <c r="J230" s="7"/>
      <c r="K230" s="7"/>
      <c r="L230" s="7"/>
      <c r="M230" s="6"/>
      <c r="N230" s="7"/>
      <c r="O230" s="7"/>
      <c r="P230" s="7"/>
      <c r="Q230" s="7"/>
      <c r="R230" s="7"/>
      <c r="S230" s="7"/>
      <c r="T230" s="7"/>
      <c r="U230" s="7"/>
      <c r="V230" s="7"/>
      <c r="W230" s="7"/>
      <c r="X230" s="7"/>
      <c r="Y230" s="7"/>
      <c r="Z230" s="6"/>
      <c r="AA230" s="6"/>
      <c r="AB230" s="6"/>
      <c r="AC230" s="6"/>
      <c r="AD230" s="6"/>
      <c r="AE230" s="6"/>
      <c r="AF230" s="6"/>
      <c r="AG230" s="6"/>
      <c r="AH230" s="6"/>
      <c r="AI230" s="6"/>
      <c r="AJ230" s="6"/>
    </row>
    <row r="231" spans="1:36" x14ac:dyDescent="0.2">
      <c r="A231" s="7"/>
      <c r="B231" s="7"/>
      <c r="C231" s="7"/>
      <c r="D231" s="7"/>
      <c r="E231" s="7"/>
      <c r="F231" s="7"/>
      <c r="G231" s="6"/>
      <c r="H231" s="6"/>
      <c r="I231" s="7"/>
      <c r="J231" s="7"/>
      <c r="K231" s="7"/>
      <c r="L231" s="7"/>
      <c r="M231" s="6"/>
      <c r="N231" s="7"/>
      <c r="O231" s="7"/>
      <c r="P231" s="7"/>
      <c r="Q231" s="7"/>
      <c r="R231" s="7"/>
      <c r="S231" s="7"/>
      <c r="T231" s="7"/>
      <c r="U231" s="7"/>
      <c r="V231" s="7"/>
      <c r="W231" s="7"/>
      <c r="X231" s="7"/>
      <c r="Y231" s="7"/>
      <c r="Z231" s="6"/>
      <c r="AA231" s="6"/>
      <c r="AB231" s="6"/>
      <c r="AC231" s="6"/>
      <c r="AD231" s="6"/>
      <c r="AE231" s="6"/>
      <c r="AF231" s="6"/>
      <c r="AG231" s="6"/>
      <c r="AH231" s="6"/>
      <c r="AI231" s="6"/>
      <c r="AJ231" s="6"/>
    </row>
    <row r="232" spans="1:36" x14ac:dyDescent="0.2">
      <c r="A232" s="7"/>
      <c r="B232" s="7"/>
      <c r="C232" s="7"/>
      <c r="D232" s="7"/>
      <c r="E232" s="7"/>
      <c r="F232" s="7"/>
      <c r="G232" s="6"/>
      <c r="H232" s="6"/>
      <c r="I232" s="7"/>
      <c r="J232" s="7"/>
      <c r="K232" s="7"/>
      <c r="L232" s="7"/>
      <c r="M232" s="6"/>
      <c r="N232" s="7"/>
      <c r="O232" s="7"/>
      <c r="P232" s="7"/>
      <c r="Q232" s="7"/>
      <c r="R232" s="7"/>
      <c r="S232" s="7"/>
      <c r="T232" s="7"/>
      <c r="U232" s="7"/>
      <c r="V232" s="7"/>
      <c r="W232" s="7"/>
      <c r="X232" s="7"/>
      <c r="Y232" s="7"/>
      <c r="Z232" s="6"/>
      <c r="AA232" s="6"/>
      <c r="AB232" s="6"/>
      <c r="AC232" s="6"/>
      <c r="AD232" s="6"/>
      <c r="AE232" s="6"/>
      <c r="AF232" s="6"/>
      <c r="AG232" s="6"/>
      <c r="AH232" s="6"/>
      <c r="AI232" s="6"/>
      <c r="AJ232" s="6"/>
    </row>
    <row r="233" spans="1:36" x14ac:dyDescent="0.2">
      <c r="A233" s="7"/>
      <c r="B233" s="7"/>
      <c r="C233" s="7"/>
      <c r="D233" s="7"/>
      <c r="E233" s="7"/>
      <c r="F233" s="7"/>
      <c r="G233" s="6"/>
      <c r="H233" s="6"/>
      <c r="I233" s="7"/>
      <c r="J233" s="7"/>
      <c r="K233" s="7"/>
      <c r="L233" s="7"/>
      <c r="M233" s="6"/>
      <c r="N233" s="7"/>
      <c r="O233" s="7"/>
      <c r="P233" s="7"/>
      <c r="Q233" s="7"/>
      <c r="R233" s="7"/>
      <c r="S233" s="7"/>
      <c r="T233" s="7"/>
      <c r="U233" s="7"/>
      <c r="V233" s="7"/>
      <c r="W233" s="7"/>
      <c r="X233" s="7"/>
      <c r="Y233" s="7"/>
      <c r="Z233" s="6"/>
      <c r="AA233" s="6"/>
      <c r="AB233" s="6"/>
      <c r="AC233" s="6"/>
      <c r="AD233" s="6"/>
      <c r="AE233" s="6"/>
      <c r="AF233" s="6"/>
      <c r="AG233" s="6"/>
      <c r="AH233" s="6"/>
      <c r="AI233" s="6"/>
      <c r="AJ233" s="6"/>
    </row>
    <row r="234" spans="1:36" x14ac:dyDescent="0.2">
      <c r="A234" s="7"/>
      <c r="B234" s="7"/>
      <c r="C234" s="7"/>
      <c r="D234" s="7"/>
      <c r="E234" s="7"/>
      <c r="F234" s="7"/>
      <c r="G234" s="6"/>
      <c r="H234" s="6"/>
      <c r="I234" s="7"/>
      <c r="J234" s="7"/>
      <c r="K234" s="7"/>
      <c r="L234" s="7"/>
      <c r="M234" s="6"/>
      <c r="N234" s="7"/>
      <c r="O234" s="7"/>
      <c r="P234" s="7"/>
      <c r="Q234" s="7"/>
      <c r="R234" s="7"/>
      <c r="S234" s="7"/>
      <c r="T234" s="7"/>
      <c r="U234" s="7"/>
      <c r="V234" s="7"/>
      <c r="W234" s="7"/>
      <c r="X234" s="7"/>
      <c r="Y234" s="7"/>
      <c r="Z234" s="6"/>
      <c r="AA234" s="6"/>
      <c r="AB234" s="6"/>
      <c r="AC234" s="6"/>
      <c r="AD234" s="6"/>
      <c r="AE234" s="6"/>
      <c r="AF234" s="6"/>
      <c r="AG234" s="6"/>
      <c r="AH234" s="6"/>
      <c r="AI234" s="6"/>
      <c r="AJ234" s="6"/>
    </row>
    <row r="235" spans="1:36" x14ac:dyDescent="0.2">
      <c r="A235" s="7"/>
      <c r="B235" s="7"/>
      <c r="C235" s="7"/>
      <c r="D235" s="7"/>
      <c r="E235" s="7"/>
      <c r="F235" s="7"/>
      <c r="G235" s="6"/>
      <c r="H235" s="6"/>
      <c r="I235" s="7"/>
      <c r="J235" s="7"/>
      <c r="K235" s="7"/>
      <c r="L235" s="7"/>
      <c r="M235" s="6"/>
      <c r="N235" s="7"/>
      <c r="O235" s="7"/>
      <c r="P235" s="7"/>
      <c r="Q235" s="7"/>
      <c r="R235" s="7"/>
      <c r="S235" s="7"/>
      <c r="T235" s="7"/>
      <c r="U235" s="7"/>
      <c r="V235" s="7"/>
      <c r="W235" s="7"/>
      <c r="X235" s="7"/>
      <c r="Y235" s="7"/>
      <c r="Z235" s="6"/>
      <c r="AA235" s="6"/>
      <c r="AB235" s="6"/>
      <c r="AC235" s="6"/>
      <c r="AD235" s="6"/>
      <c r="AE235" s="6"/>
      <c r="AF235" s="6"/>
      <c r="AG235" s="6"/>
      <c r="AH235" s="6"/>
      <c r="AI235" s="6"/>
      <c r="AJ235" s="6"/>
    </row>
    <row r="236" spans="1:36" x14ac:dyDescent="0.2">
      <c r="A236" s="7"/>
      <c r="B236" s="7"/>
      <c r="C236" s="7"/>
      <c r="D236" s="7"/>
      <c r="E236" s="7"/>
      <c r="F236" s="7"/>
      <c r="G236" s="6"/>
      <c r="H236" s="6"/>
      <c r="I236" s="7"/>
      <c r="J236" s="7"/>
      <c r="K236" s="7"/>
      <c r="L236" s="7"/>
      <c r="M236" s="6"/>
      <c r="N236" s="7"/>
      <c r="O236" s="7"/>
      <c r="P236" s="7"/>
      <c r="Q236" s="7"/>
      <c r="R236" s="7"/>
      <c r="S236" s="7"/>
      <c r="T236" s="7"/>
      <c r="U236" s="7"/>
      <c r="V236" s="7"/>
      <c r="W236" s="7"/>
      <c r="X236" s="7"/>
      <c r="Y236" s="7"/>
      <c r="Z236" s="6"/>
      <c r="AA236" s="6"/>
      <c r="AB236" s="6"/>
      <c r="AC236" s="6"/>
      <c r="AD236" s="6"/>
      <c r="AE236" s="6"/>
      <c r="AF236" s="6"/>
      <c r="AG236" s="6"/>
      <c r="AH236" s="6"/>
      <c r="AI236" s="6"/>
      <c r="AJ236" s="6"/>
    </row>
    <row r="237" spans="1:36" x14ac:dyDescent="0.2">
      <c r="A237" s="7"/>
      <c r="B237" s="7"/>
      <c r="C237" s="7"/>
      <c r="D237" s="7"/>
      <c r="E237" s="7"/>
      <c r="F237" s="7"/>
      <c r="G237" s="6"/>
      <c r="H237" s="6"/>
      <c r="I237" s="7"/>
      <c r="J237" s="7"/>
      <c r="K237" s="7"/>
      <c r="L237" s="7"/>
      <c r="M237" s="6"/>
      <c r="N237" s="7"/>
      <c r="O237" s="7"/>
      <c r="P237" s="7"/>
      <c r="Q237" s="7"/>
      <c r="R237" s="7"/>
      <c r="S237" s="7"/>
      <c r="T237" s="7"/>
      <c r="U237" s="7"/>
      <c r="V237" s="7"/>
      <c r="W237" s="7"/>
      <c r="X237" s="7"/>
      <c r="Y237" s="7"/>
      <c r="Z237" s="6"/>
      <c r="AA237" s="6"/>
      <c r="AB237" s="6"/>
      <c r="AC237" s="6"/>
      <c r="AD237" s="6"/>
      <c r="AE237" s="6"/>
      <c r="AF237" s="6"/>
      <c r="AG237" s="6"/>
      <c r="AH237" s="6"/>
      <c r="AI237" s="6"/>
      <c r="AJ237" s="6"/>
    </row>
    <row r="238" spans="1:36" x14ac:dyDescent="0.2">
      <c r="A238" s="7"/>
      <c r="B238" s="7"/>
      <c r="C238" s="7"/>
      <c r="D238" s="7"/>
      <c r="E238" s="7"/>
      <c r="F238" s="7"/>
      <c r="G238" s="6"/>
      <c r="H238" s="6"/>
      <c r="I238" s="7"/>
      <c r="J238" s="7"/>
      <c r="K238" s="7"/>
      <c r="L238" s="7"/>
      <c r="M238" s="6"/>
      <c r="N238" s="7"/>
      <c r="O238" s="7"/>
      <c r="P238" s="7"/>
      <c r="Q238" s="7"/>
      <c r="R238" s="7"/>
      <c r="S238" s="7"/>
      <c r="T238" s="7"/>
      <c r="U238" s="7"/>
      <c r="V238" s="7"/>
      <c r="W238" s="7"/>
      <c r="X238" s="7"/>
      <c r="Y238" s="7"/>
      <c r="Z238" s="6"/>
      <c r="AA238" s="6"/>
      <c r="AB238" s="6"/>
      <c r="AC238" s="6"/>
      <c r="AD238" s="6"/>
      <c r="AE238" s="6"/>
      <c r="AF238" s="6"/>
      <c r="AG238" s="6"/>
      <c r="AH238" s="6"/>
      <c r="AI238" s="6"/>
      <c r="AJ238" s="6"/>
    </row>
    <row r="239" spans="1:36" x14ac:dyDescent="0.2">
      <c r="A239" s="7"/>
      <c r="B239" s="7"/>
      <c r="C239" s="7"/>
      <c r="D239" s="7"/>
      <c r="E239" s="7"/>
      <c r="F239" s="7"/>
      <c r="G239" s="6"/>
      <c r="H239" s="6"/>
      <c r="I239" s="7"/>
      <c r="J239" s="7"/>
      <c r="K239" s="7"/>
      <c r="L239" s="7"/>
      <c r="M239" s="6"/>
      <c r="N239" s="7"/>
      <c r="O239" s="7"/>
      <c r="P239" s="7"/>
      <c r="Q239" s="7"/>
      <c r="R239" s="7"/>
      <c r="S239" s="7"/>
      <c r="T239" s="7"/>
      <c r="U239" s="7"/>
      <c r="V239" s="7"/>
      <c r="W239" s="7"/>
      <c r="X239" s="7"/>
      <c r="Y239" s="7"/>
      <c r="Z239" s="6"/>
      <c r="AA239" s="6"/>
      <c r="AB239" s="6"/>
      <c r="AC239" s="6"/>
      <c r="AD239" s="6"/>
      <c r="AE239" s="6"/>
      <c r="AF239" s="6"/>
      <c r="AG239" s="6"/>
      <c r="AH239" s="6"/>
      <c r="AI239" s="6"/>
      <c r="AJ239" s="6"/>
    </row>
    <row r="240" spans="1:36" x14ac:dyDescent="0.2">
      <c r="A240" s="7"/>
      <c r="B240" s="7"/>
      <c r="C240" s="7"/>
      <c r="D240" s="7"/>
      <c r="E240" s="7"/>
      <c r="F240" s="7"/>
      <c r="G240" s="6"/>
      <c r="H240" s="6"/>
      <c r="I240" s="7"/>
      <c r="J240" s="7"/>
      <c r="K240" s="7"/>
      <c r="L240" s="7"/>
      <c r="M240" s="6"/>
      <c r="N240" s="7"/>
      <c r="O240" s="7"/>
      <c r="P240" s="7"/>
      <c r="Q240" s="7"/>
      <c r="R240" s="7"/>
      <c r="S240" s="7"/>
      <c r="T240" s="7"/>
      <c r="U240" s="7"/>
      <c r="V240" s="7"/>
      <c r="W240" s="7"/>
      <c r="X240" s="7"/>
      <c r="Y240" s="7"/>
      <c r="Z240" s="6"/>
      <c r="AA240" s="6"/>
      <c r="AB240" s="6"/>
      <c r="AC240" s="6"/>
      <c r="AD240" s="6"/>
      <c r="AE240" s="6"/>
      <c r="AF240" s="6"/>
      <c r="AG240" s="6"/>
      <c r="AH240" s="6"/>
      <c r="AI240" s="6"/>
      <c r="AJ240" s="6"/>
    </row>
    <row r="241" spans="1:36" x14ac:dyDescent="0.2">
      <c r="A241" s="7"/>
      <c r="B241" s="7"/>
      <c r="C241" s="7"/>
      <c r="D241" s="7"/>
      <c r="E241" s="7"/>
      <c r="F241" s="7"/>
      <c r="G241" s="6"/>
      <c r="H241" s="6"/>
      <c r="I241" s="7"/>
      <c r="J241" s="7"/>
      <c r="K241" s="7"/>
      <c r="L241" s="7"/>
      <c r="M241" s="6"/>
      <c r="N241" s="7"/>
      <c r="O241" s="7"/>
      <c r="P241" s="7"/>
      <c r="Q241" s="7"/>
      <c r="R241" s="7"/>
      <c r="S241" s="7"/>
      <c r="T241" s="7"/>
      <c r="U241" s="7"/>
      <c r="V241" s="7"/>
      <c r="W241" s="7"/>
      <c r="X241" s="7"/>
      <c r="Y241" s="7"/>
      <c r="Z241" s="6"/>
      <c r="AA241" s="6"/>
      <c r="AB241" s="6"/>
      <c r="AC241" s="6"/>
      <c r="AD241" s="6"/>
      <c r="AE241" s="6"/>
      <c r="AF241" s="6"/>
      <c r="AG241" s="6"/>
      <c r="AH241" s="6"/>
      <c r="AI241" s="6"/>
      <c r="AJ241" s="6"/>
    </row>
    <row r="242" spans="1:36" x14ac:dyDescent="0.2">
      <c r="A242" s="7"/>
      <c r="B242" s="7"/>
      <c r="C242" s="7"/>
      <c r="D242" s="7"/>
      <c r="E242" s="7"/>
      <c r="F242" s="7"/>
      <c r="G242" s="6"/>
      <c r="H242" s="6"/>
      <c r="I242" s="7"/>
      <c r="J242" s="7"/>
      <c r="K242" s="7"/>
      <c r="L242" s="7"/>
      <c r="M242" s="6"/>
      <c r="N242" s="7"/>
      <c r="O242" s="7"/>
      <c r="P242" s="7"/>
      <c r="Q242" s="7"/>
      <c r="R242" s="7"/>
      <c r="S242" s="7"/>
      <c r="T242" s="7"/>
      <c r="U242" s="7"/>
      <c r="V242" s="7"/>
      <c r="W242" s="7"/>
      <c r="X242" s="7"/>
      <c r="Y242" s="7"/>
      <c r="Z242" s="6"/>
      <c r="AA242" s="6"/>
      <c r="AB242" s="6"/>
      <c r="AC242" s="6"/>
      <c r="AD242" s="6"/>
      <c r="AE242" s="6"/>
      <c r="AF242" s="6"/>
      <c r="AG242" s="6"/>
      <c r="AH242" s="6"/>
      <c r="AI242" s="6"/>
      <c r="AJ242" s="6"/>
    </row>
    <row r="243" spans="1:36" x14ac:dyDescent="0.2">
      <c r="A243" s="7"/>
      <c r="B243" s="7"/>
      <c r="C243" s="7"/>
      <c r="D243" s="7"/>
      <c r="E243" s="7"/>
      <c r="F243" s="7"/>
      <c r="G243" s="6"/>
      <c r="H243" s="6"/>
      <c r="I243" s="7"/>
      <c r="J243" s="7"/>
      <c r="K243" s="7"/>
      <c r="L243" s="7"/>
      <c r="M243" s="6"/>
      <c r="N243" s="7"/>
      <c r="O243" s="7"/>
      <c r="P243" s="7"/>
      <c r="Q243" s="7"/>
      <c r="R243" s="7"/>
      <c r="S243" s="7"/>
      <c r="T243" s="7"/>
      <c r="U243" s="7"/>
      <c r="V243" s="7"/>
      <c r="W243" s="7"/>
      <c r="X243" s="7"/>
      <c r="Y243" s="7"/>
      <c r="Z243" s="6"/>
      <c r="AA243" s="6"/>
      <c r="AB243" s="6"/>
      <c r="AC243" s="6"/>
      <c r="AD243" s="6"/>
      <c r="AE243" s="6"/>
      <c r="AF243" s="6"/>
      <c r="AG243" s="6"/>
      <c r="AH243" s="6"/>
      <c r="AI243" s="6"/>
      <c r="AJ243" s="6"/>
    </row>
    <row r="244" spans="1:36" x14ac:dyDescent="0.2">
      <c r="A244" s="7"/>
      <c r="B244" s="7"/>
      <c r="C244" s="7"/>
      <c r="D244" s="7"/>
      <c r="E244" s="7"/>
      <c r="F244" s="7"/>
      <c r="G244" s="6"/>
      <c r="H244" s="6"/>
      <c r="I244" s="7"/>
      <c r="J244" s="7"/>
      <c r="K244" s="7"/>
      <c r="L244" s="7"/>
      <c r="M244" s="6"/>
      <c r="N244" s="7"/>
      <c r="O244" s="7"/>
      <c r="P244" s="7"/>
      <c r="Q244" s="7"/>
      <c r="R244" s="7"/>
      <c r="S244" s="7"/>
      <c r="T244" s="7"/>
      <c r="U244" s="7"/>
      <c r="V244" s="7"/>
      <c r="W244" s="7"/>
      <c r="X244" s="7"/>
      <c r="Y244" s="7"/>
      <c r="Z244" s="6"/>
      <c r="AA244" s="6"/>
      <c r="AB244" s="6"/>
      <c r="AC244" s="6"/>
      <c r="AD244" s="6"/>
      <c r="AE244" s="6"/>
      <c r="AF244" s="6"/>
      <c r="AG244" s="6"/>
      <c r="AH244" s="6"/>
      <c r="AI244" s="6"/>
      <c r="AJ244" s="6"/>
    </row>
    <row r="245" spans="1:36" x14ac:dyDescent="0.2">
      <c r="A245" s="7"/>
      <c r="B245" s="7"/>
      <c r="C245" s="7"/>
      <c r="D245" s="7"/>
      <c r="E245" s="7"/>
      <c r="F245" s="7"/>
      <c r="G245" s="6"/>
      <c r="H245" s="6"/>
      <c r="I245" s="7"/>
      <c r="J245" s="7"/>
      <c r="K245" s="7"/>
      <c r="L245" s="7"/>
      <c r="M245" s="6"/>
      <c r="N245" s="7"/>
      <c r="O245" s="7"/>
      <c r="P245" s="7"/>
      <c r="Q245" s="7"/>
      <c r="R245" s="7"/>
      <c r="S245" s="7"/>
      <c r="T245" s="7"/>
      <c r="U245" s="7"/>
      <c r="V245" s="7"/>
      <c r="W245" s="7"/>
      <c r="X245" s="7"/>
      <c r="Y245" s="7"/>
      <c r="Z245" s="6"/>
      <c r="AA245" s="6"/>
      <c r="AB245" s="6"/>
      <c r="AC245" s="6"/>
      <c r="AD245" s="6"/>
      <c r="AE245" s="6"/>
      <c r="AF245" s="6"/>
      <c r="AG245" s="6"/>
      <c r="AH245" s="6"/>
      <c r="AI245" s="6"/>
      <c r="AJ245" s="6"/>
    </row>
    <row r="246" spans="1:36" x14ac:dyDescent="0.2">
      <c r="A246" s="7"/>
      <c r="B246" s="7"/>
      <c r="C246" s="7"/>
      <c r="D246" s="7"/>
      <c r="E246" s="7"/>
      <c r="F246" s="7"/>
      <c r="G246" s="6"/>
      <c r="H246" s="6"/>
      <c r="I246" s="7"/>
      <c r="J246" s="7"/>
      <c r="K246" s="7"/>
      <c r="L246" s="7"/>
      <c r="M246" s="6"/>
      <c r="N246" s="7"/>
      <c r="O246" s="7"/>
      <c r="P246" s="7"/>
      <c r="Q246" s="7"/>
      <c r="R246" s="7"/>
      <c r="S246" s="7"/>
      <c r="T246" s="7"/>
      <c r="U246" s="7"/>
      <c r="V246" s="7"/>
      <c r="W246" s="7"/>
      <c r="X246" s="7"/>
      <c r="Y246" s="7"/>
      <c r="Z246" s="6"/>
      <c r="AA246" s="6"/>
      <c r="AB246" s="6"/>
      <c r="AC246" s="6"/>
      <c r="AD246" s="6"/>
      <c r="AE246" s="6"/>
      <c r="AF246" s="6"/>
      <c r="AG246" s="6"/>
      <c r="AH246" s="6"/>
      <c r="AI246" s="6"/>
      <c r="AJ246" s="6"/>
    </row>
    <row r="247" spans="1:36" x14ac:dyDescent="0.2">
      <c r="A247" s="7"/>
      <c r="B247" s="7"/>
      <c r="C247" s="7"/>
      <c r="D247" s="7"/>
      <c r="E247" s="7"/>
      <c r="F247" s="7"/>
      <c r="G247" s="6"/>
      <c r="H247" s="6"/>
      <c r="I247" s="7"/>
      <c r="J247" s="7"/>
      <c r="K247" s="7"/>
      <c r="L247" s="7"/>
      <c r="M247" s="6"/>
      <c r="N247" s="7"/>
      <c r="O247" s="7"/>
      <c r="P247" s="7"/>
      <c r="Q247" s="7"/>
      <c r="R247" s="7"/>
      <c r="S247" s="7"/>
      <c r="T247" s="7"/>
      <c r="U247" s="7"/>
      <c r="V247" s="7"/>
      <c r="W247" s="7"/>
      <c r="X247" s="7"/>
      <c r="Y247" s="7"/>
      <c r="Z247" s="6"/>
      <c r="AA247" s="6"/>
      <c r="AB247" s="6"/>
      <c r="AC247" s="6"/>
      <c r="AD247" s="6"/>
      <c r="AE247" s="6"/>
      <c r="AF247" s="6"/>
      <c r="AG247" s="6"/>
      <c r="AH247" s="6"/>
      <c r="AI247" s="6"/>
      <c r="AJ247" s="6"/>
    </row>
    <row r="248" spans="1:36" x14ac:dyDescent="0.2">
      <c r="A248" s="7"/>
      <c r="B248" s="7"/>
      <c r="C248" s="7"/>
      <c r="D248" s="7"/>
      <c r="E248" s="7"/>
      <c r="F248" s="7"/>
      <c r="G248" s="6"/>
      <c r="H248" s="6"/>
      <c r="I248" s="7"/>
      <c r="J248" s="7"/>
      <c r="K248" s="7"/>
      <c r="L248" s="7"/>
      <c r="M248" s="6"/>
      <c r="N248" s="7"/>
      <c r="O248" s="7"/>
      <c r="P248" s="7"/>
      <c r="Q248" s="7"/>
      <c r="R248" s="7"/>
      <c r="S248" s="7"/>
      <c r="T248" s="7"/>
      <c r="U248" s="7"/>
      <c r="V248" s="7"/>
      <c r="W248" s="7"/>
      <c r="X248" s="7"/>
      <c r="Y248" s="7"/>
      <c r="Z248" s="6"/>
      <c r="AA248" s="6"/>
      <c r="AB248" s="6"/>
      <c r="AC248" s="6"/>
      <c r="AD248" s="6"/>
      <c r="AE248" s="6"/>
      <c r="AF248" s="6"/>
      <c r="AG248" s="6"/>
      <c r="AH248" s="6"/>
      <c r="AI248" s="6"/>
      <c r="AJ248" s="6"/>
    </row>
    <row r="249" spans="1:36" x14ac:dyDescent="0.2">
      <c r="A249" s="7"/>
      <c r="B249" s="7"/>
      <c r="C249" s="7"/>
      <c r="D249" s="7"/>
      <c r="E249" s="7"/>
      <c r="F249" s="7"/>
      <c r="G249" s="6"/>
      <c r="H249" s="6"/>
      <c r="I249" s="7"/>
      <c r="J249" s="7"/>
      <c r="K249" s="7"/>
      <c r="L249" s="7"/>
      <c r="M249" s="6"/>
      <c r="N249" s="7"/>
      <c r="O249" s="7"/>
      <c r="P249" s="7"/>
      <c r="Q249" s="7"/>
      <c r="R249" s="7"/>
      <c r="S249" s="7"/>
      <c r="T249" s="7"/>
      <c r="U249" s="7"/>
      <c r="V249" s="7"/>
      <c r="W249" s="7"/>
      <c r="X249" s="7"/>
      <c r="Y249" s="7"/>
      <c r="Z249" s="6"/>
      <c r="AA249" s="6"/>
      <c r="AB249" s="6"/>
      <c r="AC249" s="6"/>
      <c r="AD249" s="6"/>
      <c r="AE249" s="6"/>
      <c r="AF249" s="6"/>
      <c r="AG249" s="6"/>
      <c r="AH249" s="6"/>
      <c r="AI249" s="6"/>
      <c r="AJ249" s="6"/>
    </row>
    <row r="250" spans="1:36" x14ac:dyDescent="0.2">
      <c r="A250" s="7"/>
      <c r="B250" s="7"/>
      <c r="C250" s="7"/>
      <c r="D250" s="7"/>
      <c r="E250" s="7"/>
      <c r="F250" s="7"/>
      <c r="G250" s="6"/>
      <c r="H250" s="6"/>
      <c r="I250" s="7"/>
      <c r="J250" s="7"/>
      <c r="K250" s="7"/>
      <c r="L250" s="7"/>
      <c r="M250" s="6"/>
      <c r="N250" s="7"/>
      <c r="O250" s="7"/>
      <c r="P250" s="7"/>
      <c r="Q250" s="7"/>
      <c r="R250" s="7"/>
      <c r="S250" s="7"/>
      <c r="T250" s="7"/>
      <c r="U250" s="7"/>
      <c r="V250" s="7"/>
      <c r="W250" s="7"/>
      <c r="X250" s="7"/>
      <c r="Y250" s="7"/>
      <c r="Z250" s="6"/>
      <c r="AA250" s="6"/>
      <c r="AB250" s="6"/>
      <c r="AC250" s="6"/>
      <c r="AD250" s="6"/>
      <c r="AE250" s="6"/>
      <c r="AF250" s="6"/>
      <c r="AG250" s="6"/>
      <c r="AH250" s="6"/>
      <c r="AI250" s="6"/>
      <c r="AJ250" s="6"/>
    </row>
    <row r="251" spans="1:36" x14ac:dyDescent="0.2">
      <c r="A251" s="7"/>
      <c r="B251" s="7"/>
      <c r="C251" s="7"/>
      <c r="D251" s="7"/>
      <c r="E251" s="7"/>
      <c r="F251" s="7"/>
      <c r="G251" s="6"/>
      <c r="H251" s="6"/>
      <c r="I251" s="7"/>
      <c r="J251" s="7"/>
      <c r="K251" s="7"/>
      <c r="L251" s="7"/>
      <c r="M251" s="6"/>
      <c r="N251" s="7"/>
      <c r="O251" s="7"/>
      <c r="P251" s="7"/>
      <c r="Q251" s="7"/>
      <c r="R251" s="7"/>
      <c r="S251" s="7"/>
      <c r="T251" s="7"/>
      <c r="U251" s="7"/>
      <c r="V251" s="7"/>
      <c r="W251" s="7"/>
      <c r="X251" s="7"/>
      <c r="Y251" s="7"/>
      <c r="Z251" s="6"/>
      <c r="AA251" s="6"/>
      <c r="AB251" s="6"/>
      <c r="AC251" s="6"/>
      <c r="AD251" s="6"/>
      <c r="AE251" s="6"/>
      <c r="AF251" s="6"/>
      <c r="AG251" s="6"/>
      <c r="AH251" s="6"/>
      <c r="AI251" s="6"/>
      <c r="AJ251" s="6"/>
    </row>
    <row r="252" spans="1:36" x14ac:dyDescent="0.2">
      <c r="A252" s="7"/>
      <c r="B252" s="7"/>
      <c r="C252" s="7"/>
      <c r="D252" s="7"/>
      <c r="E252" s="7"/>
      <c r="F252" s="7"/>
      <c r="G252" s="6"/>
      <c r="H252" s="6"/>
      <c r="I252" s="7"/>
      <c r="J252" s="7"/>
      <c r="K252" s="7"/>
      <c r="L252" s="7"/>
      <c r="M252" s="6"/>
      <c r="N252" s="7"/>
      <c r="O252" s="7"/>
      <c r="P252" s="7"/>
      <c r="Q252" s="7"/>
      <c r="R252" s="7"/>
      <c r="S252" s="7"/>
      <c r="T252" s="7"/>
      <c r="U252" s="7"/>
      <c r="V252" s="7"/>
      <c r="W252" s="7"/>
      <c r="X252" s="7"/>
      <c r="Y252" s="7"/>
      <c r="Z252" s="6"/>
      <c r="AA252" s="6"/>
      <c r="AB252" s="6"/>
      <c r="AC252" s="6"/>
      <c r="AD252" s="6"/>
      <c r="AE252" s="6"/>
      <c r="AF252" s="6"/>
      <c r="AG252" s="6"/>
      <c r="AH252" s="6"/>
      <c r="AI252" s="6"/>
      <c r="AJ252" s="6"/>
    </row>
    <row r="253" spans="1:36" x14ac:dyDescent="0.2">
      <c r="A253" s="7"/>
      <c r="B253" s="7"/>
      <c r="C253" s="7"/>
      <c r="D253" s="7"/>
      <c r="E253" s="7"/>
      <c r="F253" s="7"/>
      <c r="G253" s="6"/>
      <c r="H253" s="6"/>
      <c r="I253" s="7"/>
      <c r="J253" s="7"/>
      <c r="K253" s="7"/>
      <c r="L253" s="7"/>
      <c r="M253" s="6"/>
      <c r="N253" s="7"/>
      <c r="O253" s="7"/>
      <c r="P253" s="7"/>
      <c r="Q253" s="7"/>
      <c r="R253" s="7"/>
      <c r="S253" s="7"/>
      <c r="T253" s="7"/>
      <c r="U253" s="7"/>
      <c r="V253" s="7"/>
      <c r="W253" s="7"/>
      <c r="X253" s="7"/>
      <c r="Y253" s="7"/>
      <c r="Z253" s="6"/>
      <c r="AA253" s="6"/>
      <c r="AB253" s="6"/>
      <c r="AC253" s="6"/>
      <c r="AD253" s="6"/>
      <c r="AE253" s="6"/>
      <c r="AF253" s="6"/>
      <c r="AG253" s="6"/>
      <c r="AH253" s="6"/>
      <c r="AI253" s="6"/>
      <c r="AJ253" s="6"/>
    </row>
    <row r="254" spans="1:36" x14ac:dyDescent="0.2">
      <c r="A254" s="7"/>
      <c r="B254" s="7"/>
      <c r="C254" s="7"/>
      <c r="D254" s="7"/>
      <c r="E254" s="7"/>
      <c r="F254" s="7"/>
      <c r="G254" s="6"/>
      <c r="H254" s="6"/>
      <c r="I254" s="7"/>
      <c r="J254" s="7"/>
      <c r="K254" s="7"/>
      <c r="L254" s="7"/>
      <c r="M254" s="6"/>
      <c r="N254" s="7"/>
      <c r="O254" s="7"/>
      <c r="P254" s="7"/>
      <c r="Q254" s="7"/>
      <c r="R254" s="7"/>
      <c r="S254" s="7"/>
      <c r="T254" s="7"/>
      <c r="U254" s="7"/>
      <c r="V254" s="7"/>
      <c r="W254" s="7"/>
      <c r="X254" s="7"/>
      <c r="Y254" s="7"/>
      <c r="Z254" s="6"/>
      <c r="AA254" s="6"/>
      <c r="AB254" s="6"/>
      <c r="AC254" s="6"/>
      <c r="AD254" s="6"/>
      <c r="AE254" s="6"/>
      <c r="AF254" s="6"/>
      <c r="AG254" s="6"/>
      <c r="AH254" s="6"/>
      <c r="AI254" s="6"/>
      <c r="AJ254" s="6"/>
    </row>
    <row r="255" spans="1:36" x14ac:dyDescent="0.2">
      <c r="A255" s="7"/>
      <c r="B255" s="7"/>
      <c r="C255" s="7"/>
      <c r="D255" s="7"/>
      <c r="E255" s="7"/>
      <c r="F255" s="7"/>
      <c r="G255" s="6"/>
      <c r="H255" s="6"/>
      <c r="I255" s="7"/>
      <c r="J255" s="7"/>
      <c r="K255" s="7"/>
      <c r="L255" s="7"/>
      <c r="M255" s="6"/>
      <c r="N255" s="7"/>
      <c r="O255" s="7"/>
      <c r="P255" s="7"/>
      <c r="Q255" s="7"/>
      <c r="R255" s="7"/>
      <c r="S255" s="7"/>
      <c r="T255" s="7"/>
      <c r="U255" s="7"/>
      <c r="V255" s="7"/>
      <c r="W255" s="7"/>
      <c r="X255" s="7"/>
      <c r="Y255" s="7"/>
      <c r="Z255" s="6"/>
      <c r="AA255" s="6"/>
      <c r="AB255" s="6"/>
      <c r="AC255" s="6"/>
      <c r="AD255" s="6"/>
      <c r="AE255" s="6"/>
      <c r="AF255" s="6"/>
      <c r="AG255" s="6"/>
      <c r="AH255" s="6"/>
      <c r="AI255" s="6"/>
      <c r="AJ255" s="6"/>
    </row>
    <row r="256" spans="1:36" x14ac:dyDescent="0.2">
      <c r="A256" s="7"/>
      <c r="B256" s="7"/>
      <c r="C256" s="7"/>
      <c r="D256" s="7"/>
      <c r="E256" s="7"/>
      <c r="F256" s="7"/>
      <c r="G256" s="6"/>
      <c r="H256" s="6"/>
      <c r="I256" s="7"/>
      <c r="J256" s="7"/>
      <c r="K256" s="7"/>
      <c r="L256" s="7"/>
      <c r="M256" s="6"/>
      <c r="N256" s="7"/>
      <c r="O256" s="7"/>
      <c r="P256" s="7"/>
      <c r="Q256" s="7"/>
      <c r="R256" s="7"/>
      <c r="S256" s="7"/>
      <c r="T256" s="7"/>
      <c r="U256" s="7"/>
      <c r="V256" s="7"/>
      <c r="W256" s="7"/>
      <c r="X256" s="7"/>
      <c r="Y256" s="7"/>
      <c r="Z256" s="6"/>
      <c r="AA256" s="6"/>
      <c r="AB256" s="6"/>
      <c r="AC256" s="6"/>
      <c r="AD256" s="6"/>
      <c r="AE256" s="6"/>
      <c r="AF256" s="6"/>
      <c r="AG256" s="6"/>
      <c r="AH256" s="6"/>
      <c r="AI256" s="6"/>
      <c r="AJ256" s="6"/>
    </row>
    <row r="257" spans="1:36" x14ac:dyDescent="0.2">
      <c r="A257" s="7"/>
      <c r="B257" s="7"/>
      <c r="C257" s="7"/>
      <c r="D257" s="7"/>
      <c r="E257" s="7"/>
      <c r="F257" s="7"/>
      <c r="G257" s="6"/>
      <c r="H257" s="6"/>
      <c r="I257" s="7"/>
      <c r="J257" s="7"/>
      <c r="K257" s="7"/>
      <c r="L257" s="7"/>
      <c r="M257" s="6"/>
      <c r="N257" s="7"/>
      <c r="O257" s="7"/>
      <c r="P257" s="7"/>
      <c r="Q257" s="7"/>
      <c r="R257" s="7"/>
      <c r="S257" s="7"/>
      <c r="T257" s="7"/>
      <c r="U257" s="7"/>
      <c r="V257" s="7"/>
      <c r="W257" s="7"/>
      <c r="X257" s="7"/>
      <c r="Y257" s="7"/>
      <c r="Z257" s="6"/>
      <c r="AA257" s="6"/>
      <c r="AB257" s="6"/>
      <c r="AC257" s="6"/>
      <c r="AD257" s="6"/>
      <c r="AE257" s="6"/>
      <c r="AF257" s="6"/>
      <c r="AG257" s="6"/>
      <c r="AH257" s="6"/>
      <c r="AI257" s="6"/>
      <c r="AJ257" s="6"/>
    </row>
    <row r="258" spans="1:36" x14ac:dyDescent="0.2">
      <c r="A258" s="7"/>
      <c r="B258" s="7"/>
      <c r="C258" s="7"/>
      <c r="D258" s="7"/>
      <c r="E258" s="7"/>
      <c r="F258" s="7"/>
      <c r="G258" s="6"/>
      <c r="H258" s="6"/>
      <c r="I258" s="7"/>
      <c r="J258" s="7"/>
      <c r="K258" s="7"/>
      <c r="L258" s="7"/>
      <c r="M258" s="6"/>
      <c r="N258" s="7"/>
      <c r="O258" s="7"/>
      <c r="P258" s="7"/>
      <c r="Q258" s="7"/>
      <c r="R258" s="7"/>
      <c r="S258" s="7"/>
      <c r="T258" s="7"/>
      <c r="U258" s="7"/>
      <c r="V258" s="7"/>
      <c r="W258" s="7"/>
      <c r="X258" s="7"/>
      <c r="Y258" s="7"/>
      <c r="Z258" s="6"/>
      <c r="AA258" s="6"/>
      <c r="AB258" s="6"/>
      <c r="AC258" s="6"/>
      <c r="AD258" s="6"/>
      <c r="AE258" s="6"/>
      <c r="AF258" s="6"/>
      <c r="AG258" s="6"/>
      <c r="AH258" s="6"/>
      <c r="AI258" s="6"/>
      <c r="AJ258" s="6"/>
    </row>
    <row r="259" spans="1:36" x14ac:dyDescent="0.2">
      <c r="A259" s="7"/>
      <c r="B259" s="7"/>
      <c r="C259" s="7"/>
      <c r="D259" s="7"/>
      <c r="E259" s="7"/>
      <c r="F259" s="7"/>
      <c r="G259" s="6"/>
      <c r="H259" s="6"/>
      <c r="I259" s="7"/>
      <c r="J259" s="7"/>
      <c r="K259" s="7"/>
      <c r="L259" s="7"/>
      <c r="M259" s="6"/>
      <c r="N259" s="7"/>
      <c r="O259" s="7"/>
      <c r="P259" s="7"/>
      <c r="Q259" s="7"/>
      <c r="R259" s="7"/>
      <c r="S259" s="7"/>
      <c r="T259" s="7"/>
      <c r="U259" s="7"/>
      <c r="V259" s="7"/>
      <c r="W259" s="7"/>
      <c r="X259" s="7"/>
      <c r="Y259" s="7"/>
      <c r="Z259" s="6"/>
      <c r="AA259" s="6"/>
      <c r="AB259" s="6"/>
      <c r="AC259" s="6"/>
      <c r="AD259" s="6"/>
      <c r="AE259" s="6"/>
      <c r="AF259" s="6"/>
      <c r="AG259" s="6"/>
      <c r="AH259" s="6"/>
      <c r="AI259" s="6"/>
      <c r="AJ259" s="6"/>
    </row>
    <row r="260" spans="1:36" x14ac:dyDescent="0.2">
      <c r="A260" s="7"/>
      <c r="B260" s="7"/>
      <c r="C260" s="7"/>
      <c r="D260" s="7"/>
      <c r="E260" s="7"/>
      <c r="F260" s="7"/>
      <c r="G260" s="6"/>
      <c r="H260" s="6"/>
      <c r="I260" s="7"/>
      <c r="J260" s="7"/>
      <c r="K260" s="7"/>
      <c r="L260" s="7"/>
      <c r="M260" s="6"/>
      <c r="N260" s="7"/>
      <c r="O260" s="7"/>
      <c r="P260" s="7"/>
      <c r="Q260" s="7"/>
      <c r="R260" s="7"/>
      <c r="S260" s="7"/>
      <c r="T260" s="7"/>
      <c r="U260" s="7"/>
      <c r="V260" s="7"/>
      <c r="W260" s="7"/>
      <c r="X260" s="7"/>
      <c r="Y260" s="7"/>
      <c r="Z260" s="6"/>
      <c r="AA260" s="6"/>
      <c r="AB260" s="6"/>
      <c r="AC260" s="6"/>
      <c r="AD260" s="6"/>
      <c r="AE260" s="6"/>
      <c r="AF260" s="6"/>
      <c r="AG260" s="6"/>
      <c r="AH260" s="6"/>
      <c r="AI260" s="6"/>
      <c r="AJ260" s="6"/>
    </row>
    <row r="261" spans="1:36" x14ac:dyDescent="0.2">
      <c r="A261" s="7"/>
      <c r="B261" s="7"/>
      <c r="C261" s="7"/>
      <c r="D261" s="7"/>
      <c r="E261" s="7"/>
      <c r="F261" s="7"/>
      <c r="G261" s="6"/>
      <c r="H261" s="6"/>
      <c r="I261" s="7"/>
      <c r="J261" s="7"/>
      <c r="K261" s="7"/>
      <c r="L261" s="7"/>
      <c r="M261" s="6"/>
      <c r="N261" s="7"/>
      <c r="O261" s="7"/>
      <c r="P261" s="7"/>
      <c r="Q261" s="7"/>
      <c r="R261" s="7"/>
      <c r="S261" s="7"/>
      <c r="T261" s="7"/>
      <c r="U261" s="7"/>
      <c r="V261" s="7"/>
      <c r="W261" s="7"/>
      <c r="X261" s="7"/>
      <c r="Y261" s="7"/>
      <c r="Z261" s="6"/>
      <c r="AA261" s="6"/>
      <c r="AB261" s="6"/>
      <c r="AC261" s="6"/>
      <c r="AD261" s="6"/>
      <c r="AE261" s="6"/>
      <c r="AF261" s="6"/>
      <c r="AG261" s="6"/>
      <c r="AH261" s="6"/>
      <c r="AI261" s="6"/>
      <c r="AJ261" s="6"/>
    </row>
    <row r="262" spans="1:36" x14ac:dyDescent="0.2">
      <c r="A262" s="7"/>
      <c r="B262" s="7"/>
      <c r="C262" s="7"/>
      <c r="D262" s="7"/>
      <c r="E262" s="7"/>
      <c r="F262" s="7"/>
      <c r="G262" s="6"/>
      <c r="H262" s="6"/>
      <c r="I262" s="7"/>
      <c r="J262" s="7"/>
      <c r="K262" s="7"/>
      <c r="L262" s="7"/>
      <c r="M262" s="6"/>
      <c r="N262" s="7"/>
      <c r="O262" s="7"/>
      <c r="P262" s="7"/>
      <c r="Q262" s="7"/>
      <c r="R262" s="7"/>
      <c r="S262" s="7"/>
      <c r="T262" s="7"/>
      <c r="U262" s="7"/>
      <c r="V262" s="7"/>
      <c r="W262" s="7"/>
      <c r="X262" s="7"/>
      <c r="Y262" s="7"/>
      <c r="Z262" s="6"/>
      <c r="AA262" s="6"/>
      <c r="AB262" s="6"/>
      <c r="AC262" s="6"/>
      <c r="AD262" s="6"/>
      <c r="AE262" s="6"/>
      <c r="AF262" s="6"/>
      <c r="AG262" s="6"/>
      <c r="AH262" s="6"/>
      <c r="AI262" s="6"/>
      <c r="AJ262" s="6"/>
    </row>
    <row r="263" spans="1:36" x14ac:dyDescent="0.2">
      <c r="A263" s="7"/>
      <c r="B263" s="7"/>
      <c r="C263" s="7"/>
      <c r="D263" s="7"/>
      <c r="E263" s="7"/>
      <c r="F263" s="7"/>
      <c r="G263" s="6"/>
      <c r="H263" s="6"/>
      <c r="I263" s="7"/>
      <c r="J263" s="7"/>
      <c r="K263" s="7"/>
      <c r="L263" s="7"/>
      <c r="M263" s="6"/>
      <c r="N263" s="7"/>
      <c r="O263" s="7"/>
      <c r="P263" s="7"/>
      <c r="Q263" s="7"/>
      <c r="R263" s="7"/>
      <c r="S263" s="7"/>
      <c r="T263" s="7"/>
      <c r="U263" s="7"/>
      <c r="V263" s="7"/>
      <c r="W263" s="7"/>
      <c r="X263" s="7"/>
      <c r="Y263" s="7"/>
      <c r="Z263" s="6"/>
      <c r="AA263" s="6"/>
      <c r="AB263" s="6"/>
      <c r="AC263" s="6"/>
      <c r="AD263" s="6"/>
      <c r="AE263" s="6"/>
      <c r="AF263" s="6"/>
      <c r="AG263" s="6"/>
      <c r="AH263" s="6"/>
      <c r="AI263" s="6"/>
      <c r="AJ263" s="6"/>
    </row>
    <row r="264" spans="1:36" x14ac:dyDescent="0.2">
      <c r="A264" s="7"/>
      <c r="B264" s="7"/>
      <c r="C264" s="7"/>
      <c r="D264" s="7"/>
      <c r="E264" s="7"/>
      <c r="F264" s="7"/>
      <c r="G264" s="6"/>
      <c r="H264" s="6"/>
      <c r="I264" s="7"/>
      <c r="J264" s="7"/>
      <c r="K264" s="7"/>
      <c r="L264" s="7"/>
      <c r="M264" s="6"/>
      <c r="N264" s="7"/>
      <c r="O264" s="7"/>
      <c r="P264" s="7"/>
      <c r="Q264" s="7"/>
      <c r="R264" s="7"/>
      <c r="S264" s="7"/>
      <c r="T264" s="7"/>
      <c r="U264" s="7"/>
      <c r="V264" s="7"/>
      <c r="W264" s="7"/>
      <c r="X264" s="7"/>
      <c r="Y264" s="7"/>
      <c r="Z264" s="6"/>
      <c r="AA264" s="6"/>
      <c r="AB264" s="6"/>
      <c r="AC264" s="6"/>
      <c r="AD264" s="6"/>
      <c r="AE264" s="6"/>
      <c r="AF264" s="6"/>
      <c r="AG264" s="6"/>
      <c r="AH264" s="6"/>
      <c r="AI264" s="6"/>
      <c r="AJ264" s="6"/>
    </row>
    <row r="265" spans="1:36" x14ac:dyDescent="0.2">
      <c r="A265" s="7"/>
      <c r="B265" s="7"/>
      <c r="C265" s="7"/>
      <c r="D265" s="7"/>
      <c r="E265" s="7"/>
      <c r="F265" s="7"/>
      <c r="G265" s="6"/>
      <c r="H265" s="6"/>
      <c r="I265" s="7"/>
      <c r="J265" s="7"/>
      <c r="K265" s="7"/>
      <c r="L265" s="7"/>
      <c r="M265" s="6"/>
      <c r="N265" s="7"/>
      <c r="O265" s="7"/>
      <c r="P265" s="7"/>
      <c r="Q265" s="7"/>
      <c r="R265" s="7"/>
      <c r="S265" s="7"/>
      <c r="T265" s="7"/>
      <c r="U265" s="7"/>
      <c r="V265" s="7"/>
      <c r="W265" s="7"/>
      <c r="X265" s="7"/>
      <c r="Y265" s="7"/>
      <c r="Z265" s="6"/>
      <c r="AA265" s="6"/>
      <c r="AB265" s="6"/>
      <c r="AC265" s="6"/>
      <c r="AD265" s="6"/>
      <c r="AE265" s="6"/>
      <c r="AF265" s="6"/>
      <c r="AG265" s="6"/>
      <c r="AH265" s="6"/>
      <c r="AI265" s="6"/>
      <c r="AJ265" s="6"/>
    </row>
    <row r="266" spans="1:36" x14ac:dyDescent="0.2">
      <c r="A266" s="7"/>
      <c r="B266" s="7"/>
      <c r="C266" s="7"/>
      <c r="D266" s="7"/>
      <c r="E266" s="7"/>
      <c r="F266" s="7"/>
      <c r="G266" s="6"/>
      <c r="H266" s="6"/>
      <c r="I266" s="7"/>
      <c r="J266" s="7"/>
      <c r="K266" s="7"/>
      <c r="L266" s="7"/>
      <c r="M266" s="6"/>
      <c r="N266" s="7"/>
      <c r="O266" s="7"/>
      <c r="P266" s="7"/>
      <c r="Q266" s="7"/>
      <c r="R266" s="7"/>
      <c r="S266" s="7"/>
      <c r="T266" s="7"/>
      <c r="U266" s="7"/>
      <c r="V266" s="7"/>
      <c r="W266" s="7"/>
      <c r="X266" s="7"/>
      <c r="Y266" s="7"/>
      <c r="Z266" s="6"/>
      <c r="AA266" s="6"/>
      <c r="AB266" s="6"/>
      <c r="AC266" s="6"/>
      <c r="AD266" s="6"/>
      <c r="AE266" s="6"/>
      <c r="AF266" s="6"/>
      <c r="AG266" s="6"/>
      <c r="AH266" s="6"/>
      <c r="AI266" s="6"/>
      <c r="AJ266" s="6"/>
    </row>
    <row r="267" spans="1:36" x14ac:dyDescent="0.2">
      <c r="A267" s="7"/>
      <c r="B267" s="7"/>
      <c r="C267" s="7"/>
      <c r="D267" s="7"/>
      <c r="E267" s="7"/>
      <c r="F267" s="7"/>
      <c r="G267" s="6"/>
      <c r="H267" s="6"/>
      <c r="I267" s="7"/>
      <c r="J267" s="7"/>
      <c r="K267" s="7"/>
      <c r="L267" s="7"/>
      <c r="M267" s="6"/>
      <c r="N267" s="7"/>
      <c r="O267" s="7"/>
      <c r="P267" s="7"/>
      <c r="Q267" s="7"/>
      <c r="R267" s="7"/>
      <c r="S267" s="7"/>
      <c r="T267" s="7"/>
      <c r="U267" s="7"/>
      <c r="V267" s="7"/>
      <c r="W267" s="7"/>
      <c r="X267" s="7"/>
      <c r="Y267" s="7"/>
      <c r="Z267" s="6"/>
      <c r="AA267" s="6"/>
      <c r="AB267" s="6"/>
      <c r="AC267" s="6"/>
      <c r="AD267" s="6"/>
      <c r="AE267" s="6"/>
      <c r="AF267" s="6"/>
      <c r="AG267" s="6"/>
      <c r="AH267" s="6"/>
      <c r="AI267" s="6"/>
      <c r="AJ267" s="6"/>
    </row>
    <row r="268" spans="1:36" x14ac:dyDescent="0.2">
      <c r="A268" s="7"/>
      <c r="B268" s="7"/>
      <c r="C268" s="7"/>
      <c r="D268" s="7"/>
      <c r="E268" s="7"/>
      <c r="F268" s="7"/>
      <c r="G268" s="6"/>
      <c r="H268" s="6"/>
      <c r="I268" s="7"/>
      <c r="J268" s="7"/>
      <c r="K268" s="7"/>
      <c r="L268" s="7"/>
      <c r="M268" s="6"/>
      <c r="N268" s="7"/>
      <c r="O268" s="7"/>
      <c r="P268" s="7"/>
      <c r="Q268" s="7"/>
      <c r="R268" s="7"/>
      <c r="S268" s="7"/>
      <c r="T268" s="7"/>
      <c r="U268" s="7"/>
      <c r="V268" s="7"/>
      <c r="W268" s="7"/>
      <c r="X268" s="7"/>
      <c r="Y268" s="7"/>
      <c r="Z268" s="6"/>
      <c r="AA268" s="6"/>
      <c r="AB268" s="6"/>
      <c r="AC268" s="6"/>
      <c r="AD268" s="6"/>
      <c r="AE268" s="6"/>
      <c r="AF268" s="6"/>
      <c r="AG268" s="6"/>
      <c r="AH268" s="6"/>
      <c r="AI268" s="6"/>
      <c r="AJ268" s="6"/>
    </row>
    <row r="269" spans="1:36" x14ac:dyDescent="0.2">
      <c r="A269" s="7"/>
      <c r="B269" s="7"/>
      <c r="C269" s="7"/>
      <c r="D269" s="7"/>
      <c r="E269" s="7"/>
      <c r="F269" s="7"/>
      <c r="G269" s="6"/>
      <c r="H269" s="6"/>
      <c r="I269" s="7"/>
      <c r="J269" s="7"/>
      <c r="K269" s="7"/>
      <c r="L269" s="7"/>
      <c r="M269" s="6"/>
      <c r="N269" s="7"/>
      <c r="O269" s="7"/>
      <c r="P269" s="7"/>
      <c r="Q269" s="7"/>
      <c r="R269" s="7"/>
      <c r="S269" s="7"/>
      <c r="T269" s="7"/>
      <c r="U269" s="7"/>
      <c r="V269" s="7"/>
      <c r="W269" s="7"/>
      <c r="X269" s="7"/>
      <c r="Y269" s="7"/>
      <c r="Z269" s="6"/>
      <c r="AA269" s="6"/>
      <c r="AB269" s="6"/>
      <c r="AC269" s="6"/>
      <c r="AD269" s="6"/>
      <c r="AE269" s="6"/>
      <c r="AF269" s="6"/>
      <c r="AG269" s="6"/>
      <c r="AH269" s="6"/>
      <c r="AI269" s="6"/>
      <c r="AJ269" s="6"/>
    </row>
    <row r="270" spans="1:36" x14ac:dyDescent="0.2">
      <c r="A270" s="7"/>
      <c r="B270" s="7"/>
      <c r="C270" s="7"/>
      <c r="D270" s="7"/>
      <c r="E270" s="7"/>
      <c r="F270" s="7"/>
      <c r="G270" s="6"/>
      <c r="H270" s="6"/>
      <c r="I270" s="7"/>
      <c r="J270" s="7"/>
      <c r="K270" s="7"/>
      <c r="L270" s="7"/>
      <c r="M270" s="6"/>
      <c r="N270" s="7"/>
      <c r="O270" s="7"/>
      <c r="P270" s="7"/>
      <c r="Q270" s="7"/>
      <c r="R270" s="7"/>
      <c r="S270" s="7"/>
      <c r="T270" s="7"/>
      <c r="U270" s="7"/>
      <c r="V270" s="7"/>
      <c r="W270" s="7"/>
      <c r="X270" s="7"/>
      <c r="Y270" s="7"/>
      <c r="Z270" s="6"/>
      <c r="AA270" s="6"/>
      <c r="AB270" s="6"/>
      <c r="AC270" s="6"/>
      <c r="AD270" s="6"/>
      <c r="AE270" s="6"/>
      <c r="AF270" s="6"/>
      <c r="AG270" s="6"/>
      <c r="AH270" s="6"/>
      <c r="AI270" s="6"/>
      <c r="AJ270" s="6"/>
    </row>
    <row r="271" spans="1:36" x14ac:dyDescent="0.2">
      <c r="A271" s="7"/>
      <c r="B271" s="7"/>
      <c r="C271" s="7"/>
      <c r="D271" s="7"/>
      <c r="E271" s="7"/>
      <c r="F271" s="7"/>
      <c r="G271" s="6"/>
      <c r="H271" s="6"/>
      <c r="I271" s="7"/>
      <c r="J271" s="7"/>
      <c r="K271" s="7"/>
      <c r="L271" s="7"/>
      <c r="M271" s="6"/>
      <c r="N271" s="7"/>
      <c r="O271" s="7"/>
      <c r="P271" s="7"/>
      <c r="Q271" s="7"/>
      <c r="R271" s="7"/>
      <c r="S271" s="7"/>
      <c r="T271" s="7"/>
      <c r="U271" s="7"/>
      <c r="V271" s="7"/>
      <c r="W271" s="7"/>
      <c r="X271" s="7"/>
      <c r="Y271" s="7"/>
      <c r="Z271" s="6"/>
      <c r="AA271" s="6"/>
      <c r="AB271" s="6"/>
      <c r="AC271" s="6"/>
      <c r="AD271" s="6"/>
      <c r="AE271" s="6"/>
      <c r="AF271" s="6"/>
      <c r="AG271" s="6"/>
      <c r="AH271" s="6"/>
      <c r="AI271" s="6"/>
      <c r="AJ271" s="6"/>
    </row>
    <row r="272" spans="1:36" x14ac:dyDescent="0.2">
      <c r="A272" s="7"/>
      <c r="B272" s="7"/>
      <c r="C272" s="7"/>
      <c r="D272" s="7"/>
      <c r="E272" s="7"/>
      <c r="F272" s="7"/>
      <c r="G272" s="6"/>
      <c r="H272" s="6"/>
      <c r="I272" s="7"/>
      <c r="J272" s="7"/>
      <c r="K272" s="7"/>
      <c r="L272" s="7"/>
      <c r="M272" s="6"/>
      <c r="N272" s="7"/>
      <c r="O272" s="7"/>
      <c r="P272" s="7"/>
      <c r="Q272" s="7"/>
      <c r="R272" s="7"/>
      <c r="S272" s="7"/>
      <c r="T272" s="7"/>
      <c r="U272" s="7"/>
      <c r="V272" s="7"/>
      <c r="W272" s="7"/>
      <c r="X272" s="7"/>
      <c r="Y272" s="7"/>
      <c r="Z272" s="6"/>
      <c r="AA272" s="6"/>
      <c r="AB272" s="6"/>
      <c r="AC272" s="6"/>
      <c r="AD272" s="6"/>
      <c r="AE272" s="6"/>
      <c r="AF272" s="6"/>
      <c r="AG272" s="6"/>
      <c r="AH272" s="6"/>
      <c r="AI272" s="6"/>
      <c r="AJ272" s="6"/>
    </row>
    <row r="273" spans="1:36" x14ac:dyDescent="0.2">
      <c r="A273" s="7"/>
      <c r="B273" s="7"/>
      <c r="C273" s="7"/>
      <c r="D273" s="7"/>
      <c r="E273" s="7"/>
      <c r="F273" s="7"/>
      <c r="G273" s="6"/>
      <c r="H273" s="6"/>
      <c r="I273" s="7"/>
      <c r="J273" s="7"/>
      <c r="K273" s="7"/>
      <c r="L273" s="7"/>
      <c r="M273" s="6"/>
      <c r="N273" s="7"/>
      <c r="O273" s="7"/>
      <c r="P273" s="7"/>
      <c r="Q273" s="7"/>
      <c r="R273" s="7"/>
      <c r="S273" s="7"/>
      <c r="T273" s="7"/>
      <c r="U273" s="7"/>
      <c r="V273" s="7"/>
      <c r="W273" s="7"/>
      <c r="X273" s="7"/>
      <c r="Y273" s="7"/>
      <c r="Z273" s="6"/>
      <c r="AA273" s="6"/>
      <c r="AB273" s="6"/>
      <c r="AC273" s="6"/>
      <c r="AD273" s="6"/>
      <c r="AE273" s="6"/>
      <c r="AF273" s="6"/>
      <c r="AG273" s="6"/>
      <c r="AH273" s="6"/>
      <c r="AI273" s="6"/>
      <c r="AJ273" s="6"/>
    </row>
    <row r="274" spans="1:36" x14ac:dyDescent="0.2">
      <c r="A274" s="7"/>
      <c r="B274" s="7"/>
      <c r="C274" s="7"/>
      <c r="D274" s="7"/>
      <c r="E274" s="7"/>
      <c r="F274" s="7"/>
      <c r="G274" s="6"/>
      <c r="H274" s="6"/>
      <c r="I274" s="7"/>
      <c r="J274" s="7"/>
      <c r="K274" s="7"/>
      <c r="L274" s="7"/>
      <c r="M274" s="6"/>
      <c r="N274" s="7"/>
      <c r="O274" s="7"/>
      <c r="P274" s="7"/>
      <c r="Q274" s="7"/>
      <c r="R274" s="7"/>
      <c r="S274" s="7"/>
      <c r="T274" s="7"/>
      <c r="U274" s="7"/>
      <c r="V274" s="7"/>
      <c r="W274" s="7"/>
      <c r="X274" s="7"/>
      <c r="Y274" s="7"/>
      <c r="Z274" s="6"/>
      <c r="AA274" s="6"/>
      <c r="AB274" s="6"/>
      <c r="AC274" s="6"/>
      <c r="AD274" s="6"/>
      <c r="AE274" s="6"/>
      <c r="AF274" s="6"/>
      <c r="AG274" s="6"/>
      <c r="AH274" s="6"/>
      <c r="AI274" s="6"/>
      <c r="AJ274" s="6"/>
    </row>
    <row r="275" spans="1:36" x14ac:dyDescent="0.2">
      <c r="A275" s="7"/>
      <c r="B275" s="7"/>
      <c r="C275" s="7"/>
      <c r="D275" s="7"/>
      <c r="E275" s="7"/>
      <c r="F275" s="7"/>
      <c r="G275" s="6"/>
      <c r="H275" s="6"/>
      <c r="I275" s="7"/>
      <c r="J275" s="7"/>
      <c r="K275" s="7"/>
      <c r="L275" s="7"/>
      <c r="M275" s="6"/>
      <c r="N275" s="7"/>
      <c r="O275" s="7"/>
      <c r="P275" s="7"/>
      <c r="Q275" s="7"/>
      <c r="R275" s="7"/>
      <c r="S275" s="7"/>
      <c r="T275" s="7"/>
      <c r="U275" s="7"/>
      <c r="V275" s="7"/>
      <c r="W275" s="7"/>
      <c r="X275" s="7"/>
      <c r="Y275" s="7"/>
      <c r="Z275" s="6"/>
      <c r="AA275" s="6"/>
      <c r="AB275" s="6"/>
      <c r="AC275" s="6"/>
      <c r="AD275" s="6"/>
      <c r="AE275" s="6"/>
      <c r="AF275" s="6"/>
      <c r="AG275" s="6"/>
      <c r="AH275" s="6"/>
      <c r="AI275" s="6"/>
      <c r="AJ275" s="6"/>
    </row>
    <row r="276" spans="1:36" x14ac:dyDescent="0.2">
      <c r="A276" s="7"/>
      <c r="B276" s="7"/>
      <c r="C276" s="7"/>
      <c r="D276" s="7"/>
      <c r="E276" s="7"/>
      <c r="F276" s="7"/>
      <c r="G276" s="6"/>
      <c r="H276" s="6"/>
      <c r="I276" s="7"/>
      <c r="J276" s="7"/>
      <c r="K276" s="7"/>
      <c r="L276" s="7"/>
      <c r="M276" s="6"/>
      <c r="N276" s="7"/>
      <c r="O276" s="7"/>
      <c r="P276" s="7"/>
      <c r="Q276" s="7"/>
      <c r="R276" s="7"/>
      <c r="S276" s="7"/>
      <c r="T276" s="7"/>
      <c r="U276" s="7"/>
      <c r="V276" s="7"/>
      <c r="W276" s="7"/>
      <c r="X276" s="7"/>
      <c r="Y276" s="7"/>
      <c r="Z276" s="6"/>
      <c r="AA276" s="6"/>
      <c r="AB276" s="6"/>
      <c r="AC276" s="6"/>
      <c r="AD276" s="6"/>
      <c r="AE276" s="6"/>
      <c r="AF276" s="6"/>
      <c r="AG276" s="6"/>
      <c r="AH276" s="6"/>
      <c r="AI276" s="6"/>
      <c r="AJ276" s="6"/>
    </row>
    <row r="277" spans="1:36" x14ac:dyDescent="0.2">
      <c r="A277" s="7"/>
      <c r="B277" s="7"/>
      <c r="C277" s="7"/>
      <c r="D277" s="7"/>
      <c r="E277" s="7"/>
      <c r="F277" s="7"/>
      <c r="G277" s="6"/>
      <c r="H277" s="6"/>
      <c r="I277" s="7"/>
      <c r="J277" s="7"/>
      <c r="K277" s="7"/>
      <c r="L277" s="7"/>
      <c r="M277" s="6"/>
      <c r="N277" s="7"/>
      <c r="O277" s="7"/>
      <c r="P277" s="7"/>
      <c r="Q277" s="7"/>
      <c r="R277" s="7"/>
      <c r="S277" s="7"/>
      <c r="T277" s="7"/>
      <c r="U277" s="7"/>
      <c r="V277" s="7"/>
      <c r="W277" s="7"/>
      <c r="X277" s="7"/>
      <c r="Y277" s="7"/>
      <c r="Z277" s="6"/>
      <c r="AA277" s="6"/>
      <c r="AB277" s="6"/>
      <c r="AC277" s="6"/>
      <c r="AD277" s="6"/>
      <c r="AE277" s="6"/>
      <c r="AF277" s="6"/>
      <c r="AG277" s="6"/>
      <c r="AH277" s="6"/>
      <c r="AI277" s="6"/>
      <c r="AJ277" s="6"/>
    </row>
    <row r="278" spans="1:36" x14ac:dyDescent="0.2">
      <c r="A278" s="7"/>
      <c r="B278" s="7"/>
      <c r="C278" s="7"/>
      <c r="D278" s="7"/>
      <c r="E278" s="7"/>
      <c r="F278" s="7"/>
      <c r="G278" s="6"/>
      <c r="H278" s="6"/>
      <c r="I278" s="7"/>
      <c r="J278" s="7"/>
      <c r="K278" s="7"/>
      <c r="L278" s="7"/>
      <c r="M278" s="6"/>
      <c r="N278" s="7"/>
      <c r="O278" s="7"/>
      <c r="P278" s="7"/>
      <c r="Q278" s="7"/>
      <c r="R278" s="7"/>
      <c r="S278" s="7"/>
      <c r="T278" s="7"/>
      <c r="U278" s="7"/>
      <c r="V278" s="7"/>
      <c r="W278" s="7"/>
      <c r="X278" s="7"/>
      <c r="Y278" s="7"/>
      <c r="Z278" s="6"/>
      <c r="AA278" s="6"/>
      <c r="AB278" s="6"/>
      <c r="AC278" s="6"/>
      <c r="AD278" s="6"/>
      <c r="AE278" s="6"/>
      <c r="AF278" s="6"/>
      <c r="AG278" s="6"/>
      <c r="AH278" s="6"/>
      <c r="AI278" s="6"/>
      <c r="AJ278" s="6"/>
    </row>
    <row r="279" spans="1:36" x14ac:dyDescent="0.2">
      <c r="A279" s="7"/>
      <c r="B279" s="7"/>
      <c r="C279" s="7"/>
      <c r="D279" s="7"/>
      <c r="E279" s="7"/>
      <c r="F279" s="7"/>
      <c r="G279" s="6"/>
      <c r="H279" s="6"/>
      <c r="I279" s="7"/>
      <c r="J279" s="7"/>
      <c r="K279" s="7"/>
      <c r="L279" s="7"/>
      <c r="M279" s="6"/>
      <c r="N279" s="7"/>
      <c r="O279" s="7"/>
      <c r="P279" s="7"/>
      <c r="Q279" s="7"/>
      <c r="R279" s="7"/>
      <c r="S279" s="7"/>
      <c r="T279" s="7"/>
      <c r="U279" s="7"/>
      <c r="V279" s="7"/>
      <c r="W279" s="7"/>
      <c r="X279" s="7"/>
      <c r="Y279" s="7"/>
      <c r="Z279" s="6"/>
      <c r="AA279" s="6"/>
      <c r="AB279" s="6"/>
      <c r="AC279" s="6"/>
      <c r="AD279" s="6"/>
      <c r="AE279" s="6"/>
      <c r="AF279" s="6"/>
      <c r="AG279" s="6"/>
      <c r="AH279" s="6"/>
      <c r="AI279" s="6"/>
      <c r="AJ279" s="6"/>
    </row>
    <row r="280" spans="1:36" x14ac:dyDescent="0.2">
      <c r="A280" s="7"/>
      <c r="B280" s="7"/>
      <c r="C280" s="7"/>
      <c r="D280" s="7"/>
      <c r="E280" s="7"/>
      <c r="F280" s="7"/>
      <c r="G280" s="6"/>
      <c r="H280" s="6"/>
      <c r="I280" s="7"/>
      <c r="J280" s="7"/>
      <c r="K280" s="7"/>
      <c r="L280" s="7"/>
      <c r="M280" s="6"/>
      <c r="N280" s="7"/>
      <c r="O280" s="7"/>
      <c r="P280" s="7"/>
      <c r="Q280" s="7"/>
      <c r="R280" s="7"/>
      <c r="S280" s="7"/>
      <c r="T280" s="7"/>
      <c r="U280" s="7"/>
      <c r="V280" s="7"/>
      <c r="W280" s="7"/>
      <c r="X280" s="7"/>
      <c r="Y280" s="7"/>
      <c r="Z280" s="6"/>
      <c r="AA280" s="6"/>
      <c r="AB280" s="6"/>
      <c r="AC280" s="6"/>
      <c r="AD280" s="6"/>
      <c r="AE280" s="6"/>
      <c r="AF280" s="6"/>
      <c r="AG280" s="6"/>
      <c r="AH280" s="6"/>
      <c r="AI280" s="6"/>
      <c r="AJ280" s="6"/>
    </row>
    <row r="281" spans="1:36" x14ac:dyDescent="0.2">
      <c r="A281" s="7"/>
      <c r="B281" s="7"/>
      <c r="C281" s="7"/>
      <c r="D281" s="7"/>
      <c r="E281" s="7"/>
      <c r="F281" s="7"/>
      <c r="G281" s="6"/>
      <c r="H281" s="6"/>
      <c r="I281" s="7"/>
      <c r="J281" s="7"/>
      <c r="K281" s="7"/>
      <c r="L281" s="7"/>
      <c r="M281" s="6"/>
      <c r="N281" s="7"/>
      <c r="O281" s="7"/>
      <c r="P281" s="7"/>
      <c r="Q281" s="7"/>
      <c r="R281" s="7"/>
      <c r="S281" s="7"/>
      <c r="T281" s="7"/>
      <c r="U281" s="7"/>
      <c r="V281" s="7"/>
      <c r="W281" s="7"/>
      <c r="X281" s="7"/>
      <c r="Y281" s="7"/>
      <c r="Z281" s="6"/>
      <c r="AA281" s="6"/>
      <c r="AB281" s="6"/>
      <c r="AC281" s="6"/>
      <c r="AD281" s="6"/>
      <c r="AE281" s="6"/>
      <c r="AF281" s="6"/>
      <c r="AG281" s="6"/>
      <c r="AH281" s="6"/>
      <c r="AI281" s="6"/>
      <c r="AJ281" s="6"/>
    </row>
    <row r="282" spans="1:36" x14ac:dyDescent="0.2">
      <c r="A282" s="7"/>
      <c r="B282" s="7"/>
      <c r="C282" s="7"/>
      <c r="D282" s="7"/>
      <c r="E282" s="7"/>
      <c r="F282" s="7"/>
      <c r="G282" s="6"/>
      <c r="H282" s="6"/>
      <c r="I282" s="7"/>
      <c r="J282" s="7"/>
      <c r="K282" s="7"/>
      <c r="L282" s="7"/>
      <c r="M282" s="6"/>
      <c r="N282" s="7"/>
      <c r="O282" s="7"/>
      <c r="P282" s="7"/>
      <c r="Q282" s="7"/>
      <c r="R282" s="7"/>
      <c r="S282" s="7"/>
      <c r="T282" s="7"/>
      <c r="U282" s="7"/>
      <c r="V282" s="7"/>
      <c r="W282" s="7"/>
      <c r="X282" s="7"/>
      <c r="Y282" s="7"/>
      <c r="Z282" s="6"/>
      <c r="AA282" s="6"/>
      <c r="AB282" s="6"/>
      <c r="AC282" s="6"/>
      <c r="AD282" s="6"/>
      <c r="AE282" s="6"/>
      <c r="AF282" s="6"/>
      <c r="AG282" s="6"/>
      <c r="AH282" s="6"/>
      <c r="AI282" s="6"/>
      <c r="AJ282" s="6"/>
    </row>
    <row r="283" spans="1:36" x14ac:dyDescent="0.2">
      <c r="A283" s="7"/>
      <c r="B283" s="7"/>
      <c r="C283" s="7"/>
      <c r="D283" s="7"/>
      <c r="E283" s="7"/>
      <c r="F283" s="7"/>
      <c r="G283" s="6"/>
      <c r="H283" s="6"/>
      <c r="I283" s="7"/>
      <c r="J283" s="7"/>
      <c r="K283" s="7"/>
      <c r="L283" s="7"/>
      <c r="M283" s="6"/>
      <c r="N283" s="7"/>
      <c r="O283" s="7"/>
      <c r="P283" s="7"/>
      <c r="Q283" s="7"/>
      <c r="R283" s="7"/>
      <c r="S283" s="7"/>
      <c r="T283" s="7"/>
      <c r="U283" s="7"/>
      <c r="V283" s="7"/>
      <c r="W283" s="7"/>
      <c r="X283" s="7"/>
      <c r="Y283" s="7"/>
      <c r="Z283" s="6"/>
      <c r="AA283" s="6"/>
      <c r="AB283" s="6"/>
      <c r="AC283" s="6"/>
      <c r="AD283" s="6"/>
      <c r="AE283" s="6"/>
      <c r="AF283" s="6"/>
      <c r="AG283" s="6"/>
      <c r="AH283" s="6"/>
      <c r="AI283" s="6"/>
      <c r="AJ283" s="6"/>
    </row>
    <row r="284" spans="1:36" x14ac:dyDescent="0.2">
      <c r="A284" s="7"/>
      <c r="B284" s="7"/>
      <c r="C284" s="7"/>
      <c r="D284" s="7"/>
      <c r="E284" s="7"/>
      <c r="F284" s="7"/>
      <c r="G284" s="6"/>
      <c r="H284" s="6"/>
      <c r="I284" s="7"/>
      <c r="J284" s="7"/>
      <c r="K284" s="7"/>
      <c r="L284" s="7"/>
      <c r="M284" s="6"/>
      <c r="N284" s="7"/>
      <c r="O284" s="7"/>
      <c r="P284" s="7"/>
      <c r="Q284" s="7"/>
      <c r="R284" s="7"/>
      <c r="S284" s="7"/>
      <c r="T284" s="7"/>
      <c r="U284" s="7"/>
      <c r="V284" s="7"/>
      <c r="W284" s="7"/>
      <c r="X284" s="7"/>
      <c r="Y284" s="7"/>
      <c r="Z284" s="6"/>
      <c r="AA284" s="6"/>
      <c r="AB284" s="6"/>
      <c r="AC284" s="6"/>
      <c r="AD284" s="6"/>
      <c r="AE284" s="6"/>
      <c r="AF284" s="6"/>
      <c r="AG284" s="6"/>
      <c r="AH284" s="6"/>
      <c r="AI284" s="6"/>
      <c r="AJ284" s="6"/>
    </row>
    <row r="285" spans="1:36" x14ac:dyDescent="0.2">
      <c r="A285" s="7"/>
      <c r="B285" s="7"/>
      <c r="C285" s="7"/>
      <c r="D285" s="7"/>
      <c r="E285" s="7"/>
      <c r="F285" s="7"/>
      <c r="G285" s="6"/>
      <c r="H285" s="6"/>
      <c r="I285" s="7"/>
      <c r="J285" s="7"/>
      <c r="K285" s="7"/>
      <c r="L285" s="7"/>
      <c r="M285" s="6"/>
      <c r="N285" s="7"/>
      <c r="O285" s="7"/>
      <c r="P285" s="7"/>
      <c r="Q285" s="7"/>
      <c r="R285" s="7"/>
      <c r="S285" s="7"/>
      <c r="T285" s="7"/>
      <c r="U285" s="7"/>
      <c r="V285" s="7"/>
      <c r="W285" s="7"/>
      <c r="X285" s="7"/>
      <c r="Y285" s="7"/>
      <c r="Z285" s="6"/>
      <c r="AA285" s="6"/>
      <c r="AB285" s="6"/>
      <c r="AC285" s="6"/>
      <c r="AD285" s="6"/>
      <c r="AE285" s="6"/>
      <c r="AF285" s="6"/>
      <c r="AG285" s="6"/>
      <c r="AH285" s="6"/>
      <c r="AI285" s="6"/>
      <c r="AJ285" s="6"/>
    </row>
    <row r="286" spans="1:36" x14ac:dyDescent="0.2">
      <c r="A286" s="7"/>
      <c r="B286" s="7"/>
      <c r="C286" s="7"/>
      <c r="D286" s="7"/>
      <c r="E286" s="7"/>
      <c r="F286" s="7"/>
      <c r="G286" s="6"/>
      <c r="H286" s="6"/>
      <c r="I286" s="7"/>
      <c r="J286" s="7"/>
      <c r="K286" s="7"/>
      <c r="L286" s="7"/>
      <c r="M286" s="6"/>
      <c r="N286" s="7"/>
      <c r="O286" s="7"/>
      <c r="P286" s="7"/>
      <c r="Q286" s="7"/>
      <c r="R286" s="7"/>
      <c r="S286" s="7"/>
      <c r="T286" s="7"/>
      <c r="U286" s="7"/>
      <c r="V286" s="7"/>
      <c r="W286" s="7"/>
      <c r="X286" s="7"/>
      <c r="Y286" s="7"/>
      <c r="Z286" s="6"/>
      <c r="AA286" s="6"/>
      <c r="AB286" s="6"/>
      <c r="AC286" s="6"/>
      <c r="AD286" s="6"/>
      <c r="AE286" s="6"/>
      <c r="AF286" s="6"/>
      <c r="AG286" s="6"/>
      <c r="AH286" s="6"/>
      <c r="AI286" s="6"/>
      <c r="AJ286" s="6"/>
    </row>
    <row r="287" spans="1:36" x14ac:dyDescent="0.2">
      <c r="A287" s="7"/>
      <c r="B287" s="7"/>
      <c r="C287" s="7"/>
      <c r="D287" s="7"/>
      <c r="E287" s="7"/>
      <c r="F287" s="7"/>
      <c r="G287" s="6"/>
      <c r="H287" s="6"/>
      <c r="I287" s="7"/>
      <c r="J287" s="7"/>
      <c r="K287" s="7"/>
      <c r="L287" s="7"/>
      <c r="M287" s="6"/>
      <c r="N287" s="7"/>
      <c r="O287" s="7"/>
      <c r="P287" s="7"/>
      <c r="Q287" s="7"/>
      <c r="R287" s="7"/>
      <c r="S287" s="7"/>
      <c r="T287" s="7"/>
      <c r="U287" s="7"/>
      <c r="V287" s="7"/>
      <c r="W287" s="7"/>
      <c r="X287" s="7"/>
      <c r="Y287" s="7"/>
      <c r="Z287" s="6"/>
      <c r="AA287" s="6"/>
      <c r="AB287" s="6"/>
      <c r="AC287" s="6"/>
      <c r="AD287" s="6"/>
      <c r="AE287" s="6"/>
      <c r="AF287" s="6"/>
      <c r="AG287" s="6"/>
      <c r="AH287" s="6"/>
      <c r="AI287" s="6"/>
      <c r="AJ287" s="6"/>
    </row>
    <row r="288" spans="1:36" x14ac:dyDescent="0.2">
      <c r="A288" s="7"/>
      <c r="B288" s="7"/>
      <c r="C288" s="7"/>
      <c r="D288" s="7"/>
      <c r="E288" s="7"/>
      <c r="F288" s="7"/>
      <c r="G288" s="6"/>
      <c r="H288" s="6"/>
      <c r="I288" s="7"/>
      <c r="J288" s="7"/>
      <c r="K288" s="7"/>
      <c r="L288" s="7"/>
      <c r="M288" s="6"/>
      <c r="N288" s="7"/>
      <c r="O288" s="7"/>
      <c r="P288" s="7"/>
      <c r="Q288" s="7"/>
      <c r="R288" s="7"/>
      <c r="S288" s="7"/>
      <c r="T288" s="7"/>
      <c r="U288" s="7"/>
      <c r="V288" s="7"/>
      <c r="W288" s="7"/>
      <c r="X288" s="7"/>
      <c r="Y288" s="7"/>
      <c r="Z288" s="6"/>
      <c r="AA288" s="6"/>
      <c r="AB288" s="6"/>
      <c r="AC288" s="6"/>
      <c r="AD288" s="6"/>
      <c r="AE288" s="6"/>
      <c r="AF288" s="6"/>
      <c r="AG288" s="6"/>
      <c r="AH288" s="6"/>
      <c r="AI288" s="6"/>
      <c r="AJ288" s="6"/>
    </row>
    <row r="289" spans="1:36" x14ac:dyDescent="0.2">
      <c r="A289" s="7"/>
      <c r="B289" s="7"/>
      <c r="C289" s="7"/>
      <c r="D289" s="7"/>
      <c r="E289" s="7"/>
      <c r="F289" s="7"/>
      <c r="G289" s="6"/>
      <c r="H289" s="6"/>
      <c r="I289" s="7"/>
      <c r="J289" s="7"/>
      <c r="K289" s="7"/>
      <c r="L289" s="7"/>
      <c r="M289" s="6"/>
      <c r="N289" s="7"/>
      <c r="O289" s="7"/>
      <c r="P289" s="7"/>
      <c r="Q289" s="7"/>
      <c r="R289" s="7"/>
      <c r="S289" s="7"/>
      <c r="T289" s="7"/>
      <c r="U289" s="7"/>
      <c r="V289" s="7"/>
      <c r="W289" s="7"/>
      <c r="X289" s="7"/>
      <c r="Y289" s="7"/>
      <c r="Z289" s="6"/>
      <c r="AA289" s="6"/>
      <c r="AB289" s="6"/>
      <c r="AC289" s="6"/>
      <c r="AD289" s="6"/>
      <c r="AE289" s="6"/>
      <c r="AF289" s="6"/>
      <c r="AG289" s="6"/>
      <c r="AH289" s="6"/>
      <c r="AI289" s="6"/>
      <c r="AJ289" s="6"/>
    </row>
    <row r="290" spans="1:36" x14ac:dyDescent="0.2">
      <c r="A290" s="7"/>
      <c r="B290" s="7"/>
      <c r="C290" s="7"/>
      <c r="D290" s="7"/>
      <c r="E290" s="7"/>
      <c r="F290" s="7"/>
      <c r="G290" s="6"/>
      <c r="H290" s="6"/>
      <c r="I290" s="7"/>
      <c r="J290" s="7"/>
      <c r="K290" s="7"/>
      <c r="L290" s="7"/>
      <c r="M290" s="6"/>
      <c r="N290" s="7"/>
      <c r="O290" s="7"/>
      <c r="P290" s="7"/>
      <c r="Q290" s="7"/>
      <c r="R290" s="7"/>
      <c r="S290" s="7"/>
      <c r="T290" s="7"/>
      <c r="U290" s="7"/>
      <c r="V290" s="7"/>
      <c r="W290" s="7"/>
      <c r="X290" s="7"/>
      <c r="Y290" s="7"/>
      <c r="Z290" s="6"/>
      <c r="AA290" s="6"/>
      <c r="AB290" s="6"/>
      <c r="AC290" s="6"/>
      <c r="AD290" s="6"/>
      <c r="AE290" s="6"/>
      <c r="AF290" s="6"/>
      <c r="AG290" s="6"/>
      <c r="AH290" s="6"/>
      <c r="AI290" s="6"/>
      <c r="AJ290" s="6"/>
    </row>
    <row r="291" spans="1:36" x14ac:dyDescent="0.2">
      <c r="A291" s="7"/>
      <c r="B291" s="7"/>
      <c r="C291" s="7"/>
      <c r="D291" s="7"/>
      <c r="E291" s="7"/>
      <c r="F291" s="7"/>
      <c r="G291" s="6"/>
      <c r="H291" s="6"/>
      <c r="I291" s="7"/>
      <c r="J291" s="7"/>
      <c r="K291" s="7"/>
      <c r="L291" s="7"/>
      <c r="M291" s="6"/>
      <c r="N291" s="7"/>
      <c r="O291" s="7"/>
      <c r="P291" s="7"/>
      <c r="Q291" s="7"/>
      <c r="R291" s="7"/>
      <c r="S291" s="7"/>
      <c r="T291" s="7"/>
      <c r="U291" s="7"/>
      <c r="V291" s="7"/>
      <c r="W291" s="7"/>
      <c r="X291" s="7"/>
      <c r="Y291" s="7"/>
      <c r="Z291" s="6"/>
      <c r="AA291" s="6"/>
      <c r="AB291" s="6"/>
      <c r="AC291" s="6"/>
      <c r="AD291" s="6"/>
      <c r="AE291" s="6"/>
      <c r="AF291" s="6"/>
      <c r="AG291" s="6"/>
      <c r="AH291" s="6"/>
      <c r="AI291" s="6"/>
      <c r="AJ291" s="6"/>
    </row>
    <row r="292" spans="1:36" x14ac:dyDescent="0.2">
      <c r="A292" s="7"/>
      <c r="B292" s="7"/>
      <c r="C292" s="7"/>
      <c r="D292" s="7"/>
      <c r="E292" s="7"/>
      <c r="F292" s="7"/>
      <c r="G292" s="6"/>
      <c r="H292" s="6"/>
      <c r="I292" s="7"/>
      <c r="J292" s="7"/>
      <c r="K292" s="7"/>
      <c r="L292" s="7"/>
      <c r="M292" s="6"/>
      <c r="N292" s="7"/>
      <c r="O292" s="7"/>
      <c r="P292" s="7"/>
      <c r="Q292" s="7"/>
      <c r="R292" s="7"/>
      <c r="S292" s="7"/>
      <c r="T292" s="7"/>
      <c r="U292" s="7"/>
      <c r="V292" s="7"/>
      <c r="W292" s="7"/>
      <c r="X292" s="7"/>
      <c r="Y292" s="7"/>
      <c r="Z292" s="6"/>
      <c r="AA292" s="6"/>
      <c r="AB292" s="6"/>
      <c r="AC292" s="6"/>
      <c r="AD292" s="6"/>
      <c r="AE292" s="6"/>
      <c r="AF292" s="6"/>
      <c r="AG292" s="6"/>
      <c r="AH292" s="6"/>
      <c r="AI292" s="6"/>
      <c r="AJ292" s="6"/>
    </row>
    <row r="293" spans="1:36" x14ac:dyDescent="0.2">
      <c r="A293" s="7"/>
      <c r="B293" s="7"/>
      <c r="C293" s="7"/>
      <c r="D293" s="7"/>
      <c r="E293" s="7"/>
      <c r="F293" s="7"/>
      <c r="G293" s="6"/>
      <c r="H293" s="6"/>
      <c r="I293" s="7"/>
      <c r="J293" s="7"/>
      <c r="K293" s="7"/>
      <c r="L293" s="7"/>
      <c r="M293" s="6"/>
      <c r="N293" s="7"/>
      <c r="O293" s="7"/>
      <c r="P293" s="7"/>
      <c r="Q293" s="7"/>
      <c r="R293" s="7"/>
      <c r="S293" s="7"/>
      <c r="T293" s="7"/>
      <c r="U293" s="7"/>
      <c r="V293" s="7"/>
      <c r="W293" s="7"/>
      <c r="X293" s="7"/>
      <c r="Y293" s="7"/>
      <c r="Z293" s="6"/>
      <c r="AA293" s="6"/>
      <c r="AB293" s="6"/>
      <c r="AC293" s="6"/>
      <c r="AD293" s="6"/>
      <c r="AE293" s="6"/>
      <c r="AF293" s="6"/>
      <c r="AG293" s="6"/>
      <c r="AH293" s="6"/>
      <c r="AI293" s="6"/>
      <c r="AJ293" s="6"/>
    </row>
    <row r="294" spans="1:36" x14ac:dyDescent="0.2">
      <c r="A294" s="7"/>
      <c r="B294" s="7"/>
      <c r="C294" s="7"/>
      <c r="D294" s="7"/>
      <c r="E294" s="7"/>
      <c r="F294" s="7"/>
      <c r="G294" s="6"/>
      <c r="H294" s="6"/>
      <c r="I294" s="7"/>
      <c r="J294" s="7"/>
      <c r="K294" s="7"/>
      <c r="L294" s="7"/>
      <c r="M294" s="6"/>
      <c r="N294" s="7"/>
      <c r="O294" s="7"/>
      <c r="P294" s="7"/>
      <c r="Q294" s="7"/>
      <c r="R294" s="7"/>
      <c r="S294" s="7"/>
      <c r="T294" s="7"/>
      <c r="U294" s="7"/>
      <c r="V294" s="7"/>
      <c r="W294" s="7"/>
      <c r="X294" s="7"/>
      <c r="Y294" s="7"/>
      <c r="Z294" s="6"/>
      <c r="AA294" s="6"/>
      <c r="AB294" s="6"/>
      <c r="AC294" s="6"/>
      <c r="AD294" s="6"/>
      <c r="AE294" s="6"/>
      <c r="AF294" s="6"/>
      <c r="AG294" s="6"/>
      <c r="AH294" s="6"/>
      <c r="AI294" s="6"/>
      <c r="AJ294" s="6"/>
    </row>
    <row r="295" spans="1:36" x14ac:dyDescent="0.2">
      <c r="A295" s="7"/>
      <c r="B295" s="7"/>
      <c r="C295" s="7"/>
      <c r="D295" s="7"/>
      <c r="E295" s="7"/>
      <c r="F295" s="7"/>
      <c r="G295" s="6"/>
      <c r="H295" s="6"/>
      <c r="I295" s="7"/>
      <c r="J295" s="7"/>
      <c r="K295" s="7"/>
      <c r="L295" s="7"/>
      <c r="M295" s="6"/>
      <c r="N295" s="7"/>
      <c r="O295" s="7"/>
      <c r="P295" s="7"/>
      <c r="Q295" s="7"/>
      <c r="R295" s="7"/>
      <c r="S295" s="7"/>
      <c r="T295" s="7"/>
      <c r="U295" s="7"/>
      <c r="V295" s="7"/>
      <c r="W295" s="7"/>
      <c r="X295" s="7"/>
      <c r="Y295" s="7"/>
      <c r="Z295" s="6"/>
      <c r="AA295" s="6"/>
      <c r="AB295" s="6"/>
      <c r="AC295" s="6"/>
      <c r="AD295" s="6"/>
      <c r="AE295" s="6"/>
      <c r="AF295" s="6"/>
      <c r="AG295" s="6"/>
      <c r="AH295" s="6"/>
      <c r="AI295" s="6"/>
      <c r="AJ295" s="6"/>
    </row>
    <row r="296" spans="1:36" x14ac:dyDescent="0.2">
      <c r="A296" s="7"/>
      <c r="B296" s="7"/>
      <c r="C296" s="7"/>
      <c r="D296" s="7"/>
      <c r="E296" s="7"/>
      <c r="F296" s="7"/>
      <c r="G296" s="6"/>
      <c r="H296" s="6"/>
      <c r="I296" s="7"/>
      <c r="J296" s="7"/>
      <c r="K296" s="7"/>
      <c r="L296" s="7"/>
      <c r="M296" s="6"/>
      <c r="N296" s="7"/>
      <c r="O296" s="7"/>
      <c r="P296" s="7"/>
      <c r="Q296" s="7"/>
      <c r="R296" s="7"/>
      <c r="S296" s="7"/>
      <c r="T296" s="7"/>
      <c r="U296" s="7"/>
      <c r="V296" s="7"/>
      <c r="W296" s="7"/>
      <c r="X296" s="7"/>
      <c r="Y296" s="7"/>
      <c r="Z296" s="6"/>
      <c r="AA296" s="6"/>
      <c r="AB296" s="6"/>
      <c r="AC296" s="6"/>
      <c r="AD296" s="6"/>
      <c r="AE296" s="6"/>
      <c r="AF296" s="6"/>
      <c r="AG296" s="6"/>
      <c r="AH296" s="6"/>
      <c r="AI296" s="6"/>
      <c r="AJ296" s="6"/>
    </row>
    <row r="297" spans="1:36" x14ac:dyDescent="0.2">
      <c r="A297" s="7"/>
      <c r="B297" s="7"/>
      <c r="C297" s="7"/>
      <c r="D297" s="7"/>
      <c r="E297" s="7"/>
      <c r="F297" s="7"/>
      <c r="G297" s="6"/>
      <c r="H297" s="6"/>
      <c r="I297" s="7"/>
      <c r="J297" s="7"/>
      <c r="K297" s="7"/>
      <c r="L297" s="7"/>
      <c r="M297" s="6"/>
      <c r="N297" s="7"/>
      <c r="O297" s="7"/>
      <c r="P297" s="7"/>
      <c r="Q297" s="7"/>
      <c r="R297" s="7"/>
      <c r="S297" s="7"/>
      <c r="T297" s="7"/>
      <c r="U297" s="7"/>
      <c r="V297" s="7"/>
      <c r="W297" s="7"/>
      <c r="X297" s="7"/>
      <c r="Y297" s="7"/>
      <c r="Z297" s="6"/>
      <c r="AA297" s="6"/>
      <c r="AB297" s="6"/>
      <c r="AC297" s="6"/>
      <c r="AD297" s="6"/>
      <c r="AE297" s="6"/>
      <c r="AF297" s="6"/>
      <c r="AG297" s="6"/>
      <c r="AH297" s="6"/>
      <c r="AI297" s="6"/>
      <c r="AJ297" s="6"/>
    </row>
    <row r="298" spans="1:36" x14ac:dyDescent="0.2">
      <c r="A298" s="7"/>
      <c r="B298" s="7"/>
      <c r="C298" s="7"/>
      <c r="D298" s="7"/>
      <c r="E298" s="7"/>
      <c r="F298" s="7"/>
      <c r="G298" s="6"/>
      <c r="H298" s="6"/>
      <c r="I298" s="7"/>
      <c r="J298" s="7"/>
      <c r="K298" s="7"/>
      <c r="L298" s="7"/>
      <c r="M298" s="6"/>
      <c r="N298" s="7"/>
      <c r="O298" s="7"/>
      <c r="P298" s="7"/>
      <c r="Q298" s="7"/>
      <c r="R298" s="7"/>
      <c r="S298" s="7"/>
      <c r="T298" s="7"/>
      <c r="U298" s="7"/>
      <c r="V298" s="7"/>
      <c r="W298" s="7"/>
      <c r="X298" s="7"/>
      <c r="Y298" s="7"/>
      <c r="Z298" s="6"/>
      <c r="AA298" s="6"/>
      <c r="AB298" s="6"/>
      <c r="AC298" s="6"/>
      <c r="AD298" s="6"/>
      <c r="AE298" s="6"/>
      <c r="AF298" s="6"/>
      <c r="AG298" s="6"/>
      <c r="AH298" s="6"/>
      <c r="AI298" s="6"/>
      <c r="AJ298" s="6"/>
    </row>
    <row r="299" spans="1:36" x14ac:dyDescent="0.2">
      <c r="A299" s="7"/>
      <c r="B299" s="7"/>
      <c r="C299" s="7"/>
      <c r="D299" s="7"/>
      <c r="E299" s="7"/>
      <c r="F299" s="7"/>
      <c r="G299" s="6"/>
      <c r="H299" s="6"/>
      <c r="I299" s="7"/>
      <c r="J299" s="7"/>
      <c r="K299" s="7"/>
      <c r="L299" s="7"/>
      <c r="M299" s="6"/>
      <c r="N299" s="7"/>
      <c r="O299" s="7"/>
      <c r="P299" s="7"/>
      <c r="Q299" s="7"/>
      <c r="R299" s="7"/>
      <c r="S299" s="7"/>
      <c r="T299" s="7"/>
      <c r="U299" s="7"/>
      <c r="V299" s="7"/>
      <c r="W299" s="7"/>
      <c r="X299" s="7"/>
      <c r="Y299" s="7"/>
      <c r="Z299" s="6"/>
      <c r="AA299" s="6"/>
      <c r="AB299" s="6"/>
      <c r="AC299" s="6"/>
      <c r="AD299" s="6"/>
      <c r="AE299" s="6"/>
      <c r="AF299" s="6"/>
      <c r="AG299" s="6"/>
      <c r="AH299" s="6"/>
      <c r="AI299" s="6"/>
      <c r="AJ299" s="6"/>
    </row>
    <row r="300" spans="1:36" x14ac:dyDescent="0.2">
      <c r="A300" s="7"/>
      <c r="B300" s="7"/>
      <c r="C300" s="7"/>
      <c r="D300" s="7"/>
      <c r="E300" s="7"/>
      <c r="F300" s="7"/>
      <c r="G300" s="6"/>
      <c r="H300" s="6"/>
      <c r="I300" s="7"/>
      <c r="J300" s="7"/>
      <c r="K300" s="7"/>
      <c r="L300" s="7"/>
      <c r="M300" s="6"/>
      <c r="N300" s="7"/>
      <c r="O300" s="7"/>
      <c r="P300" s="7"/>
      <c r="Q300" s="7"/>
      <c r="R300" s="7"/>
      <c r="S300" s="7"/>
      <c r="T300" s="7"/>
      <c r="U300" s="7"/>
      <c r="V300" s="7"/>
      <c r="W300" s="7"/>
      <c r="X300" s="7"/>
      <c r="Y300" s="7"/>
      <c r="Z300" s="6"/>
      <c r="AA300" s="6"/>
      <c r="AB300" s="6"/>
      <c r="AC300" s="6"/>
      <c r="AD300" s="6"/>
      <c r="AE300" s="6"/>
      <c r="AF300" s="6"/>
      <c r="AG300" s="6"/>
      <c r="AH300" s="6"/>
      <c r="AI300" s="6"/>
      <c r="AJ300" s="6"/>
    </row>
    <row r="301" spans="1:36" x14ac:dyDescent="0.2">
      <c r="A301" s="7"/>
      <c r="B301" s="7"/>
      <c r="C301" s="7"/>
      <c r="D301" s="7"/>
      <c r="E301" s="7"/>
      <c r="F301" s="7"/>
      <c r="G301" s="6"/>
      <c r="H301" s="6"/>
      <c r="I301" s="7"/>
      <c r="J301" s="7"/>
      <c r="K301" s="7"/>
      <c r="L301" s="7"/>
      <c r="M301" s="6"/>
      <c r="N301" s="7"/>
      <c r="O301" s="7"/>
      <c r="P301" s="7"/>
      <c r="Q301" s="7"/>
      <c r="R301" s="7"/>
      <c r="S301" s="7"/>
      <c r="T301" s="7"/>
      <c r="U301" s="7"/>
      <c r="V301" s="7"/>
      <c r="W301" s="7"/>
      <c r="X301" s="7"/>
      <c r="Y301" s="7"/>
      <c r="Z301" s="6"/>
      <c r="AA301" s="6"/>
      <c r="AB301" s="6"/>
      <c r="AC301" s="6"/>
      <c r="AD301" s="6"/>
      <c r="AE301" s="6"/>
      <c r="AF301" s="6"/>
      <c r="AG301" s="6"/>
      <c r="AH301" s="6"/>
      <c r="AI301" s="6"/>
      <c r="AJ301" s="6"/>
    </row>
    <row r="302" spans="1:36" x14ac:dyDescent="0.2">
      <c r="A302" s="7"/>
      <c r="B302" s="7"/>
      <c r="C302" s="7"/>
      <c r="D302" s="7"/>
      <c r="E302" s="7"/>
      <c r="F302" s="7"/>
      <c r="G302" s="6"/>
      <c r="H302" s="6"/>
      <c r="I302" s="7"/>
      <c r="J302" s="7"/>
      <c r="K302" s="7"/>
      <c r="L302" s="7"/>
      <c r="M302" s="6"/>
      <c r="N302" s="7"/>
      <c r="O302" s="7"/>
      <c r="P302" s="7"/>
      <c r="Q302" s="7"/>
      <c r="R302" s="7"/>
      <c r="S302" s="7"/>
      <c r="T302" s="7"/>
      <c r="U302" s="7"/>
      <c r="V302" s="7"/>
      <c r="W302" s="7"/>
      <c r="X302" s="7"/>
      <c r="Y302" s="7"/>
      <c r="Z302" s="6"/>
      <c r="AA302" s="6"/>
      <c r="AB302" s="6"/>
      <c r="AC302" s="6"/>
      <c r="AD302" s="6"/>
      <c r="AE302" s="6"/>
      <c r="AF302" s="6"/>
      <c r="AG302" s="6"/>
      <c r="AH302" s="6"/>
      <c r="AI302" s="6"/>
      <c r="AJ302" s="6"/>
    </row>
    <row r="303" spans="1:36" x14ac:dyDescent="0.2">
      <c r="A303" s="7"/>
      <c r="B303" s="7"/>
      <c r="C303" s="7"/>
      <c r="D303" s="7"/>
      <c r="E303" s="7"/>
      <c r="F303" s="7"/>
      <c r="G303" s="6"/>
      <c r="H303" s="6"/>
      <c r="I303" s="7"/>
      <c r="J303" s="7"/>
      <c r="K303" s="7"/>
      <c r="L303" s="7"/>
      <c r="M303" s="6"/>
      <c r="N303" s="7"/>
      <c r="O303" s="7"/>
      <c r="P303" s="7"/>
      <c r="Q303" s="7"/>
      <c r="R303" s="7"/>
      <c r="S303" s="7"/>
      <c r="T303" s="7"/>
      <c r="U303" s="7"/>
      <c r="V303" s="7"/>
      <c r="W303" s="7"/>
      <c r="X303" s="7"/>
      <c r="Y303" s="7"/>
      <c r="Z303" s="6"/>
      <c r="AA303" s="6"/>
      <c r="AB303" s="6"/>
      <c r="AC303" s="6"/>
      <c r="AD303" s="6"/>
      <c r="AE303" s="6"/>
      <c r="AF303" s="6"/>
      <c r="AG303" s="6"/>
      <c r="AH303" s="6"/>
      <c r="AI303" s="6"/>
      <c r="AJ303" s="6"/>
    </row>
    <row r="304" spans="1:36" x14ac:dyDescent="0.2">
      <c r="A304" s="7"/>
      <c r="B304" s="7"/>
      <c r="C304" s="7"/>
      <c r="D304" s="7"/>
      <c r="E304" s="7"/>
      <c r="F304" s="7"/>
      <c r="G304" s="6"/>
      <c r="H304" s="6"/>
      <c r="I304" s="7"/>
      <c r="J304" s="7"/>
      <c r="K304" s="7"/>
      <c r="L304" s="7"/>
      <c r="M304" s="6"/>
      <c r="N304" s="7"/>
      <c r="O304" s="7"/>
      <c r="P304" s="7"/>
      <c r="Q304" s="7"/>
      <c r="R304" s="7"/>
      <c r="S304" s="7"/>
      <c r="T304" s="7"/>
      <c r="U304" s="7"/>
      <c r="V304" s="7"/>
      <c r="W304" s="7"/>
      <c r="X304" s="7"/>
      <c r="Y304" s="7"/>
      <c r="Z304" s="6"/>
      <c r="AA304" s="6"/>
      <c r="AB304" s="6"/>
      <c r="AC304" s="6"/>
      <c r="AD304" s="6"/>
      <c r="AE304" s="6"/>
      <c r="AF304" s="6"/>
      <c r="AG304" s="6"/>
      <c r="AH304" s="6"/>
      <c r="AI304" s="6"/>
      <c r="AJ304" s="6"/>
    </row>
    <row r="305" spans="1:36" x14ac:dyDescent="0.2">
      <c r="A305" s="7"/>
      <c r="B305" s="7"/>
      <c r="C305" s="7"/>
      <c r="D305" s="7"/>
      <c r="E305" s="7"/>
      <c r="F305" s="7"/>
      <c r="G305" s="6"/>
      <c r="H305" s="6"/>
      <c r="I305" s="7"/>
      <c r="J305" s="7"/>
      <c r="K305" s="7"/>
      <c r="L305" s="7"/>
      <c r="M305" s="6"/>
      <c r="N305" s="7"/>
      <c r="O305" s="7"/>
      <c r="P305" s="7"/>
      <c r="Q305" s="7"/>
      <c r="R305" s="7"/>
      <c r="S305" s="7"/>
      <c r="T305" s="7"/>
      <c r="U305" s="7"/>
      <c r="V305" s="7"/>
      <c r="W305" s="7"/>
      <c r="X305" s="7"/>
      <c r="Y305" s="7"/>
      <c r="Z305" s="6"/>
      <c r="AA305" s="6"/>
      <c r="AB305" s="6"/>
      <c r="AC305" s="6"/>
      <c r="AD305" s="6"/>
      <c r="AE305" s="6"/>
      <c r="AF305" s="6"/>
      <c r="AG305" s="6"/>
      <c r="AH305" s="6"/>
      <c r="AI305" s="6"/>
      <c r="AJ305" s="6"/>
    </row>
    <row r="306" spans="1:36" x14ac:dyDescent="0.2">
      <c r="A306" s="7"/>
      <c r="B306" s="7"/>
      <c r="C306" s="7"/>
      <c r="D306" s="7"/>
      <c r="E306" s="7"/>
      <c r="F306" s="7"/>
      <c r="G306" s="6"/>
      <c r="H306" s="6"/>
      <c r="I306" s="7"/>
      <c r="J306" s="7"/>
      <c r="K306" s="7"/>
      <c r="L306" s="7"/>
      <c r="M306" s="6"/>
      <c r="N306" s="7"/>
      <c r="O306" s="7"/>
      <c r="P306" s="7"/>
      <c r="Q306" s="7"/>
      <c r="R306" s="7"/>
      <c r="S306" s="7"/>
      <c r="T306" s="7"/>
      <c r="U306" s="7"/>
      <c r="V306" s="7"/>
      <c r="W306" s="7"/>
      <c r="X306" s="7"/>
      <c r="Y306" s="7"/>
      <c r="Z306" s="6"/>
      <c r="AA306" s="6"/>
      <c r="AB306" s="6"/>
      <c r="AC306" s="6"/>
      <c r="AD306" s="6"/>
      <c r="AE306" s="6"/>
      <c r="AF306" s="6"/>
      <c r="AG306" s="6"/>
      <c r="AH306" s="6"/>
      <c r="AI306" s="6"/>
      <c r="AJ306" s="6"/>
    </row>
    <row r="307" spans="1:36" x14ac:dyDescent="0.2">
      <c r="A307" s="7"/>
      <c r="B307" s="7"/>
      <c r="C307" s="7"/>
      <c r="D307" s="7"/>
      <c r="E307" s="7"/>
      <c r="F307" s="7"/>
      <c r="G307" s="6"/>
      <c r="H307" s="6"/>
      <c r="I307" s="7"/>
      <c r="J307" s="7"/>
      <c r="K307" s="7"/>
      <c r="L307" s="7"/>
      <c r="M307" s="6"/>
      <c r="N307" s="7"/>
      <c r="O307" s="7"/>
      <c r="P307" s="7"/>
      <c r="Q307" s="7"/>
      <c r="R307" s="7"/>
      <c r="S307" s="7"/>
      <c r="T307" s="7"/>
      <c r="U307" s="7"/>
      <c r="V307" s="7"/>
      <c r="W307" s="7"/>
      <c r="X307" s="7"/>
      <c r="Y307" s="7"/>
      <c r="Z307" s="6"/>
      <c r="AA307" s="6"/>
      <c r="AB307" s="6"/>
      <c r="AC307" s="6"/>
      <c r="AD307" s="6"/>
      <c r="AE307" s="6"/>
      <c r="AF307" s="6"/>
      <c r="AG307" s="6"/>
      <c r="AH307" s="6"/>
      <c r="AI307" s="6"/>
      <c r="AJ307" s="6"/>
    </row>
    <row r="308" spans="1:36" x14ac:dyDescent="0.2">
      <c r="A308" s="7"/>
      <c r="B308" s="7"/>
      <c r="C308" s="7"/>
      <c r="D308" s="7"/>
      <c r="E308" s="7"/>
      <c r="F308" s="7"/>
      <c r="G308" s="6"/>
      <c r="H308" s="6"/>
      <c r="I308" s="7"/>
      <c r="J308" s="7"/>
      <c r="K308" s="7"/>
      <c r="L308" s="7"/>
      <c r="M308" s="6"/>
      <c r="N308" s="7"/>
      <c r="O308" s="7"/>
      <c r="P308" s="7"/>
      <c r="Q308" s="7"/>
      <c r="R308" s="7"/>
      <c r="S308" s="7"/>
      <c r="T308" s="7"/>
      <c r="U308" s="7"/>
      <c r="V308" s="7"/>
      <c r="W308" s="7"/>
      <c r="X308" s="7"/>
      <c r="Y308" s="7"/>
      <c r="Z308" s="6"/>
      <c r="AA308" s="6"/>
      <c r="AB308" s="6"/>
      <c r="AC308" s="6"/>
      <c r="AD308" s="6"/>
      <c r="AE308" s="6"/>
      <c r="AF308" s="6"/>
      <c r="AG308" s="6"/>
      <c r="AH308" s="6"/>
      <c r="AI308" s="6"/>
      <c r="AJ308" s="6"/>
    </row>
    <row r="309" spans="1:36" x14ac:dyDescent="0.2">
      <c r="A309" s="7"/>
      <c r="B309" s="7"/>
      <c r="C309" s="7"/>
      <c r="D309" s="7"/>
      <c r="E309" s="7"/>
      <c r="F309" s="7"/>
      <c r="G309" s="6"/>
      <c r="H309" s="6"/>
      <c r="I309" s="7"/>
      <c r="J309" s="7"/>
      <c r="K309" s="7"/>
      <c r="L309" s="7"/>
      <c r="M309" s="6"/>
      <c r="N309" s="7"/>
      <c r="O309" s="7"/>
      <c r="P309" s="7"/>
      <c r="Q309" s="7"/>
      <c r="R309" s="7"/>
      <c r="S309" s="7"/>
      <c r="T309" s="7"/>
      <c r="U309" s="7"/>
      <c r="V309" s="7"/>
      <c r="W309" s="7"/>
      <c r="X309" s="7"/>
      <c r="Y309" s="7"/>
      <c r="Z309" s="6"/>
      <c r="AA309" s="6"/>
      <c r="AB309" s="6"/>
      <c r="AC309" s="6"/>
      <c r="AD309" s="6"/>
      <c r="AE309" s="6"/>
      <c r="AF309" s="6"/>
      <c r="AG309" s="6"/>
      <c r="AH309" s="6"/>
      <c r="AI309" s="6"/>
      <c r="AJ309" s="6"/>
    </row>
    <row r="310" spans="1:36" x14ac:dyDescent="0.2">
      <c r="A310" s="7"/>
      <c r="B310" s="7"/>
      <c r="C310" s="7"/>
      <c r="D310" s="7"/>
      <c r="E310" s="7"/>
      <c r="F310" s="7"/>
      <c r="G310" s="6"/>
      <c r="H310" s="6"/>
      <c r="I310" s="7"/>
      <c r="J310" s="7"/>
      <c r="K310" s="7"/>
      <c r="L310" s="7"/>
      <c r="M310" s="6"/>
      <c r="N310" s="7"/>
      <c r="O310" s="7"/>
      <c r="P310" s="7"/>
      <c r="Q310" s="7"/>
      <c r="R310" s="7"/>
      <c r="S310" s="7"/>
      <c r="T310" s="7"/>
      <c r="U310" s="7"/>
      <c r="V310" s="7"/>
      <c r="W310" s="7"/>
      <c r="X310" s="7"/>
      <c r="Y310" s="7"/>
      <c r="Z310" s="6"/>
      <c r="AA310" s="6"/>
      <c r="AB310" s="6"/>
      <c r="AC310" s="6"/>
      <c r="AD310" s="6"/>
      <c r="AE310" s="6"/>
      <c r="AF310" s="6"/>
      <c r="AG310" s="6"/>
      <c r="AH310" s="6"/>
      <c r="AI310" s="6"/>
      <c r="AJ310" s="6"/>
    </row>
    <row r="311" spans="1:36" x14ac:dyDescent="0.2">
      <c r="A311" s="7"/>
      <c r="B311" s="7"/>
      <c r="C311" s="7"/>
      <c r="D311" s="7"/>
      <c r="E311" s="7"/>
      <c r="F311" s="7"/>
      <c r="G311" s="6"/>
      <c r="H311" s="6"/>
      <c r="I311" s="7"/>
      <c r="J311" s="7"/>
      <c r="K311" s="7"/>
      <c r="L311" s="7"/>
      <c r="M311" s="6"/>
      <c r="N311" s="7"/>
      <c r="O311" s="7"/>
      <c r="P311" s="7"/>
      <c r="Q311" s="7"/>
      <c r="R311" s="7"/>
      <c r="S311" s="7"/>
      <c r="T311" s="7"/>
      <c r="U311" s="7"/>
      <c r="V311" s="7"/>
      <c r="W311" s="7"/>
      <c r="X311" s="7"/>
      <c r="Y311" s="7"/>
      <c r="Z311" s="6"/>
      <c r="AA311" s="6"/>
      <c r="AB311" s="6"/>
      <c r="AC311" s="6"/>
      <c r="AD311" s="6"/>
      <c r="AE311" s="6"/>
      <c r="AF311" s="6"/>
      <c r="AG311" s="6"/>
      <c r="AH311" s="6"/>
      <c r="AI311" s="6"/>
      <c r="AJ311" s="6"/>
    </row>
    <row r="312" spans="1:36" x14ac:dyDescent="0.2">
      <c r="A312" s="7"/>
      <c r="B312" s="7"/>
      <c r="C312" s="7"/>
      <c r="D312" s="7"/>
      <c r="E312" s="7"/>
      <c r="F312" s="7"/>
      <c r="G312" s="6"/>
      <c r="H312" s="6"/>
      <c r="I312" s="7"/>
      <c r="J312" s="7"/>
      <c r="K312" s="7"/>
      <c r="L312" s="7"/>
      <c r="M312" s="6"/>
      <c r="N312" s="7"/>
      <c r="O312" s="7"/>
      <c r="P312" s="7"/>
      <c r="Q312" s="7"/>
      <c r="R312" s="7"/>
      <c r="S312" s="7"/>
      <c r="T312" s="7"/>
      <c r="U312" s="7"/>
      <c r="V312" s="7"/>
      <c r="W312" s="7"/>
      <c r="X312" s="7"/>
      <c r="Y312" s="7"/>
      <c r="Z312" s="6"/>
      <c r="AA312" s="6"/>
      <c r="AB312" s="6"/>
      <c r="AC312" s="6"/>
      <c r="AD312" s="6"/>
      <c r="AE312" s="6"/>
      <c r="AF312" s="6"/>
      <c r="AG312" s="6"/>
      <c r="AH312" s="6"/>
      <c r="AI312" s="6"/>
      <c r="AJ312" s="6"/>
    </row>
    <row r="313" spans="1:36" x14ac:dyDescent="0.2">
      <c r="A313" s="7"/>
      <c r="B313" s="7"/>
      <c r="C313" s="7"/>
      <c r="D313" s="7"/>
      <c r="E313" s="7"/>
      <c r="F313" s="7"/>
      <c r="G313" s="6"/>
      <c r="H313" s="6"/>
      <c r="I313" s="7"/>
      <c r="J313" s="7"/>
      <c r="K313" s="7"/>
      <c r="L313" s="7"/>
      <c r="M313" s="6"/>
      <c r="N313" s="7"/>
      <c r="O313" s="7"/>
      <c r="P313" s="7"/>
      <c r="Q313" s="7"/>
      <c r="R313" s="7"/>
      <c r="S313" s="7"/>
      <c r="T313" s="7"/>
      <c r="U313" s="7"/>
      <c r="V313" s="7"/>
      <c r="W313" s="7"/>
      <c r="X313" s="7"/>
      <c r="Y313" s="7"/>
      <c r="Z313" s="6"/>
      <c r="AA313" s="6"/>
      <c r="AB313" s="6"/>
      <c r="AC313" s="6"/>
      <c r="AD313" s="6"/>
      <c r="AE313" s="6"/>
      <c r="AF313" s="6"/>
      <c r="AG313" s="6"/>
      <c r="AH313" s="6"/>
      <c r="AI313" s="6"/>
      <c r="AJ313" s="6"/>
    </row>
    <row r="314" spans="1:36" x14ac:dyDescent="0.2">
      <c r="A314" s="7"/>
      <c r="B314" s="7"/>
      <c r="C314" s="7"/>
      <c r="D314" s="7"/>
      <c r="E314" s="7"/>
      <c r="F314" s="7"/>
      <c r="G314" s="6"/>
      <c r="H314" s="6"/>
      <c r="I314" s="7"/>
      <c r="J314" s="7"/>
      <c r="K314" s="7"/>
      <c r="L314" s="7"/>
      <c r="M314" s="6"/>
      <c r="N314" s="7"/>
      <c r="O314" s="7"/>
      <c r="P314" s="7"/>
      <c r="Q314" s="7"/>
      <c r="R314" s="7"/>
      <c r="S314" s="7"/>
      <c r="T314" s="7"/>
      <c r="U314" s="7"/>
      <c r="V314" s="7"/>
      <c r="W314" s="7"/>
      <c r="X314" s="7"/>
      <c r="Y314" s="7"/>
      <c r="Z314" s="6"/>
      <c r="AA314" s="6"/>
      <c r="AB314" s="6"/>
      <c r="AC314" s="6"/>
      <c r="AD314" s="6"/>
      <c r="AE314" s="6"/>
      <c r="AF314" s="6"/>
      <c r="AG314" s="6"/>
      <c r="AH314" s="6"/>
      <c r="AI314" s="6"/>
      <c r="AJ314" s="6"/>
    </row>
    <row r="315" spans="1:36" x14ac:dyDescent="0.2">
      <c r="A315" s="7"/>
      <c r="B315" s="7"/>
      <c r="C315" s="7"/>
      <c r="D315" s="7"/>
      <c r="E315" s="7"/>
      <c r="F315" s="7"/>
      <c r="G315" s="6"/>
      <c r="H315" s="6"/>
      <c r="I315" s="7"/>
      <c r="J315" s="7"/>
      <c r="K315" s="7"/>
      <c r="L315" s="7"/>
      <c r="M315" s="6"/>
      <c r="N315" s="7"/>
      <c r="O315" s="7"/>
      <c r="P315" s="7"/>
      <c r="Q315" s="7"/>
      <c r="R315" s="7"/>
      <c r="S315" s="7"/>
      <c r="T315" s="7"/>
      <c r="U315" s="7"/>
      <c r="V315" s="7"/>
      <c r="W315" s="7"/>
      <c r="X315" s="7"/>
      <c r="Y315" s="7"/>
      <c r="Z315" s="6"/>
      <c r="AA315" s="6"/>
      <c r="AB315" s="6"/>
      <c r="AC315" s="6"/>
      <c r="AD315" s="6"/>
      <c r="AE315" s="6"/>
      <c r="AF315" s="6"/>
      <c r="AG315" s="6"/>
      <c r="AH315" s="6"/>
      <c r="AI315" s="6"/>
      <c r="AJ315" s="6"/>
    </row>
    <row r="316" spans="1:36" x14ac:dyDescent="0.2">
      <c r="A316" s="7"/>
      <c r="B316" s="7"/>
      <c r="C316" s="7"/>
      <c r="D316" s="7"/>
      <c r="E316" s="7"/>
      <c r="F316" s="7"/>
      <c r="G316" s="6"/>
      <c r="H316" s="6"/>
      <c r="I316" s="7"/>
      <c r="J316" s="7"/>
      <c r="K316" s="7"/>
      <c r="L316" s="7"/>
      <c r="M316" s="6"/>
      <c r="N316" s="7"/>
      <c r="O316" s="7"/>
      <c r="P316" s="7"/>
      <c r="Q316" s="7"/>
      <c r="R316" s="7"/>
      <c r="S316" s="7"/>
      <c r="T316" s="7"/>
      <c r="U316" s="7"/>
      <c r="V316" s="7"/>
      <c r="W316" s="7"/>
      <c r="X316" s="7"/>
      <c r="Y316" s="7"/>
      <c r="Z316" s="6"/>
      <c r="AA316" s="6"/>
      <c r="AB316" s="6"/>
      <c r="AC316" s="6"/>
      <c r="AD316" s="6"/>
      <c r="AE316" s="6"/>
      <c r="AF316" s="6"/>
      <c r="AG316" s="6"/>
      <c r="AH316" s="6"/>
      <c r="AI316" s="6"/>
      <c r="AJ316" s="6"/>
    </row>
    <row r="317" spans="1:36" x14ac:dyDescent="0.2">
      <c r="A317" s="7"/>
      <c r="B317" s="7"/>
      <c r="C317" s="7"/>
      <c r="D317" s="7"/>
      <c r="E317" s="7"/>
      <c r="F317" s="7"/>
      <c r="G317" s="6"/>
      <c r="H317" s="6"/>
      <c r="I317" s="7"/>
      <c r="J317" s="7"/>
      <c r="K317" s="7"/>
      <c r="L317" s="7"/>
      <c r="M317" s="6"/>
      <c r="N317" s="7"/>
      <c r="O317" s="7"/>
      <c r="P317" s="7"/>
      <c r="Q317" s="7"/>
      <c r="R317" s="7"/>
      <c r="S317" s="7"/>
      <c r="T317" s="7"/>
      <c r="U317" s="7"/>
      <c r="V317" s="7"/>
      <c r="W317" s="7"/>
      <c r="X317" s="7"/>
      <c r="Y317" s="7"/>
      <c r="Z317" s="6"/>
      <c r="AA317" s="6"/>
      <c r="AB317" s="6"/>
      <c r="AC317" s="6"/>
      <c r="AD317" s="6"/>
      <c r="AE317" s="6"/>
      <c r="AF317" s="6"/>
      <c r="AG317" s="6"/>
      <c r="AH317" s="6"/>
      <c r="AI317" s="6"/>
      <c r="AJ317" s="6"/>
    </row>
    <row r="318" spans="1:36" x14ac:dyDescent="0.2">
      <c r="A318" s="7"/>
      <c r="B318" s="7"/>
      <c r="C318" s="7"/>
      <c r="D318" s="7"/>
      <c r="E318" s="7"/>
      <c r="F318" s="7"/>
      <c r="G318" s="6"/>
      <c r="H318" s="6"/>
      <c r="I318" s="7"/>
      <c r="J318" s="7"/>
      <c r="K318" s="7"/>
      <c r="L318" s="7"/>
      <c r="M318" s="6"/>
      <c r="N318" s="7"/>
      <c r="O318" s="7"/>
      <c r="P318" s="7"/>
      <c r="Q318" s="7"/>
      <c r="R318" s="7"/>
      <c r="S318" s="7"/>
      <c r="T318" s="7"/>
      <c r="U318" s="7"/>
      <c r="V318" s="7"/>
      <c r="W318" s="7"/>
      <c r="X318" s="7"/>
      <c r="Y318" s="7"/>
      <c r="Z318" s="6"/>
      <c r="AA318" s="6"/>
      <c r="AB318" s="6"/>
      <c r="AC318" s="6"/>
      <c r="AD318" s="6"/>
      <c r="AE318" s="6"/>
      <c r="AF318" s="6"/>
      <c r="AG318" s="6"/>
      <c r="AH318" s="6"/>
      <c r="AI318" s="6"/>
      <c r="AJ318" s="6"/>
    </row>
    <row r="319" spans="1:36" x14ac:dyDescent="0.2">
      <c r="A319" s="7"/>
      <c r="B319" s="7"/>
      <c r="C319" s="7"/>
      <c r="D319" s="7"/>
      <c r="E319" s="7"/>
      <c r="F319" s="7"/>
      <c r="G319" s="6"/>
      <c r="H319" s="6"/>
      <c r="I319" s="7"/>
      <c r="J319" s="7"/>
      <c r="K319" s="7"/>
      <c r="L319" s="7"/>
      <c r="M319" s="6"/>
      <c r="N319" s="7"/>
      <c r="O319" s="7"/>
      <c r="P319" s="7"/>
      <c r="Q319" s="7"/>
      <c r="R319" s="7"/>
      <c r="S319" s="7"/>
      <c r="T319" s="7"/>
      <c r="U319" s="7"/>
      <c r="V319" s="7"/>
      <c r="W319" s="7"/>
      <c r="X319" s="7"/>
      <c r="Y319" s="7"/>
      <c r="Z319" s="6"/>
      <c r="AA319" s="6"/>
      <c r="AB319" s="6"/>
      <c r="AC319" s="6"/>
      <c r="AD319" s="6"/>
      <c r="AE319" s="6"/>
      <c r="AF319" s="6"/>
      <c r="AG319" s="6"/>
      <c r="AH319" s="6"/>
      <c r="AI319" s="6"/>
      <c r="AJ319" s="6"/>
    </row>
    <row r="320" spans="1:36" x14ac:dyDescent="0.2">
      <c r="A320" s="6"/>
      <c r="B320" s="6"/>
      <c r="C320" s="6"/>
      <c r="D320" s="6"/>
      <c r="E320" s="6"/>
      <c r="F320" s="6"/>
      <c r="G320" s="6"/>
      <c r="H320" s="6"/>
      <c r="I320" s="7"/>
      <c r="J320" s="7"/>
      <c r="K320" s="7"/>
      <c r="L320" s="7"/>
      <c r="M320" s="6"/>
      <c r="N320" s="7"/>
      <c r="O320" s="7"/>
      <c r="P320" s="7"/>
      <c r="Q320" s="7"/>
      <c r="R320" s="7"/>
      <c r="S320" s="7"/>
      <c r="T320" s="7"/>
      <c r="U320" s="7"/>
      <c r="V320" s="7"/>
      <c r="W320" s="7"/>
      <c r="X320" s="7"/>
      <c r="Y320" s="7"/>
      <c r="Z320" s="6"/>
      <c r="AA320" s="6"/>
      <c r="AB320" s="6"/>
      <c r="AC320" s="6"/>
      <c r="AD320" s="6"/>
      <c r="AE320" s="6"/>
      <c r="AF320" s="6"/>
      <c r="AG320" s="6"/>
      <c r="AH320" s="6"/>
      <c r="AI320" s="6"/>
      <c r="AJ320" s="6"/>
    </row>
    <row r="321" spans="1:36" x14ac:dyDescent="0.2">
      <c r="A321" s="6"/>
      <c r="B321" s="6"/>
      <c r="C321" s="6"/>
      <c r="D321" s="6"/>
      <c r="E321" s="6"/>
      <c r="F321" s="6"/>
      <c r="G321" s="6"/>
      <c r="H321" s="6"/>
      <c r="I321" s="7"/>
      <c r="J321" s="7"/>
      <c r="K321" s="7"/>
      <c r="L321" s="7"/>
      <c r="M321" s="6"/>
      <c r="N321" s="7"/>
      <c r="O321" s="7"/>
      <c r="P321" s="7"/>
      <c r="Q321" s="7"/>
      <c r="R321" s="7"/>
      <c r="S321" s="7"/>
      <c r="T321" s="7"/>
      <c r="U321" s="7"/>
      <c r="V321" s="7"/>
      <c r="W321" s="7"/>
      <c r="X321" s="7"/>
      <c r="Y321" s="7"/>
      <c r="Z321" s="6"/>
      <c r="AA321" s="6"/>
      <c r="AB321" s="6"/>
      <c r="AC321" s="6"/>
      <c r="AD321" s="6"/>
      <c r="AE321" s="6"/>
      <c r="AF321" s="6"/>
      <c r="AG321" s="6"/>
      <c r="AH321" s="6"/>
      <c r="AI321" s="6"/>
      <c r="AJ321" s="6"/>
    </row>
    <row r="322" spans="1:36" x14ac:dyDescent="0.2">
      <c r="A322" s="6"/>
      <c r="B322" s="6"/>
      <c r="C322" s="6"/>
      <c r="D322" s="6"/>
      <c r="E322" s="6"/>
      <c r="F322" s="6"/>
      <c r="G322" s="6"/>
      <c r="H322" s="6"/>
      <c r="I322" s="7"/>
      <c r="J322" s="7"/>
      <c r="K322" s="7"/>
      <c r="L322" s="7"/>
      <c r="M322" s="6"/>
      <c r="N322" s="7"/>
      <c r="O322" s="7"/>
      <c r="P322" s="7"/>
      <c r="Q322" s="7"/>
      <c r="R322" s="7"/>
      <c r="S322" s="7"/>
      <c r="T322" s="7"/>
      <c r="U322" s="7"/>
      <c r="V322" s="7"/>
      <c r="W322" s="7"/>
      <c r="X322" s="7"/>
      <c r="Y322" s="7"/>
      <c r="Z322" s="6"/>
      <c r="AA322" s="6"/>
      <c r="AB322" s="6"/>
      <c r="AC322" s="6"/>
      <c r="AD322" s="6"/>
      <c r="AE322" s="6"/>
      <c r="AF322" s="6"/>
      <c r="AG322" s="6"/>
      <c r="AH322" s="6"/>
      <c r="AI322" s="6"/>
      <c r="AJ322" s="6"/>
    </row>
    <row r="323" spans="1:36" x14ac:dyDescent="0.2">
      <c r="A323" s="6"/>
      <c r="B323" s="6"/>
      <c r="C323" s="6"/>
      <c r="D323" s="6"/>
      <c r="E323" s="6"/>
      <c r="F323" s="6"/>
      <c r="G323" s="6"/>
      <c r="H323" s="6"/>
      <c r="I323" s="7"/>
      <c r="J323" s="7"/>
      <c r="K323" s="7"/>
      <c r="L323" s="7"/>
      <c r="M323" s="6"/>
      <c r="N323" s="7"/>
      <c r="O323" s="7"/>
      <c r="P323" s="7"/>
      <c r="Q323" s="7"/>
      <c r="R323" s="7"/>
      <c r="S323" s="7"/>
      <c r="T323" s="7"/>
      <c r="U323" s="7"/>
      <c r="V323" s="7"/>
      <c r="W323" s="7"/>
      <c r="X323" s="7"/>
      <c r="Y323" s="7"/>
      <c r="Z323" s="6"/>
      <c r="AA323" s="6"/>
      <c r="AB323" s="6"/>
      <c r="AC323" s="6"/>
      <c r="AD323" s="6"/>
      <c r="AE323" s="6"/>
      <c r="AF323" s="6"/>
      <c r="AG323" s="6"/>
      <c r="AH323" s="6"/>
      <c r="AI323" s="6"/>
      <c r="AJ323" s="6"/>
    </row>
    <row r="324" spans="1:36" x14ac:dyDescent="0.2">
      <c r="A324" s="6"/>
      <c r="B324" s="6"/>
      <c r="C324" s="6"/>
      <c r="D324" s="6"/>
      <c r="E324" s="6"/>
      <c r="F324" s="6"/>
      <c r="G324" s="6"/>
      <c r="H324" s="6"/>
      <c r="I324" s="7"/>
      <c r="J324" s="7"/>
      <c r="K324" s="7"/>
      <c r="L324" s="7"/>
      <c r="M324" s="6"/>
      <c r="N324" s="7"/>
      <c r="O324" s="7"/>
      <c r="P324" s="7"/>
      <c r="Q324" s="7"/>
      <c r="R324" s="7"/>
      <c r="S324" s="7"/>
      <c r="T324" s="7"/>
      <c r="U324" s="7"/>
      <c r="V324" s="7"/>
      <c r="W324" s="7"/>
      <c r="X324" s="7"/>
      <c r="Y324" s="7"/>
      <c r="Z324" s="6"/>
      <c r="AA324" s="6"/>
      <c r="AB324" s="6"/>
      <c r="AC324" s="6"/>
      <c r="AD324" s="6"/>
      <c r="AE324" s="6"/>
      <c r="AF324" s="6"/>
      <c r="AG324" s="6"/>
      <c r="AH324" s="6"/>
      <c r="AI324" s="6"/>
      <c r="AJ324" s="6"/>
    </row>
    <row r="325" spans="1:36" x14ac:dyDescent="0.2">
      <c r="A325" s="6"/>
      <c r="B325" s="6"/>
      <c r="C325" s="6"/>
      <c r="D325" s="6"/>
      <c r="E325" s="6"/>
      <c r="F325" s="6"/>
      <c r="G325" s="6"/>
      <c r="H325" s="6"/>
      <c r="I325" s="7"/>
      <c r="J325" s="7"/>
      <c r="K325" s="7"/>
      <c r="L325" s="7"/>
      <c r="M325" s="6"/>
      <c r="N325" s="7"/>
      <c r="O325" s="7"/>
      <c r="P325" s="7"/>
      <c r="Q325" s="7"/>
      <c r="R325" s="7"/>
      <c r="S325" s="7"/>
      <c r="T325" s="7"/>
      <c r="U325" s="7"/>
      <c r="V325" s="7"/>
      <c r="W325" s="7"/>
      <c r="X325" s="7"/>
      <c r="Y325" s="7"/>
      <c r="Z325" s="6"/>
      <c r="AA325" s="6"/>
      <c r="AB325" s="6"/>
      <c r="AC325" s="6"/>
      <c r="AD325" s="6"/>
      <c r="AE325" s="6"/>
      <c r="AF325" s="6"/>
      <c r="AG325" s="6"/>
      <c r="AH325" s="6"/>
      <c r="AI325" s="6"/>
      <c r="AJ325" s="6"/>
    </row>
    <row r="326" spans="1:36" x14ac:dyDescent="0.2">
      <c r="A326" s="6"/>
      <c r="B326" s="6"/>
      <c r="C326" s="6"/>
      <c r="D326" s="6"/>
      <c r="E326" s="6"/>
      <c r="F326" s="6"/>
      <c r="G326" s="6"/>
      <c r="H326" s="6"/>
      <c r="I326" s="7"/>
      <c r="J326" s="7"/>
      <c r="K326" s="7"/>
      <c r="L326" s="7"/>
      <c r="M326" s="6"/>
      <c r="N326" s="7"/>
      <c r="O326" s="7"/>
      <c r="P326" s="7"/>
      <c r="Q326" s="7"/>
      <c r="R326" s="7"/>
      <c r="S326" s="7"/>
      <c r="T326" s="7"/>
      <c r="U326" s="7"/>
      <c r="V326" s="7"/>
      <c r="W326" s="7"/>
      <c r="X326" s="7"/>
      <c r="Y326" s="7"/>
      <c r="Z326" s="6"/>
      <c r="AA326" s="6"/>
      <c r="AB326" s="6"/>
      <c r="AC326" s="6"/>
      <c r="AD326" s="6"/>
      <c r="AE326" s="6"/>
      <c r="AF326" s="6"/>
      <c r="AG326" s="6"/>
      <c r="AH326" s="6"/>
      <c r="AI326" s="6"/>
      <c r="AJ326" s="6"/>
    </row>
    <row r="327" spans="1:36" x14ac:dyDescent="0.2">
      <c r="A327" s="6"/>
      <c r="B327" s="6"/>
      <c r="C327" s="6"/>
      <c r="D327" s="6"/>
      <c r="E327" s="6"/>
      <c r="F327" s="6"/>
      <c r="G327" s="6"/>
      <c r="H327" s="6"/>
      <c r="I327" s="7"/>
      <c r="J327" s="7"/>
      <c r="K327" s="7"/>
      <c r="L327" s="7"/>
      <c r="M327" s="6"/>
      <c r="N327" s="7"/>
      <c r="O327" s="7"/>
      <c r="P327" s="7"/>
      <c r="Q327" s="7"/>
      <c r="R327" s="7"/>
      <c r="S327" s="7"/>
      <c r="T327" s="7"/>
      <c r="U327" s="7"/>
      <c r="V327" s="7"/>
      <c r="W327" s="7"/>
      <c r="X327" s="7"/>
      <c r="Y327" s="7"/>
      <c r="Z327" s="6"/>
      <c r="AA327" s="6"/>
      <c r="AB327" s="6"/>
      <c r="AC327" s="6"/>
      <c r="AD327" s="6"/>
      <c r="AE327" s="6"/>
      <c r="AF327" s="6"/>
      <c r="AG327" s="6"/>
      <c r="AH327" s="6"/>
      <c r="AI327" s="6"/>
      <c r="AJ327" s="6"/>
    </row>
    <row r="328" spans="1:36" x14ac:dyDescent="0.2">
      <c r="A328" s="6"/>
      <c r="B328" s="6"/>
      <c r="C328" s="6"/>
      <c r="D328" s="6"/>
      <c r="E328" s="6"/>
      <c r="F328" s="6"/>
      <c r="G328" s="6"/>
      <c r="H328" s="6"/>
      <c r="I328" s="7"/>
      <c r="J328" s="7"/>
      <c r="K328" s="7"/>
      <c r="L328" s="7"/>
      <c r="M328" s="6"/>
      <c r="N328" s="7"/>
      <c r="O328" s="7"/>
      <c r="P328" s="7"/>
      <c r="Q328" s="7"/>
      <c r="R328" s="7"/>
      <c r="S328" s="7"/>
      <c r="T328" s="7"/>
      <c r="U328" s="7"/>
      <c r="V328" s="7"/>
      <c r="W328" s="7"/>
      <c r="X328" s="7"/>
      <c r="Y328" s="7"/>
      <c r="Z328" s="6"/>
      <c r="AA328" s="6"/>
      <c r="AB328" s="6"/>
      <c r="AC328" s="6"/>
      <c r="AD328" s="6"/>
      <c r="AE328" s="6"/>
      <c r="AF328" s="6"/>
      <c r="AG328" s="6"/>
      <c r="AH328" s="6"/>
      <c r="AI328" s="6"/>
      <c r="AJ328" s="6"/>
    </row>
    <row r="329" spans="1:36" x14ac:dyDescent="0.2">
      <c r="A329" s="6"/>
      <c r="B329" s="6"/>
      <c r="C329" s="6"/>
      <c r="D329" s="6"/>
      <c r="E329" s="6"/>
      <c r="F329" s="6"/>
      <c r="G329" s="6"/>
      <c r="H329" s="6"/>
      <c r="I329" s="7"/>
      <c r="J329" s="7"/>
      <c r="K329" s="7"/>
      <c r="L329" s="7"/>
      <c r="M329" s="6"/>
      <c r="N329" s="7"/>
      <c r="O329" s="7"/>
      <c r="P329" s="7"/>
      <c r="Q329" s="7"/>
      <c r="R329" s="7"/>
      <c r="S329" s="7"/>
      <c r="T329" s="7"/>
      <c r="U329" s="7"/>
      <c r="V329" s="7"/>
      <c r="W329" s="7"/>
      <c r="X329" s="7"/>
      <c r="Y329" s="7"/>
      <c r="Z329" s="6"/>
      <c r="AA329" s="6"/>
      <c r="AB329" s="6"/>
      <c r="AC329" s="6"/>
      <c r="AD329" s="6"/>
      <c r="AE329" s="6"/>
      <c r="AF329" s="6"/>
      <c r="AG329" s="6"/>
      <c r="AH329" s="6"/>
      <c r="AI329" s="6"/>
      <c r="AJ329" s="6"/>
    </row>
    <row r="330" spans="1:36" x14ac:dyDescent="0.2">
      <c r="A330" s="6"/>
      <c r="B330" s="6"/>
      <c r="C330" s="6"/>
      <c r="D330" s="6"/>
      <c r="E330" s="6"/>
      <c r="F330" s="6"/>
      <c r="G330" s="6"/>
      <c r="H330" s="6"/>
      <c r="I330" s="7"/>
      <c r="J330" s="7"/>
      <c r="K330" s="7"/>
      <c r="L330" s="7"/>
      <c r="M330" s="6"/>
      <c r="N330" s="7"/>
      <c r="O330" s="7"/>
      <c r="P330" s="7"/>
      <c r="Q330" s="7"/>
      <c r="R330" s="7"/>
      <c r="S330" s="7"/>
      <c r="T330" s="7"/>
      <c r="U330" s="7"/>
      <c r="V330" s="7"/>
      <c r="W330" s="7"/>
      <c r="X330" s="7"/>
      <c r="Y330" s="7"/>
      <c r="Z330" s="6"/>
      <c r="AA330" s="6"/>
      <c r="AB330" s="6"/>
      <c r="AC330" s="6"/>
      <c r="AD330" s="6"/>
      <c r="AE330" s="6"/>
      <c r="AF330" s="6"/>
      <c r="AG330" s="6"/>
      <c r="AH330" s="6"/>
      <c r="AI330" s="6"/>
      <c r="AJ330" s="6"/>
    </row>
    <row r="331" spans="1:36" x14ac:dyDescent="0.2">
      <c r="A331" s="6"/>
      <c r="B331" s="6"/>
      <c r="C331" s="6"/>
      <c r="D331" s="6"/>
      <c r="E331" s="6"/>
      <c r="F331" s="6"/>
      <c r="G331" s="6"/>
      <c r="H331" s="6"/>
      <c r="I331" s="7"/>
      <c r="J331" s="7"/>
      <c r="K331" s="7"/>
      <c r="L331" s="7"/>
      <c r="M331" s="6"/>
      <c r="N331" s="7"/>
      <c r="O331" s="7"/>
      <c r="P331" s="7"/>
      <c r="Q331" s="7"/>
      <c r="R331" s="7"/>
      <c r="S331" s="7"/>
      <c r="T331" s="7"/>
      <c r="U331" s="7"/>
      <c r="V331" s="7"/>
      <c r="W331" s="7"/>
      <c r="X331" s="7"/>
      <c r="Y331" s="7"/>
      <c r="Z331" s="6"/>
      <c r="AA331" s="6"/>
      <c r="AB331" s="6"/>
      <c r="AC331" s="6"/>
      <c r="AD331" s="6"/>
      <c r="AE331" s="6"/>
      <c r="AF331" s="6"/>
      <c r="AG331" s="6"/>
      <c r="AH331" s="6"/>
      <c r="AI331" s="6"/>
      <c r="AJ331" s="6"/>
    </row>
    <row r="332" spans="1:36" x14ac:dyDescent="0.2">
      <c r="A332" s="6"/>
      <c r="B332" s="6"/>
      <c r="C332" s="6"/>
      <c r="D332" s="6"/>
      <c r="E332" s="6"/>
      <c r="F332" s="6"/>
      <c r="G332" s="6"/>
      <c r="H332" s="6"/>
      <c r="I332" s="7"/>
      <c r="J332" s="7"/>
      <c r="K332" s="7"/>
      <c r="L332" s="7"/>
      <c r="M332" s="6"/>
      <c r="N332" s="7"/>
      <c r="O332" s="7"/>
      <c r="P332" s="7"/>
      <c r="Q332" s="7"/>
      <c r="R332" s="7"/>
      <c r="S332" s="7"/>
      <c r="T332" s="7"/>
      <c r="U332" s="7"/>
      <c r="V332" s="7"/>
      <c r="W332" s="7"/>
      <c r="X332" s="7"/>
      <c r="Y332" s="7"/>
      <c r="Z332" s="6"/>
      <c r="AA332" s="6"/>
      <c r="AB332" s="6"/>
      <c r="AC332" s="6"/>
      <c r="AD332" s="6"/>
      <c r="AE332" s="6"/>
      <c r="AF332" s="6"/>
      <c r="AG332" s="6"/>
      <c r="AH332" s="6"/>
      <c r="AI332" s="6"/>
      <c r="AJ332" s="6"/>
    </row>
    <row r="333" spans="1:36" x14ac:dyDescent="0.2">
      <c r="A333" s="6"/>
      <c r="B333" s="6"/>
      <c r="C333" s="6"/>
      <c r="D333" s="6"/>
      <c r="E333" s="6"/>
      <c r="F333" s="6"/>
      <c r="G333" s="6"/>
      <c r="H333" s="6"/>
      <c r="I333" s="7"/>
      <c r="J333" s="7"/>
      <c r="K333" s="7"/>
      <c r="L333" s="7"/>
      <c r="M333" s="6"/>
      <c r="N333" s="7"/>
      <c r="O333" s="7"/>
      <c r="P333" s="7"/>
      <c r="Q333" s="7"/>
      <c r="R333" s="7"/>
      <c r="S333" s="7"/>
      <c r="T333" s="7"/>
      <c r="U333" s="7"/>
      <c r="V333" s="7"/>
      <c r="W333" s="7"/>
      <c r="X333" s="7"/>
      <c r="Y333" s="7"/>
      <c r="Z333" s="6"/>
      <c r="AA333" s="6"/>
      <c r="AB333" s="6"/>
      <c r="AC333" s="6"/>
      <c r="AD333" s="6"/>
      <c r="AE333" s="6"/>
      <c r="AF333" s="6"/>
      <c r="AG333" s="6"/>
      <c r="AH333" s="6"/>
      <c r="AI333" s="6"/>
      <c r="AJ333" s="6"/>
    </row>
    <row r="334" spans="1:36" x14ac:dyDescent="0.2">
      <c r="A334" s="6"/>
      <c r="B334" s="6"/>
      <c r="C334" s="6"/>
      <c r="D334" s="6"/>
      <c r="E334" s="6"/>
      <c r="F334" s="6"/>
      <c r="G334" s="6"/>
      <c r="H334" s="6"/>
      <c r="I334" s="7"/>
      <c r="J334" s="7"/>
      <c r="K334" s="7"/>
      <c r="L334" s="7"/>
      <c r="M334" s="6"/>
      <c r="N334" s="7"/>
      <c r="O334" s="7"/>
      <c r="P334" s="7"/>
      <c r="Q334" s="7"/>
      <c r="R334" s="7"/>
      <c r="S334" s="7"/>
      <c r="T334" s="7"/>
      <c r="U334" s="7"/>
      <c r="V334" s="7"/>
      <c r="W334" s="7"/>
      <c r="X334" s="7"/>
      <c r="Y334" s="7"/>
      <c r="Z334" s="6"/>
      <c r="AA334" s="6"/>
      <c r="AB334" s="6"/>
      <c r="AC334" s="6"/>
      <c r="AD334" s="6"/>
      <c r="AE334" s="6"/>
      <c r="AF334" s="6"/>
      <c r="AG334" s="6"/>
      <c r="AH334" s="6"/>
      <c r="AI334" s="6"/>
      <c r="AJ334" s="6"/>
    </row>
    <row r="335" spans="1:36" x14ac:dyDescent="0.2">
      <c r="A335" s="6"/>
      <c r="B335" s="6"/>
      <c r="C335" s="6"/>
      <c r="D335" s="6"/>
      <c r="E335" s="6"/>
      <c r="F335" s="6"/>
      <c r="G335" s="6"/>
      <c r="H335" s="6"/>
      <c r="I335" s="7"/>
      <c r="J335" s="7"/>
      <c r="K335" s="7"/>
      <c r="L335" s="7"/>
      <c r="M335" s="6"/>
      <c r="N335" s="7"/>
      <c r="O335" s="7"/>
      <c r="P335" s="7"/>
      <c r="Q335" s="7"/>
      <c r="R335" s="7"/>
      <c r="S335" s="7"/>
      <c r="T335" s="7"/>
      <c r="U335" s="7"/>
      <c r="V335" s="7"/>
      <c r="W335" s="7"/>
      <c r="X335" s="7"/>
      <c r="Y335" s="7"/>
      <c r="Z335" s="6"/>
      <c r="AA335" s="6"/>
      <c r="AB335" s="6"/>
      <c r="AC335" s="6"/>
      <c r="AD335" s="6"/>
      <c r="AE335" s="6"/>
      <c r="AF335" s="6"/>
      <c r="AG335" s="6"/>
      <c r="AH335" s="6"/>
      <c r="AI335" s="6"/>
      <c r="AJ335" s="6"/>
    </row>
    <row r="336" spans="1:36" x14ac:dyDescent="0.2">
      <c r="A336" s="6"/>
      <c r="B336" s="6"/>
      <c r="C336" s="6"/>
      <c r="D336" s="6"/>
      <c r="E336" s="6"/>
      <c r="F336" s="6"/>
      <c r="G336" s="6"/>
      <c r="H336" s="6"/>
      <c r="I336" s="7"/>
      <c r="J336" s="7"/>
      <c r="K336" s="7"/>
      <c r="L336" s="7"/>
      <c r="M336" s="6"/>
      <c r="N336" s="7"/>
      <c r="O336" s="7"/>
      <c r="P336" s="7"/>
      <c r="Q336" s="7"/>
      <c r="R336" s="7"/>
      <c r="S336" s="7"/>
      <c r="T336" s="7"/>
      <c r="U336" s="7"/>
      <c r="V336" s="7"/>
      <c r="W336" s="7"/>
      <c r="X336" s="7"/>
      <c r="Y336" s="7"/>
      <c r="Z336" s="6"/>
      <c r="AA336" s="6"/>
      <c r="AB336" s="6"/>
      <c r="AC336" s="6"/>
      <c r="AD336" s="6"/>
      <c r="AE336" s="6"/>
      <c r="AF336" s="6"/>
      <c r="AG336" s="6"/>
      <c r="AH336" s="6"/>
      <c r="AI336" s="6"/>
      <c r="AJ336" s="6"/>
    </row>
    <row r="337" spans="1:36" x14ac:dyDescent="0.2">
      <c r="A337" s="6"/>
      <c r="B337" s="6"/>
      <c r="C337" s="6"/>
      <c r="D337" s="6"/>
      <c r="E337" s="6"/>
      <c r="F337" s="6"/>
      <c r="G337" s="6"/>
      <c r="H337" s="6"/>
      <c r="I337" s="7"/>
      <c r="J337" s="7"/>
      <c r="K337" s="7"/>
      <c r="L337" s="7"/>
      <c r="M337" s="6"/>
      <c r="N337" s="7"/>
      <c r="O337" s="7"/>
      <c r="P337" s="7"/>
      <c r="Q337" s="7"/>
      <c r="R337" s="7"/>
      <c r="S337" s="7"/>
      <c r="T337" s="7"/>
      <c r="U337" s="7"/>
      <c r="V337" s="7"/>
      <c r="W337" s="7"/>
      <c r="X337" s="7"/>
      <c r="Y337" s="7"/>
      <c r="Z337" s="6"/>
      <c r="AA337" s="6"/>
      <c r="AB337" s="6"/>
      <c r="AC337" s="6"/>
      <c r="AD337" s="6"/>
      <c r="AE337" s="6"/>
      <c r="AF337" s="6"/>
      <c r="AG337" s="6"/>
      <c r="AH337" s="6"/>
      <c r="AI337" s="6"/>
      <c r="AJ337" s="6"/>
    </row>
    <row r="338" spans="1:36" x14ac:dyDescent="0.2">
      <c r="A338" s="6"/>
      <c r="B338" s="6"/>
      <c r="C338" s="6"/>
      <c r="D338" s="6"/>
      <c r="E338" s="6"/>
      <c r="F338" s="6"/>
      <c r="G338" s="6"/>
      <c r="H338" s="6"/>
      <c r="I338" s="7"/>
      <c r="J338" s="7"/>
      <c r="K338" s="7"/>
      <c r="L338" s="7"/>
      <c r="M338" s="6"/>
      <c r="N338" s="7"/>
      <c r="O338" s="7"/>
      <c r="P338" s="7"/>
      <c r="Q338" s="7"/>
      <c r="R338" s="7"/>
      <c r="S338" s="7"/>
      <c r="T338" s="7"/>
      <c r="U338" s="7"/>
      <c r="V338" s="7"/>
      <c r="W338" s="7"/>
      <c r="X338" s="7"/>
      <c r="Y338" s="7"/>
      <c r="Z338" s="6"/>
      <c r="AA338" s="6"/>
      <c r="AB338" s="6"/>
      <c r="AC338" s="6"/>
      <c r="AD338" s="6"/>
      <c r="AE338" s="6"/>
      <c r="AF338" s="6"/>
      <c r="AG338" s="6"/>
      <c r="AH338" s="6"/>
      <c r="AI338" s="6"/>
      <c r="AJ338" s="6"/>
    </row>
    <row r="339" spans="1:36" x14ac:dyDescent="0.2">
      <c r="A339" s="6"/>
      <c r="B339" s="6"/>
      <c r="C339" s="6"/>
      <c r="D339" s="6"/>
      <c r="E339" s="6"/>
      <c r="F339" s="6"/>
      <c r="G339" s="6"/>
      <c r="H339" s="6"/>
      <c r="I339" s="7"/>
      <c r="J339" s="7"/>
      <c r="K339" s="7"/>
      <c r="L339" s="7"/>
      <c r="M339" s="6"/>
      <c r="N339" s="7"/>
      <c r="O339" s="7"/>
      <c r="P339" s="7"/>
      <c r="Q339" s="7"/>
      <c r="R339" s="7"/>
      <c r="S339" s="7"/>
      <c r="T339" s="7"/>
      <c r="U339" s="7"/>
      <c r="V339" s="7"/>
      <c r="W339" s="7"/>
      <c r="X339" s="7"/>
      <c r="Y339" s="7"/>
      <c r="Z339" s="6"/>
      <c r="AA339" s="6"/>
      <c r="AB339" s="6"/>
      <c r="AC339" s="6"/>
      <c r="AD339" s="6"/>
      <c r="AE339" s="6"/>
      <c r="AF339" s="6"/>
      <c r="AG339" s="6"/>
      <c r="AH339" s="6"/>
      <c r="AI339" s="6"/>
      <c r="AJ339" s="6"/>
    </row>
    <row r="340" spans="1:36" x14ac:dyDescent="0.2">
      <c r="A340" s="6"/>
      <c r="B340" s="6"/>
      <c r="C340" s="6"/>
      <c r="D340" s="6"/>
      <c r="E340" s="6"/>
      <c r="F340" s="6"/>
      <c r="G340" s="6"/>
      <c r="H340" s="6"/>
      <c r="I340" s="7"/>
      <c r="J340" s="7"/>
      <c r="K340" s="7"/>
      <c r="L340" s="7"/>
      <c r="M340" s="6"/>
      <c r="N340" s="7"/>
      <c r="O340" s="7"/>
      <c r="P340" s="7"/>
      <c r="Q340" s="7"/>
      <c r="R340" s="7"/>
      <c r="S340" s="7"/>
      <c r="T340" s="7"/>
      <c r="U340" s="7"/>
      <c r="V340" s="7"/>
      <c r="W340" s="7"/>
      <c r="X340" s="7"/>
      <c r="Y340" s="7"/>
      <c r="Z340" s="6"/>
      <c r="AA340" s="6"/>
      <c r="AB340" s="6"/>
      <c r="AC340" s="6"/>
      <c r="AD340" s="6"/>
      <c r="AE340" s="6"/>
      <c r="AF340" s="6"/>
      <c r="AG340" s="6"/>
      <c r="AH340" s="6"/>
      <c r="AI340" s="6"/>
      <c r="AJ340" s="6"/>
    </row>
    <row r="341" spans="1:36" x14ac:dyDescent="0.2">
      <c r="A341" s="6"/>
      <c r="B341" s="6"/>
      <c r="C341" s="6"/>
      <c r="D341" s="6"/>
      <c r="E341" s="6"/>
      <c r="F341" s="6"/>
      <c r="G341" s="6"/>
      <c r="H341" s="6"/>
      <c r="I341" s="7"/>
      <c r="J341" s="7"/>
      <c r="K341" s="7"/>
      <c r="L341" s="7"/>
      <c r="M341" s="6"/>
      <c r="N341" s="7"/>
      <c r="O341" s="7"/>
      <c r="P341" s="7"/>
      <c r="Q341" s="7"/>
      <c r="R341" s="7"/>
      <c r="S341" s="7"/>
      <c r="T341" s="7"/>
      <c r="U341" s="7"/>
      <c r="V341" s="7"/>
      <c r="W341" s="7"/>
      <c r="X341" s="7"/>
      <c r="Y341" s="7"/>
      <c r="Z341" s="6"/>
      <c r="AA341" s="6"/>
      <c r="AB341" s="6"/>
      <c r="AC341" s="6"/>
      <c r="AD341" s="6"/>
      <c r="AE341" s="6"/>
      <c r="AF341" s="6"/>
      <c r="AG341" s="6"/>
      <c r="AH341" s="6"/>
      <c r="AI341" s="6"/>
      <c r="AJ341" s="6"/>
    </row>
    <row r="342" spans="1:36" x14ac:dyDescent="0.2">
      <c r="A342" s="6"/>
      <c r="B342" s="6"/>
      <c r="C342" s="6"/>
      <c r="D342" s="6"/>
      <c r="E342" s="6"/>
      <c r="F342" s="6"/>
      <c r="G342" s="6"/>
      <c r="H342" s="6"/>
      <c r="I342" s="7"/>
      <c r="J342" s="7"/>
      <c r="K342" s="7"/>
      <c r="L342" s="7"/>
      <c r="M342" s="6"/>
      <c r="N342" s="7"/>
      <c r="O342" s="7"/>
      <c r="P342" s="7"/>
      <c r="Q342" s="7"/>
      <c r="R342" s="7"/>
      <c r="S342" s="7"/>
      <c r="T342" s="7"/>
      <c r="U342" s="7"/>
      <c r="V342" s="7"/>
      <c r="W342" s="7"/>
      <c r="X342" s="7"/>
      <c r="Y342" s="7"/>
      <c r="Z342" s="6"/>
      <c r="AA342" s="6"/>
      <c r="AB342" s="6"/>
      <c r="AC342" s="6"/>
      <c r="AD342" s="6"/>
      <c r="AE342" s="6"/>
      <c r="AF342" s="6"/>
      <c r="AG342" s="6"/>
      <c r="AH342" s="6"/>
      <c r="AI342" s="6"/>
      <c r="AJ342" s="6"/>
    </row>
    <row r="343" spans="1:36" x14ac:dyDescent="0.2">
      <c r="A343" s="6"/>
      <c r="B343" s="6"/>
      <c r="C343" s="6"/>
      <c r="D343" s="6"/>
      <c r="E343" s="6"/>
      <c r="F343" s="6"/>
      <c r="G343" s="6"/>
      <c r="H343" s="6"/>
      <c r="I343" s="7"/>
      <c r="J343" s="7"/>
      <c r="K343" s="7"/>
      <c r="L343" s="7"/>
      <c r="M343" s="6"/>
      <c r="N343" s="7"/>
      <c r="O343" s="7"/>
      <c r="P343" s="7"/>
      <c r="Q343" s="7"/>
      <c r="R343" s="7"/>
      <c r="S343" s="7"/>
      <c r="T343" s="7"/>
      <c r="U343" s="7"/>
      <c r="V343" s="7"/>
      <c r="W343" s="7"/>
      <c r="X343" s="7"/>
      <c r="Y343" s="7"/>
      <c r="Z343" s="6"/>
      <c r="AA343" s="6"/>
      <c r="AB343" s="6"/>
      <c r="AC343" s="6"/>
      <c r="AD343" s="6"/>
      <c r="AE343" s="6"/>
      <c r="AF343" s="6"/>
      <c r="AG343" s="6"/>
      <c r="AH343" s="6"/>
      <c r="AI343" s="6"/>
      <c r="AJ343" s="6"/>
    </row>
    <row r="344" spans="1:36" x14ac:dyDescent="0.2">
      <c r="A344" s="6"/>
      <c r="B344" s="6"/>
      <c r="C344" s="6"/>
      <c r="D344" s="6"/>
      <c r="E344" s="6"/>
      <c r="F344" s="6"/>
      <c r="G344" s="6"/>
      <c r="H344" s="6"/>
      <c r="I344" s="7"/>
      <c r="J344" s="7"/>
      <c r="K344" s="7"/>
      <c r="L344" s="7"/>
      <c r="M344" s="6"/>
      <c r="N344" s="7"/>
      <c r="O344" s="7"/>
      <c r="P344" s="7"/>
      <c r="Q344" s="7"/>
      <c r="R344" s="7"/>
      <c r="S344" s="7"/>
      <c r="T344" s="7"/>
      <c r="U344" s="7"/>
      <c r="V344" s="7"/>
      <c r="W344" s="7"/>
      <c r="X344" s="7"/>
      <c r="Y344" s="7"/>
      <c r="Z344" s="6"/>
      <c r="AA344" s="6"/>
      <c r="AB344" s="6"/>
      <c r="AC344" s="6"/>
      <c r="AD344" s="6"/>
      <c r="AE344" s="6"/>
      <c r="AF344" s="6"/>
      <c r="AG344" s="6"/>
      <c r="AH344" s="6"/>
      <c r="AI344" s="6"/>
      <c r="AJ344" s="6"/>
    </row>
    <row r="345" spans="1:36" x14ac:dyDescent="0.2">
      <c r="A345" s="6"/>
      <c r="B345" s="6"/>
      <c r="C345" s="6"/>
      <c r="D345" s="6"/>
      <c r="E345" s="6"/>
      <c r="F345" s="6"/>
      <c r="G345" s="6"/>
      <c r="H345" s="6"/>
      <c r="I345" s="7"/>
      <c r="J345" s="7"/>
      <c r="K345" s="7"/>
      <c r="L345" s="7"/>
      <c r="M345" s="6"/>
      <c r="N345" s="7"/>
      <c r="O345" s="7"/>
      <c r="P345" s="7"/>
      <c r="Q345" s="7"/>
      <c r="R345" s="7"/>
      <c r="S345" s="7"/>
      <c r="T345" s="7"/>
      <c r="U345" s="7"/>
      <c r="V345" s="7"/>
      <c r="W345" s="7"/>
      <c r="X345" s="7"/>
      <c r="Y345" s="7"/>
      <c r="Z345" s="6"/>
      <c r="AA345" s="6"/>
      <c r="AB345" s="6"/>
      <c r="AC345" s="6"/>
      <c r="AD345" s="6"/>
      <c r="AE345" s="6"/>
      <c r="AF345" s="6"/>
      <c r="AG345" s="6"/>
      <c r="AH345" s="6"/>
      <c r="AI345" s="6"/>
      <c r="AJ345" s="6"/>
    </row>
    <row r="346" spans="1:36" x14ac:dyDescent="0.2">
      <c r="A346" s="6"/>
      <c r="B346" s="6"/>
      <c r="C346" s="6"/>
      <c r="D346" s="6"/>
      <c r="E346" s="6"/>
      <c r="F346" s="6"/>
      <c r="G346" s="6"/>
      <c r="H346" s="6"/>
      <c r="I346" s="7"/>
      <c r="J346" s="7"/>
      <c r="K346" s="7"/>
      <c r="L346" s="7"/>
      <c r="M346" s="6"/>
      <c r="N346" s="7"/>
      <c r="O346" s="7"/>
      <c r="P346" s="7"/>
      <c r="Q346" s="7"/>
      <c r="R346" s="7"/>
      <c r="S346" s="7"/>
      <c r="T346" s="7"/>
      <c r="U346" s="7"/>
      <c r="V346" s="7"/>
      <c r="W346" s="7"/>
      <c r="X346" s="7"/>
      <c r="Y346" s="7"/>
      <c r="Z346" s="6"/>
      <c r="AA346" s="6"/>
      <c r="AB346" s="6"/>
      <c r="AC346" s="6"/>
      <c r="AD346" s="6"/>
      <c r="AE346" s="6"/>
      <c r="AF346" s="6"/>
      <c r="AG346" s="6"/>
      <c r="AH346" s="6"/>
      <c r="AI346" s="6"/>
      <c r="AJ346" s="6"/>
    </row>
    <row r="347" spans="1:36" x14ac:dyDescent="0.2">
      <c r="A347" s="6"/>
      <c r="B347" s="6"/>
      <c r="C347" s="6"/>
      <c r="D347" s="6"/>
      <c r="E347" s="6"/>
      <c r="F347" s="6"/>
      <c r="G347" s="6"/>
      <c r="H347" s="6"/>
      <c r="I347" s="7"/>
      <c r="J347" s="7"/>
      <c r="K347" s="7"/>
      <c r="L347" s="7"/>
      <c r="M347" s="6"/>
      <c r="N347" s="7"/>
      <c r="O347" s="7"/>
      <c r="P347" s="7"/>
      <c r="Q347" s="7"/>
      <c r="R347" s="7"/>
      <c r="S347" s="7"/>
      <c r="T347" s="7"/>
      <c r="U347" s="7"/>
      <c r="V347" s="7"/>
      <c r="W347" s="7"/>
      <c r="X347" s="7"/>
      <c r="Y347" s="7"/>
      <c r="Z347" s="6"/>
      <c r="AA347" s="6"/>
      <c r="AB347" s="6"/>
      <c r="AC347" s="6"/>
      <c r="AD347" s="6"/>
      <c r="AE347" s="6"/>
      <c r="AF347" s="6"/>
      <c r="AG347" s="6"/>
      <c r="AH347" s="6"/>
      <c r="AI347" s="6"/>
      <c r="AJ347" s="6"/>
    </row>
    <row r="348" spans="1:36" x14ac:dyDescent="0.2">
      <c r="A348" s="6"/>
      <c r="B348" s="6"/>
      <c r="C348" s="6"/>
      <c r="D348" s="6"/>
      <c r="E348" s="6"/>
      <c r="F348" s="6"/>
      <c r="G348" s="6"/>
      <c r="H348" s="6"/>
      <c r="I348" s="7"/>
      <c r="J348" s="7"/>
      <c r="K348" s="7"/>
      <c r="L348" s="7"/>
      <c r="M348" s="6"/>
      <c r="N348" s="7"/>
      <c r="O348" s="7"/>
      <c r="P348" s="7"/>
      <c r="Q348" s="7"/>
      <c r="R348" s="7"/>
      <c r="S348" s="7"/>
      <c r="T348" s="7"/>
      <c r="U348" s="7"/>
      <c r="V348" s="7"/>
      <c r="W348" s="7"/>
      <c r="X348" s="7"/>
      <c r="Y348" s="7"/>
      <c r="Z348" s="6"/>
      <c r="AA348" s="6"/>
      <c r="AB348" s="6"/>
      <c r="AC348" s="6"/>
      <c r="AD348" s="6"/>
      <c r="AE348" s="6"/>
      <c r="AF348" s="6"/>
      <c r="AG348" s="6"/>
      <c r="AH348" s="6"/>
      <c r="AI348" s="6"/>
      <c r="AJ348" s="6"/>
    </row>
    <row r="349" spans="1:36" x14ac:dyDescent="0.2">
      <c r="A349" s="6"/>
      <c r="B349" s="6"/>
      <c r="C349" s="6"/>
      <c r="D349" s="6"/>
      <c r="E349" s="6"/>
      <c r="F349" s="6"/>
      <c r="G349" s="6"/>
      <c r="H349" s="6"/>
      <c r="I349" s="7"/>
      <c r="J349" s="7"/>
      <c r="K349" s="7"/>
      <c r="L349" s="7"/>
      <c r="M349" s="6"/>
      <c r="N349" s="7"/>
      <c r="O349" s="7"/>
      <c r="P349" s="7"/>
      <c r="Q349" s="7"/>
      <c r="R349" s="7"/>
      <c r="S349" s="7"/>
      <c r="T349" s="7"/>
      <c r="U349" s="7"/>
      <c r="V349" s="7"/>
      <c r="W349" s="7"/>
      <c r="X349" s="7"/>
      <c r="Y349" s="7"/>
      <c r="Z349" s="6"/>
      <c r="AA349" s="6"/>
      <c r="AB349" s="6"/>
      <c r="AC349" s="6"/>
      <c r="AD349" s="6"/>
      <c r="AE349" s="6"/>
      <c r="AF349" s="6"/>
      <c r="AG349" s="6"/>
      <c r="AH349" s="6"/>
      <c r="AI349" s="6"/>
      <c r="AJ349" s="6"/>
    </row>
    <row r="350" spans="1:36" x14ac:dyDescent="0.2">
      <c r="A350" s="6"/>
      <c r="B350" s="6"/>
      <c r="C350" s="6"/>
      <c r="D350" s="6"/>
      <c r="E350" s="6"/>
      <c r="F350" s="6"/>
      <c r="G350" s="6"/>
      <c r="H350" s="6"/>
      <c r="I350" s="7"/>
      <c r="J350" s="7"/>
      <c r="K350" s="7"/>
      <c r="L350" s="7"/>
      <c r="M350" s="6"/>
      <c r="N350" s="7"/>
      <c r="O350" s="7"/>
      <c r="P350" s="7"/>
      <c r="Q350" s="7"/>
      <c r="R350" s="7"/>
      <c r="S350" s="7"/>
      <c r="T350" s="7"/>
      <c r="U350" s="7"/>
      <c r="V350" s="7"/>
      <c r="W350" s="7"/>
      <c r="X350" s="7"/>
      <c r="Y350" s="7"/>
      <c r="Z350" s="6"/>
      <c r="AA350" s="6"/>
      <c r="AB350" s="6"/>
      <c r="AC350" s="6"/>
      <c r="AD350" s="6"/>
      <c r="AE350" s="6"/>
      <c r="AF350" s="6"/>
      <c r="AG350" s="6"/>
      <c r="AH350" s="6"/>
      <c r="AI350" s="6"/>
      <c r="AJ350" s="6"/>
    </row>
    <row r="351" spans="1:36" x14ac:dyDescent="0.2">
      <c r="A351" s="6"/>
      <c r="B351" s="6"/>
      <c r="C351" s="6"/>
      <c r="D351" s="6"/>
      <c r="E351" s="6"/>
      <c r="F351" s="6"/>
      <c r="G351" s="6"/>
      <c r="H351" s="6"/>
      <c r="I351" s="7"/>
      <c r="J351" s="7"/>
      <c r="K351" s="7"/>
      <c r="L351" s="7"/>
      <c r="M351" s="6"/>
      <c r="N351" s="7"/>
      <c r="O351" s="7"/>
      <c r="P351" s="7"/>
      <c r="Q351" s="7"/>
      <c r="R351" s="7"/>
      <c r="S351" s="7"/>
      <c r="T351" s="7"/>
      <c r="U351" s="7"/>
      <c r="V351" s="7"/>
      <c r="W351" s="7"/>
      <c r="X351" s="7"/>
      <c r="Y351" s="7"/>
      <c r="Z351" s="6"/>
      <c r="AA351" s="6"/>
      <c r="AB351" s="6"/>
      <c r="AC351" s="6"/>
      <c r="AD351" s="6"/>
      <c r="AE351" s="6"/>
      <c r="AF351" s="6"/>
      <c r="AG351" s="6"/>
      <c r="AH351" s="6"/>
      <c r="AI351" s="6"/>
      <c r="AJ351" s="6"/>
    </row>
    <row r="352" spans="1:36" x14ac:dyDescent="0.2">
      <c r="A352" s="6"/>
      <c r="B352" s="6"/>
      <c r="C352" s="6"/>
      <c r="D352" s="6"/>
      <c r="E352" s="6"/>
      <c r="F352" s="6"/>
      <c r="G352" s="6"/>
      <c r="H352" s="6"/>
      <c r="I352" s="7"/>
      <c r="J352" s="7"/>
      <c r="K352" s="7"/>
      <c r="L352" s="7"/>
      <c r="M352" s="6"/>
      <c r="N352" s="7"/>
      <c r="O352" s="7"/>
      <c r="P352" s="7"/>
      <c r="Q352" s="7"/>
      <c r="R352" s="7"/>
      <c r="S352" s="7"/>
      <c r="T352" s="7"/>
      <c r="U352" s="7"/>
      <c r="V352" s="7"/>
      <c r="W352" s="7"/>
      <c r="X352" s="7"/>
      <c r="Y352" s="7"/>
      <c r="Z352" s="6"/>
      <c r="AA352" s="6"/>
      <c r="AB352" s="6"/>
      <c r="AC352" s="6"/>
      <c r="AD352" s="6"/>
      <c r="AE352" s="6"/>
      <c r="AF352" s="6"/>
      <c r="AG352" s="6"/>
      <c r="AH352" s="6"/>
      <c r="AI352" s="6"/>
      <c r="AJ352" s="6"/>
    </row>
    <row r="353" spans="1:36" x14ac:dyDescent="0.2">
      <c r="A353" s="6"/>
      <c r="B353" s="6"/>
      <c r="C353" s="6"/>
      <c r="D353" s="6"/>
      <c r="E353" s="6"/>
      <c r="F353" s="6"/>
      <c r="G353" s="6"/>
      <c r="H353" s="6"/>
      <c r="I353" s="7"/>
      <c r="J353" s="7"/>
      <c r="K353" s="7"/>
      <c r="L353" s="7"/>
      <c r="M353" s="6"/>
      <c r="N353" s="7"/>
      <c r="O353" s="7"/>
      <c r="P353" s="7"/>
      <c r="Q353" s="7"/>
      <c r="R353" s="7"/>
      <c r="S353" s="7"/>
      <c r="T353" s="7"/>
      <c r="U353" s="7"/>
      <c r="V353" s="7"/>
      <c r="W353" s="7"/>
      <c r="X353" s="7"/>
      <c r="Y353" s="7"/>
      <c r="Z353" s="6"/>
      <c r="AA353" s="6"/>
      <c r="AB353" s="6"/>
      <c r="AC353" s="6"/>
      <c r="AD353" s="6"/>
      <c r="AE353" s="6"/>
      <c r="AF353" s="6"/>
      <c r="AG353" s="6"/>
      <c r="AH353" s="6"/>
      <c r="AI353" s="6"/>
      <c r="AJ353" s="6"/>
    </row>
    <row r="354" spans="1:36" x14ac:dyDescent="0.2">
      <c r="A354" s="6"/>
      <c r="B354" s="6"/>
      <c r="C354" s="6"/>
      <c r="D354" s="6"/>
      <c r="E354" s="6"/>
      <c r="F354" s="6"/>
      <c r="G354" s="6"/>
      <c r="H354" s="6"/>
      <c r="I354" s="7"/>
      <c r="J354" s="7"/>
      <c r="K354" s="7"/>
      <c r="L354" s="7"/>
      <c r="M354" s="6"/>
      <c r="N354" s="7"/>
      <c r="O354" s="7"/>
      <c r="P354" s="7"/>
      <c r="Q354" s="7"/>
      <c r="R354" s="7"/>
      <c r="S354" s="7"/>
      <c r="T354" s="7"/>
      <c r="U354" s="7"/>
      <c r="V354" s="7"/>
      <c r="W354" s="7"/>
      <c r="X354" s="7"/>
      <c r="Y354" s="7"/>
      <c r="Z354" s="6"/>
      <c r="AA354" s="6"/>
      <c r="AB354" s="6"/>
      <c r="AC354" s="6"/>
      <c r="AD354" s="6"/>
      <c r="AE354" s="6"/>
      <c r="AF354" s="6"/>
      <c r="AG354" s="6"/>
      <c r="AH354" s="6"/>
      <c r="AI354" s="6"/>
      <c r="AJ354" s="6"/>
    </row>
    <row r="355" spans="1:36" x14ac:dyDescent="0.2">
      <c r="A355" s="6"/>
      <c r="B355" s="6"/>
      <c r="C355" s="6"/>
      <c r="D355" s="6"/>
      <c r="E355" s="6"/>
      <c r="F355" s="6"/>
      <c r="G355" s="6"/>
      <c r="H355" s="6"/>
      <c r="I355" s="7"/>
      <c r="J355" s="7"/>
      <c r="K355" s="7"/>
      <c r="L355" s="7"/>
      <c r="M355" s="6"/>
      <c r="N355" s="7"/>
      <c r="O355" s="7"/>
      <c r="P355" s="7"/>
      <c r="Q355" s="7"/>
      <c r="R355" s="7"/>
      <c r="S355" s="7"/>
      <c r="T355" s="7"/>
      <c r="U355" s="7"/>
      <c r="V355" s="7"/>
      <c r="W355" s="7"/>
      <c r="X355" s="7"/>
      <c r="Y355" s="7"/>
      <c r="Z355" s="6"/>
      <c r="AA355" s="6"/>
      <c r="AB355" s="6"/>
      <c r="AC355" s="6"/>
      <c r="AD355" s="6"/>
      <c r="AE355" s="6"/>
      <c r="AF355" s="6"/>
      <c r="AG355" s="6"/>
      <c r="AH355" s="6"/>
      <c r="AI355" s="6"/>
      <c r="AJ355" s="6"/>
    </row>
    <row r="356" spans="1:36" x14ac:dyDescent="0.2">
      <c r="A356" s="6"/>
      <c r="B356" s="6"/>
      <c r="C356" s="6"/>
      <c r="D356" s="6"/>
      <c r="E356" s="6"/>
      <c r="F356" s="6"/>
      <c r="G356" s="6"/>
      <c r="H356" s="6"/>
      <c r="I356" s="7"/>
      <c r="J356" s="7"/>
      <c r="K356" s="7"/>
      <c r="L356" s="7"/>
      <c r="M356" s="6"/>
      <c r="N356" s="7"/>
      <c r="O356" s="7"/>
      <c r="P356" s="7"/>
      <c r="Q356" s="7"/>
      <c r="R356" s="7"/>
      <c r="S356" s="7"/>
      <c r="T356" s="7"/>
      <c r="U356" s="7"/>
      <c r="V356" s="7"/>
      <c r="W356" s="7"/>
      <c r="X356" s="7"/>
      <c r="Y356" s="7"/>
      <c r="Z356" s="6"/>
      <c r="AA356" s="6"/>
      <c r="AB356" s="6"/>
      <c r="AC356" s="6"/>
      <c r="AD356" s="6"/>
      <c r="AE356" s="6"/>
      <c r="AF356" s="6"/>
      <c r="AG356" s="6"/>
      <c r="AH356" s="6"/>
      <c r="AI356" s="6"/>
      <c r="AJ356" s="6"/>
    </row>
    <row r="357" spans="1:36" x14ac:dyDescent="0.2">
      <c r="A357" s="6"/>
      <c r="B357" s="6"/>
      <c r="C357" s="6"/>
      <c r="D357" s="6"/>
      <c r="E357" s="6"/>
      <c r="F357" s="6"/>
      <c r="G357" s="6"/>
      <c r="H357" s="6"/>
      <c r="I357" s="7"/>
      <c r="J357" s="7"/>
      <c r="K357" s="7"/>
      <c r="L357" s="7"/>
      <c r="M357" s="6"/>
      <c r="N357" s="7"/>
      <c r="O357" s="7"/>
      <c r="P357" s="7"/>
      <c r="Q357" s="7"/>
      <c r="R357" s="7"/>
      <c r="S357" s="7"/>
      <c r="T357" s="7"/>
      <c r="U357" s="7"/>
      <c r="V357" s="7"/>
      <c r="W357" s="7"/>
      <c r="X357" s="7"/>
      <c r="Y357" s="7"/>
      <c r="Z357" s="6"/>
      <c r="AA357" s="6"/>
      <c r="AB357" s="6"/>
      <c r="AC357" s="6"/>
      <c r="AD357" s="6"/>
      <c r="AE357" s="6"/>
      <c r="AF357" s="6"/>
      <c r="AG357" s="6"/>
      <c r="AH357" s="6"/>
      <c r="AI357" s="6"/>
      <c r="AJ357" s="6"/>
    </row>
    <row r="358" spans="1:36" x14ac:dyDescent="0.2">
      <c r="A358" s="6"/>
      <c r="B358" s="6"/>
      <c r="C358" s="6"/>
      <c r="D358" s="6"/>
      <c r="E358" s="6"/>
      <c r="F358" s="6"/>
      <c r="G358" s="6"/>
      <c r="H358" s="6"/>
      <c r="I358" s="7"/>
      <c r="J358" s="7"/>
      <c r="K358" s="7"/>
      <c r="L358" s="7"/>
      <c r="M358" s="6"/>
      <c r="N358" s="7"/>
      <c r="O358" s="7"/>
      <c r="P358" s="7"/>
      <c r="Q358" s="7"/>
      <c r="R358" s="7"/>
      <c r="S358" s="7"/>
      <c r="T358" s="7"/>
      <c r="U358" s="7"/>
      <c r="V358" s="7"/>
      <c r="W358" s="7"/>
      <c r="X358" s="7"/>
      <c r="Y358" s="7"/>
      <c r="Z358" s="6"/>
      <c r="AA358" s="6"/>
      <c r="AB358" s="6"/>
      <c r="AC358" s="6"/>
      <c r="AD358" s="6"/>
      <c r="AE358" s="6"/>
      <c r="AF358" s="6"/>
      <c r="AG358" s="6"/>
      <c r="AH358" s="6"/>
      <c r="AI358" s="6"/>
      <c r="AJ358" s="6"/>
    </row>
    <row r="359" spans="1:36" x14ac:dyDescent="0.2">
      <c r="A359" s="6"/>
      <c r="B359" s="6"/>
      <c r="C359" s="6"/>
      <c r="D359" s="6"/>
      <c r="E359" s="6"/>
      <c r="F359" s="6"/>
      <c r="G359" s="6"/>
      <c r="H359" s="6"/>
      <c r="I359" s="7"/>
      <c r="J359" s="7"/>
      <c r="K359" s="7"/>
      <c r="L359" s="7"/>
      <c r="M359" s="6"/>
      <c r="N359" s="7"/>
      <c r="O359" s="7"/>
      <c r="P359" s="7"/>
      <c r="Q359" s="7"/>
      <c r="R359" s="7"/>
      <c r="S359" s="7"/>
      <c r="T359" s="7"/>
      <c r="U359" s="7"/>
      <c r="V359" s="7"/>
      <c r="W359" s="7"/>
      <c r="X359" s="7"/>
      <c r="Y359" s="7"/>
      <c r="Z359" s="6"/>
      <c r="AA359" s="6"/>
      <c r="AB359" s="6"/>
      <c r="AC359" s="6"/>
      <c r="AD359" s="6"/>
      <c r="AE359" s="6"/>
      <c r="AF359" s="6"/>
      <c r="AG359" s="6"/>
      <c r="AH359" s="6"/>
      <c r="AI359" s="6"/>
      <c r="AJ359" s="6"/>
    </row>
    <row r="360" spans="1:36" x14ac:dyDescent="0.2">
      <c r="A360" s="6"/>
      <c r="B360" s="6"/>
      <c r="C360" s="6"/>
      <c r="D360" s="6"/>
      <c r="E360" s="6"/>
      <c r="F360" s="6"/>
      <c r="G360" s="6"/>
      <c r="H360" s="6"/>
      <c r="I360" s="7"/>
      <c r="J360" s="7"/>
      <c r="K360" s="7"/>
      <c r="L360" s="7"/>
      <c r="M360" s="6"/>
      <c r="N360" s="7"/>
      <c r="O360" s="7"/>
      <c r="P360" s="7"/>
      <c r="Q360" s="7"/>
      <c r="R360" s="7"/>
      <c r="S360" s="7"/>
      <c r="T360" s="7"/>
      <c r="U360" s="7"/>
      <c r="V360" s="7"/>
      <c r="W360" s="7"/>
      <c r="X360" s="7"/>
      <c r="Y360" s="7"/>
      <c r="Z360" s="6"/>
      <c r="AA360" s="6"/>
      <c r="AB360" s="6"/>
      <c r="AC360" s="6"/>
      <c r="AD360" s="6"/>
      <c r="AE360" s="6"/>
      <c r="AF360" s="6"/>
      <c r="AG360" s="6"/>
      <c r="AH360" s="6"/>
      <c r="AI360" s="6"/>
      <c r="AJ360" s="6"/>
    </row>
    <row r="361" spans="1:36" x14ac:dyDescent="0.2">
      <c r="A361" s="6"/>
      <c r="B361" s="6"/>
      <c r="C361" s="6"/>
      <c r="D361" s="6"/>
      <c r="E361" s="6"/>
      <c r="F361" s="6"/>
      <c r="G361" s="6"/>
      <c r="H361" s="6"/>
      <c r="I361" s="7"/>
      <c r="J361" s="7"/>
      <c r="K361" s="7"/>
      <c r="L361" s="7"/>
      <c r="M361" s="6"/>
      <c r="N361" s="7"/>
      <c r="O361" s="7"/>
      <c r="P361" s="7"/>
      <c r="Q361" s="7"/>
      <c r="R361" s="7"/>
      <c r="S361" s="7"/>
      <c r="T361" s="7"/>
      <c r="U361" s="7"/>
      <c r="V361" s="7"/>
      <c r="W361" s="7"/>
      <c r="X361" s="7"/>
      <c r="Y361" s="7"/>
      <c r="Z361" s="6"/>
      <c r="AA361" s="6"/>
      <c r="AB361" s="6"/>
      <c r="AC361" s="6"/>
      <c r="AD361" s="6"/>
      <c r="AE361" s="6"/>
      <c r="AF361" s="6"/>
      <c r="AG361" s="6"/>
      <c r="AH361" s="6"/>
      <c r="AI361" s="6"/>
      <c r="AJ361" s="6"/>
    </row>
    <row r="362" spans="1:36" x14ac:dyDescent="0.2">
      <c r="A362" s="6"/>
      <c r="B362" s="6"/>
      <c r="C362" s="6"/>
      <c r="D362" s="6"/>
      <c r="E362" s="6"/>
      <c r="F362" s="6"/>
      <c r="G362" s="6"/>
      <c r="H362" s="6"/>
      <c r="I362" s="7"/>
      <c r="J362" s="7"/>
      <c r="K362" s="7"/>
      <c r="L362" s="7"/>
      <c r="M362" s="6"/>
      <c r="N362" s="7"/>
      <c r="O362" s="7"/>
      <c r="P362" s="7"/>
      <c r="Q362" s="7"/>
      <c r="R362" s="7"/>
      <c r="S362" s="7"/>
      <c r="T362" s="7"/>
      <c r="U362" s="7"/>
      <c r="V362" s="7"/>
      <c r="W362" s="7"/>
      <c r="X362" s="7"/>
      <c r="Y362" s="7"/>
      <c r="Z362" s="6"/>
      <c r="AA362" s="6"/>
      <c r="AB362" s="6"/>
      <c r="AC362" s="6"/>
      <c r="AD362" s="6"/>
      <c r="AE362" s="6"/>
      <c r="AF362" s="6"/>
      <c r="AG362" s="6"/>
      <c r="AH362" s="6"/>
      <c r="AI362" s="6"/>
      <c r="AJ362" s="6"/>
    </row>
    <row r="363" spans="1:36" x14ac:dyDescent="0.2">
      <c r="A363" s="6"/>
      <c r="B363" s="6"/>
      <c r="C363" s="6"/>
      <c r="D363" s="6"/>
      <c r="E363" s="6"/>
      <c r="F363" s="6"/>
      <c r="G363" s="6"/>
      <c r="H363" s="6"/>
      <c r="I363" s="7"/>
      <c r="J363" s="7"/>
      <c r="K363" s="7"/>
      <c r="L363" s="7"/>
      <c r="M363" s="6"/>
      <c r="N363" s="7"/>
      <c r="O363" s="7"/>
      <c r="P363" s="7"/>
      <c r="Q363" s="7"/>
      <c r="R363" s="7"/>
      <c r="S363" s="7"/>
      <c r="T363" s="7"/>
      <c r="U363" s="7"/>
      <c r="V363" s="7"/>
      <c r="W363" s="7"/>
      <c r="X363" s="7"/>
      <c r="Y363" s="7"/>
      <c r="Z363" s="6"/>
      <c r="AA363" s="6"/>
      <c r="AB363" s="6"/>
      <c r="AC363" s="6"/>
      <c r="AD363" s="6"/>
      <c r="AE363" s="6"/>
      <c r="AF363" s="6"/>
      <c r="AG363" s="6"/>
      <c r="AH363" s="6"/>
      <c r="AI363" s="6"/>
      <c r="AJ363" s="6"/>
    </row>
    <row r="364" spans="1:36" x14ac:dyDescent="0.2">
      <c r="A364" s="6"/>
      <c r="B364" s="6"/>
      <c r="C364" s="6"/>
      <c r="D364" s="6"/>
      <c r="E364" s="6"/>
      <c r="F364" s="6"/>
      <c r="G364" s="6"/>
      <c r="H364" s="6"/>
      <c r="I364" s="7"/>
      <c r="J364" s="7"/>
      <c r="K364" s="7"/>
      <c r="L364" s="7"/>
      <c r="M364" s="6"/>
      <c r="N364" s="7"/>
      <c r="O364" s="7"/>
      <c r="P364" s="7"/>
      <c r="Q364" s="7"/>
      <c r="R364" s="7"/>
      <c r="S364" s="7"/>
      <c r="T364" s="7"/>
      <c r="U364" s="7"/>
      <c r="V364" s="7"/>
      <c r="W364" s="7"/>
      <c r="X364" s="7"/>
      <c r="Y364" s="7"/>
      <c r="Z364" s="6"/>
      <c r="AA364" s="6"/>
      <c r="AB364" s="6"/>
      <c r="AC364" s="6"/>
      <c r="AD364" s="6"/>
      <c r="AE364" s="6"/>
      <c r="AF364" s="6"/>
      <c r="AG364" s="6"/>
      <c r="AH364" s="6"/>
      <c r="AI364" s="6"/>
      <c r="AJ364" s="6"/>
    </row>
    <row r="365" spans="1:36" x14ac:dyDescent="0.2">
      <c r="A365" s="6"/>
      <c r="B365" s="6"/>
      <c r="C365" s="6"/>
      <c r="D365" s="6"/>
      <c r="E365" s="6"/>
      <c r="F365" s="6"/>
      <c r="G365" s="6"/>
      <c r="H365" s="6"/>
      <c r="I365" s="7"/>
      <c r="J365" s="7"/>
      <c r="K365" s="7"/>
      <c r="L365" s="7"/>
      <c r="M365" s="6"/>
      <c r="N365" s="7"/>
      <c r="O365" s="7"/>
      <c r="P365" s="7"/>
      <c r="Q365" s="7"/>
      <c r="R365" s="7"/>
      <c r="S365" s="7"/>
      <c r="T365" s="7"/>
      <c r="U365" s="7"/>
      <c r="V365" s="7"/>
      <c r="W365" s="7"/>
      <c r="X365" s="7"/>
      <c r="Y365" s="7"/>
      <c r="Z365" s="6"/>
      <c r="AA365" s="6"/>
      <c r="AB365" s="6"/>
      <c r="AC365" s="6"/>
      <c r="AD365" s="6"/>
      <c r="AE365" s="6"/>
      <c r="AF365" s="6"/>
      <c r="AG365" s="6"/>
      <c r="AH365" s="6"/>
      <c r="AI365" s="6"/>
      <c r="AJ365" s="6"/>
    </row>
    <row r="366" spans="1:36" x14ac:dyDescent="0.2">
      <c r="A366" s="6"/>
      <c r="B366" s="6"/>
      <c r="C366" s="6"/>
      <c r="D366" s="6"/>
      <c r="E366" s="6"/>
      <c r="F366" s="6"/>
      <c r="G366" s="6"/>
      <c r="H366" s="6"/>
      <c r="I366" s="7"/>
      <c r="J366" s="7"/>
      <c r="K366" s="7"/>
      <c r="L366" s="7"/>
      <c r="M366" s="6"/>
      <c r="N366" s="7"/>
      <c r="O366" s="7"/>
      <c r="P366" s="7"/>
      <c r="Q366" s="7"/>
      <c r="R366" s="7"/>
      <c r="S366" s="7"/>
      <c r="T366" s="7"/>
      <c r="U366" s="7"/>
      <c r="V366" s="7"/>
      <c r="W366" s="7"/>
      <c r="X366" s="7"/>
      <c r="Y366" s="7"/>
      <c r="Z366" s="6"/>
      <c r="AA366" s="6"/>
      <c r="AB366" s="6"/>
      <c r="AC366" s="6"/>
      <c r="AD366" s="6"/>
      <c r="AE366" s="6"/>
      <c r="AF366" s="6"/>
      <c r="AG366" s="6"/>
      <c r="AH366" s="6"/>
      <c r="AI366" s="6"/>
      <c r="AJ366" s="6"/>
    </row>
    <row r="367" spans="1:36" x14ac:dyDescent="0.2">
      <c r="A367" s="6"/>
      <c r="B367" s="6"/>
      <c r="C367" s="6"/>
      <c r="D367" s="6"/>
      <c r="E367" s="6"/>
      <c r="F367" s="6"/>
      <c r="G367" s="6"/>
      <c r="H367" s="6"/>
      <c r="I367" s="7"/>
      <c r="J367" s="7"/>
      <c r="K367" s="7"/>
      <c r="L367" s="7"/>
      <c r="M367" s="6"/>
      <c r="N367" s="7"/>
      <c r="O367" s="7"/>
      <c r="P367" s="7"/>
      <c r="Q367" s="7"/>
      <c r="R367" s="7"/>
      <c r="S367" s="7"/>
      <c r="T367" s="7"/>
      <c r="U367" s="7"/>
      <c r="V367" s="7"/>
      <c r="W367" s="7"/>
      <c r="X367" s="7"/>
      <c r="Y367" s="7"/>
      <c r="Z367" s="6"/>
      <c r="AA367" s="6"/>
      <c r="AB367" s="6"/>
      <c r="AC367" s="6"/>
      <c r="AD367" s="6"/>
      <c r="AE367" s="6"/>
      <c r="AF367" s="6"/>
      <c r="AG367" s="6"/>
      <c r="AH367" s="6"/>
      <c r="AI367" s="6"/>
      <c r="AJ367" s="6"/>
    </row>
    <row r="368" spans="1:36" x14ac:dyDescent="0.2">
      <c r="A368" s="6"/>
      <c r="B368" s="6"/>
      <c r="C368" s="6"/>
      <c r="D368" s="6"/>
      <c r="E368" s="6"/>
      <c r="F368" s="6"/>
      <c r="G368" s="6"/>
      <c r="H368" s="6"/>
      <c r="I368" s="7"/>
      <c r="J368" s="7"/>
      <c r="K368" s="7"/>
      <c r="L368" s="7"/>
      <c r="M368" s="6"/>
      <c r="N368" s="7"/>
      <c r="O368" s="7"/>
      <c r="P368" s="7"/>
      <c r="Q368" s="7"/>
      <c r="R368" s="7"/>
      <c r="S368" s="7"/>
      <c r="T368" s="7"/>
      <c r="U368" s="7"/>
      <c r="V368" s="7"/>
      <c r="W368" s="7"/>
      <c r="X368" s="7"/>
      <c r="Y368" s="7"/>
      <c r="Z368" s="6"/>
      <c r="AA368" s="6"/>
      <c r="AB368" s="6"/>
      <c r="AC368" s="6"/>
      <c r="AD368" s="6"/>
      <c r="AE368" s="6"/>
      <c r="AF368" s="6"/>
      <c r="AG368" s="6"/>
      <c r="AH368" s="6"/>
      <c r="AI368" s="6"/>
      <c r="AJ368" s="6"/>
    </row>
    <row r="369" spans="1:36" x14ac:dyDescent="0.2">
      <c r="A369" s="6"/>
      <c r="B369" s="6"/>
      <c r="C369" s="6"/>
      <c r="D369" s="6"/>
      <c r="E369" s="6"/>
      <c r="F369" s="6"/>
      <c r="G369" s="6"/>
      <c r="H369" s="6"/>
      <c r="I369" s="7"/>
      <c r="J369" s="7"/>
      <c r="K369" s="7"/>
      <c r="L369" s="7"/>
      <c r="M369" s="6"/>
      <c r="N369" s="7"/>
      <c r="O369" s="7"/>
      <c r="P369" s="7"/>
      <c r="Q369" s="7"/>
      <c r="R369" s="7"/>
      <c r="S369" s="7"/>
      <c r="T369" s="7"/>
      <c r="U369" s="7"/>
      <c r="V369" s="7"/>
      <c r="W369" s="7"/>
      <c r="X369" s="7"/>
      <c r="Y369" s="7"/>
      <c r="Z369" s="6"/>
      <c r="AA369" s="6"/>
      <c r="AB369" s="6"/>
      <c r="AC369" s="6"/>
      <c r="AD369" s="6"/>
      <c r="AE369" s="6"/>
      <c r="AF369" s="6"/>
      <c r="AG369" s="6"/>
      <c r="AH369" s="6"/>
      <c r="AI369" s="6"/>
      <c r="AJ369" s="6"/>
    </row>
    <row r="370" spans="1:36" x14ac:dyDescent="0.2">
      <c r="A370" s="6"/>
      <c r="B370" s="6"/>
      <c r="C370" s="6"/>
      <c r="D370" s="6"/>
      <c r="E370" s="6"/>
      <c r="F370" s="6"/>
      <c r="G370" s="6"/>
      <c r="H370" s="6"/>
      <c r="I370" s="7"/>
      <c r="J370" s="7"/>
      <c r="K370" s="7"/>
      <c r="L370" s="7"/>
      <c r="M370" s="6"/>
      <c r="N370" s="7"/>
      <c r="O370" s="7"/>
      <c r="P370" s="7"/>
      <c r="Q370" s="7"/>
      <c r="R370" s="7"/>
      <c r="S370" s="7"/>
      <c r="T370" s="7"/>
      <c r="U370" s="7"/>
      <c r="V370" s="7"/>
      <c r="W370" s="7"/>
      <c r="X370" s="7"/>
      <c r="Y370" s="7"/>
      <c r="Z370" s="6"/>
      <c r="AA370" s="6"/>
      <c r="AB370" s="6"/>
      <c r="AC370" s="6"/>
      <c r="AD370" s="6"/>
      <c r="AE370" s="6"/>
      <c r="AF370" s="6"/>
      <c r="AG370" s="6"/>
      <c r="AH370" s="6"/>
      <c r="AI370" s="6"/>
      <c r="AJ370" s="6"/>
    </row>
    <row r="371" spans="1:36" x14ac:dyDescent="0.2">
      <c r="A371" s="6"/>
      <c r="B371" s="6"/>
      <c r="C371" s="6"/>
      <c r="D371" s="6"/>
      <c r="E371" s="6"/>
      <c r="F371" s="6"/>
      <c r="G371" s="6"/>
      <c r="H371" s="6"/>
      <c r="I371" s="7"/>
      <c r="J371" s="7"/>
      <c r="K371" s="7"/>
      <c r="L371" s="7"/>
      <c r="M371" s="6"/>
      <c r="N371" s="7"/>
      <c r="O371" s="7"/>
      <c r="P371" s="7"/>
      <c r="Q371" s="7"/>
      <c r="R371" s="7"/>
      <c r="S371" s="7"/>
      <c r="T371" s="7"/>
      <c r="U371" s="7"/>
      <c r="V371" s="7"/>
      <c r="W371" s="7"/>
      <c r="X371" s="7"/>
      <c r="Y371" s="7"/>
      <c r="Z371" s="6"/>
      <c r="AA371" s="6"/>
      <c r="AB371" s="6"/>
      <c r="AC371" s="6"/>
      <c r="AD371" s="6"/>
      <c r="AE371" s="6"/>
      <c r="AF371" s="6"/>
      <c r="AG371" s="6"/>
      <c r="AH371" s="6"/>
      <c r="AI371" s="6"/>
      <c r="AJ371" s="6"/>
    </row>
    <row r="372" spans="1:36" x14ac:dyDescent="0.2">
      <c r="A372" s="6"/>
      <c r="B372" s="6"/>
      <c r="C372" s="6"/>
      <c r="D372" s="6"/>
      <c r="E372" s="6"/>
      <c r="F372" s="6"/>
      <c r="G372" s="6"/>
      <c r="H372" s="6"/>
      <c r="I372" s="7"/>
      <c r="J372" s="7"/>
      <c r="K372" s="7"/>
      <c r="L372" s="7"/>
      <c r="M372" s="6"/>
      <c r="N372" s="7"/>
      <c r="O372" s="7"/>
      <c r="P372" s="7"/>
      <c r="Q372" s="7"/>
      <c r="R372" s="7"/>
      <c r="S372" s="7"/>
      <c r="T372" s="7"/>
      <c r="U372" s="7"/>
      <c r="V372" s="7"/>
      <c r="W372" s="7"/>
      <c r="X372" s="7"/>
      <c r="Y372" s="7"/>
      <c r="Z372" s="6"/>
      <c r="AA372" s="6"/>
      <c r="AB372" s="6"/>
      <c r="AC372" s="6"/>
      <c r="AD372" s="6"/>
      <c r="AE372" s="6"/>
      <c r="AF372" s="6"/>
      <c r="AG372" s="6"/>
      <c r="AH372" s="6"/>
      <c r="AI372" s="6"/>
      <c r="AJ372" s="6"/>
    </row>
    <row r="373" spans="1:36" x14ac:dyDescent="0.2">
      <c r="A373" s="6"/>
      <c r="B373" s="6"/>
      <c r="C373" s="6"/>
      <c r="D373" s="6"/>
      <c r="E373" s="6"/>
      <c r="F373" s="6"/>
      <c r="G373" s="6"/>
      <c r="H373" s="6"/>
      <c r="I373" s="7"/>
      <c r="J373" s="7"/>
      <c r="K373" s="7"/>
      <c r="L373" s="7"/>
      <c r="M373" s="6"/>
      <c r="N373" s="7"/>
      <c r="O373" s="7"/>
      <c r="P373" s="7"/>
      <c r="Q373" s="7"/>
      <c r="R373" s="7"/>
      <c r="S373" s="7"/>
      <c r="T373" s="7"/>
      <c r="U373" s="7"/>
      <c r="V373" s="7"/>
      <c r="W373" s="7"/>
      <c r="X373" s="7"/>
      <c r="Y373" s="7"/>
      <c r="Z373" s="6"/>
      <c r="AA373" s="6"/>
      <c r="AB373" s="6"/>
      <c r="AC373" s="6"/>
      <c r="AD373" s="6"/>
      <c r="AE373" s="6"/>
      <c r="AF373" s="6"/>
      <c r="AG373" s="6"/>
      <c r="AH373" s="6"/>
      <c r="AI373" s="6"/>
      <c r="AJ373" s="6"/>
    </row>
    <row r="374" spans="1:36" x14ac:dyDescent="0.2">
      <c r="A374" s="6"/>
      <c r="B374" s="6"/>
      <c r="C374" s="6"/>
      <c r="D374" s="6"/>
      <c r="E374" s="6"/>
      <c r="F374" s="6"/>
      <c r="G374" s="6"/>
      <c r="H374" s="6"/>
      <c r="I374" s="7"/>
      <c r="J374" s="7"/>
      <c r="K374" s="7"/>
      <c r="L374" s="7"/>
      <c r="M374" s="6"/>
      <c r="N374" s="7"/>
      <c r="O374" s="7"/>
      <c r="P374" s="7"/>
      <c r="Q374" s="7"/>
      <c r="R374" s="7"/>
      <c r="S374" s="7"/>
      <c r="T374" s="7"/>
      <c r="U374" s="7"/>
      <c r="V374" s="7"/>
      <c r="W374" s="7"/>
      <c r="X374" s="7"/>
      <c r="Y374" s="7"/>
      <c r="Z374" s="6"/>
      <c r="AA374" s="6"/>
      <c r="AB374" s="6"/>
      <c r="AC374" s="6"/>
      <c r="AD374" s="6"/>
      <c r="AE374" s="6"/>
      <c r="AF374" s="6"/>
      <c r="AG374" s="6"/>
      <c r="AH374" s="6"/>
      <c r="AI374" s="6"/>
      <c r="AJ374" s="6"/>
    </row>
    <row r="375" spans="1:36" x14ac:dyDescent="0.2">
      <c r="A375" s="6"/>
      <c r="B375" s="6"/>
      <c r="C375" s="6"/>
      <c r="D375" s="6"/>
      <c r="E375" s="6"/>
      <c r="F375" s="6"/>
      <c r="G375" s="6"/>
      <c r="H375" s="6"/>
      <c r="I375" s="7"/>
      <c r="J375" s="7"/>
      <c r="K375" s="7"/>
      <c r="L375" s="7"/>
      <c r="M375" s="6"/>
      <c r="N375" s="7"/>
      <c r="O375" s="7"/>
      <c r="P375" s="7"/>
      <c r="Q375" s="7"/>
      <c r="R375" s="7"/>
      <c r="S375" s="7"/>
      <c r="T375" s="7"/>
      <c r="U375" s="7"/>
      <c r="V375" s="7"/>
      <c r="W375" s="7"/>
      <c r="X375" s="7"/>
      <c r="Y375" s="7"/>
      <c r="Z375" s="6"/>
      <c r="AA375" s="6"/>
      <c r="AB375" s="6"/>
      <c r="AC375" s="6"/>
      <c r="AD375" s="6"/>
      <c r="AE375" s="6"/>
      <c r="AF375" s="6"/>
      <c r="AG375" s="6"/>
      <c r="AH375" s="6"/>
      <c r="AI375" s="6"/>
      <c r="AJ375" s="6"/>
    </row>
    <row r="376" spans="1:36" x14ac:dyDescent="0.2">
      <c r="A376" s="6"/>
      <c r="B376" s="6"/>
      <c r="C376" s="6"/>
      <c r="D376" s="6"/>
      <c r="E376" s="6"/>
      <c r="F376" s="6"/>
      <c r="G376" s="6"/>
      <c r="H376" s="6"/>
      <c r="I376" s="7"/>
      <c r="J376" s="7"/>
      <c r="K376" s="7"/>
      <c r="L376" s="7"/>
      <c r="M376" s="6"/>
      <c r="N376" s="7"/>
      <c r="O376" s="7"/>
      <c r="P376" s="7"/>
      <c r="Q376" s="7"/>
      <c r="R376" s="7"/>
      <c r="S376" s="7"/>
      <c r="T376" s="7"/>
      <c r="U376" s="7"/>
      <c r="V376" s="7"/>
      <c r="W376" s="7"/>
      <c r="X376" s="7"/>
      <c r="Y376" s="7"/>
      <c r="Z376" s="6"/>
      <c r="AA376" s="6"/>
      <c r="AB376" s="6"/>
      <c r="AC376" s="6"/>
      <c r="AD376" s="6"/>
      <c r="AE376" s="6"/>
      <c r="AF376" s="6"/>
      <c r="AG376" s="6"/>
      <c r="AH376" s="6"/>
      <c r="AI376" s="6"/>
      <c r="AJ376" s="6"/>
    </row>
    <row r="377" spans="1:36" x14ac:dyDescent="0.2">
      <c r="A377" s="6"/>
      <c r="B377" s="6"/>
      <c r="C377" s="6"/>
      <c r="D377" s="6"/>
      <c r="E377" s="6"/>
      <c r="F377" s="6"/>
      <c r="G377" s="6"/>
      <c r="H377" s="6"/>
      <c r="I377" s="7"/>
      <c r="J377" s="7"/>
      <c r="K377" s="7"/>
      <c r="L377" s="7"/>
      <c r="M377" s="6"/>
      <c r="N377" s="7"/>
      <c r="O377" s="7"/>
      <c r="P377" s="7"/>
      <c r="Q377" s="7"/>
      <c r="R377" s="7"/>
      <c r="S377" s="7"/>
      <c r="T377" s="7"/>
      <c r="U377" s="7"/>
      <c r="V377" s="7"/>
      <c r="W377" s="7"/>
      <c r="X377" s="7"/>
      <c r="Y377" s="7"/>
      <c r="Z377" s="6"/>
      <c r="AA377" s="6"/>
      <c r="AB377" s="6"/>
      <c r="AC377" s="6"/>
      <c r="AD377" s="6"/>
      <c r="AE377" s="6"/>
      <c r="AF377" s="6"/>
      <c r="AG377" s="6"/>
      <c r="AH377" s="6"/>
      <c r="AI377" s="6"/>
      <c r="AJ377" s="6"/>
    </row>
    <row r="378" spans="1:36" x14ac:dyDescent="0.2">
      <c r="A378" s="6"/>
      <c r="B378" s="6"/>
      <c r="C378" s="6"/>
      <c r="D378" s="6"/>
      <c r="E378" s="6"/>
      <c r="F378" s="6"/>
      <c r="G378" s="6"/>
      <c r="H378" s="6"/>
      <c r="I378" s="7"/>
      <c r="J378" s="7"/>
      <c r="K378" s="7"/>
      <c r="L378" s="7"/>
      <c r="M378" s="6"/>
      <c r="N378" s="7"/>
      <c r="O378" s="7"/>
      <c r="P378" s="7"/>
      <c r="Q378" s="7"/>
      <c r="R378" s="7"/>
      <c r="S378" s="7"/>
      <c r="T378" s="7"/>
      <c r="U378" s="7"/>
      <c r="V378" s="7"/>
      <c r="W378" s="7"/>
      <c r="X378" s="7"/>
      <c r="Y378" s="7"/>
      <c r="Z378" s="6"/>
      <c r="AA378" s="6"/>
      <c r="AB378" s="6"/>
      <c r="AC378" s="6"/>
      <c r="AD378" s="6"/>
      <c r="AE378" s="6"/>
      <c r="AF378" s="6"/>
      <c r="AG378" s="6"/>
      <c r="AH378" s="6"/>
      <c r="AI378" s="6"/>
      <c r="AJ378" s="6"/>
    </row>
    <row r="379" spans="1:36" x14ac:dyDescent="0.2">
      <c r="A379" s="6"/>
      <c r="B379" s="6"/>
      <c r="C379" s="6"/>
      <c r="D379" s="6"/>
      <c r="E379" s="6"/>
      <c r="F379" s="6"/>
      <c r="G379" s="6"/>
      <c r="H379" s="6"/>
      <c r="I379" s="7"/>
      <c r="J379" s="7"/>
      <c r="K379" s="7"/>
      <c r="L379" s="7"/>
      <c r="M379" s="6"/>
      <c r="N379" s="7"/>
      <c r="O379" s="7"/>
      <c r="P379" s="7"/>
      <c r="Q379" s="7"/>
      <c r="R379" s="7"/>
      <c r="S379" s="7"/>
      <c r="T379" s="7"/>
      <c r="U379" s="7"/>
      <c r="V379" s="7"/>
      <c r="W379" s="7"/>
      <c r="X379" s="7"/>
      <c r="Y379" s="7"/>
      <c r="Z379" s="6"/>
      <c r="AA379" s="6"/>
      <c r="AB379" s="6"/>
      <c r="AC379" s="6"/>
      <c r="AD379" s="6"/>
      <c r="AE379" s="6"/>
      <c r="AF379" s="6"/>
      <c r="AG379" s="6"/>
      <c r="AH379" s="6"/>
      <c r="AI379" s="6"/>
      <c r="AJ379" s="6"/>
    </row>
    <row r="380" spans="1:36" x14ac:dyDescent="0.2">
      <c r="A380" s="6"/>
      <c r="B380" s="6"/>
      <c r="C380" s="6"/>
      <c r="D380" s="6"/>
      <c r="E380" s="6"/>
      <c r="F380" s="6"/>
      <c r="G380" s="6"/>
      <c r="H380" s="6"/>
      <c r="I380" s="7"/>
      <c r="J380" s="7"/>
      <c r="K380" s="7"/>
      <c r="L380" s="7"/>
      <c r="M380" s="6"/>
      <c r="N380" s="7"/>
      <c r="O380" s="7"/>
      <c r="P380" s="7"/>
      <c r="Q380" s="7"/>
      <c r="R380" s="7"/>
      <c r="S380" s="7"/>
      <c r="T380" s="7"/>
      <c r="U380" s="7"/>
      <c r="V380" s="7"/>
      <c r="W380" s="7"/>
      <c r="X380" s="7"/>
      <c r="Y380" s="7"/>
      <c r="Z380" s="6"/>
      <c r="AA380" s="6"/>
      <c r="AB380" s="6"/>
      <c r="AC380" s="6"/>
      <c r="AD380" s="6"/>
      <c r="AE380" s="6"/>
      <c r="AF380" s="6"/>
      <c r="AG380" s="6"/>
      <c r="AH380" s="6"/>
      <c r="AI380" s="6"/>
      <c r="AJ380" s="6"/>
    </row>
    <row r="381" spans="1:36" x14ac:dyDescent="0.2">
      <c r="A381" s="6"/>
      <c r="B381" s="6"/>
      <c r="C381" s="6"/>
      <c r="D381" s="6"/>
      <c r="E381" s="6"/>
      <c r="F381" s="6"/>
      <c r="G381" s="6"/>
      <c r="H381" s="6"/>
      <c r="I381" s="7"/>
      <c r="J381" s="7"/>
      <c r="K381" s="7"/>
      <c r="L381" s="7"/>
      <c r="M381" s="6"/>
      <c r="N381" s="7"/>
      <c r="O381" s="7"/>
      <c r="P381" s="7"/>
      <c r="Q381" s="7"/>
      <c r="R381" s="7"/>
      <c r="S381" s="7"/>
      <c r="T381" s="7"/>
      <c r="U381" s="7"/>
      <c r="V381" s="7"/>
      <c r="W381" s="7"/>
      <c r="X381" s="7"/>
      <c r="Y381" s="7"/>
      <c r="Z381" s="6"/>
      <c r="AA381" s="6"/>
      <c r="AB381" s="6"/>
      <c r="AC381" s="6"/>
      <c r="AD381" s="6"/>
      <c r="AE381" s="6"/>
      <c r="AF381" s="6"/>
      <c r="AG381" s="6"/>
      <c r="AH381" s="6"/>
      <c r="AI381" s="6"/>
      <c r="AJ381" s="6"/>
    </row>
    <row r="382" spans="1:36" x14ac:dyDescent="0.2">
      <c r="A382" s="6"/>
      <c r="B382" s="6"/>
      <c r="C382" s="6"/>
      <c r="D382" s="6"/>
      <c r="E382" s="6"/>
      <c r="F382" s="6"/>
      <c r="G382" s="6"/>
      <c r="H382" s="6"/>
      <c r="I382" s="7"/>
      <c r="J382" s="7"/>
      <c r="K382" s="7"/>
      <c r="L382" s="7"/>
      <c r="M382" s="6"/>
      <c r="N382" s="7"/>
      <c r="O382" s="7"/>
      <c r="P382" s="7"/>
      <c r="Q382" s="7"/>
      <c r="R382" s="7"/>
      <c r="S382" s="7"/>
      <c r="T382" s="7"/>
      <c r="U382" s="7"/>
      <c r="V382" s="7"/>
      <c r="W382" s="7"/>
      <c r="X382" s="7"/>
      <c r="Y382" s="7"/>
      <c r="Z382" s="6"/>
      <c r="AA382" s="6"/>
      <c r="AB382" s="6"/>
      <c r="AC382" s="6"/>
      <c r="AD382" s="6"/>
      <c r="AE382" s="6"/>
      <c r="AF382" s="6"/>
      <c r="AG382" s="6"/>
      <c r="AH382" s="6"/>
      <c r="AI382" s="6"/>
      <c r="AJ382" s="6"/>
    </row>
    <row r="383" spans="1:36" x14ac:dyDescent="0.2">
      <c r="A383" s="6"/>
      <c r="B383" s="6"/>
      <c r="C383" s="6"/>
      <c r="D383" s="6"/>
      <c r="E383" s="6"/>
      <c r="F383" s="6"/>
      <c r="G383" s="6"/>
      <c r="H383" s="6"/>
      <c r="I383" s="7"/>
      <c r="J383" s="7"/>
      <c r="K383" s="7"/>
      <c r="L383" s="7"/>
      <c r="M383" s="6"/>
      <c r="N383" s="7"/>
      <c r="O383" s="7"/>
      <c r="P383" s="7"/>
      <c r="Q383" s="7"/>
      <c r="R383" s="7"/>
      <c r="S383" s="7"/>
      <c r="T383" s="7"/>
      <c r="U383" s="7"/>
      <c r="V383" s="7"/>
      <c r="W383" s="7"/>
      <c r="X383" s="7"/>
      <c r="Y383" s="7"/>
      <c r="Z383" s="6"/>
      <c r="AA383" s="6"/>
      <c r="AB383" s="6"/>
      <c r="AC383" s="6"/>
      <c r="AD383" s="6"/>
      <c r="AE383" s="6"/>
      <c r="AF383" s="6"/>
      <c r="AG383" s="6"/>
      <c r="AH383" s="6"/>
      <c r="AI383" s="6"/>
      <c r="AJ383" s="6"/>
    </row>
    <row r="384" spans="1:36" x14ac:dyDescent="0.2">
      <c r="A384" s="6"/>
      <c r="B384" s="6"/>
      <c r="C384" s="6"/>
      <c r="D384" s="6"/>
      <c r="E384" s="6"/>
      <c r="F384" s="6"/>
      <c r="G384" s="6"/>
      <c r="H384" s="6"/>
      <c r="I384" s="7"/>
      <c r="J384" s="7"/>
      <c r="K384" s="7"/>
      <c r="L384" s="7"/>
      <c r="M384" s="6"/>
      <c r="N384" s="7"/>
      <c r="O384" s="7"/>
      <c r="P384" s="7"/>
      <c r="Q384" s="7"/>
      <c r="R384" s="7"/>
      <c r="S384" s="7"/>
      <c r="T384" s="7"/>
      <c r="U384" s="7"/>
      <c r="V384" s="7"/>
      <c r="W384" s="7"/>
      <c r="X384" s="7"/>
      <c r="Y384" s="7"/>
      <c r="Z384" s="6"/>
      <c r="AA384" s="6"/>
      <c r="AB384" s="6"/>
      <c r="AC384" s="6"/>
      <c r="AD384" s="6"/>
      <c r="AE384" s="6"/>
      <c r="AF384" s="6"/>
      <c r="AG384" s="6"/>
      <c r="AH384" s="6"/>
      <c r="AI384" s="6"/>
      <c r="AJ384" s="6"/>
    </row>
    <row r="385" spans="1:36" x14ac:dyDescent="0.2">
      <c r="A385" s="6"/>
      <c r="B385" s="6"/>
      <c r="C385" s="6"/>
      <c r="D385" s="6"/>
      <c r="E385" s="6"/>
      <c r="F385" s="6"/>
      <c r="G385" s="6"/>
      <c r="H385" s="6"/>
      <c r="I385" s="7"/>
      <c r="J385" s="7"/>
      <c r="K385" s="7"/>
      <c r="L385" s="7"/>
      <c r="M385" s="6"/>
      <c r="N385" s="7"/>
      <c r="O385" s="7"/>
      <c r="P385" s="7"/>
      <c r="Q385" s="7"/>
      <c r="R385" s="7"/>
      <c r="S385" s="7"/>
      <c r="T385" s="7"/>
      <c r="U385" s="7"/>
      <c r="V385" s="7"/>
      <c r="W385" s="7"/>
      <c r="X385" s="7"/>
      <c r="Y385" s="7"/>
      <c r="Z385" s="6"/>
      <c r="AA385" s="6"/>
      <c r="AB385" s="6"/>
      <c r="AC385" s="6"/>
      <c r="AD385" s="6"/>
      <c r="AE385" s="6"/>
      <c r="AF385" s="6"/>
      <c r="AG385" s="6"/>
      <c r="AH385" s="6"/>
      <c r="AI385" s="6"/>
      <c r="AJ385" s="6"/>
    </row>
    <row r="386" spans="1:36" x14ac:dyDescent="0.2">
      <c r="A386" s="6"/>
      <c r="B386" s="6"/>
      <c r="C386" s="6"/>
      <c r="D386" s="6"/>
      <c r="E386" s="6"/>
      <c r="F386" s="6"/>
      <c r="G386" s="6"/>
      <c r="H386" s="6"/>
      <c r="I386" s="7"/>
      <c r="J386" s="7"/>
      <c r="K386" s="7"/>
      <c r="L386" s="7"/>
      <c r="M386" s="6"/>
      <c r="N386" s="7"/>
      <c r="O386" s="7"/>
      <c r="P386" s="7"/>
      <c r="Q386" s="7"/>
      <c r="R386" s="7"/>
      <c r="S386" s="7"/>
      <c r="T386" s="7"/>
      <c r="U386" s="7"/>
      <c r="V386" s="7"/>
      <c r="W386" s="7"/>
      <c r="X386" s="7"/>
      <c r="Y386" s="7"/>
      <c r="Z386" s="6"/>
      <c r="AA386" s="6"/>
      <c r="AB386" s="6"/>
      <c r="AC386" s="6"/>
      <c r="AD386" s="6"/>
      <c r="AE386" s="6"/>
      <c r="AF386" s="6"/>
      <c r="AG386" s="6"/>
      <c r="AH386" s="6"/>
      <c r="AI386" s="6"/>
      <c r="AJ386" s="6"/>
    </row>
    <row r="387" spans="1:36" x14ac:dyDescent="0.2">
      <c r="A387" s="6"/>
      <c r="B387" s="6"/>
      <c r="C387" s="6"/>
      <c r="D387" s="6"/>
      <c r="E387" s="6"/>
      <c r="F387" s="6"/>
      <c r="G387" s="6"/>
      <c r="H387" s="6"/>
      <c r="I387" s="7"/>
      <c r="J387" s="7"/>
      <c r="K387" s="7"/>
      <c r="L387" s="7"/>
      <c r="M387" s="6"/>
      <c r="N387" s="7"/>
      <c r="O387" s="7"/>
      <c r="P387" s="7"/>
      <c r="Q387" s="7"/>
      <c r="R387" s="7"/>
      <c r="S387" s="7"/>
      <c r="T387" s="7"/>
      <c r="U387" s="7"/>
      <c r="V387" s="7"/>
      <c r="W387" s="7"/>
      <c r="X387" s="7"/>
      <c r="Y387" s="7"/>
      <c r="Z387" s="6"/>
      <c r="AA387" s="6"/>
      <c r="AB387" s="6"/>
      <c r="AC387" s="6"/>
      <c r="AD387" s="6"/>
      <c r="AE387" s="6"/>
      <c r="AF387" s="6"/>
      <c r="AG387" s="6"/>
      <c r="AH387" s="6"/>
      <c r="AI387" s="6"/>
      <c r="AJ387" s="6"/>
    </row>
    <row r="388" spans="1:36" x14ac:dyDescent="0.2">
      <c r="A388" s="6"/>
      <c r="B388" s="6"/>
      <c r="C388" s="6"/>
      <c r="D388" s="6"/>
      <c r="E388" s="6"/>
      <c r="F388" s="6"/>
      <c r="G388" s="6"/>
      <c r="H388" s="6"/>
      <c r="I388" s="7"/>
      <c r="J388" s="7"/>
      <c r="K388" s="7"/>
      <c r="L388" s="7"/>
      <c r="M388" s="6"/>
      <c r="N388" s="7"/>
      <c r="O388" s="7"/>
      <c r="P388" s="7"/>
      <c r="Q388" s="7"/>
      <c r="R388" s="7"/>
      <c r="S388" s="7"/>
      <c r="T388" s="7"/>
      <c r="U388" s="7"/>
      <c r="V388" s="7"/>
      <c r="W388" s="7"/>
      <c r="X388" s="7"/>
      <c r="Y388" s="7"/>
      <c r="Z388" s="6"/>
      <c r="AA388" s="6"/>
      <c r="AB388" s="6"/>
      <c r="AC388" s="6"/>
      <c r="AD388" s="6"/>
      <c r="AE388" s="6"/>
      <c r="AF388" s="6"/>
      <c r="AG388" s="6"/>
      <c r="AH388" s="6"/>
      <c r="AI388" s="6"/>
      <c r="AJ388" s="6"/>
    </row>
    <row r="389" spans="1:36" x14ac:dyDescent="0.2">
      <c r="A389" s="6"/>
      <c r="B389" s="6"/>
      <c r="C389" s="6"/>
      <c r="D389" s="6"/>
      <c r="E389" s="6"/>
      <c r="F389" s="6"/>
      <c r="G389" s="6"/>
      <c r="H389" s="6"/>
      <c r="I389" s="7"/>
      <c r="J389" s="7"/>
      <c r="K389" s="7"/>
      <c r="L389" s="7"/>
      <c r="M389" s="6"/>
      <c r="N389" s="7"/>
      <c r="O389" s="7"/>
      <c r="P389" s="7"/>
      <c r="Q389" s="7"/>
      <c r="R389" s="7"/>
      <c r="S389" s="7"/>
      <c r="T389" s="7"/>
      <c r="U389" s="7"/>
      <c r="V389" s="7"/>
      <c r="W389" s="7"/>
      <c r="X389" s="7"/>
      <c r="Y389" s="7"/>
      <c r="Z389" s="6"/>
      <c r="AA389" s="6"/>
      <c r="AB389" s="6"/>
      <c r="AC389" s="6"/>
      <c r="AD389" s="6"/>
      <c r="AE389" s="6"/>
      <c r="AF389" s="6"/>
      <c r="AG389" s="6"/>
      <c r="AH389" s="6"/>
      <c r="AI389" s="6"/>
      <c r="AJ389" s="6"/>
    </row>
    <row r="390" spans="1:36" x14ac:dyDescent="0.2">
      <c r="A390" s="6"/>
      <c r="B390" s="6"/>
      <c r="C390" s="6"/>
      <c r="D390" s="6"/>
      <c r="E390" s="6"/>
      <c r="F390" s="6"/>
      <c r="G390" s="6"/>
      <c r="H390" s="6"/>
      <c r="I390" s="7"/>
      <c r="J390" s="7"/>
      <c r="K390" s="7"/>
      <c r="L390" s="7"/>
      <c r="M390" s="6"/>
      <c r="N390" s="7"/>
      <c r="O390" s="7"/>
      <c r="P390" s="7"/>
      <c r="Q390" s="7"/>
      <c r="R390" s="7"/>
      <c r="S390" s="7"/>
      <c r="T390" s="7"/>
      <c r="U390" s="7"/>
      <c r="V390" s="7"/>
      <c r="W390" s="7"/>
      <c r="X390" s="7"/>
      <c r="Y390" s="7"/>
      <c r="Z390" s="6"/>
      <c r="AA390" s="6"/>
      <c r="AB390" s="6"/>
      <c r="AC390" s="6"/>
      <c r="AD390" s="6"/>
      <c r="AE390" s="6"/>
      <c r="AF390" s="6"/>
      <c r="AG390" s="6"/>
      <c r="AH390" s="6"/>
      <c r="AI390" s="6"/>
      <c r="AJ390" s="6"/>
    </row>
    <row r="391" spans="1:36" x14ac:dyDescent="0.2">
      <c r="A391" s="6"/>
      <c r="B391" s="6"/>
      <c r="C391" s="6"/>
      <c r="D391" s="6"/>
      <c r="E391" s="6"/>
      <c r="F391" s="6"/>
      <c r="G391" s="6"/>
      <c r="H391" s="6"/>
      <c r="I391" s="7"/>
      <c r="J391" s="7"/>
      <c r="K391" s="7"/>
      <c r="L391" s="7"/>
      <c r="M391" s="6"/>
      <c r="N391" s="7"/>
      <c r="O391" s="7"/>
      <c r="P391" s="7"/>
      <c r="Q391" s="7"/>
      <c r="R391" s="7"/>
      <c r="S391" s="7"/>
      <c r="T391" s="7"/>
      <c r="U391" s="7"/>
      <c r="V391" s="7"/>
      <c r="W391" s="7"/>
      <c r="X391" s="7"/>
      <c r="Y391" s="7"/>
      <c r="Z391" s="6"/>
      <c r="AA391" s="6"/>
      <c r="AB391" s="6"/>
      <c r="AC391" s="6"/>
      <c r="AD391" s="6"/>
      <c r="AE391" s="6"/>
      <c r="AF391" s="6"/>
      <c r="AG391" s="6"/>
      <c r="AH391" s="6"/>
      <c r="AI391" s="6"/>
      <c r="AJ391" s="6"/>
    </row>
    <row r="392" spans="1:36" x14ac:dyDescent="0.2">
      <c r="A392" s="6"/>
      <c r="B392" s="6"/>
      <c r="C392" s="6"/>
      <c r="D392" s="6"/>
      <c r="E392" s="6"/>
      <c r="F392" s="6"/>
      <c r="G392" s="6"/>
      <c r="H392" s="6"/>
      <c r="I392" s="7"/>
      <c r="J392" s="7"/>
      <c r="K392" s="7"/>
      <c r="L392" s="7"/>
      <c r="M392" s="6"/>
      <c r="N392" s="7"/>
      <c r="O392" s="7"/>
      <c r="P392" s="7"/>
      <c r="Q392" s="7"/>
      <c r="R392" s="7"/>
      <c r="S392" s="7"/>
      <c r="T392" s="7"/>
      <c r="U392" s="7"/>
      <c r="V392" s="7"/>
      <c r="W392" s="7"/>
      <c r="X392" s="7"/>
      <c r="Y392" s="7"/>
      <c r="Z392" s="6"/>
      <c r="AA392" s="6"/>
      <c r="AB392" s="6"/>
      <c r="AC392" s="6"/>
      <c r="AD392" s="6"/>
      <c r="AE392" s="6"/>
      <c r="AF392" s="6"/>
      <c r="AG392" s="6"/>
      <c r="AH392" s="6"/>
      <c r="AI392" s="6"/>
      <c r="AJ392" s="6"/>
    </row>
    <row r="393" spans="1:36" x14ac:dyDescent="0.2">
      <c r="A393" s="6"/>
      <c r="B393" s="6"/>
      <c r="C393" s="6"/>
      <c r="D393" s="6"/>
      <c r="E393" s="6"/>
      <c r="F393" s="6"/>
      <c r="G393" s="6"/>
      <c r="H393" s="6"/>
      <c r="I393" s="7"/>
      <c r="J393" s="7"/>
      <c r="K393" s="7"/>
      <c r="L393" s="7"/>
      <c r="M393" s="6"/>
      <c r="N393" s="7"/>
      <c r="O393" s="7"/>
      <c r="P393" s="7"/>
      <c r="Q393" s="7"/>
      <c r="R393" s="7"/>
      <c r="S393" s="7"/>
      <c r="T393" s="7"/>
      <c r="U393" s="7"/>
      <c r="V393" s="7"/>
      <c r="W393" s="7"/>
      <c r="X393" s="7"/>
      <c r="Y393" s="7"/>
      <c r="Z393" s="6"/>
      <c r="AA393" s="6"/>
      <c r="AB393" s="6"/>
      <c r="AC393" s="6"/>
      <c r="AD393" s="6"/>
      <c r="AE393" s="6"/>
      <c r="AF393" s="6"/>
      <c r="AG393" s="6"/>
      <c r="AH393" s="6"/>
      <c r="AI393" s="6"/>
      <c r="AJ393" s="6"/>
    </row>
    <row r="394" spans="1:36" x14ac:dyDescent="0.2">
      <c r="A394" s="6"/>
      <c r="B394" s="6"/>
      <c r="C394" s="6"/>
      <c r="D394" s="6"/>
      <c r="E394" s="6"/>
      <c r="F394" s="6"/>
      <c r="G394" s="6"/>
      <c r="H394" s="6"/>
      <c r="I394" s="7"/>
      <c r="J394" s="7"/>
      <c r="K394" s="7"/>
      <c r="L394" s="7"/>
      <c r="M394" s="6"/>
      <c r="N394" s="7"/>
      <c r="O394" s="7"/>
      <c r="P394" s="7"/>
      <c r="Q394" s="7"/>
      <c r="R394" s="7"/>
      <c r="S394" s="7"/>
      <c r="T394" s="7"/>
      <c r="U394" s="7"/>
      <c r="V394" s="7"/>
      <c r="W394" s="7"/>
      <c r="X394" s="7"/>
      <c r="Y394" s="7"/>
      <c r="Z394" s="6"/>
      <c r="AA394" s="6"/>
      <c r="AB394" s="6"/>
      <c r="AC394" s="6"/>
      <c r="AD394" s="6"/>
      <c r="AE394" s="6"/>
      <c r="AF394" s="6"/>
      <c r="AG394" s="6"/>
      <c r="AH394" s="6"/>
      <c r="AI394" s="6"/>
      <c r="AJ394" s="6"/>
    </row>
    <row r="395" spans="1:36" x14ac:dyDescent="0.2">
      <c r="A395" s="6"/>
      <c r="B395" s="6"/>
      <c r="C395" s="6"/>
      <c r="D395" s="6"/>
      <c r="E395" s="6"/>
      <c r="F395" s="6"/>
      <c r="G395" s="6"/>
      <c r="H395" s="6"/>
      <c r="I395" s="7"/>
      <c r="J395" s="7"/>
      <c r="K395" s="7"/>
      <c r="L395" s="7"/>
      <c r="M395" s="6"/>
      <c r="N395" s="7"/>
      <c r="O395" s="7"/>
      <c r="P395" s="7"/>
      <c r="Q395" s="7"/>
      <c r="R395" s="7"/>
      <c r="S395" s="7"/>
      <c r="T395" s="7"/>
      <c r="U395" s="7"/>
      <c r="V395" s="7"/>
      <c r="W395" s="7"/>
      <c r="X395" s="7"/>
      <c r="Y395" s="7"/>
      <c r="Z395" s="6"/>
      <c r="AA395" s="6"/>
      <c r="AB395" s="6"/>
      <c r="AC395" s="6"/>
      <c r="AD395" s="6"/>
      <c r="AE395" s="6"/>
      <c r="AF395" s="6"/>
      <c r="AG395" s="6"/>
      <c r="AH395" s="6"/>
      <c r="AI395" s="6"/>
      <c r="AJ395" s="6"/>
    </row>
    <row r="396" spans="1:36" x14ac:dyDescent="0.2">
      <c r="A396" s="6"/>
      <c r="B396" s="6"/>
      <c r="C396" s="6"/>
      <c r="D396" s="6"/>
      <c r="E396" s="6"/>
      <c r="F396" s="6"/>
      <c r="G396" s="6"/>
      <c r="H396" s="6"/>
      <c r="I396" s="7"/>
      <c r="J396" s="7"/>
      <c r="K396" s="7"/>
      <c r="L396" s="7"/>
      <c r="M396" s="6"/>
      <c r="N396" s="7"/>
      <c r="O396" s="7"/>
      <c r="P396" s="7"/>
      <c r="Q396" s="7"/>
      <c r="R396" s="7"/>
      <c r="S396" s="7"/>
      <c r="T396" s="7"/>
      <c r="U396" s="7"/>
      <c r="V396" s="7"/>
      <c r="W396" s="7"/>
      <c r="X396" s="7"/>
      <c r="Y396" s="7"/>
      <c r="Z396" s="6"/>
      <c r="AA396" s="6"/>
      <c r="AB396" s="6"/>
      <c r="AC396" s="6"/>
      <c r="AD396" s="6"/>
      <c r="AE396" s="6"/>
      <c r="AF396" s="6"/>
      <c r="AG396" s="6"/>
      <c r="AH396" s="6"/>
      <c r="AI396" s="6"/>
      <c r="AJ396" s="6"/>
    </row>
    <row r="397" spans="1:36" x14ac:dyDescent="0.2">
      <c r="A397" s="6"/>
      <c r="B397" s="6"/>
      <c r="C397" s="6"/>
      <c r="D397" s="6"/>
      <c r="E397" s="6"/>
      <c r="F397" s="6"/>
      <c r="G397" s="6"/>
      <c r="H397" s="6"/>
      <c r="I397" s="7"/>
      <c r="J397" s="7"/>
      <c r="K397" s="7"/>
      <c r="L397" s="7"/>
      <c r="M397" s="6"/>
      <c r="N397" s="7"/>
      <c r="O397" s="7"/>
      <c r="P397" s="7"/>
      <c r="Q397" s="7"/>
      <c r="R397" s="7"/>
      <c r="S397" s="7"/>
      <c r="T397" s="7"/>
      <c r="U397" s="7"/>
      <c r="V397" s="7"/>
      <c r="W397" s="7"/>
      <c r="X397" s="7"/>
      <c r="Y397" s="7"/>
      <c r="Z397" s="6"/>
      <c r="AA397" s="6"/>
      <c r="AB397" s="6"/>
      <c r="AC397" s="6"/>
      <c r="AD397" s="6"/>
      <c r="AE397" s="6"/>
      <c r="AF397" s="6"/>
      <c r="AG397" s="6"/>
      <c r="AH397" s="6"/>
      <c r="AI397" s="6"/>
      <c r="AJ397" s="6"/>
    </row>
    <row r="398" spans="1:36" x14ac:dyDescent="0.2">
      <c r="A398" s="6"/>
      <c r="B398" s="6"/>
      <c r="C398" s="6"/>
      <c r="D398" s="6"/>
      <c r="E398" s="6"/>
      <c r="F398" s="6"/>
      <c r="G398" s="6"/>
      <c r="H398" s="6"/>
      <c r="I398" s="7"/>
      <c r="J398" s="7"/>
      <c r="K398" s="7"/>
      <c r="L398" s="7"/>
      <c r="M398" s="6"/>
      <c r="N398" s="7"/>
      <c r="O398" s="7"/>
      <c r="P398" s="7"/>
      <c r="Q398" s="7"/>
      <c r="R398" s="7"/>
      <c r="S398" s="7"/>
      <c r="T398" s="7"/>
      <c r="U398" s="7"/>
      <c r="V398" s="7"/>
      <c r="W398" s="7"/>
      <c r="X398" s="7"/>
      <c r="Y398" s="7"/>
      <c r="Z398" s="6"/>
      <c r="AA398" s="6"/>
      <c r="AB398" s="6"/>
      <c r="AC398" s="6"/>
      <c r="AD398" s="6"/>
      <c r="AE398" s="6"/>
      <c r="AF398" s="6"/>
      <c r="AG398" s="6"/>
      <c r="AH398" s="6"/>
      <c r="AI398" s="6"/>
      <c r="AJ398" s="6"/>
    </row>
    <row r="399" spans="1:36" x14ac:dyDescent="0.2">
      <c r="A399" s="6"/>
      <c r="B399" s="6"/>
      <c r="C399" s="6"/>
      <c r="D399" s="6"/>
      <c r="E399" s="6"/>
      <c r="F399" s="6"/>
      <c r="G399" s="6"/>
      <c r="H399" s="6"/>
      <c r="I399" s="7"/>
      <c r="J399" s="7"/>
      <c r="K399" s="7"/>
      <c r="L399" s="7"/>
      <c r="M399" s="6"/>
      <c r="N399" s="7"/>
      <c r="O399" s="7"/>
      <c r="P399" s="7"/>
      <c r="Q399" s="7"/>
      <c r="R399" s="7"/>
      <c r="S399" s="7"/>
      <c r="T399" s="7"/>
      <c r="U399" s="7"/>
      <c r="V399" s="7"/>
      <c r="W399" s="7"/>
      <c r="X399" s="7"/>
      <c r="Y399" s="7"/>
      <c r="Z399" s="6"/>
      <c r="AA399" s="6"/>
      <c r="AB399" s="6"/>
      <c r="AC399" s="6"/>
      <c r="AD399" s="6"/>
      <c r="AE399" s="6"/>
      <c r="AF399" s="6"/>
      <c r="AG399" s="6"/>
      <c r="AH399" s="6"/>
      <c r="AI399" s="6"/>
      <c r="AJ399" s="6"/>
    </row>
    <row r="400" spans="1:36" x14ac:dyDescent="0.2">
      <c r="A400" s="6"/>
      <c r="B400" s="6"/>
      <c r="C400" s="6"/>
      <c r="D400" s="6"/>
      <c r="E400" s="6"/>
      <c r="F400" s="6"/>
      <c r="G400" s="6"/>
      <c r="H400" s="6"/>
      <c r="I400" s="7"/>
      <c r="J400" s="7"/>
      <c r="K400" s="7"/>
      <c r="L400" s="7"/>
      <c r="M400" s="6"/>
      <c r="N400" s="7"/>
      <c r="O400" s="7"/>
      <c r="P400" s="7"/>
      <c r="Q400" s="7"/>
      <c r="R400" s="7"/>
      <c r="S400" s="7"/>
      <c r="T400" s="7"/>
      <c r="U400" s="7"/>
      <c r="V400" s="7"/>
      <c r="W400" s="7"/>
      <c r="X400" s="7"/>
      <c r="Y400" s="7"/>
      <c r="Z400" s="6"/>
      <c r="AA400" s="6"/>
      <c r="AB400" s="6"/>
      <c r="AC400" s="6"/>
      <c r="AD400" s="6"/>
      <c r="AE400" s="6"/>
      <c r="AF400" s="6"/>
      <c r="AG400" s="6"/>
      <c r="AH400" s="6"/>
      <c r="AI400" s="6"/>
      <c r="AJ400" s="6"/>
    </row>
    <row r="401" spans="1:36" x14ac:dyDescent="0.2">
      <c r="A401" s="6"/>
      <c r="B401" s="6"/>
      <c r="C401" s="6"/>
      <c r="D401" s="6"/>
      <c r="E401" s="6"/>
      <c r="F401" s="6"/>
      <c r="G401" s="6"/>
      <c r="H401" s="6"/>
      <c r="I401" s="7"/>
      <c r="J401" s="7"/>
      <c r="K401" s="7"/>
      <c r="L401" s="7"/>
      <c r="M401" s="6"/>
      <c r="N401" s="7"/>
      <c r="O401" s="7"/>
      <c r="P401" s="7"/>
      <c r="Q401" s="7"/>
      <c r="R401" s="7"/>
      <c r="S401" s="7"/>
      <c r="T401" s="7"/>
      <c r="U401" s="7"/>
      <c r="V401" s="7"/>
      <c r="W401" s="7"/>
      <c r="X401" s="7"/>
      <c r="Y401" s="7"/>
      <c r="Z401" s="6"/>
      <c r="AA401" s="6"/>
      <c r="AB401" s="6"/>
      <c r="AC401" s="6"/>
      <c r="AD401" s="6"/>
      <c r="AE401" s="6"/>
      <c r="AF401" s="6"/>
      <c r="AG401" s="6"/>
      <c r="AH401" s="6"/>
      <c r="AI401" s="6"/>
      <c r="AJ401" s="6"/>
    </row>
    <row r="402" spans="1:36" x14ac:dyDescent="0.2">
      <c r="A402" s="6"/>
      <c r="B402" s="6"/>
      <c r="C402" s="6"/>
      <c r="D402" s="6"/>
      <c r="E402" s="6"/>
      <c r="F402" s="6"/>
      <c r="G402" s="6"/>
      <c r="H402" s="6"/>
      <c r="I402" s="7"/>
      <c r="J402" s="7"/>
      <c r="K402" s="7"/>
      <c r="L402" s="7"/>
      <c r="M402" s="6"/>
      <c r="N402" s="7"/>
      <c r="O402" s="7"/>
      <c r="P402" s="7"/>
      <c r="Q402" s="7"/>
      <c r="R402" s="7"/>
      <c r="S402" s="7"/>
      <c r="T402" s="7"/>
      <c r="U402" s="7"/>
      <c r="V402" s="7"/>
      <c r="W402" s="7"/>
      <c r="X402" s="7"/>
      <c r="Y402" s="7"/>
      <c r="Z402" s="6"/>
      <c r="AA402" s="6"/>
      <c r="AB402" s="6"/>
      <c r="AC402" s="6"/>
      <c r="AD402" s="6"/>
      <c r="AE402" s="6"/>
      <c r="AF402" s="6"/>
      <c r="AG402" s="6"/>
      <c r="AH402" s="6"/>
      <c r="AI402" s="6"/>
      <c r="AJ402" s="6"/>
    </row>
    <row r="403" spans="1:36" x14ac:dyDescent="0.2">
      <c r="A403" s="6"/>
      <c r="B403" s="6"/>
      <c r="C403" s="6"/>
      <c r="D403" s="6"/>
      <c r="E403" s="6"/>
      <c r="F403" s="6"/>
      <c r="G403" s="6"/>
      <c r="H403" s="6"/>
      <c r="I403" s="7"/>
      <c r="J403" s="7"/>
      <c r="K403" s="7"/>
      <c r="L403" s="7"/>
      <c r="M403" s="6"/>
      <c r="N403" s="7"/>
      <c r="O403" s="7"/>
      <c r="P403" s="7"/>
      <c r="Q403" s="7"/>
      <c r="R403" s="7"/>
      <c r="S403" s="7"/>
      <c r="T403" s="7"/>
      <c r="U403" s="7"/>
      <c r="V403" s="7"/>
      <c r="W403" s="7"/>
      <c r="X403" s="7"/>
      <c r="Y403" s="7"/>
      <c r="Z403" s="6"/>
      <c r="AA403" s="6"/>
      <c r="AB403" s="6"/>
      <c r="AC403" s="6"/>
      <c r="AD403" s="6"/>
      <c r="AE403" s="6"/>
      <c r="AF403" s="6"/>
      <c r="AG403" s="6"/>
      <c r="AH403" s="6"/>
      <c r="AI403" s="6"/>
      <c r="AJ403" s="6"/>
    </row>
    <row r="404" spans="1:36" x14ac:dyDescent="0.2">
      <c r="A404" s="6"/>
      <c r="B404" s="6"/>
      <c r="C404" s="6"/>
      <c r="D404" s="6"/>
      <c r="E404" s="6"/>
      <c r="F404" s="6"/>
      <c r="G404" s="6"/>
      <c r="H404" s="6"/>
      <c r="I404" s="7"/>
      <c r="J404" s="7"/>
      <c r="K404" s="7"/>
      <c r="L404" s="7"/>
      <c r="M404" s="6"/>
      <c r="N404" s="7"/>
      <c r="O404" s="7"/>
      <c r="P404" s="7"/>
      <c r="Q404" s="7"/>
      <c r="R404" s="7"/>
      <c r="S404" s="7"/>
      <c r="T404" s="7"/>
      <c r="U404" s="7"/>
      <c r="V404" s="7"/>
      <c r="W404" s="7"/>
      <c r="X404" s="7"/>
      <c r="Y404" s="7"/>
      <c r="Z404" s="6"/>
      <c r="AA404" s="6"/>
      <c r="AB404" s="6"/>
      <c r="AC404" s="6"/>
      <c r="AD404" s="6"/>
      <c r="AE404" s="6"/>
      <c r="AF404" s="6"/>
      <c r="AG404" s="6"/>
      <c r="AH404" s="6"/>
      <c r="AI404" s="6"/>
      <c r="AJ404" s="6"/>
    </row>
    <row r="405" spans="1:36" x14ac:dyDescent="0.2">
      <c r="A405" s="6"/>
      <c r="B405" s="6"/>
      <c r="C405" s="6"/>
      <c r="D405" s="6"/>
      <c r="E405" s="6"/>
      <c r="F405" s="6"/>
      <c r="G405" s="6"/>
      <c r="H405" s="6"/>
      <c r="I405" s="7"/>
      <c r="J405" s="7"/>
      <c r="K405" s="7"/>
      <c r="L405" s="7"/>
      <c r="M405" s="6"/>
      <c r="N405" s="7"/>
      <c r="O405" s="7"/>
      <c r="P405" s="7"/>
      <c r="Q405" s="7"/>
      <c r="R405" s="7"/>
      <c r="S405" s="7"/>
      <c r="T405" s="7"/>
      <c r="U405" s="7"/>
      <c r="V405" s="7"/>
      <c r="W405" s="7"/>
      <c r="X405" s="7"/>
      <c r="Y405" s="7"/>
      <c r="Z405" s="6"/>
      <c r="AA405" s="6"/>
      <c r="AB405" s="6"/>
      <c r="AC405" s="6"/>
      <c r="AD405" s="6"/>
      <c r="AE405" s="6"/>
      <c r="AF405" s="6"/>
      <c r="AG405" s="6"/>
      <c r="AH405" s="6"/>
      <c r="AI405" s="6"/>
      <c r="AJ405" s="6"/>
    </row>
    <row r="406" spans="1:36" x14ac:dyDescent="0.2">
      <c r="A406" s="6"/>
      <c r="B406" s="6"/>
      <c r="C406" s="6"/>
      <c r="D406" s="6"/>
      <c r="E406" s="6"/>
      <c r="F406" s="6"/>
      <c r="G406" s="6"/>
      <c r="H406" s="6"/>
      <c r="I406" s="7"/>
      <c r="J406" s="7"/>
      <c r="K406" s="7"/>
      <c r="L406" s="7"/>
      <c r="M406" s="6"/>
      <c r="N406" s="7"/>
      <c r="O406" s="7"/>
      <c r="P406" s="7"/>
      <c r="Q406" s="7"/>
      <c r="R406" s="7"/>
      <c r="S406" s="7"/>
      <c r="T406" s="7"/>
      <c r="U406" s="7"/>
      <c r="V406" s="7"/>
      <c r="W406" s="7"/>
      <c r="X406" s="7"/>
      <c r="Y406" s="7"/>
      <c r="Z406" s="6"/>
      <c r="AA406" s="6"/>
      <c r="AB406" s="6"/>
      <c r="AC406" s="6"/>
      <c r="AD406" s="6"/>
      <c r="AE406" s="6"/>
      <c r="AF406" s="6"/>
      <c r="AG406" s="6"/>
      <c r="AH406" s="6"/>
      <c r="AI406" s="6"/>
      <c r="AJ406" s="6"/>
    </row>
    <row r="407" spans="1:36" x14ac:dyDescent="0.2">
      <c r="A407" s="6"/>
      <c r="B407" s="6"/>
      <c r="C407" s="6"/>
      <c r="D407" s="6"/>
      <c r="E407" s="6"/>
      <c r="F407" s="6"/>
      <c r="G407" s="6"/>
      <c r="H407" s="6"/>
      <c r="I407" s="7"/>
      <c r="J407" s="7"/>
      <c r="K407" s="7"/>
      <c r="L407" s="7"/>
      <c r="M407" s="6"/>
      <c r="N407" s="7"/>
      <c r="O407" s="7"/>
      <c r="P407" s="7"/>
      <c r="Q407" s="7"/>
      <c r="R407" s="7"/>
      <c r="S407" s="7"/>
      <c r="T407" s="7"/>
      <c r="U407" s="7"/>
      <c r="V407" s="7"/>
      <c r="W407" s="7"/>
      <c r="X407" s="7"/>
      <c r="Y407" s="7"/>
      <c r="Z407" s="6"/>
      <c r="AA407" s="6"/>
      <c r="AB407" s="6"/>
      <c r="AC407" s="6"/>
      <c r="AD407" s="6"/>
      <c r="AE407" s="6"/>
      <c r="AF407" s="6"/>
      <c r="AG407" s="6"/>
      <c r="AH407" s="6"/>
      <c r="AI407" s="6"/>
      <c r="AJ407" s="6"/>
    </row>
    <row r="408" spans="1:36" x14ac:dyDescent="0.2">
      <c r="A408" s="6"/>
      <c r="B408" s="6"/>
      <c r="C408" s="6"/>
      <c r="D408" s="6"/>
      <c r="E408" s="6"/>
      <c r="F408" s="6"/>
      <c r="G408" s="6"/>
      <c r="H408" s="6"/>
      <c r="I408" s="7"/>
      <c r="J408" s="7"/>
      <c r="K408" s="7"/>
      <c r="L408" s="7"/>
      <c r="M408" s="6"/>
      <c r="N408" s="7"/>
      <c r="O408" s="7"/>
      <c r="P408" s="7"/>
      <c r="Q408" s="7"/>
      <c r="R408" s="7"/>
      <c r="S408" s="7"/>
      <c r="T408" s="7"/>
      <c r="U408" s="7"/>
      <c r="V408" s="7"/>
      <c r="W408" s="7"/>
      <c r="X408" s="7"/>
      <c r="Y408" s="7"/>
      <c r="Z408" s="6"/>
      <c r="AA408" s="6"/>
      <c r="AB408" s="6"/>
      <c r="AC408" s="6"/>
      <c r="AD408" s="6"/>
      <c r="AE408" s="6"/>
      <c r="AF408" s="6"/>
      <c r="AG408" s="6"/>
      <c r="AH408" s="6"/>
      <c r="AI408" s="6"/>
      <c r="AJ408" s="6"/>
    </row>
    <row r="409" spans="1:36" x14ac:dyDescent="0.2">
      <c r="A409" s="6"/>
      <c r="B409" s="6"/>
      <c r="C409" s="6"/>
      <c r="D409" s="6"/>
      <c r="E409" s="6"/>
      <c r="F409" s="6"/>
      <c r="G409" s="6"/>
      <c r="H409" s="6"/>
      <c r="I409" s="7"/>
      <c r="J409" s="7"/>
      <c r="K409" s="7"/>
      <c r="L409" s="7"/>
      <c r="M409" s="6"/>
      <c r="N409" s="7"/>
      <c r="O409" s="7"/>
      <c r="P409" s="7"/>
      <c r="Q409" s="7"/>
      <c r="R409" s="7"/>
      <c r="S409" s="7"/>
      <c r="T409" s="7"/>
      <c r="U409" s="7"/>
      <c r="V409" s="7"/>
      <c r="W409" s="7"/>
      <c r="X409" s="7"/>
      <c r="Y409" s="7"/>
      <c r="Z409" s="6"/>
      <c r="AA409" s="6"/>
      <c r="AB409" s="6"/>
      <c r="AC409" s="6"/>
      <c r="AD409" s="6"/>
      <c r="AE409" s="6"/>
      <c r="AF409" s="6"/>
      <c r="AG409" s="6"/>
      <c r="AH409" s="6"/>
      <c r="AI409" s="6"/>
      <c r="AJ409" s="6"/>
    </row>
    <row r="410" spans="1:36" x14ac:dyDescent="0.2">
      <c r="A410" s="6"/>
      <c r="B410" s="6"/>
      <c r="C410" s="6"/>
      <c r="D410" s="6"/>
      <c r="E410" s="6"/>
      <c r="F410" s="6"/>
      <c r="G410" s="6"/>
      <c r="H410" s="6"/>
      <c r="I410" s="7"/>
      <c r="J410" s="7"/>
      <c r="K410" s="7"/>
      <c r="L410" s="7"/>
      <c r="M410" s="6"/>
      <c r="N410" s="7"/>
      <c r="O410" s="7"/>
      <c r="P410" s="7"/>
      <c r="Q410" s="7"/>
      <c r="R410" s="7"/>
      <c r="S410" s="7"/>
      <c r="T410" s="7"/>
      <c r="U410" s="7"/>
      <c r="V410" s="7"/>
      <c r="W410" s="7"/>
      <c r="X410" s="7"/>
      <c r="Y410" s="7"/>
      <c r="Z410" s="6"/>
      <c r="AA410" s="6"/>
      <c r="AB410" s="6"/>
      <c r="AC410" s="6"/>
      <c r="AD410" s="6"/>
      <c r="AE410" s="6"/>
      <c r="AF410" s="6"/>
      <c r="AG410" s="6"/>
      <c r="AH410" s="6"/>
      <c r="AI410" s="6"/>
      <c r="AJ410" s="6"/>
    </row>
    <row r="411" spans="1:36" x14ac:dyDescent="0.2">
      <c r="A411" s="6"/>
      <c r="B411" s="6"/>
      <c r="C411" s="6"/>
      <c r="D411" s="6"/>
      <c r="E411" s="6"/>
      <c r="F411" s="6"/>
      <c r="G411" s="6"/>
      <c r="H411" s="6"/>
      <c r="I411" s="7"/>
      <c r="J411" s="7"/>
      <c r="K411" s="7"/>
      <c r="L411" s="7"/>
      <c r="M411" s="6"/>
      <c r="N411" s="7"/>
      <c r="O411" s="7"/>
      <c r="P411" s="7"/>
      <c r="Q411" s="7"/>
      <c r="R411" s="7"/>
      <c r="S411" s="7"/>
      <c r="T411" s="7"/>
      <c r="U411" s="7"/>
      <c r="V411" s="7"/>
      <c r="W411" s="7"/>
      <c r="X411" s="7"/>
      <c r="Y411" s="7"/>
      <c r="Z411" s="6"/>
      <c r="AA411" s="6"/>
      <c r="AB411" s="6"/>
      <c r="AC411" s="6"/>
      <c r="AD411" s="6"/>
      <c r="AE411" s="6"/>
      <c r="AF411" s="6"/>
      <c r="AG411" s="6"/>
      <c r="AH411" s="6"/>
      <c r="AI411" s="6"/>
      <c r="AJ411" s="6"/>
    </row>
    <row r="412" spans="1:36" x14ac:dyDescent="0.2">
      <c r="A412" s="6"/>
      <c r="B412" s="6"/>
      <c r="C412" s="6"/>
      <c r="D412" s="6"/>
      <c r="E412" s="6"/>
      <c r="F412" s="6"/>
      <c r="G412" s="6"/>
      <c r="H412" s="6"/>
      <c r="I412" s="7"/>
      <c r="J412" s="7"/>
      <c r="K412" s="7"/>
      <c r="L412" s="7"/>
      <c r="M412" s="6"/>
      <c r="N412" s="7"/>
      <c r="O412" s="7"/>
      <c r="P412" s="7"/>
      <c r="Q412" s="7"/>
      <c r="R412" s="7"/>
      <c r="S412" s="7"/>
      <c r="T412" s="7"/>
      <c r="U412" s="7"/>
      <c r="V412" s="7"/>
      <c r="W412" s="7"/>
      <c r="X412" s="7"/>
      <c r="Y412" s="7"/>
      <c r="Z412" s="6"/>
      <c r="AA412" s="6"/>
      <c r="AB412" s="6"/>
      <c r="AC412" s="6"/>
      <c r="AD412" s="6"/>
      <c r="AE412" s="6"/>
      <c r="AF412" s="6"/>
      <c r="AG412" s="6"/>
      <c r="AH412" s="6"/>
      <c r="AI412" s="6"/>
      <c r="AJ412" s="6"/>
    </row>
    <row r="413" spans="1:36" x14ac:dyDescent="0.2">
      <c r="A413" s="6"/>
      <c r="B413" s="6"/>
      <c r="C413" s="6"/>
      <c r="D413" s="6"/>
      <c r="E413" s="6"/>
      <c r="F413" s="6"/>
      <c r="G413" s="6"/>
      <c r="H413" s="6"/>
      <c r="I413" s="7"/>
      <c r="J413" s="7"/>
      <c r="K413" s="7"/>
      <c r="L413" s="7"/>
      <c r="M413" s="6"/>
      <c r="N413" s="7"/>
      <c r="O413" s="7"/>
      <c r="P413" s="7"/>
      <c r="Q413" s="7"/>
      <c r="R413" s="7"/>
      <c r="S413" s="7"/>
      <c r="T413" s="7"/>
      <c r="U413" s="7"/>
      <c r="V413" s="7"/>
      <c r="W413" s="7"/>
      <c r="X413" s="7"/>
      <c r="Y413" s="7"/>
      <c r="Z413" s="6"/>
      <c r="AA413" s="6"/>
      <c r="AB413" s="6"/>
      <c r="AC413" s="6"/>
      <c r="AD413" s="6"/>
      <c r="AE413" s="6"/>
      <c r="AF413" s="6"/>
      <c r="AG413" s="6"/>
      <c r="AH413" s="6"/>
      <c r="AI413" s="6"/>
      <c r="AJ413" s="6"/>
    </row>
    <row r="414" spans="1:36" x14ac:dyDescent="0.2">
      <c r="A414" s="6"/>
      <c r="B414" s="6"/>
      <c r="C414" s="6"/>
      <c r="D414" s="6"/>
      <c r="E414" s="6"/>
      <c r="F414" s="6"/>
      <c r="G414" s="6"/>
      <c r="H414" s="6"/>
      <c r="I414" s="7"/>
      <c r="J414" s="7"/>
      <c r="K414" s="7"/>
      <c r="L414" s="7"/>
      <c r="M414" s="6"/>
      <c r="N414" s="7"/>
      <c r="O414" s="7"/>
      <c r="P414" s="7"/>
      <c r="Q414" s="7"/>
      <c r="R414" s="7"/>
      <c r="S414" s="7"/>
      <c r="T414" s="7"/>
      <c r="U414" s="7"/>
      <c r="V414" s="7"/>
      <c r="W414" s="7"/>
      <c r="X414" s="7"/>
      <c r="Y414" s="7"/>
      <c r="Z414" s="6"/>
      <c r="AA414" s="6"/>
      <c r="AB414" s="6"/>
      <c r="AC414" s="6"/>
      <c r="AD414" s="6"/>
      <c r="AE414" s="6"/>
      <c r="AF414" s="6"/>
      <c r="AG414" s="6"/>
      <c r="AH414" s="6"/>
      <c r="AI414" s="6"/>
      <c r="AJ414" s="6"/>
    </row>
    <row r="415" spans="1:36" x14ac:dyDescent="0.2">
      <c r="A415" s="6"/>
      <c r="B415" s="6"/>
      <c r="C415" s="6"/>
      <c r="D415" s="6"/>
      <c r="E415" s="6"/>
      <c r="F415" s="6"/>
      <c r="G415" s="6"/>
      <c r="H415" s="6"/>
      <c r="I415" s="7"/>
      <c r="J415" s="7"/>
      <c r="K415" s="7"/>
      <c r="L415" s="7"/>
      <c r="M415" s="6"/>
      <c r="N415" s="7"/>
      <c r="O415" s="7"/>
      <c r="P415" s="7"/>
      <c r="Q415" s="7"/>
      <c r="R415" s="7"/>
      <c r="S415" s="7"/>
      <c r="T415" s="7"/>
      <c r="U415" s="7"/>
      <c r="V415" s="7"/>
      <c r="W415" s="7"/>
      <c r="X415" s="7"/>
      <c r="Y415" s="7"/>
      <c r="Z415" s="6"/>
      <c r="AA415" s="6"/>
      <c r="AB415" s="6"/>
      <c r="AC415" s="6"/>
      <c r="AD415" s="6"/>
      <c r="AE415" s="6"/>
      <c r="AF415" s="6"/>
      <c r="AG415" s="6"/>
      <c r="AH415" s="6"/>
      <c r="AI415" s="6"/>
      <c r="AJ415" s="6"/>
    </row>
    <row r="416" spans="1:36" x14ac:dyDescent="0.2">
      <c r="A416" s="6"/>
      <c r="B416" s="6"/>
      <c r="C416" s="6"/>
      <c r="D416" s="6"/>
      <c r="E416" s="6"/>
      <c r="F416" s="6"/>
      <c r="G416" s="6"/>
      <c r="H416" s="6"/>
      <c r="I416" s="7"/>
      <c r="J416" s="7"/>
      <c r="K416" s="7"/>
      <c r="L416" s="7"/>
      <c r="M416" s="6"/>
      <c r="N416" s="7"/>
      <c r="O416" s="7"/>
      <c r="P416" s="7"/>
      <c r="Q416" s="7"/>
      <c r="R416" s="7"/>
      <c r="S416" s="7"/>
      <c r="T416" s="7"/>
      <c r="U416" s="7"/>
      <c r="V416" s="7"/>
      <c r="W416" s="7"/>
      <c r="X416" s="7"/>
      <c r="Y416" s="7"/>
      <c r="Z416" s="6"/>
      <c r="AA416" s="6"/>
      <c r="AB416" s="6"/>
      <c r="AC416" s="6"/>
      <c r="AD416" s="6"/>
      <c r="AE416" s="6"/>
      <c r="AF416" s="6"/>
      <c r="AG416" s="6"/>
      <c r="AH416" s="6"/>
      <c r="AI416" s="6"/>
      <c r="AJ416" s="6"/>
    </row>
    <row r="417" spans="1:36" x14ac:dyDescent="0.2">
      <c r="A417" s="6"/>
      <c r="B417" s="6"/>
      <c r="C417" s="6"/>
      <c r="D417" s="6"/>
      <c r="E417" s="6"/>
      <c r="F417" s="6"/>
      <c r="G417" s="6"/>
      <c r="H417" s="6"/>
      <c r="I417" s="7"/>
      <c r="J417" s="7"/>
      <c r="K417" s="7"/>
      <c r="L417" s="7"/>
      <c r="M417" s="6"/>
      <c r="N417" s="7"/>
      <c r="O417" s="7"/>
      <c r="P417" s="7"/>
      <c r="Q417" s="7"/>
      <c r="R417" s="7"/>
      <c r="S417" s="7"/>
      <c r="T417" s="7"/>
      <c r="U417" s="7"/>
      <c r="V417" s="7"/>
      <c r="W417" s="7"/>
      <c r="X417" s="7"/>
      <c r="Y417" s="7"/>
      <c r="Z417" s="6"/>
      <c r="AA417" s="6"/>
      <c r="AB417" s="6"/>
      <c r="AC417" s="6"/>
      <c r="AD417" s="6"/>
      <c r="AE417" s="6"/>
      <c r="AF417" s="6"/>
      <c r="AG417" s="6"/>
      <c r="AH417" s="6"/>
      <c r="AI417" s="6"/>
      <c r="AJ417" s="6"/>
    </row>
    <row r="418" spans="1:36" x14ac:dyDescent="0.2">
      <c r="A418" s="6"/>
      <c r="B418" s="6"/>
      <c r="C418" s="6"/>
      <c r="D418" s="6"/>
      <c r="E418" s="6"/>
      <c r="F418" s="6"/>
      <c r="G418" s="6"/>
      <c r="H418" s="6"/>
      <c r="I418" s="7"/>
      <c r="J418" s="7"/>
      <c r="K418" s="7"/>
      <c r="L418" s="7"/>
      <c r="M418" s="6"/>
      <c r="N418" s="7"/>
      <c r="O418" s="7"/>
      <c r="P418" s="7"/>
      <c r="Q418" s="7"/>
      <c r="R418" s="7"/>
      <c r="S418" s="7"/>
      <c r="T418" s="7"/>
      <c r="U418" s="7"/>
      <c r="V418" s="7"/>
      <c r="W418" s="7"/>
      <c r="X418" s="7"/>
      <c r="Y418" s="7"/>
      <c r="Z418" s="6"/>
      <c r="AA418" s="6"/>
      <c r="AB418" s="6"/>
      <c r="AC418" s="6"/>
      <c r="AD418" s="6"/>
      <c r="AE418" s="6"/>
      <c r="AF418" s="6"/>
      <c r="AG418" s="6"/>
      <c r="AH418" s="6"/>
      <c r="AI418" s="6"/>
      <c r="AJ418" s="6"/>
    </row>
    <row r="419" spans="1:36" x14ac:dyDescent="0.2">
      <c r="A419" s="6"/>
      <c r="B419" s="6"/>
      <c r="C419" s="6"/>
      <c r="D419" s="6"/>
      <c r="E419" s="6"/>
      <c r="F419" s="6"/>
      <c r="G419" s="6"/>
      <c r="H419" s="6"/>
      <c r="I419" s="7"/>
      <c r="J419" s="7"/>
      <c r="K419" s="7"/>
      <c r="L419" s="7"/>
      <c r="M419" s="6"/>
      <c r="N419" s="7"/>
      <c r="O419" s="7"/>
      <c r="P419" s="7"/>
      <c r="Q419" s="7"/>
      <c r="R419" s="7"/>
      <c r="S419" s="7"/>
      <c r="T419" s="7"/>
      <c r="U419" s="7"/>
      <c r="V419" s="7"/>
      <c r="W419" s="7"/>
      <c r="X419" s="7"/>
      <c r="Y419" s="7"/>
      <c r="Z419" s="6"/>
      <c r="AA419" s="6"/>
      <c r="AB419" s="6"/>
      <c r="AC419" s="6"/>
      <c r="AD419" s="6"/>
      <c r="AE419" s="6"/>
      <c r="AF419" s="6"/>
      <c r="AG419" s="6"/>
      <c r="AH419" s="6"/>
      <c r="AI419" s="6"/>
      <c r="AJ419" s="6"/>
    </row>
    <row r="420" spans="1:36" x14ac:dyDescent="0.2">
      <c r="A420" s="6"/>
      <c r="B420" s="6"/>
      <c r="C420" s="6"/>
      <c r="D420" s="6"/>
      <c r="E420" s="6"/>
      <c r="F420" s="6"/>
      <c r="G420" s="6"/>
      <c r="H420" s="6"/>
      <c r="I420" s="7"/>
      <c r="J420" s="7"/>
      <c r="K420" s="7"/>
      <c r="L420" s="7"/>
      <c r="M420" s="6"/>
      <c r="N420" s="7"/>
      <c r="O420" s="7"/>
      <c r="P420" s="7"/>
      <c r="Q420" s="7"/>
      <c r="R420" s="7"/>
      <c r="S420" s="7"/>
      <c r="T420" s="7"/>
      <c r="U420" s="7"/>
      <c r="V420" s="7"/>
      <c r="W420" s="7"/>
      <c r="X420" s="7"/>
      <c r="Y420" s="7"/>
      <c r="Z420" s="6"/>
      <c r="AA420" s="6"/>
      <c r="AB420" s="6"/>
      <c r="AC420" s="6"/>
      <c r="AD420" s="6"/>
      <c r="AE420" s="6"/>
      <c r="AF420" s="6"/>
      <c r="AG420" s="6"/>
      <c r="AH420" s="6"/>
      <c r="AI420" s="6"/>
      <c r="AJ420" s="6"/>
    </row>
    <row r="421" spans="1:36" x14ac:dyDescent="0.2">
      <c r="A421" s="6"/>
      <c r="B421" s="6"/>
      <c r="C421" s="6"/>
      <c r="D421" s="6"/>
      <c r="E421" s="6"/>
      <c r="F421" s="6"/>
      <c r="G421" s="6"/>
      <c r="H421" s="6"/>
      <c r="I421" s="7"/>
      <c r="J421" s="7"/>
      <c r="K421" s="7"/>
      <c r="L421" s="7"/>
      <c r="M421" s="6"/>
      <c r="N421" s="7"/>
      <c r="O421" s="7"/>
      <c r="P421" s="7"/>
      <c r="Q421" s="7"/>
      <c r="R421" s="7"/>
      <c r="S421" s="7"/>
      <c r="T421" s="7"/>
      <c r="U421" s="7"/>
      <c r="V421" s="7"/>
      <c r="W421" s="7"/>
      <c r="X421" s="7"/>
      <c r="Y421" s="7"/>
      <c r="Z421" s="6"/>
      <c r="AA421" s="6"/>
      <c r="AB421" s="6"/>
      <c r="AC421" s="6"/>
      <c r="AD421" s="6"/>
      <c r="AE421" s="6"/>
      <c r="AF421" s="6"/>
      <c r="AG421" s="6"/>
      <c r="AH421" s="6"/>
      <c r="AI421" s="6"/>
      <c r="AJ421" s="6"/>
    </row>
    <row r="422" spans="1:36" x14ac:dyDescent="0.2">
      <c r="A422" s="6"/>
      <c r="B422" s="6"/>
      <c r="C422" s="6"/>
      <c r="D422" s="6"/>
      <c r="E422" s="6"/>
      <c r="F422" s="6"/>
      <c r="G422" s="6"/>
      <c r="H422" s="6"/>
      <c r="I422" s="7"/>
      <c r="J422" s="7"/>
      <c r="K422" s="7"/>
      <c r="L422" s="7"/>
      <c r="M422" s="6"/>
      <c r="N422" s="7"/>
      <c r="O422" s="7"/>
      <c r="P422" s="7"/>
      <c r="Q422" s="7"/>
      <c r="R422" s="7"/>
      <c r="S422" s="7"/>
      <c r="T422" s="7"/>
      <c r="U422" s="7"/>
      <c r="V422" s="7"/>
      <c r="W422" s="7"/>
      <c r="X422" s="7"/>
      <c r="Y422" s="7"/>
      <c r="Z422" s="6"/>
      <c r="AA422" s="6"/>
      <c r="AB422" s="6"/>
      <c r="AC422" s="6"/>
      <c r="AD422" s="6"/>
      <c r="AE422" s="6"/>
      <c r="AF422" s="6"/>
      <c r="AG422" s="6"/>
      <c r="AH422" s="6"/>
      <c r="AI422" s="6"/>
      <c r="AJ422" s="6"/>
    </row>
    <row r="423" spans="1:36" x14ac:dyDescent="0.2">
      <c r="A423" s="6"/>
      <c r="B423" s="6"/>
      <c r="C423" s="6"/>
      <c r="D423" s="6"/>
      <c r="E423" s="6"/>
      <c r="F423" s="6"/>
      <c r="G423" s="6"/>
      <c r="H423" s="6"/>
      <c r="I423" s="7"/>
      <c r="J423" s="7"/>
      <c r="K423" s="7"/>
      <c r="L423" s="7"/>
      <c r="M423" s="6"/>
      <c r="N423" s="7"/>
      <c r="O423" s="7"/>
      <c r="P423" s="7"/>
      <c r="Q423" s="7"/>
      <c r="R423" s="7"/>
      <c r="S423" s="7"/>
      <c r="T423" s="7"/>
      <c r="U423" s="7"/>
      <c r="V423" s="7"/>
      <c r="W423" s="7"/>
      <c r="X423" s="7"/>
      <c r="Y423" s="7"/>
      <c r="Z423" s="6"/>
      <c r="AA423" s="6"/>
      <c r="AB423" s="6"/>
      <c r="AC423" s="6"/>
      <c r="AD423" s="6"/>
      <c r="AE423" s="6"/>
      <c r="AF423" s="6"/>
      <c r="AG423" s="6"/>
      <c r="AH423" s="6"/>
      <c r="AI423" s="6"/>
      <c r="AJ423" s="6"/>
    </row>
    <row r="424" spans="1:36" x14ac:dyDescent="0.2">
      <c r="A424" s="6"/>
      <c r="B424" s="6"/>
      <c r="C424" s="6"/>
      <c r="D424" s="6"/>
      <c r="E424" s="6"/>
      <c r="F424" s="6"/>
      <c r="G424" s="6"/>
      <c r="H424" s="6"/>
      <c r="I424" s="7"/>
      <c r="J424" s="7"/>
      <c r="K424" s="7"/>
      <c r="L424" s="7"/>
      <c r="M424" s="6"/>
      <c r="N424" s="7"/>
      <c r="O424" s="7"/>
      <c r="P424" s="7"/>
      <c r="Q424" s="7"/>
      <c r="R424" s="7"/>
      <c r="S424" s="7"/>
      <c r="T424" s="7"/>
      <c r="U424" s="7"/>
      <c r="V424" s="7"/>
      <c r="W424" s="7"/>
      <c r="X424" s="7"/>
      <c r="Y424" s="7"/>
      <c r="Z424" s="6"/>
      <c r="AA424" s="6"/>
      <c r="AB424" s="6"/>
      <c r="AC424" s="6"/>
      <c r="AD424" s="6"/>
      <c r="AE424" s="6"/>
      <c r="AF424" s="6"/>
      <c r="AG424" s="6"/>
      <c r="AH424" s="6"/>
      <c r="AI424" s="6"/>
      <c r="AJ424" s="6"/>
    </row>
    <row r="425" spans="1:36" x14ac:dyDescent="0.2">
      <c r="A425" s="6"/>
      <c r="B425" s="6"/>
      <c r="C425" s="6"/>
      <c r="D425" s="6"/>
      <c r="E425" s="6"/>
      <c r="F425" s="6"/>
      <c r="G425" s="6"/>
      <c r="H425" s="6"/>
      <c r="I425" s="7"/>
      <c r="J425" s="7"/>
      <c r="K425" s="7"/>
      <c r="L425" s="7"/>
      <c r="M425" s="6"/>
      <c r="N425" s="7"/>
      <c r="O425" s="7"/>
      <c r="P425" s="7"/>
      <c r="Q425" s="7"/>
      <c r="R425" s="7"/>
      <c r="S425" s="7"/>
      <c r="T425" s="7"/>
      <c r="U425" s="7"/>
      <c r="V425" s="7"/>
      <c r="W425" s="7"/>
      <c r="X425" s="7"/>
      <c r="Y425" s="7"/>
      <c r="Z425" s="6"/>
      <c r="AA425" s="6"/>
      <c r="AB425" s="6"/>
      <c r="AC425" s="6"/>
      <c r="AD425" s="6"/>
      <c r="AE425" s="6"/>
      <c r="AF425" s="6"/>
      <c r="AG425" s="6"/>
      <c r="AH425" s="6"/>
      <c r="AI425" s="6"/>
      <c r="AJ425" s="6"/>
    </row>
    <row r="426" spans="1:36" x14ac:dyDescent="0.2">
      <c r="A426" s="6"/>
      <c r="B426" s="6"/>
      <c r="C426" s="6"/>
      <c r="D426" s="6"/>
      <c r="E426" s="6"/>
      <c r="F426" s="6"/>
      <c r="G426" s="6"/>
      <c r="H426" s="6"/>
      <c r="I426" s="7"/>
      <c r="J426" s="7"/>
      <c r="K426" s="7"/>
      <c r="L426" s="7"/>
      <c r="M426" s="6"/>
      <c r="N426" s="7"/>
      <c r="O426" s="7"/>
      <c r="P426" s="7"/>
      <c r="Q426" s="7"/>
      <c r="R426" s="7"/>
      <c r="S426" s="7"/>
      <c r="T426" s="7"/>
      <c r="U426" s="7"/>
      <c r="V426" s="7"/>
      <c r="W426" s="7"/>
      <c r="X426" s="7"/>
      <c r="Y426" s="7"/>
      <c r="Z426" s="6"/>
      <c r="AA426" s="6"/>
      <c r="AB426" s="6"/>
      <c r="AC426" s="6"/>
      <c r="AD426" s="6"/>
      <c r="AE426" s="6"/>
      <c r="AF426" s="6"/>
      <c r="AG426" s="6"/>
      <c r="AH426" s="6"/>
      <c r="AI426" s="6"/>
      <c r="AJ426" s="6"/>
    </row>
    <row r="427" spans="1:36" x14ac:dyDescent="0.2">
      <c r="A427" s="6"/>
      <c r="B427" s="6"/>
      <c r="C427" s="6"/>
      <c r="D427" s="6"/>
      <c r="E427" s="6"/>
      <c r="F427" s="6"/>
      <c r="G427" s="6"/>
      <c r="H427" s="6"/>
      <c r="I427" s="7"/>
      <c r="J427" s="7"/>
      <c r="K427" s="7"/>
      <c r="L427" s="7"/>
      <c r="M427" s="6"/>
      <c r="N427" s="7"/>
      <c r="O427" s="7"/>
      <c r="P427" s="7"/>
      <c r="Q427" s="7"/>
      <c r="R427" s="7"/>
      <c r="S427" s="7"/>
      <c r="T427" s="7"/>
      <c r="U427" s="7"/>
      <c r="V427" s="7"/>
      <c r="W427" s="7"/>
      <c r="X427" s="7"/>
      <c r="Y427" s="7"/>
      <c r="Z427" s="6"/>
      <c r="AA427" s="6"/>
      <c r="AB427" s="6"/>
      <c r="AC427" s="6"/>
      <c r="AD427" s="6"/>
      <c r="AE427" s="6"/>
      <c r="AF427" s="6"/>
      <c r="AG427" s="6"/>
      <c r="AH427" s="6"/>
      <c r="AI427" s="6"/>
      <c r="AJ427" s="6"/>
    </row>
    <row r="428" spans="1:36" x14ac:dyDescent="0.2">
      <c r="A428" s="6"/>
      <c r="B428" s="6"/>
      <c r="C428" s="6"/>
      <c r="D428" s="6"/>
      <c r="E428" s="6"/>
      <c r="F428" s="6"/>
      <c r="G428" s="6"/>
      <c r="H428" s="6"/>
      <c r="I428" s="7"/>
      <c r="J428" s="7"/>
      <c r="K428" s="7"/>
      <c r="L428" s="7"/>
      <c r="M428" s="6"/>
      <c r="N428" s="7"/>
      <c r="O428" s="7"/>
      <c r="P428" s="7"/>
      <c r="Q428" s="7"/>
      <c r="R428" s="7"/>
      <c r="S428" s="7"/>
      <c r="T428" s="7"/>
      <c r="U428" s="7"/>
      <c r="V428" s="7"/>
      <c r="W428" s="7"/>
      <c r="X428" s="7"/>
      <c r="Y428" s="7"/>
      <c r="Z428" s="6"/>
      <c r="AA428" s="6"/>
      <c r="AB428" s="6"/>
      <c r="AC428" s="6"/>
      <c r="AD428" s="6"/>
      <c r="AE428" s="6"/>
      <c r="AF428" s="6"/>
      <c r="AG428" s="6"/>
      <c r="AH428" s="6"/>
      <c r="AI428" s="6"/>
      <c r="AJ428" s="6"/>
    </row>
    <row r="429" spans="1:36" x14ac:dyDescent="0.2">
      <c r="A429" s="6"/>
      <c r="B429" s="6"/>
      <c r="C429" s="6"/>
      <c r="D429" s="6"/>
      <c r="E429" s="6"/>
      <c r="F429" s="6"/>
      <c r="G429" s="6"/>
      <c r="H429" s="6"/>
      <c r="I429" s="7"/>
      <c r="J429" s="7"/>
      <c r="K429" s="7"/>
      <c r="L429" s="7"/>
      <c r="M429" s="6"/>
      <c r="N429" s="7"/>
      <c r="O429" s="7"/>
      <c r="P429" s="7"/>
      <c r="Q429" s="7"/>
      <c r="R429" s="7"/>
      <c r="S429" s="7"/>
      <c r="T429" s="7"/>
      <c r="U429" s="7"/>
      <c r="V429" s="7"/>
      <c r="W429" s="7"/>
      <c r="X429" s="7"/>
      <c r="Y429" s="7"/>
      <c r="Z429" s="6"/>
      <c r="AA429" s="6"/>
      <c r="AB429" s="6"/>
      <c r="AC429" s="6"/>
      <c r="AD429" s="6"/>
      <c r="AE429" s="6"/>
      <c r="AF429" s="6"/>
      <c r="AG429" s="6"/>
      <c r="AH429" s="6"/>
      <c r="AI429" s="6"/>
      <c r="AJ429" s="6"/>
    </row>
    <row r="430" spans="1:36" x14ac:dyDescent="0.2">
      <c r="A430" s="6"/>
      <c r="B430" s="6"/>
      <c r="C430" s="6"/>
      <c r="D430" s="6"/>
      <c r="E430" s="6"/>
      <c r="F430" s="6"/>
      <c r="G430" s="6"/>
      <c r="H430" s="6"/>
      <c r="I430" s="7"/>
      <c r="J430" s="7"/>
      <c r="K430" s="7"/>
      <c r="L430" s="7"/>
      <c r="M430" s="6"/>
      <c r="N430" s="7"/>
      <c r="O430" s="7"/>
      <c r="P430" s="7"/>
      <c r="Q430" s="7"/>
      <c r="R430" s="7"/>
      <c r="S430" s="7"/>
      <c r="T430" s="7"/>
      <c r="U430" s="7"/>
      <c r="V430" s="7"/>
      <c r="W430" s="7"/>
      <c r="X430" s="7"/>
      <c r="Y430" s="7"/>
      <c r="Z430" s="6"/>
      <c r="AA430" s="6"/>
      <c r="AB430" s="6"/>
      <c r="AC430" s="6"/>
      <c r="AD430" s="6"/>
      <c r="AE430" s="6"/>
      <c r="AF430" s="6"/>
      <c r="AG430" s="6"/>
      <c r="AH430" s="6"/>
      <c r="AI430" s="6"/>
      <c r="AJ430" s="6"/>
    </row>
    <row r="431" spans="1:36" x14ac:dyDescent="0.2">
      <c r="A431" s="6"/>
      <c r="B431" s="6"/>
      <c r="C431" s="6"/>
      <c r="D431" s="6"/>
      <c r="E431" s="6"/>
      <c r="F431" s="6"/>
      <c r="G431" s="6"/>
      <c r="H431" s="6"/>
      <c r="I431" s="7"/>
      <c r="J431" s="7"/>
      <c r="K431" s="7"/>
      <c r="L431" s="7"/>
      <c r="M431" s="6"/>
      <c r="N431" s="7"/>
      <c r="O431" s="7"/>
      <c r="P431" s="7"/>
      <c r="Q431" s="7"/>
      <c r="R431" s="7"/>
      <c r="S431" s="7"/>
      <c r="T431" s="7"/>
      <c r="U431" s="7"/>
      <c r="V431" s="7"/>
      <c r="W431" s="7"/>
      <c r="X431" s="7"/>
      <c r="Y431" s="7"/>
      <c r="Z431" s="6"/>
      <c r="AA431" s="6"/>
      <c r="AB431" s="6"/>
      <c r="AC431" s="6"/>
      <c r="AD431" s="6"/>
      <c r="AE431" s="6"/>
      <c r="AF431" s="6"/>
      <c r="AG431" s="6"/>
      <c r="AH431" s="6"/>
      <c r="AI431" s="6"/>
      <c r="AJ431" s="6"/>
    </row>
    <row r="432" spans="1:36" x14ac:dyDescent="0.2">
      <c r="A432" s="6"/>
      <c r="B432" s="6"/>
      <c r="C432" s="6"/>
      <c r="D432" s="6"/>
      <c r="E432" s="6"/>
      <c r="F432" s="6"/>
      <c r="G432" s="6"/>
      <c r="H432" s="6"/>
      <c r="I432" s="7"/>
      <c r="J432" s="7"/>
      <c r="K432" s="7"/>
      <c r="L432" s="7"/>
      <c r="M432" s="6"/>
      <c r="N432" s="7"/>
      <c r="O432" s="7"/>
      <c r="P432" s="7"/>
      <c r="Q432" s="7"/>
      <c r="R432" s="7"/>
      <c r="S432" s="7"/>
      <c r="T432" s="7"/>
      <c r="U432" s="7"/>
      <c r="V432" s="7"/>
      <c r="W432" s="7"/>
      <c r="X432" s="7"/>
      <c r="Y432" s="7"/>
      <c r="Z432" s="6"/>
      <c r="AA432" s="6"/>
      <c r="AB432" s="6"/>
      <c r="AC432" s="6"/>
      <c r="AD432" s="6"/>
      <c r="AE432" s="6"/>
      <c r="AF432" s="6"/>
      <c r="AG432" s="6"/>
      <c r="AH432" s="6"/>
      <c r="AI432" s="6"/>
      <c r="AJ432" s="6"/>
    </row>
    <row r="433" spans="1:36" x14ac:dyDescent="0.2">
      <c r="A433" s="6"/>
      <c r="B433" s="6"/>
      <c r="C433" s="6"/>
      <c r="D433" s="6"/>
      <c r="E433" s="6"/>
      <c r="F433" s="6"/>
      <c r="G433" s="6"/>
      <c r="H433" s="6"/>
      <c r="I433" s="7"/>
      <c r="J433" s="7"/>
      <c r="K433" s="7"/>
      <c r="L433" s="7"/>
      <c r="M433" s="6"/>
      <c r="N433" s="7"/>
      <c r="O433" s="7"/>
      <c r="P433" s="7"/>
      <c r="Q433" s="7"/>
      <c r="R433" s="7"/>
      <c r="S433" s="7"/>
      <c r="T433" s="7"/>
      <c r="U433" s="7"/>
      <c r="V433" s="7"/>
      <c r="W433" s="7"/>
      <c r="X433" s="7"/>
      <c r="Y433" s="7"/>
      <c r="Z433" s="6"/>
      <c r="AA433" s="6"/>
      <c r="AB433" s="6"/>
      <c r="AC433" s="6"/>
      <c r="AD433" s="6"/>
      <c r="AE433" s="6"/>
      <c r="AF433" s="6"/>
      <c r="AG433" s="6"/>
      <c r="AH433" s="6"/>
      <c r="AI433" s="6"/>
      <c r="AJ433" s="6"/>
    </row>
    <row r="434" spans="1:36" x14ac:dyDescent="0.2">
      <c r="A434" s="6"/>
      <c r="B434" s="6"/>
      <c r="C434" s="6"/>
      <c r="D434" s="6"/>
      <c r="E434" s="6"/>
      <c r="F434" s="6"/>
      <c r="G434" s="6"/>
      <c r="H434" s="6"/>
      <c r="I434" s="7"/>
      <c r="J434" s="7"/>
      <c r="K434" s="7"/>
      <c r="L434" s="7"/>
      <c r="M434" s="6"/>
      <c r="N434" s="7"/>
      <c r="O434" s="7"/>
      <c r="P434" s="7"/>
      <c r="Q434" s="7"/>
      <c r="R434" s="7"/>
      <c r="S434" s="7"/>
      <c r="T434" s="7"/>
      <c r="U434" s="7"/>
      <c r="V434" s="7"/>
      <c r="W434" s="7"/>
      <c r="X434" s="7"/>
      <c r="Y434" s="7"/>
      <c r="Z434" s="6"/>
      <c r="AA434" s="6"/>
      <c r="AB434" s="6"/>
      <c r="AC434" s="6"/>
      <c r="AD434" s="6"/>
      <c r="AE434" s="6"/>
      <c r="AF434" s="6"/>
      <c r="AG434" s="6"/>
      <c r="AH434" s="6"/>
      <c r="AI434" s="6"/>
      <c r="AJ434" s="6"/>
    </row>
    <row r="435" spans="1:36" x14ac:dyDescent="0.2">
      <c r="A435" s="6"/>
      <c r="B435" s="6"/>
      <c r="C435" s="6"/>
      <c r="D435" s="6"/>
      <c r="E435" s="6"/>
      <c r="F435" s="6"/>
      <c r="G435" s="6"/>
      <c r="H435" s="6"/>
      <c r="I435" s="7"/>
      <c r="J435" s="7"/>
      <c r="K435" s="7"/>
      <c r="L435" s="7"/>
      <c r="M435" s="6"/>
      <c r="N435" s="7"/>
      <c r="O435" s="7"/>
      <c r="P435" s="7"/>
      <c r="Q435" s="7"/>
      <c r="R435" s="7"/>
      <c r="S435" s="7"/>
      <c r="T435" s="7"/>
      <c r="U435" s="7"/>
      <c r="V435" s="7"/>
      <c r="W435" s="7"/>
      <c r="X435" s="7"/>
      <c r="Y435" s="7"/>
      <c r="Z435" s="6"/>
      <c r="AA435" s="6"/>
      <c r="AB435" s="6"/>
      <c r="AC435" s="6"/>
      <c r="AD435" s="6"/>
      <c r="AE435" s="6"/>
      <c r="AF435" s="6"/>
      <c r="AG435" s="6"/>
      <c r="AH435" s="6"/>
      <c r="AI435" s="6"/>
      <c r="AJ435" s="6"/>
    </row>
    <row r="436" spans="1:36" x14ac:dyDescent="0.2">
      <c r="A436" s="6"/>
      <c r="B436" s="6"/>
      <c r="C436" s="6"/>
      <c r="D436" s="6"/>
      <c r="E436" s="6"/>
      <c r="F436" s="6"/>
      <c r="G436" s="6"/>
      <c r="H436" s="6"/>
      <c r="I436" s="7"/>
      <c r="J436" s="7"/>
      <c r="K436" s="7"/>
      <c r="L436" s="7"/>
      <c r="M436" s="6"/>
      <c r="N436" s="7"/>
      <c r="O436" s="7"/>
      <c r="P436" s="7"/>
      <c r="Q436" s="7"/>
      <c r="R436" s="7"/>
      <c r="S436" s="7"/>
      <c r="T436" s="7"/>
      <c r="U436" s="7"/>
      <c r="V436" s="7"/>
      <c r="W436" s="7"/>
      <c r="X436" s="7"/>
      <c r="Y436" s="7"/>
      <c r="Z436" s="6"/>
      <c r="AA436" s="6"/>
      <c r="AB436" s="6"/>
      <c r="AC436" s="6"/>
      <c r="AD436" s="6"/>
      <c r="AE436" s="6"/>
      <c r="AF436" s="6"/>
      <c r="AG436" s="6"/>
      <c r="AH436" s="6"/>
      <c r="AI436" s="6"/>
      <c r="AJ436" s="6"/>
    </row>
    <row r="437" spans="1:36" x14ac:dyDescent="0.2">
      <c r="A437" s="6"/>
      <c r="B437" s="6"/>
      <c r="C437" s="6"/>
      <c r="D437" s="6"/>
      <c r="E437" s="6"/>
      <c r="F437" s="6"/>
      <c r="G437" s="6"/>
      <c r="H437" s="6"/>
      <c r="I437" s="7"/>
      <c r="J437" s="7"/>
      <c r="K437" s="7"/>
      <c r="L437" s="7"/>
      <c r="M437" s="6"/>
      <c r="N437" s="7"/>
      <c r="O437" s="7"/>
      <c r="P437" s="7"/>
      <c r="Q437" s="7"/>
      <c r="R437" s="7"/>
      <c r="S437" s="7"/>
      <c r="T437" s="7"/>
      <c r="U437" s="7"/>
      <c r="V437" s="7"/>
      <c r="W437" s="7"/>
      <c r="X437" s="7"/>
      <c r="Y437" s="7"/>
      <c r="Z437" s="6"/>
      <c r="AA437" s="6"/>
      <c r="AB437" s="6"/>
      <c r="AC437" s="6"/>
      <c r="AD437" s="6"/>
      <c r="AE437" s="6"/>
      <c r="AF437" s="6"/>
      <c r="AG437" s="6"/>
      <c r="AH437" s="6"/>
      <c r="AI437" s="6"/>
      <c r="AJ437" s="6"/>
    </row>
    <row r="438" spans="1:36" x14ac:dyDescent="0.2">
      <c r="A438" s="6"/>
      <c r="B438" s="6"/>
      <c r="C438" s="6"/>
      <c r="D438" s="6"/>
      <c r="E438" s="6"/>
      <c r="F438" s="6"/>
      <c r="G438" s="6"/>
      <c r="H438" s="6"/>
      <c r="I438" s="7"/>
      <c r="J438" s="7"/>
      <c r="K438" s="7"/>
      <c r="L438" s="7"/>
      <c r="M438" s="6"/>
      <c r="N438" s="7"/>
      <c r="O438" s="7"/>
      <c r="P438" s="7"/>
      <c r="Q438" s="7"/>
      <c r="R438" s="7"/>
      <c r="S438" s="7"/>
      <c r="T438" s="7"/>
      <c r="U438" s="7"/>
      <c r="V438" s="7"/>
      <c r="W438" s="7"/>
      <c r="X438" s="7"/>
      <c r="Y438" s="7"/>
      <c r="Z438" s="6"/>
      <c r="AA438" s="6"/>
      <c r="AB438" s="6"/>
      <c r="AC438" s="6"/>
      <c r="AD438" s="6"/>
      <c r="AE438" s="6"/>
      <c r="AF438" s="6"/>
      <c r="AG438" s="6"/>
      <c r="AH438" s="6"/>
      <c r="AI438" s="6"/>
      <c r="AJ438" s="6"/>
    </row>
    <row r="439" spans="1:36" x14ac:dyDescent="0.2">
      <c r="A439" s="6"/>
      <c r="B439" s="6"/>
      <c r="C439" s="6"/>
      <c r="D439" s="6"/>
      <c r="E439" s="6"/>
      <c r="F439" s="6"/>
      <c r="G439" s="6"/>
      <c r="H439" s="6"/>
      <c r="I439" s="7"/>
      <c r="J439" s="7"/>
      <c r="K439" s="7"/>
      <c r="L439" s="7"/>
      <c r="M439" s="6"/>
      <c r="N439" s="7"/>
      <c r="O439" s="7"/>
      <c r="P439" s="7"/>
      <c r="Q439" s="7"/>
      <c r="R439" s="7"/>
      <c r="S439" s="7"/>
      <c r="T439" s="7"/>
      <c r="U439" s="7"/>
      <c r="V439" s="7"/>
      <c r="W439" s="7"/>
      <c r="X439" s="7"/>
      <c r="Y439" s="7"/>
      <c r="Z439" s="6"/>
      <c r="AA439" s="6"/>
      <c r="AB439" s="6"/>
      <c r="AC439" s="6"/>
      <c r="AD439" s="6"/>
      <c r="AE439" s="6"/>
      <c r="AF439" s="6"/>
      <c r="AG439" s="6"/>
      <c r="AH439" s="6"/>
      <c r="AI439" s="6"/>
      <c r="AJ439" s="6"/>
    </row>
    <row r="440" spans="1:36" x14ac:dyDescent="0.2">
      <c r="A440" s="6"/>
      <c r="B440" s="6"/>
      <c r="C440" s="6"/>
      <c r="D440" s="6"/>
      <c r="E440" s="6"/>
      <c r="F440" s="6"/>
      <c r="G440" s="6"/>
      <c r="H440" s="6"/>
      <c r="I440" s="7"/>
      <c r="J440" s="7"/>
      <c r="K440" s="7"/>
      <c r="L440" s="7"/>
      <c r="M440" s="6"/>
      <c r="N440" s="7"/>
      <c r="O440" s="7"/>
      <c r="P440" s="7"/>
      <c r="Q440" s="7"/>
      <c r="R440" s="7"/>
      <c r="S440" s="7"/>
      <c r="T440" s="7"/>
      <c r="U440" s="7"/>
      <c r="V440" s="7"/>
      <c r="W440" s="7"/>
      <c r="X440" s="7"/>
      <c r="Y440" s="7"/>
      <c r="Z440" s="6"/>
      <c r="AA440" s="6"/>
      <c r="AB440" s="6"/>
      <c r="AC440" s="6"/>
      <c r="AD440" s="6"/>
      <c r="AE440" s="6"/>
      <c r="AF440" s="6"/>
      <c r="AG440" s="6"/>
      <c r="AH440" s="6"/>
      <c r="AI440" s="6"/>
      <c r="AJ440" s="6"/>
    </row>
    <row r="441" spans="1:36" x14ac:dyDescent="0.2">
      <c r="A441" s="6"/>
      <c r="B441" s="6"/>
      <c r="C441" s="6"/>
      <c r="D441" s="6"/>
      <c r="E441" s="6"/>
      <c r="F441" s="6"/>
      <c r="G441" s="6"/>
      <c r="H441" s="6"/>
      <c r="I441" s="7"/>
      <c r="J441" s="7"/>
      <c r="K441" s="7"/>
      <c r="L441" s="7"/>
      <c r="M441" s="6"/>
      <c r="N441" s="7"/>
      <c r="O441" s="7"/>
      <c r="P441" s="7"/>
      <c r="Q441" s="7"/>
      <c r="R441" s="7"/>
      <c r="S441" s="7"/>
      <c r="T441" s="7"/>
      <c r="U441" s="7"/>
      <c r="V441" s="7"/>
      <c r="W441" s="7"/>
      <c r="X441" s="7"/>
      <c r="Y441" s="7"/>
      <c r="Z441" s="6"/>
      <c r="AA441" s="6"/>
      <c r="AB441" s="6"/>
      <c r="AC441" s="6"/>
      <c r="AD441" s="6"/>
      <c r="AE441" s="6"/>
      <c r="AF441" s="6"/>
      <c r="AG441" s="6"/>
      <c r="AH441" s="6"/>
      <c r="AI441" s="6"/>
      <c r="AJ441" s="6"/>
    </row>
    <row r="442" spans="1:36" x14ac:dyDescent="0.2">
      <c r="A442" s="6"/>
      <c r="B442" s="6"/>
      <c r="C442" s="6"/>
      <c r="D442" s="6"/>
      <c r="E442" s="6"/>
      <c r="F442" s="6"/>
      <c r="G442" s="6"/>
      <c r="H442" s="6"/>
      <c r="I442" s="7"/>
      <c r="J442" s="7"/>
      <c r="K442" s="7"/>
      <c r="L442" s="7"/>
      <c r="M442" s="6"/>
      <c r="N442" s="7"/>
      <c r="O442" s="7"/>
      <c r="P442" s="7"/>
      <c r="Q442" s="7"/>
      <c r="R442" s="7"/>
      <c r="S442" s="7"/>
      <c r="T442" s="7"/>
      <c r="U442" s="7"/>
      <c r="V442" s="7"/>
      <c r="W442" s="7"/>
      <c r="X442" s="7"/>
      <c r="Y442" s="7"/>
      <c r="Z442" s="6"/>
      <c r="AA442" s="6"/>
      <c r="AB442" s="6"/>
      <c r="AC442" s="6"/>
      <c r="AD442" s="6"/>
      <c r="AE442" s="6"/>
      <c r="AF442" s="6"/>
      <c r="AG442" s="6"/>
      <c r="AH442" s="6"/>
      <c r="AI442" s="6"/>
      <c r="AJ442" s="6"/>
    </row>
    <row r="443" spans="1:36" x14ac:dyDescent="0.2">
      <c r="A443" s="6"/>
      <c r="B443" s="6"/>
      <c r="C443" s="6"/>
      <c r="D443" s="6"/>
      <c r="E443" s="6"/>
      <c r="F443" s="6"/>
      <c r="G443" s="6"/>
      <c r="H443" s="6"/>
      <c r="I443" s="7"/>
      <c r="J443" s="7"/>
      <c r="K443" s="7"/>
      <c r="L443" s="7"/>
      <c r="M443" s="6"/>
      <c r="N443" s="7"/>
      <c r="O443" s="7"/>
      <c r="P443" s="7"/>
      <c r="Q443" s="7"/>
      <c r="R443" s="7"/>
      <c r="S443" s="7"/>
      <c r="T443" s="7"/>
      <c r="U443" s="7"/>
      <c r="V443" s="7"/>
      <c r="W443" s="7"/>
      <c r="X443" s="7"/>
      <c r="Y443" s="7"/>
      <c r="Z443" s="6"/>
      <c r="AA443" s="6"/>
      <c r="AB443" s="6"/>
      <c r="AC443" s="6"/>
      <c r="AD443" s="6"/>
      <c r="AE443" s="6"/>
      <c r="AF443" s="6"/>
      <c r="AG443" s="6"/>
      <c r="AH443" s="6"/>
      <c r="AI443" s="6"/>
      <c r="AJ443" s="6"/>
    </row>
    <row r="444" spans="1:36" x14ac:dyDescent="0.2">
      <c r="A444" s="6"/>
      <c r="B444" s="6"/>
      <c r="C444" s="6"/>
      <c r="D444" s="6"/>
      <c r="E444" s="6"/>
      <c r="F444" s="6"/>
      <c r="G444" s="6"/>
      <c r="H444" s="6"/>
      <c r="I444" s="7"/>
      <c r="J444" s="7"/>
      <c r="K444" s="7"/>
      <c r="L444" s="7"/>
      <c r="M444" s="6"/>
      <c r="N444" s="7"/>
      <c r="O444" s="7"/>
      <c r="P444" s="7"/>
      <c r="Q444" s="7"/>
      <c r="R444" s="7"/>
      <c r="S444" s="7"/>
      <c r="T444" s="7"/>
      <c r="U444" s="7"/>
      <c r="V444" s="7"/>
      <c r="W444" s="7"/>
      <c r="X444" s="7"/>
      <c r="Y444" s="7"/>
      <c r="Z444" s="6"/>
      <c r="AA444" s="6"/>
      <c r="AB444" s="6"/>
      <c r="AC444" s="6"/>
      <c r="AD444" s="6"/>
      <c r="AE444" s="6"/>
      <c r="AF444" s="6"/>
      <c r="AG444" s="6"/>
      <c r="AH444" s="6"/>
      <c r="AI444" s="6"/>
      <c r="AJ444" s="6"/>
    </row>
    <row r="445" spans="1:36" x14ac:dyDescent="0.2">
      <c r="A445" s="6"/>
      <c r="B445" s="6"/>
      <c r="C445" s="6"/>
      <c r="D445" s="6"/>
      <c r="E445" s="6"/>
      <c r="F445" s="6"/>
      <c r="G445" s="6"/>
      <c r="H445" s="6"/>
      <c r="I445" s="7"/>
      <c r="J445" s="7"/>
      <c r="K445" s="7"/>
      <c r="L445" s="7"/>
      <c r="M445" s="6"/>
      <c r="N445" s="7"/>
      <c r="O445" s="7"/>
      <c r="P445" s="7"/>
      <c r="Q445" s="7"/>
      <c r="R445" s="7"/>
      <c r="S445" s="7"/>
      <c r="T445" s="7"/>
      <c r="U445" s="7"/>
      <c r="V445" s="7"/>
      <c r="W445" s="7"/>
      <c r="X445" s="7"/>
      <c r="Y445" s="7"/>
      <c r="Z445" s="6"/>
      <c r="AA445" s="6"/>
      <c r="AB445" s="6"/>
      <c r="AC445" s="6"/>
      <c r="AD445" s="6"/>
      <c r="AE445" s="6"/>
      <c r="AF445" s="6"/>
      <c r="AG445" s="6"/>
      <c r="AH445" s="6"/>
      <c r="AI445" s="6"/>
      <c r="AJ445" s="6"/>
    </row>
    <row r="446" spans="1:36" x14ac:dyDescent="0.2">
      <c r="A446" s="6"/>
      <c r="B446" s="6"/>
      <c r="C446" s="6"/>
      <c r="D446" s="6"/>
      <c r="E446" s="6"/>
      <c r="F446" s="6"/>
      <c r="G446" s="6"/>
      <c r="H446" s="6"/>
      <c r="I446" s="7"/>
      <c r="J446" s="7"/>
      <c r="K446" s="7"/>
      <c r="L446" s="7"/>
      <c r="M446" s="6"/>
      <c r="N446" s="7"/>
      <c r="O446" s="7"/>
      <c r="P446" s="7"/>
      <c r="Q446" s="7"/>
      <c r="R446" s="7"/>
      <c r="S446" s="7"/>
      <c r="T446" s="7"/>
      <c r="U446" s="7"/>
      <c r="V446" s="7"/>
      <c r="W446" s="7"/>
      <c r="X446" s="7"/>
      <c r="Y446" s="7"/>
      <c r="Z446" s="6"/>
      <c r="AA446" s="6"/>
      <c r="AB446" s="6"/>
      <c r="AC446" s="6"/>
      <c r="AD446" s="6"/>
      <c r="AE446" s="6"/>
      <c r="AF446" s="6"/>
      <c r="AG446" s="6"/>
      <c r="AH446" s="6"/>
      <c r="AI446" s="6"/>
      <c r="AJ446" s="6"/>
    </row>
    <row r="447" spans="1:36" x14ac:dyDescent="0.2">
      <c r="A447" s="6"/>
      <c r="B447" s="6"/>
      <c r="C447" s="6"/>
      <c r="D447" s="6"/>
      <c r="E447" s="6"/>
      <c r="F447" s="6"/>
      <c r="G447" s="6"/>
      <c r="H447" s="6"/>
      <c r="I447" s="7"/>
      <c r="J447" s="7"/>
      <c r="K447" s="7"/>
      <c r="L447" s="7"/>
      <c r="M447" s="6"/>
      <c r="N447" s="7"/>
      <c r="O447" s="7"/>
      <c r="P447" s="7"/>
      <c r="Q447" s="7"/>
      <c r="R447" s="7"/>
      <c r="S447" s="7"/>
      <c r="T447" s="7"/>
      <c r="U447" s="7"/>
      <c r="V447" s="7"/>
      <c r="W447" s="7"/>
      <c r="X447" s="7"/>
      <c r="Y447" s="7"/>
      <c r="Z447" s="6"/>
      <c r="AA447" s="6"/>
      <c r="AB447" s="6"/>
      <c r="AC447" s="6"/>
      <c r="AD447" s="6"/>
      <c r="AE447" s="6"/>
      <c r="AF447" s="6"/>
      <c r="AG447" s="6"/>
      <c r="AH447" s="6"/>
      <c r="AI447" s="6"/>
      <c r="AJ447" s="6"/>
    </row>
    <row r="448" spans="1:36" x14ac:dyDescent="0.2">
      <c r="A448" s="6"/>
      <c r="B448" s="6"/>
      <c r="C448" s="6"/>
      <c r="D448" s="6"/>
      <c r="E448" s="6"/>
      <c r="F448" s="6"/>
      <c r="G448" s="6"/>
      <c r="H448" s="6"/>
      <c r="I448" s="7"/>
      <c r="J448" s="7"/>
      <c r="K448" s="7"/>
      <c r="L448" s="7"/>
      <c r="M448" s="6"/>
      <c r="N448" s="7"/>
      <c r="O448" s="7"/>
      <c r="P448" s="7"/>
      <c r="Q448" s="7"/>
      <c r="R448" s="7"/>
      <c r="S448" s="7"/>
      <c r="T448" s="7"/>
      <c r="U448" s="7"/>
      <c r="V448" s="7"/>
      <c r="W448" s="7"/>
      <c r="X448" s="7"/>
      <c r="Y448" s="7"/>
      <c r="Z448" s="6"/>
      <c r="AA448" s="6"/>
      <c r="AB448" s="6"/>
      <c r="AC448" s="6"/>
      <c r="AD448" s="6"/>
      <c r="AE448" s="6"/>
      <c r="AF448" s="6"/>
      <c r="AG448" s="6"/>
      <c r="AH448" s="6"/>
      <c r="AI448" s="6"/>
      <c r="AJ448" s="6"/>
    </row>
    <row r="449" spans="1:36" x14ac:dyDescent="0.2">
      <c r="A449" s="6"/>
      <c r="B449" s="6"/>
      <c r="C449" s="6"/>
      <c r="D449" s="6"/>
      <c r="E449" s="6"/>
      <c r="F449" s="6"/>
      <c r="G449" s="6"/>
      <c r="H449" s="6"/>
      <c r="I449" s="7"/>
      <c r="J449" s="7"/>
      <c r="K449" s="7"/>
      <c r="L449" s="7"/>
      <c r="M449" s="6"/>
      <c r="N449" s="7"/>
      <c r="O449" s="7"/>
      <c r="P449" s="7"/>
      <c r="Q449" s="7"/>
      <c r="R449" s="7"/>
      <c r="S449" s="7"/>
      <c r="T449" s="7"/>
      <c r="U449" s="7"/>
      <c r="V449" s="7"/>
      <c r="W449" s="7"/>
      <c r="X449" s="7"/>
      <c r="Y449" s="7"/>
      <c r="Z449" s="6"/>
      <c r="AA449" s="6"/>
      <c r="AB449" s="6"/>
      <c r="AC449" s="6"/>
      <c r="AD449" s="6"/>
      <c r="AE449" s="6"/>
      <c r="AF449" s="6"/>
      <c r="AG449" s="6"/>
      <c r="AH449" s="6"/>
      <c r="AI449" s="6"/>
      <c r="AJ449" s="6"/>
    </row>
    <row r="450" spans="1:36" x14ac:dyDescent="0.2">
      <c r="A450" s="6"/>
      <c r="B450" s="6"/>
      <c r="C450" s="6"/>
      <c r="D450" s="6"/>
      <c r="E450" s="6"/>
      <c r="F450" s="6"/>
      <c r="G450" s="6"/>
      <c r="H450" s="6"/>
      <c r="I450" s="7"/>
      <c r="J450" s="7"/>
      <c r="K450" s="7"/>
      <c r="L450" s="7"/>
      <c r="M450" s="6"/>
      <c r="N450" s="7"/>
      <c r="O450" s="7"/>
      <c r="P450" s="7"/>
      <c r="Q450" s="7"/>
      <c r="R450" s="7"/>
      <c r="S450" s="7"/>
      <c r="T450" s="7"/>
      <c r="U450" s="7"/>
      <c r="V450" s="7"/>
      <c r="W450" s="7"/>
      <c r="X450" s="7"/>
      <c r="Y450" s="7"/>
      <c r="Z450" s="6"/>
      <c r="AA450" s="6"/>
      <c r="AB450" s="6"/>
      <c r="AC450" s="6"/>
      <c r="AD450" s="6"/>
      <c r="AE450" s="6"/>
      <c r="AF450" s="6"/>
      <c r="AG450" s="6"/>
      <c r="AH450" s="6"/>
      <c r="AI450" s="6"/>
      <c r="AJ450" s="6"/>
    </row>
    <row r="451" spans="1:36" x14ac:dyDescent="0.2">
      <c r="A451" s="6"/>
      <c r="B451" s="6"/>
      <c r="C451" s="6"/>
      <c r="D451" s="6"/>
      <c r="E451" s="6"/>
      <c r="F451" s="6"/>
      <c r="G451" s="6"/>
      <c r="H451" s="6"/>
      <c r="I451" s="7"/>
      <c r="J451" s="7"/>
      <c r="K451" s="7"/>
      <c r="L451" s="7"/>
      <c r="M451" s="6"/>
      <c r="N451" s="7"/>
      <c r="O451" s="7"/>
      <c r="P451" s="7"/>
      <c r="Q451" s="7"/>
      <c r="R451" s="7"/>
      <c r="S451" s="7"/>
      <c r="T451" s="7"/>
      <c r="U451" s="7"/>
      <c r="V451" s="7"/>
      <c r="W451" s="7"/>
      <c r="X451" s="7"/>
      <c r="Y451" s="7"/>
      <c r="Z451" s="6"/>
      <c r="AA451" s="6"/>
      <c r="AB451" s="6"/>
      <c r="AC451" s="6"/>
      <c r="AD451" s="6"/>
      <c r="AE451" s="6"/>
      <c r="AF451" s="6"/>
      <c r="AG451" s="6"/>
      <c r="AH451" s="6"/>
      <c r="AI451" s="6"/>
      <c r="AJ451" s="6"/>
    </row>
    <row r="452" spans="1:36" x14ac:dyDescent="0.2">
      <c r="A452" s="6"/>
      <c r="B452" s="6"/>
      <c r="C452" s="6"/>
      <c r="D452" s="6"/>
      <c r="E452" s="6"/>
      <c r="F452" s="6"/>
      <c r="G452" s="6"/>
      <c r="H452" s="6"/>
      <c r="I452" s="7"/>
      <c r="J452" s="7"/>
      <c r="K452" s="7"/>
      <c r="L452" s="7"/>
      <c r="M452" s="6"/>
      <c r="N452" s="7"/>
      <c r="O452" s="7"/>
      <c r="P452" s="7"/>
      <c r="Q452" s="7"/>
      <c r="R452" s="7"/>
      <c r="S452" s="7"/>
      <c r="T452" s="7"/>
      <c r="U452" s="7"/>
      <c r="V452" s="7"/>
      <c r="W452" s="7"/>
      <c r="X452" s="7"/>
      <c r="Y452" s="7"/>
      <c r="Z452" s="6"/>
      <c r="AA452" s="6"/>
      <c r="AB452" s="6"/>
      <c r="AC452" s="6"/>
      <c r="AD452" s="6"/>
      <c r="AE452" s="6"/>
      <c r="AF452" s="6"/>
      <c r="AG452" s="6"/>
      <c r="AH452" s="6"/>
      <c r="AI452" s="6"/>
      <c r="AJ452" s="6"/>
    </row>
    <row r="453" spans="1:36" x14ac:dyDescent="0.2">
      <c r="A453" s="6"/>
      <c r="B453" s="6"/>
      <c r="C453" s="6"/>
      <c r="D453" s="6"/>
      <c r="E453" s="6"/>
      <c r="F453" s="6"/>
      <c r="G453" s="6"/>
      <c r="H453" s="6"/>
      <c r="I453" s="7"/>
      <c r="J453" s="7"/>
      <c r="K453" s="7"/>
      <c r="L453" s="7"/>
      <c r="M453" s="6"/>
      <c r="N453" s="7"/>
      <c r="O453" s="7"/>
      <c r="P453" s="7"/>
      <c r="Q453" s="7"/>
      <c r="R453" s="7"/>
      <c r="S453" s="7"/>
      <c r="T453" s="7"/>
      <c r="U453" s="7"/>
      <c r="V453" s="7"/>
      <c r="W453" s="7"/>
      <c r="X453" s="7"/>
      <c r="Y453" s="7"/>
      <c r="Z453" s="6"/>
      <c r="AA453" s="6"/>
      <c r="AB453" s="6"/>
      <c r="AC453" s="6"/>
      <c r="AD453" s="6"/>
      <c r="AE453" s="6"/>
      <c r="AF453" s="6"/>
      <c r="AG453" s="6"/>
      <c r="AH453" s="6"/>
      <c r="AI453" s="6"/>
      <c r="AJ453" s="6"/>
    </row>
    <row r="454" spans="1:36" x14ac:dyDescent="0.2">
      <c r="A454" s="6"/>
      <c r="B454" s="6"/>
      <c r="C454" s="6"/>
      <c r="D454" s="6"/>
      <c r="E454" s="6"/>
      <c r="F454" s="6"/>
      <c r="G454" s="6"/>
      <c r="H454" s="6"/>
      <c r="I454" s="7"/>
      <c r="J454" s="7"/>
      <c r="K454" s="7"/>
      <c r="L454" s="7"/>
      <c r="M454" s="6"/>
      <c r="N454" s="7"/>
      <c r="O454" s="7"/>
      <c r="P454" s="7"/>
      <c r="Q454" s="7"/>
      <c r="R454" s="7"/>
      <c r="S454" s="7"/>
      <c r="T454" s="7"/>
      <c r="U454" s="7"/>
      <c r="V454" s="7"/>
      <c r="W454" s="7"/>
      <c r="X454" s="7"/>
      <c r="Y454" s="7"/>
      <c r="Z454" s="6"/>
      <c r="AA454" s="6"/>
      <c r="AB454" s="6"/>
      <c r="AC454" s="6"/>
      <c r="AD454" s="6"/>
      <c r="AE454" s="6"/>
      <c r="AF454" s="6"/>
      <c r="AG454" s="6"/>
      <c r="AH454" s="6"/>
      <c r="AI454" s="6"/>
      <c r="AJ454" s="6"/>
    </row>
    <row r="455" spans="1:36" x14ac:dyDescent="0.2">
      <c r="A455" s="6"/>
      <c r="B455" s="6"/>
      <c r="C455" s="6"/>
      <c r="D455" s="6"/>
      <c r="E455" s="6"/>
      <c r="F455" s="6"/>
      <c r="G455" s="6"/>
      <c r="H455" s="6"/>
      <c r="I455" s="7"/>
      <c r="J455" s="7"/>
      <c r="K455" s="7"/>
      <c r="L455" s="7"/>
      <c r="M455" s="6"/>
      <c r="N455" s="7"/>
      <c r="O455" s="7"/>
      <c r="P455" s="7"/>
      <c r="Q455" s="7"/>
      <c r="R455" s="7"/>
      <c r="S455" s="7"/>
      <c r="T455" s="7"/>
      <c r="U455" s="7"/>
      <c r="V455" s="7"/>
      <c r="W455" s="7"/>
      <c r="X455" s="7"/>
      <c r="Y455" s="7"/>
      <c r="Z455" s="6"/>
      <c r="AA455" s="6"/>
      <c r="AB455" s="6"/>
      <c r="AC455" s="6"/>
      <c r="AD455" s="6"/>
      <c r="AE455" s="6"/>
      <c r="AF455" s="6"/>
      <c r="AG455" s="6"/>
      <c r="AH455" s="6"/>
      <c r="AI455" s="6"/>
      <c r="AJ455" s="6"/>
    </row>
    <row r="456" spans="1:36" x14ac:dyDescent="0.2">
      <c r="A456" s="6"/>
      <c r="B456" s="6"/>
      <c r="C456" s="6"/>
      <c r="D456" s="6"/>
      <c r="E456" s="6"/>
      <c r="F456" s="6"/>
      <c r="G456" s="6"/>
      <c r="H456" s="6"/>
      <c r="I456" s="7"/>
      <c r="J456" s="7"/>
      <c r="K456" s="7"/>
      <c r="L456" s="7"/>
      <c r="M456" s="6"/>
      <c r="N456" s="7"/>
      <c r="O456" s="7"/>
      <c r="P456" s="7"/>
      <c r="Q456" s="7"/>
      <c r="R456" s="7"/>
      <c r="S456" s="7"/>
      <c r="T456" s="7"/>
      <c r="U456" s="7"/>
      <c r="V456" s="7"/>
      <c r="W456" s="7"/>
      <c r="X456" s="7"/>
      <c r="Y456" s="7"/>
      <c r="Z456" s="6"/>
      <c r="AA456" s="6"/>
      <c r="AB456" s="6"/>
      <c r="AC456" s="6"/>
      <c r="AD456" s="6"/>
      <c r="AE456" s="6"/>
      <c r="AF456" s="6"/>
      <c r="AG456" s="6"/>
      <c r="AH456" s="6"/>
      <c r="AI456" s="6"/>
      <c r="AJ456" s="6"/>
    </row>
    <row r="457" spans="1:36" x14ac:dyDescent="0.2">
      <c r="A457" s="6"/>
      <c r="B457" s="6"/>
      <c r="C457" s="6"/>
      <c r="D457" s="6"/>
      <c r="E457" s="6"/>
      <c r="F457" s="6"/>
      <c r="G457" s="6"/>
      <c r="H457" s="6"/>
      <c r="I457" s="7"/>
      <c r="J457" s="7"/>
      <c r="K457" s="7"/>
      <c r="L457" s="7"/>
      <c r="M457" s="6"/>
      <c r="N457" s="7"/>
      <c r="O457" s="7"/>
      <c r="P457" s="7"/>
      <c r="Q457" s="7"/>
      <c r="R457" s="7"/>
      <c r="S457" s="7"/>
      <c r="T457" s="7"/>
      <c r="U457" s="7"/>
      <c r="V457" s="7"/>
      <c r="W457" s="7"/>
      <c r="X457" s="7"/>
      <c r="Y457" s="7"/>
      <c r="Z457" s="6"/>
      <c r="AA457" s="6"/>
      <c r="AB457" s="6"/>
      <c r="AC457" s="6"/>
      <c r="AD457" s="6"/>
      <c r="AE457" s="6"/>
      <c r="AF457" s="6"/>
      <c r="AG457" s="6"/>
      <c r="AH457" s="6"/>
      <c r="AI457" s="6"/>
      <c r="AJ457" s="6"/>
    </row>
    <row r="458" spans="1:36" x14ac:dyDescent="0.2">
      <c r="A458" s="6"/>
      <c r="B458" s="6"/>
      <c r="C458" s="6"/>
      <c r="D458" s="6"/>
      <c r="E458" s="6"/>
      <c r="F458" s="6"/>
      <c r="G458" s="6"/>
      <c r="H458" s="6"/>
      <c r="I458" s="7"/>
      <c r="J458" s="7"/>
      <c r="K458" s="7"/>
      <c r="L458" s="7"/>
      <c r="M458" s="6"/>
      <c r="N458" s="7"/>
      <c r="O458" s="7"/>
      <c r="P458" s="7"/>
      <c r="Q458" s="7"/>
      <c r="R458" s="7"/>
      <c r="S458" s="7"/>
      <c r="T458" s="7"/>
      <c r="U458" s="7"/>
      <c r="V458" s="7"/>
      <c r="W458" s="7"/>
      <c r="X458" s="7"/>
      <c r="Y458" s="7"/>
      <c r="Z458" s="6"/>
      <c r="AA458" s="6"/>
      <c r="AB458" s="6"/>
      <c r="AC458" s="6"/>
      <c r="AD458" s="6"/>
      <c r="AE458" s="6"/>
      <c r="AF458" s="6"/>
      <c r="AG458" s="6"/>
      <c r="AH458" s="6"/>
      <c r="AI458" s="6"/>
      <c r="AJ458" s="6"/>
    </row>
    <row r="459" spans="1:36" x14ac:dyDescent="0.2">
      <c r="A459" s="6"/>
      <c r="B459" s="6"/>
      <c r="C459" s="6"/>
      <c r="D459" s="6"/>
      <c r="E459" s="6"/>
      <c r="F459" s="6"/>
      <c r="G459" s="6"/>
      <c r="H459" s="6"/>
      <c r="I459" s="7"/>
      <c r="J459" s="7"/>
      <c r="K459" s="7"/>
      <c r="L459" s="7"/>
      <c r="M459" s="6"/>
      <c r="N459" s="7"/>
      <c r="O459" s="7"/>
      <c r="P459" s="7"/>
      <c r="Q459" s="7"/>
      <c r="R459" s="7"/>
      <c r="S459" s="7"/>
      <c r="T459" s="7"/>
      <c r="U459" s="7"/>
      <c r="V459" s="7"/>
      <c r="W459" s="7"/>
      <c r="X459" s="7"/>
      <c r="Y459" s="7"/>
      <c r="Z459" s="6"/>
      <c r="AA459" s="6"/>
      <c r="AB459" s="6"/>
      <c r="AC459" s="6"/>
      <c r="AD459" s="6"/>
      <c r="AE459" s="6"/>
      <c r="AF459" s="6"/>
      <c r="AG459" s="6"/>
      <c r="AH459" s="6"/>
      <c r="AI459" s="6"/>
      <c r="AJ459" s="6"/>
    </row>
    <row r="460" spans="1:36" x14ac:dyDescent="0.2">
      <c r="A460" s="6"/>
      <c r="B460" s="6"/>
      <c r="C460" s="6"/>
      <c r="D460" s="6"/>
      <c r="E460" s="6"/>
      <c r="F460" s="6"/>
      <c r="G460" s="6"/>
      <c r="H460" s="6"/>
      <c r="I460" s="7"/>
      <c r="J460" s="7"/>
      <c r="K460" s="7"/>
      <c r="L460" s="7"/>
      <c r="M460" s="6"/>
      <c r="N460" s="7"/>
      <c r="O460" s="7"/>
      <c r="P460" s="7"/>
      <c r="Q460" s="7"/>
      <c r="R460" s="7"/>
      <c r="S460" s="7"/>
      <c r="T460" s="7"/>
      <c r="U460" s="7"/>
      <c r="V460" s="7"/>
      <c r="W460" s="7"/>
      <c r="X460" s="7"/>
      <c r="Y460" s="7"/>
      <c r="Z460" s="6"/>
      <c r="AA460" s="6"/>
      <c r="AB460" s="6"/>
      <c r="AC460" s="6"/>
      <c r="AD460" s="6"/>
      <c r="AE460" s="6"/>
      <c r="AF460" s="6"/>
      <c r="AG460" s="6"/>
      <c r="AH460" s="6"/>
      <c r="AI460" s="6"/>
      <c r="AJ460" s="6"/>
    </row>
    <row r="461" spans="1:36" x14ac:dyDescent="0.2">
      <c r="A461" s="6"/>
      <c r="B461" s="6"/>
      <c r="C461" s="6"/>
      <c r="D461" s="6"/>
      <c r="E461" s="6"/>
      <c r="F461" s="6"/>
      <c r="G461" s="6"/>
      <c r="H461" s="6"/>
      <c r="I461" s="7"/>
      <c r="J461" s="7"/>
      <c r="K461" s="7"/>
      <c r="L461" s="7"/>
      <c r="M461" s="6"/>
      <c r="N461" s="7"/>
      <c r="O461" s="7"/>
      <c r="P461" s="7"/>
      <c r="Q461" s="7"/>
      <c r="R461" s="7"/>
      <c r="S461" s="7"/>
      <c r="T461" s="7"/>
      <c r="U461" s="7"/>
      <c r="V461" s="7"/>
      <c r="W461" s="7"/>
      <c r="X461" s="7"/>
      <c r="Y461" s="7"/>
      <c r="Z461" s="6"/>
      <c r="AA461" s="6"/>
      <c r="AB461" s="6"/>
      <c r="AC461" s="6"/>
      <c r="AD461" s="6"/>
      <c r="AE461" s="6"/>
      <c r="AF461" s="6"/>
      <c r="AG461" s="6"/>
      <c r="AH461" s="6"/>
      <c r="AI461" s="6"/>
      <c r="AJ461" s="6"/>
    </row>
    <row r="462" spans="1:36" x14ac:dyDescent="0.2">
      <c r="A462" s="6"/>
      <c r="B462" s="6"/>
      <c r="C462" s="6"/>
      <c r="D462" s="6"/>
      <c r="E462" s="6"/>
      <c r="F462" s="6"/>
      <c r="G462" s="6"/>
      <c r="H462" s="6"/>
      <c r="I462" s="7"/>
      <c r="J462" s="7"/>
      <c r="K462" s="7"/>
      <c r="L462" s="7"/>
      <c r="M462" s="6"/>
      <c r="N462" s="7"/>
      <c r="O462" s="7"/>
      <c r="P462" s="7"/>
      <c r="Q462" s="7"/>
      <c r="R462" s="7"/>
      <c r="S462" s="7"/>
      <c r="T462" s="7"/>
      <c r="U462" s="7"/>
      <c r="V462" s="7"/>
      <c r="W462" s="7"/>
      <c r="X462" s="7"/>
      <c r="Y462" s="7"/>
      <c r="Z462" s="6"/>
      <c r="AA462" s="6"/>
      <c r="AB462" s="6"/>
      <c r="AC462" s="6"/>
      <c r="AD462" s="6"/>
      <c r="AE462" s="6"/>
      <c r="AF462" s="6"/>
      <c r="AG462" s="6"/>
      <c r="AH462" s="6"/>
      <c r="AI462" s="6"/>
      <c r="AJ462" s="6"/>
    </row>
    <row r="463" spans="1:36" x14ac:dyDescent="0.2">
      <c r="A463" s="6"/>
      <c r="B463" s="6"/>
      <c r="C463" s="6"/>
      <c r="D463" s="6"/>
      <c r="E463" s="6"/>
      <c r="F463" s="6"/>
      <c r="G463" s="6"/>
      <c r="H463" s="6"/>
      <c r="I463" s="7"/>
      <c r="J463" s="7"/>
      <c r="K463" s="7"/>
      <c r="L463" s="7"/>
      <c r="M463" s="6"/>
      <c r="N463" s="7"/>
      <c r="O463" s="7"/>
      <c r="P463" s="7"/>
      <c r="Q463" s="7"/>
      <c r="R463" s="7"/>
      <c r="S463" s="7"/>
      <c r="T463" s="7"/>
      <c r="U463" s="7"/>
      <c r="V463" s="7"/>
      <c r="W463" s="7"/>
      <c r="X463" s="7"/>
      <c r="Y463" s="7"/>
      <c r="Z463" s="6"/>
      <c r="AA463" s="6"/>
      <c r="AB463" s="6"/>
      <c r="AC463" s="6"/>
      <c r="AD463" s="6"/>
      <c r="AE463" s="6"/>
      <c r="AF463" s="6"/>
      <c r="AG463" s="6"/>
      <c r="AH463" s="6"/>
      <c r="AI463" s="6"/>
      <c r="AJ463" s="6"/>
    </row>
    <row r="464" spans="1:36" x14ac:dyDescent="0.2">
      <c r="A464" s="6"/>
      <c r="B464" s="6"/>
      <c r="C464" s="6"/>
      <c r="D464" s="6"/>
      <c r="E464" s="6"/>
      <c r="F464" s="6"/>
      <c r="G464" s="6"/>
      <c r="H464" s="6"/>
      <c r="I464" s="7"/>
      <c r="J464" s="7"/>
      <c r="K464" s="7"/>
      <c r="L464" s="7"/>
      <c r="M464" s="6"/>
      <c r="N464" s="7"/>
      <c r="O464" s="7"/>
      <c r="P464" s="7"/>
      <c r="Q464" s="7"/>
      <c r="R464" s="7"/>
      <c r="S464" s="7"/>
      <c r="T464" s="7"/>
      <c r="U464" s="7"/>
      <c r="V464" s="7"/>
      <c r="W464" s="7"/>
      <c r="X464" s="7"/>
      <c r="Y464" s="7"/>
      <c r="Z464" s="6"/>
      <c r="AA464" s="6"/>
      <c r="AB464" s="6"/>
      <c r="AC464" s="6"/>
      <c r="AD464" s="6"/>
      <c r="AE464" s="6"/>
      <c r="AF464" s="6"/>
      <c r="AG464" s="6"/>
      <c r="AH464" s="6"/>
      <c r="AI464" s="6"/>
      <c r="AJ464" s="6"/>
    </row>
    <row r="465" spans="1:36" x14ac:dyDescent="0.2">
      <c r="A465" s="6"/>
      <c r="B465" s="6"/>
      <c r="C465" s="6"/>
      <c r="D465" s="6"/>
      <c r="E465" s="6"/>
      <c r="F465" s="6"/>
      <c r="G465" s="6"/>
      <c r="H465" s="6"/>
      <c r="I465" s="7"/>
      <c r="J465" s="7"/>
      <c r="K465" s="7"/>
      <c r="L465" s="7"/>
      <c r="M465" s="6"/>
      <c r="N465" s="7"/>
      <c r="O465" s="7"/>
      <c r="P465" s="7"/>
      <c r="Q465" s="7"/>
      <c r="R465" s="7"/>
      <c r="S465" s="7"/>
      <c r="T465" s="7"/>
      <c r="U465" s="7"/>
      <c r="V465" s="7"/>
      <c r="W465" s="7"/>
      <c r="X465" s="7"/>
      <c r="Y465" s="7"/>
      <c r="Z465" s="6"/>
      <c r="AA465" s="6"/>
      <c r="AB465" s="6"/>
      <c r="AC465" s="6"/>
      <c r="AD465" s="6"/>
      <c r="AE465" s="6"/>
      <c r="AF465" s="6"/>
      <c r="AG465" s="6"/>
      <c r="AH465" s="6"/>
      <c r="AI465" s="6"/>
      <c r="AJ465" s="6"/>
    </row>
    <row r="466" spans="1:36" x14ac:dyDescent="0.2">
      <c r="A466" s="6"/>
      <c r="B466" s="6"/>
      <c r="C466" s="6"/>
      <c r="D466" s="6"/>
      <c r="E466" s="6"/>
      <c r="F466" s="6"/>
      <c r="G466" s="6"/>
      <c r="H466" s="6"/>
      <c r="I466" s="7"/>
      <c r="J466" s="7"/>
      <c r="K466" s="7"/>
      <c r="L466" s="7"/>
      <c r="M466" s="6"/>
      <c r="N466" s="7"/>
      <c r="O466" s="7"/>
      <c r="P466" s="7"/>
      <c r="Q466" s="7"/>
      <c r="R466" s="7"/>
      <c r="S466" s="7"/>
      <c r="T466" s="7"/>
      <c r="U466" s="7"/>
      <c r="V466" s="7"/>
      <c r="W466" s="7"/>
      <c r="X466" s="7"/>
      <c r="Y466" s="7"/>
      <c r="Z466" s="6"/>
      <c r="AA466" s="6"/>
      <c r="AB466" s="6"/>
      <c r="AC466" s="6"/>
      <c r="AD466" s="6"/>
      <c r="AE466" s="6"/>
      <c r="AF466" s="6"/>
      <c r="AG466" s="6"/>
      <c r="AH466" s="6"/>
      <c r="AI466" s="6"/>
      <c r="AJ466" s="6"/>
    </row>
    <row r="467" spans="1:36" x14ac:dyDescent="0.2">
      <c r="A467" s="6"/>
      <c r="B467" s="6"/>
      <c r="C467" s="6"/>
      <c r="D467" s="6"/>
      <c r="E467" s="6"/>
      <c r="F467" s="6"/>
      <c r="G467" s="6"/>
      <c r="H467" s="6"/>
      <c r="I467" s="7"/>
      <c r="J467" s="7"/>
      <c r="K467" s="7"/>
      <c r="L467" s="7"/>
      <c r="M467" s="6"/>
      <c r="N467" s="7"/>
      <c r="O467" s="7"/>
      <c r="P467" s="7"/>
      <c r="Q467" s="7"/>
      <c r="R467" s="7"/>
      <c r="S467" s="7"/>
      <c r="T467" s="7"/>
      <c r="U467" s="7"/>
      <c r="V467" s="7"/>
      <c r="W467" s="7"/>
      <c r="X467" s="7"/>
      <c r="Y467" s="7"/>
      <c r="Z467" s="6"/>
      <c r="AA467" s="6"/>
      <c r="AB467" s="6"/>
      <c r="AC467" s="6"/>
      <c r="AD467" s="6"/>
      <c r="AE467" s="6"/>
      <c r="AF467" s="6"/>
      <c r="AG467" s="6"/>
      <c r="AH467" s="6"/>
      <c r="AI467" s="6"/>
      <c r="AJ467" s="6"/>
    </row>
    <row r="468" spans="1:36" x14ac:dyDescent="0.2">
      <c r="A468" s="6"/>
      <c r="B468" s="6"/>
      <c r="C468" s="6"/>
      <c r="D468" s="6"/>
      <c r="E468" s="6"/>
      <c r="F468" s="6"/>
      <c r="G468" s="6"/>
      <c r="H468" s="6"/>
      <c r="I468" s="7"/>
      <c r="J468" s="7"/>
      <c r="K468" s="7"/>
      <c r="L468" s="7"/>
      <c r="M468" s="6"/>
      <c r="N468" s="7"/>
      <c r="O468" s="7"/>
      <c r="P468" s="7"/>
      <c r="Q468" s="7"/>
      <c r="R468" s="7"/>
      <c r="S468" s="7"/>
      <c r="T468" s="7"/>
      <c r="U468" s="7"/>
      <c r="V468" s="7"/>
      <c r="W468" s="7"/>
      <c r="X468" s="7"/>
      <c r="Y468" s="7"/>
      <c r="Z468" s="6"/>
      <c r="AA468" s="6"/>
      <c r="AB468" s="6"/>
      <c r="AC468" s="6"/>
      <c r="AD468" s="6"/>
      <c r="AE468" s="6"/>
      <c r="AF468" s="6"/>
      <c r="AG468" s="6"/>
      <c r="AH468" s="6"/>
      <c r="AI468" s="6"/>
      <c r="AJ468" s="6"/>
    </row>
    <row r="469" spans="1:36" x14ac:dyDescent="0.2">
      <c r="A469" s="6"/>
      <c r="B469" s="6"/>
      <c r="C469" s="6"/>
      <c r="D469" s="6"/>
      <c r="E469" s="6"/>
      <c r="F469" s="6"/>
      <c r="G469" s="6"/>
      <c r="H469" s="6"/>
      <c r="I469" s="7"/>
      <c r="J469" s="7"/>
      <c r="K469" s="7"/>
      <c r="L469" s="7"/>
      <c r="M469" s="6"/>
      <c r="N469" s="7"/>
      <c r="O469" s="7"/>
      <c r="P469" s="7"/>
      <c r="Q469" s="7"/>
      <c r="R469" s="7"/>
      <c r="S469" s="7"/>
      <c r="T469" s="7"/>
      <c r="U469" s="7"/>
      <c r="V469" s="7"/>
      <c r="W469" s="7"/>
      <c r="X469" s="7"/>
      <c r="Y469" s="7"/>
      <c r="Z469" s="6"/>
      <c r="AA469" s="6"/>
      <c r="AB469" s="6"/>
      <c r="AC469" s="6"/>
      <c r="AD469" s="6"/>
      <c r="AE469" s="6"/>
      <c r="AF469" s="6"/>
      <c r="AG469" s="6"/>
      <c r="AH469" s="6"/>
      <c r="AI469" s="6"/>
      <c r="AJ469" s="6"/>
    </row>
    <row r="470" spans="1:36" x14ac:dyDescent="0.2">
      <c r="A470" s="6"/>
      <c r="B470" s="6"/>
      <c r="C470" s="6"/>
      <c r="D470" s="6"/>
      <c r="E470" s="6"/>
      <c r="F470" s="6"/>
      <c r="G470" s="6"/>
      <c r="H470" s="6"/>
      <c r="I470" s="7"/>
      <c r="J470" s="7"/>
      <c r="K470" s="7"/>
      <c r="L470" s="7"/>
      <c r="M470" s="6"/>
      <c r="N470" s="7"/>
      <c r="O470" s="7"/>
      <c r="P470" s="7"/>
      <c r="Q470" s="7"/>
      <c r="R470" s="7"/>
      <c r="S470" s="7"/>
      <c r="T470" s="7"/>
      <c r="U470" s="7"/>
      <c r="V470" s="7"/>
      <c r="W470" s="7"/>
      <c r="X470" s="7"/>
      <c r="Y470" s="7"/>
      <c r="Z470" s="6"/>
      <c r="AA470" s="6"/>
      <c r="AB470" s="6"/>
      <c r="AC470" s="6"/>
      <c r="AD470" s="6"/>
      <c r="AE470" s="6"/>
      <c r="AF470" s="6"/>
      <c r="AG470" s="6"/>
      <c r="AH470" s="6"/>
      <c r="AI470" s="6"/>
      <c r="AJ470" s="6"/>
    </row>
    <row r="471" spans="1:36" x14ac:dyDescent="0.2">
      <c r="A471" s="6"/>
      <c r="B471" s="6"/>
      <c r="C471" s="6"/>
      <c r="D471" s="6"/>
      <c r="E471" s="6"/>
      <c r="F471" s="6"/>
      <c r="G471" s="6"/>
      <c r="H471" s="6"/>
      <c r="I471" s="7"/>
      <c r="J471" s="7"/>
      <c r="K471" s="7"/>
      <c r="L471" s="7"/>
      <c r="M471" s="6"/>
      <c r="N471" s="7"/>
      <c r="O471" s="7"/>
      <c r="P471" s="7"/>
      <c r="Q471" s="7"/>
      <c r="R471" s="7"/>
      <c r="S471" s="7"/>
      <c r="T471" s="7"/>
      <c r="U471" s="7"/>
      <c r="V471" s="7"/>
      <c r="W471" s="7"/>
      <c r="X471" s="7"/>
      <c r="Y471" s="7"/>
      <c r="Z471" s="6"/>
      <c r="AA471" s="6"/>
      <c r="AB471" s="6"/>
      <c r="AC471" s="6"/>
      <c r="AD471" s="6"/>
      <c r="AE471" s="6"/>
      <c r="AF471" s="6"/>
      <c r="AG471" s="6"/>
      <c r="AH471" s="6"/>
      <c r="AI471" s="6"/>
      <c r="AJ471" s="6"/>
    </row>
    <row r="472" spans="1:36" x14ac:dyDescent="0.2">
      <c r="A472" s="6"/>
      <c r="B472" s="6"/>
      <c r="C472" s="6"/>
      <c r="D472" s="6"/>
      <c r="E472" s="6"/>
      <c r="F472" s="6"/>
      <c r="G472" s="6"/>
      <c r="H472" s="6"/>
      <c r="I472" s="7"/>
      <c r="J472" s="7"/>
      <c r="K472" s="7"/>
      <c r="L472" s="7"/>
      <c r="M472" s="6"/>
      <c r="N472" s="7"/>
      <c r="O472" s="7"/>
      <c r="P472" s="7"/>
      <c r="Q472" s="7"/>
      <c r="R472" s="7"/>
      <c r="S472" s="7"/>
      <c r="T472" s="7"/>
      <c r="U472" s="7"/>
      <c r="V472" s="7"/>
      <c r="W472" s="7"/>
      <c r="X472" s="7"/>
      <c r="Y472" s="7"/>
      <c r="Z472" s="6"/>
      <c r="AA472" s="6"/>
      <c r="AB472" s="6"/>
      <c r="AC472" s="6"/>
      <c r="AD472" s="6"/>
      <c r="AE472" s="6"/>
      <c r="AF472" s="6"/>
      <c r="AG472" s="6"/>
      <c r="AH472" s="6"/>
      <c r="AI472" s="6"/>
      <c r="AJ472" s="6"/>
    </row>
    <row r="473" spans="1:36" x14ac:dyDescent="0.2">
      <c r="A473" s="6"/>
      <c r="B473" s="6"/>
      <c r="C473" s="6"/>
      <c r="D473" s="6"/>
      <c r="E473" s="6"/>
      <c r="F473" s="6"/>
      <c r="G473" s="6"/>
      <c r="H473" s="6"/>
      <c r="I473" s="7"/>
      <c r="J473" s="7"/>
      <c r="K473" s="7"/>
      <c r="L473" s="7"/>
      <c r="M473" s="6"/>
      <c r="N473" s="7"/>
      <c r="O473" s="7"/>
      <c r="P473" s="7"/>
      <c r="Q473" s="7"/>
      <c r="R473" s="7"/>
      <c r="S473" s="7"/>
      <c r="T473" s="7"/>
      <c r="U473" s="7"/>
      <c r="V473" s="7"/>
      <c r="W473" s="7"/>
      <c r="X473" s="7"/>
      <c r="Y473" s="7"/>
      <c r="Z473" s="6"/>
      <c r="AA473" s="6"/>
      <c r="AB473" s="6"/>
      <c r="AC473" s="6"/>
      <c r="AD473" s="6"/>
      <c r="AE473" s="6"/>
      <c r="AF473" s="6"/>
      <c r="AG473" s="6"/>
      <c r="AH473" s="6"/>
      <c r="AI473" s="6"/>
      <c r="AJ473" s="6"/>
    </row>
    <row r="474" spans="1:36" x14ac:dyDescent="0.2">
      <c r="A474" s="6"/>
      <c r="B474" s="6"/>
      <c r="C474" s="6"/>
      <c r="D474" s="6"/>
      <c r="E474" s="6"/>
      <c r="F474" s="6"/>
      <c r="G474" s="6"/>
      <c r="H474" s="6"/>
      <c r="I474" s="7"/>
      <c r="J474" s="7"/>
      <c r="K474" s="7"/>
      <c r="L474" s="7"/>
      <c r="M474" s="6"/>
      <c r="N474" s="7"/>
      <c r="O474" s="7"/>
      <c r="P474" s="7"/>
      <c r="Q474" s="7"/>
      <c r="R474" s="7"/>
      <c r="S474" s="7"/>
      <c r="T474" s="7"/>
      <c r="U474" s="7"/>
      <c r="V474" s="7"/>
      <c r="W474" s="7"/>
      <c r="X474" s="7"/>
      <c r="Y474" s="7"/>
      <c r="Z474" s="6"/>
      <c r="AA474" s="6"/>
      <c r="AB474" s="6"/>
      <c r="AC474" s="6"/>
      <c r="AD474" s="6"/>
      <c r="AE474" s="6"/>
      <c r="AF474" s="6"/>
      <c r="AG474" s="6"/>
      <c r="AH474" s="6"/>
      <c r="AI474" s="6"/>
      <c r="AJ474" s="6"/>
    </row>
    <row r="475" spans="1:36" x14ac:dyDescent="0.2">
      <c r="A475" s="6"/>
      <c r="B475" s="6"/>
      <c r="C475" s="6"/>
      <c r="D475" s="6"/>
      <c r="E475" s="6"/>
      <c r="F475" s="6"/>
      <c r="G475" s="6"/>
      <c r="H475" s="6"/>
      <c r="I475" s="7"/>
      <c r="J475" s="7"/>
      <c r="K475" s="7"/>
      <c r="L475" s="7"/>
      <c r="M475" s="6"/>
      <c r="N475" s="7"/>
      <c r="O475" s="7"/>
      <c r="P475" s="7"/>
      <c r="Q475" s="7"/>
      <c r="R475" s="7"/>
      <c r="S475" s="7"/>
      <c r="T475" s="7"/>
      <c r="U475" s="7"/>
      <c r="V475" s="7"/>
      <c r="W475" s="7"/>
      <c r="X475" s="7"/>
      <c r="Y475" s="7"/>
      <c r="Z475" s="6"/>
      <c r="AA475" s="6"/>
      <c r="AB475" s="6"/>
      <c r="AC475" s="6"/>
      <c r="AD475" s="6"/>
      <c r="AE475" s="6"/>
      <c r="AF475" s="6"/>
      <c r="AG475" s="6"/>
      <c r="AH475" s="6"/>
      <c r="AI475" s="6"/>
      <c r="AJ475" s="6"/>
    </row>
    <row r="476" spans="1:36" x14ac:dyDescent="0.2">
      <c r="A476" s="6"/>
      <c r="B476" s="6"/>
      <c r="C476" s="6"/>
      <c r="D476" s="6"/>
      <c r="E476" s="6"/>
      <c r="F476" s="6"/>
      <c r="G476" s="6"/>
      <c r="H476" s="6"/>
      <c r="I476" s="7"/>
      <c r="J476" s="7"/>
      <c r="K476" s="7"/>
      <c r="L476" s="7"/>
      <c r="M476" s="6"/>
      <c r="N476" s="7"/>
      <c r="O476" s="7"/>
      <c r="P476" s="7"/>
      <c r="Q476" s="7"/>
      <c r="R476" s="7"/>
      <c r="S476" s="7"/>
      <c r="T476" s="7"/>
      <c r="U476" s="7"/>
      <c r="V476" s="7"/>
      <c r="W476" s="7"/>
      <c r="X476" s="7"/>
      <c r="Y476" s="7"/>
      <c r="Z476" s="6"/>
      <c r="AA476" s="6"/>
      <c r="AB476" s="6"/>
      <c r="AC476" s="6"/>
      <c r="AD476" s="6"/>
      <c r="AE476" s="6"/>
      <c r="AF476" s="6"/>
      <c r="AG476" s="6"/>
      <c r="AH476" s="6"/>
      <c r="AI476" s="6"/>
      <c r="AJ476" s="6"/>
    </row>
    <row r="477" spans="1:36" x14ac:dyDescent="0.2">
      <c r="A477" s="6"/>
      <c r="B477" s="6"/>
      <c r="C477" s="6"/>
      <c r="D477" s="6"/>
      <c r="E477" s="6"/>
      <c r="F477" s="6"/>
      <c r="G477" s="6"/>
      <c r="H477" s="6"/>
      <c r="I477" s="7"/>
      <c r="J477" s="7"/>
      <c r="K477" s="7"/>
      <c r="L477" s="7"/>
      <c r="M477" s="6"/>
      <c r="N477" s="7"/>
      <c r="O477" s="7"/>
      <c r="P477" s="7"/>
      <c r="Q477" s="7"/>
      <c r="R477" s="7"/>
      <c r="S477" s="7"/>
      <c r="T477" s="7"/>
      <c r="U477" s="7"/>
      <c r="V477" s="7"/>
      <c r="W477" s="7"/>
      <c r="X477" s="7"/>
      <c r="Y477" s="7"/>
      <c r="Z477" s="6"/>
      <c r="AA477" s="6"/>
      <c r="AB477" s="6"/>
      <c r="AC477" s="6"/>
      <c r="AD477" s="6"/>
      <c r="AE477" s="6"/>
      <c r="AF477" s="6"/>
      <c r="AG477" s="6"/>
      <c r="AH477" s="6"/>
      <c r="AI477" s="6"/>
      <c r="AJ477" s="6"/>
    </row>
    <row r="478" spans="1:36" x14ac:dyDescent="0.2">
      <c r="A478" s="6"/>
      <c r="B478" s="6"/>
      <c r="C478" s="6"/>
      <c r="D478" s="6"/>
      <c r="E478" s="6"/>
      <c r="F478" s="6"/>
      <c r="G478" s="6"/>
      <c r="H478" s="6"/>
      <c r="I478" s="7"/>
      <c r="J478" s="7"/>
      <c r="K478" s="7"/>
      <c r="L478" s="7"/>
      <c r="M478" s="6"/>
      <c r="N478" s="7"/>
      <c r="O478" s="7"/>
      <c r="P478" s="7"/>
      <c r="Q478" s="7"/>
      <c r="R478" s="7"/>
      <c r="S478" s="7"/>
      <c r="T478" s="7"/>
      <c r="U478" s="7"/>
      <c r="V478" s="7"/>
      <c r="W478" s="7"/>
      <c r="X478" s="7"/>
      <c r="Y478" s="7"/>
      <c r="Z478" s="6"/>
      <c r="AA478" s="6"/>
      <c r="AB478" s="6"/>
      <c r="AC478" s="6"/>
      <c r="AD478" s="6"/>
      <c r="AE478" s="6"/>
      <c r="AF478" s="6"/>
      <c r="AG478" s="6"/>
      <c r="AH478" s="6"/>
      <c r="AI478" s="6"/>
      <c r="AJ478" s="6"/>
    </row>
    <row r="479" spans="1:36" x14ac:dyDescent="0.2">
      <c r="A479" s="6"/>
      <c r="B479" s="6"/>
      <c r="C479" s="6"/>
      <c r="D479" s="6"/>
      <c r="E479" s="6"/>
      <c r="F479" s="6"/>
      <c r="G479" s="6"/>
      <c r="H479" s="6"/>
      <c r="I479" s="7"/>
      <c r="J479" s="7"/>
      <c r="K479" s="7"/>
      <c r="L479" s="7"/>
      <c r="M479" s="6"/>
      <c r="N479" s="7"/>
      <c r="O479" s="7"/>
      <c r="P479" s="7"/>
      <c r="Q479" s="7"/>
      <c r="R479" s="7"/>
      <c r="S479" s="7"/>
      <c r="T479" s="7"/>
      <c r="U479" s="7"/>
      <c r="V479" s="7"/>
      <c r="W479" s="7"/>
      <c r="X479" s="7"/>
      <c r="Y479" s="7"/>
      <c r="Z479" s="6"/>
      <c r="AA479" s="6"/>
      <c r="AB479" s="6"/>
      <c r="AC479" s="6"/>
      <c r="AD479" s="6"/>
      <c r="AE479" s="6"/>
      <c r="AF479" s="6"/>
      <c r="AG479" s="6"/>
      <c r="AH479" s="6"/>
      <c r="AI479" s="6"/>
      <c r="AJ479" s="6"/>
    </row>
    <row r="480" spans="1:36" x14ac:dyDescent="0.2">
      <c r="A480" s="6"/>
      <c r="B480" s="6"/>
      <c r="C480" s="6"/>
      <c r="D480" s="6"/>
      <c r="E480" s="6"/>
      <c r="F480" s="6"/>
      <c r="G480" s="6"/>
      <c r="H480" s="6"/>
      <c r="I480" s="7"/>
      <c r="J480" s="7"/>
      <c r="K480" s="7"/>
      <c r="L480" s="7"/>
      <c r="M480" s="6"/>
      <c r="N480" s="7"/>
      <c r="O480" s="7"/>
      <c r="P480" s="7"/>
      <c r="Q480" s="7"/>
      <c r="R480" s="7"/>
      <c r="S480" s="7"/>
      <c r="T480" s="7"/>
      <c r="U480" s="7"/>
      <c r="V480" s="7"/>
      <c r="W480" s="7"/>
      <c r="X480" s="7"/>
      <c r="Y480" s="7"/>
      <c r="Z480" s="6"/>
      <c r="AA480" s="6"/>
      <c r="AB480" s="6"/>
      <c r="AC480" s="6"/>
      <c r="AD480" s="6"/>
      <c r="AE480" s="6"/>
      <c r="AF480" s="6"/>
      <c r="AG480" s="6"/>
      <c r="AH480" s="6"/>
      <c r="AI480" s="6"/>
      <c r="AJ480" s="6"/>
    </row>
    <row r="481" spans="1:36" x14ac:dyDescent="0.2">
      <c r="A481" s="6"/>
      <c r="B481" s="6"/>
      <c r="C481" s="6"/>
      <c r="D481" s="6"/>
      <c r="E481" s="6"/>
      <c r="F481" s="6"/>
      <c r="G481" s="6"/>
      <c r="H481" s="6"/>
      <c r="I481" s="7"/>
      <c r="J481" s="7"/>
      <c r="K481" s="7"/>
      <c r="L481" s="7"/>
      <c r="M481" s="6"/>
      <c r="N481" s="7"/>
      <c r="O481" s="7"/>
      <c r="P481" s="7"/>
      <c r="Q481" s="7"/>
      <c r="R481" s="7"/>
      <c r="S481" s="7"/>
      <c r="T481" s="7"/>
      <c r="U481" s="7"/>
      <c r="V481" s="7"/>
      <c r="W481" s="7"/>
      <c r="X481" s="7"/>
      <c r="Y481" s="7"/>
      <c r="Z481" s="6"/>
      <c r="AA481" s="6"/>
      <c r="AB481" s="6"/>
      <c r="AC481" s="6"/>
      <c r="AD481" s="6"/>
      <c r="AE481" s="6"/>
      <c r="AF481" s="6"/>
      <c r="AG481" s="6"/>
      <c r="AH481" s="6"/>
      <c r="AI481" s="6"/>
      <c r="AJ481" s="6"/>
    </row>
    <row r="482" spans="1:36" x14ac:dyDescent="0.2">
      <c r="A482" s="6"/>
      <c r="B482" s="6"/>
      <c r="C482" s="6"/>
      <c r="D482" s="6"/>
      <c r="E482" s="6"/>
      <c r="F482" s="6"/>
      <c r="G482" s="6"/>
      <c r="H482" s="6"/>
      <c r="I482" s="7"/>
      <c r="J482" s="7"/>
      <c r="K482" s="7"/>
      <c r="L482" s="7"/>
      <c r="M482" s="6"/>
      <c r="N482" s="7"/>
      <c r="O482" s="7"/>
      <c r="P482" s="7"/>
      <c r="Q482" s="7"/>
      <c r="R482" s="7"/>
      <c r="S482" s="7"/>
      <c r="T482" s="7"/>
      <c r="U482" s="7"/>
      <c r="V482" s="7"/>
      <c r="W482" s="7"/>
      <c r="X482" s="7"/>
      <c r="Y482" s="7"/>
      <c r="Z482" s="6"/>
      <c r="AA482" s="6"/>
      <c r="AB482" s="6"/>
      <c r="AC482" s="6"/>
      <c r="AD482" s="6"/>
      <c r="AE482" s="6"/>
      <c r="AF482" s="6"/>
      <c r="AG482" s="6"/>
      <c r="AH482" s="6"/>
      <c r="AI482" s="6"/>
      <c r="AJ482" s="6"/>
    </row>
    <row r="483" spans="1:36" x14ac:dyDescent="0.2">
      <c r="A483" s="6"/>
      <c r="B483" s="6"/>
      <c r="C483" s="6"/>
      <c r="D483" s="6"/>
      <c r="E483" s="6"/>
      <c r="F483" s="6"/>
      <c r="G483" s="6"/>
      <c r="H483" s="6"/>
      <c r="I483" s="7"/>
      <c r="J483" s="7"/>
      <c r="K483" s="7"/>
      <c r="L483" s="7"/>
      <c r="M483" s="6"/>
      <c r="N483" s="7"/>
      <c r="O483" s="7"/>
      <c r="P483" s="7"/>
      <c r="Q483" s="7"/>
      <c r="R483" s="7"/>
      <c r="S483" s="7"/>
      <c r="T483" s="7"/>
      <c r="U483" s="7"/>
      <c r="V483" s="7"/>
      <c r="W483" s="7"/>
      <c r="X483" s="7"/>
      <c r="Y483" s="7"/>
      <c r="Z483" s="6"/>
      <c r="AA483" s="6"/>
      <c r="AB483" s="6"/>
      <c r="AC483" s="6"/>
      <c r="AD483" s="6"/>
      <c r="AE483" s="6"/>
      <c r="AF483" s="6"/>
      <c r="AG483" s="6"/>
      <c r="AH483" s="6"/>
      <c r="AI483" s="6"/>
      <c r="AJ483" s="6"/>
    </row>
    <row r="484" spans="1:36" x14ac:dyDescent="0.2">
      <c r="A484" s="6"/>
      <c r="B484" s="6"/>
      <c r="C484" s="6"/>
      <c r="D484" s="6"/>
      <c r="E484" s="6"/>
      <c r="F484" s="6"/>
      <c r="G484" s="6"/>
      <c r="H484" s="6"/>
      <c r="I484" s="7"/>
      <c r="J484" s="7"/>
      <c r="K484" s="7"/>
      <c r="L484" s="7"/>
      <c r="M484" s="6"/>
      <c r="N484" s="7"/>
      <c r="O484" s="7"/>
      <c r="P484" s="7"/>
      <c r="Q484" s="7"/>
      <c r="R484" s="7"/>
      <c r="S484" s="7"/>
      <c r="T484" s="7"/>
      <c r="U484" s="7"/>
      <c r="V484" s="7"/>
      <c r="W484" s="7"/>
      <c r="X484" s="7"/>
      <c r="Y484" s="7"/>
      <c r="Z484" s="6"/>
      <c r="AA484" s="6"/>
      <c r="AB484" s="6"/>
      <c r="AC484" s="6"/>
      <c r="AD484" s="6"/>
      <c r="AE484" s="6"/>
      <c r="AF484" s="6"/>
      <c r="AG484" s="6"/>
      <c r="AH484" s="6"/>
      <c r="AI484" s="6"/>
      <c r="AJ484" s="6"/>
    </row>
    <row r="485" spans="1:36" x14ac:dyDescent="0.2">
      <c r="A485" s="6"/>
      <c r="B485" s="6"/>
      <c r="C485" s="6"/>
      <c r="D485" s="6"/>
      <c r="E485" s="6"/>
      <c r="F485" s="6"/>
      <c r="G485" s="6"/>
      <c r="H485" s="6"/>
      <c r="I485" s="7"/>
      <c r="J485" s="7"/>
      <c r="K485" s="7"/>
      <c r="L485" s="7"/>
      <c r="M485" s="6"/>
      <c r="N485" s="7"/>
      <c r="O485" s="7"/>
      <c r="P485" s="7"/>
      <c r="Q485" s="7"/>
      <c r="R485" s="7"/>
      <c r="S485" s="7"/>
      <c r="T485" s="7"/>
      <c r="U485" s="7"/>
      <c r="V485" s="7"/>
      <c r="W485" s="7"/>
      <c r="X485" s="7"/>
      <c r="Y485" s="7"/>
      <c r="Z485" s="6"/>
      <c r="AA485" s="6"/>
      <c r="AB485" s="6"/>
      <c r="AC485" s="6"/>
      <c r="AD485" s="6"/>
      <c r="AE485" s="6"/>
      <c r="AF485" s="6"/>
      <c r="AG485" s="6"/>
      <c r="AH485" s="6"/>
      <c r="AI485" s="6"/>
      <c r="AJ485" s="6"/>
    </row>
    <row r="486" spans="1:36" x14ac:dyDescent="0.2">
      <c r="A486" s="6"/>
      <c r="B486" s="6"/>
      <c r="C486" s="6"/>
      <c r="D486" s="6"/>
      <c r="E486" s="6"/>
      <c r="F486" s="6"/>
      <c r="G486" s="6"/>
      <c r="H486" s="6"/>
      <c r="I486" s="7"/>
      <c r="J486" s="7"/>
      <c r="K486" s="7"/>
      <c r="L486" s="7"/>
      <c r="M486" s="6"/>
      <c r="N486" s="7"/>
      <c r="O486" s="7"/>
      <c r="P486" s="7"/>
      <c r="Q486" s="7"/>
      <c r="R486" s="7"/>
      <c r="S486" s="7"/>
      <c r="T486" s="7"/>
      <c r="U486" s="7"/>
      <c r="V486" s="7"/>
      <c r="W486" s="7"/>
      <c r="X486" s="7"/>
      <c r="Y486" s="7"/>
      <c r="Z486" s="6"/>
      <c r="AA486" s="6"/>
      <c r="AB486" s="6"/>
      <c r="AC486" s="6"/>
      <c r="AD486" s="6"/>
      <c r="AE486" s="6"/>
      <c r="AF486" s="6"/>
      <c r="AG486" s="6"/>
      <c r="AH486" s="6"/>
      <c r="AI486" s="6"/>
      <c r="AJ486" s="6"/>
    </row>
    <row r="487" spans="1:36" x14ac:dyDescent="0.2">
      <c r="A487" s="6"/>
      <c r="B487" s="6"/>
      <c r="C487" s="6"/>
      <c r="D487" s="6"/>
      <c r="E487" s="6"/>
      <c r="F487" s="6"/>
      <c r="G487" s="6"/>
      <c r="H487" s="6"/>
      <c r="I487" s="7"/>
      <c r="J487" s="7"/>
      <c r="K487" s="7"/>
      <c r="L487" s="7"/>
      <c r="M487" s="6"/>
      <c r="N487" s="7"/>
      <c r="O487" s="7"/>
      <c r="P487" s="7"/>
      <c r="Q487" s="7"/>
      <c r="R487" s="7"/>
      <c r="S487" s="7"/>
      <c r="T487" s="7"/>
      <c r="U487" s="7"/>
      <c r="V487" s="7"/>
      <c r="W487" s="7"/>
      <c r="X487" s="7"/>
      <c r="Y487" s="7"/>
      <c r="Z487" s="6"/>
      <c r="AA487" s="6"/>
      <c r="AB487" s="6"/>
      <c r="AC487" s="6"/>
      <c r="AD487" s="6"/>
      <c r="AE487" s="6"/>
      <c r="AF487" s="6"/>
      <c r="AG487" s="6"/>
      <c r="AH487" s="6"/>
      <c r="AI487" s="6"/>
      <c r="AJ487" s="6"/>
    </row>
    <row r="488" spans="1:36" x14ac:dyDescent="0.2">
      <c r="A488" s="6"/>
      <c r="B488" s="6"/>
      <c r="C488" s="6"/>
      <c r="D488" s="6"/>
      <c r="E488" s="6"/>
      <c r="F488" s="6"/>
      <c r="G488" s="6"/>
      <c r="H488" s="6"/>
      <c r="I488" s="7"/>
      <c r="J488" s="7"/>
      <c r="K488" s="7"/>
      <c r="L488" s="7"/>
      <c r="M488" s="6"/>
      <c r="N488" s="7"/>
      <c r="O488" s="7"/>
      <c r="P488" s="7"/>
      <c r="Q488" s="7"/>
      <c r="R488" s="7"/>
      <c r="S488" s="7"/>
      <c r="T488" s="7"/>
      <c r="U488" s="7"/>
      <c r="V488" s="7"/>
      <c r="W488" s="7"/>
      <c r="X488" s="7"/>
      <c r="Y488" s="7"/>
      <c r="Z488" s="6"/>
      <c r="AA488" s="6"/>
      <c r="AB488" s="6"/>
      <c r="AC488" s="6"/>
      <c r="AD488" s="6"/>
      <c r="AE488" s="6"/>
      <c r="AF488" s="6"/>
      <c r="AG488" s="6"/>
      <c r="AH488" s="6"/>
      <c r="AI488" s="6"/>
      <c r="AJ488" s="6"/>
    </row>
    <row r="489" spans="1:36" x14ac:dyDescent="0.2">
      <c r="A489" s="6"/>
      <c r="B489" s="6"/>
      <c r="C489" s="6"/>
      <c r="D489" s="6"/>
      <c r="E489" s="6"/>
      <c r="F489" s="6"/>
      <c r="G489" s="6"/>
      <c r="H489" s="6"/>
      <c r="I489" s="7"/>
      <c r="J489" s="7"/>
      <c r="K489" s="7"/>
      <c r="L489" s="7"/>
      <c r="M489" s="6"/>
      <c r="N489" s="7"/>
      <c r="O489" s="7"/>
      <c r="P489" s="7"/>
      <c r="Q489" s="7"/>
      <c r="R489" s="7"/>
      <c r="S489" s="7"/>
      <c r="T489" s="7"/>
      <c r="U489" s="7"/>
      <c r="V489" s="7"/>
      <c r="W489" s="7"/>
      <c r="X489" s="7"/>
      <c r="Y489" s="7"/>
      <c r="Z489" s="6"/>
      <c r="AA489" s="6"/>
      <c r="AB489" s="6"/>
      <c r="AC489" s="6"/>
      <c r="AD489" s="6"/>
      <c r="AE489" s="6"/>
      <c r="AF489" s="6"/>
      <c r="AG489" s="6"/>
      <c r="AH489" s="6"/>
      <c r="AI489" s="6"/>
      <c r="AJ489" s="6"/>
    </row>
    <row r="490" spans="1:36" x14ac:dyDescent="0.2">
      <c r="A490" s="6"/>
      <c r="B490" s="6"/>
      <c r="C490" s="6"/>
      <c r="D490" s="6"/>
      <c r="E490" s="6"/>
      <c r="F490" s="6"/>
      <c r="G490" s="6"/>
      <c r="H490" s="6"/>
      <c r="I490" s="7"/>
      <c r="J490" s="7"/>
      <c r="K490" s="7"/>
      <c r="L490" s="7"/>
      <c r="M490" s="6"/>
      <c r="N490" s="7"/>
      <c r="O490" s="7"/>
      <c r="P490" s="7"/>
      <c r="Q490" s="7"/>
      <c r="R490" s="7"/>
      <c r="S490" s="7"/>
      <c r="T490" s="7"/>
      <c r="U490" s="7"/>
      <c r="V490" s="7"/>
      <c r="W490" s="7"/>
      <c r="X490" s="7"/>
      <c r="Y490" s="7"/>
      <c r="Z490" s="6"/>
      <c r="AA490" s="6"/>
      <c r="AB490" s="6"/>
      <c r="AC490" s="6"/>
      <c r="AD490" s="6"/>
      <c r="AE490" s="6"/>
      <c r="AF490" s="6"/>
      <c r="AG490" s="6"/>
      <c r="AH490" s="6"/>
      <c r="AI490" s="6"/>
      <c r="AJ490" s="6"/>
    </row>
    <row r="491" spans="1:36" x14ac:dyDescent="0.2">
      <c r="A491" s="6"/>
      <c r="B491" s="6"/>
      <c r="C491" s="6"/>
      <c r="D491" s="6"/>
      <c r="E491" s="6"/>
      <c r="F491" s="6"/>
      <c r="G491" s="6"/>
      <c r="H491" s="6"/>
      <c r="I491" s="7"/>
      <c r="J491" s="7"/>
      <c r="K491" s="7"/>
      <c r="L491" s="7"/>
      <c r="M491" s="6"/>
      <c r="N491" s="7"/>
      <c r="O491" s="7"/>
      <c r="P491" s="7"/>
      <c r="Q491" s="7"/>
      <c r="R491" s="7"/>
      <c r="S491" s="7"/>
      <c r="T491" s="7"/>
      <c r="U491" s="7"/>
      <c r="V491" s="7"/>
      <c r="W491" s="7"/>
      <c r="X491" s="7"/>
      <c r="Y491" s="7"/>
      <c r="Z491" s="6"/>
      <c r="AA491" s="6"/>
      <c r="AB491" s="6"/>
      <c r="AC491" s="6"/>
      <c r="AD491" s="6"/>
      <c r="AE491" s="6"/>
      <c r="AF491" s="6"/>
      <c r="AG491" s="6"/>
      <c r="AH491" s="6"/>
      <c r="AI491" s="6"/>
      <c r="AJ491" s="6"/>
    </row>
    <row r="492" spans="1:36" x14ac:dyDescent="0.2">
      <c r="A492" s="6"/>
      <c r="B492" s="6"/>
      <c r="C492" s="6"/>
      <c r="D492" s="6"/>
      <c r="E492" s="6"/>
      <c r="F492" s="6"/>
      <c r="G492" s="6"/>
      <c r="H492" s="6"/>
      <c r="I492" s="7"/>
      <c r="J492" s="7"/>
      <c r="K492" s="7"/>
      <c r="L492" s="7"/>
      <c r="M492" s="6"/>
      <c r="N492" s="7"/>
      <c r="O492" s="7"/>
      <c r="P492" s="7"/>
      <c r="Q492" s="7"/>
      <c r="R492" s="7"/>
      <c r="S492" s="7"/>
      <c r="T492" s="7"/>
      <c r="U492" s="7"/>
      <c r="V492" s="7"/>
      <c r="W492" s="7"/>
      <c r="X492" s="7"/>
      <c r="Y492" s="7"/>
      <c r="Z492" s="6"/>
      <c r="AA492" s="6"/>
      <c r="AB492" s="6"/>
      <c r="AC492" s="6"/>
      <c r="AD492" s="6"/>
      <c r="AE492" s="6"/>
      <c r="AF492" s="6"/>
      <c r="AG492" s="6"/>
      <c r="AH492" s="6"/>
      <c r="AI492" s="6"/>
      <c r="AJ492" s="6"/>
    </row>
    <row r="493" spans="1:36" x14ac:dyDescent="0.2">
      <c r="A493" s="6"/>
      <c r="B493" s="6"/>
      <c r="C493" s="6"/>
      <c r="D493" s="6"/>
      <c r="E493" s="6"/>
      <c r="F493" s="6"/>
      <c r="G493" s="6"/>
      <c r="H493" s="6"/>
      <c r="I493" s="7"/>
      <c r="J493" s="7"/>
      <c r="K493" s="7"/>
      <c r="L493" s="7"/>
      <c r="M493" s="6"/>
      <c r="N493" s="7"/>
      <c r="O493" s="7"/>
      <c r="P493" s="7"/>
      <c r="Q493" s="7"/>
      <c r="R493" s="7"/>
      <c r="S493" s="7"/>
      <c r="T493" s="7"/>
      <c r="U493" s="7"/>
      <c r="V493" s="7"/>
      <c r="W493" s="7"/>
      <c r="X493" s="7"/>
      <c r="Y493" s="7"/>
      <c r="Z493" s="6"/>
      <c r="AA493" s="6"/>
      <c r="AB493" s="6"/>
      <c r="AC493" s="6"/>
      <c r="AD493" s="6"/>
      <c r="AE493" s="6"/>
      <c r="AF493" s="6"/>
      <c r="AG493" s="6"/>
      <c r="AH493" s="6"/>
      <c r="AI493" s="6"/>
      <c r="AJ493" s="6"/>
    </row>
    <row r="494" spans="1:36" x14ac:dyDescent="0.2">
      <c r="A494" s="6"/>
      <c r="B494" s="6"/>
      <c r="C494" s="6"/>
      <c r="D494" s="6"/>
      <c r="E494" s="6"/>
      <c r="F494" s="6"/>
      <c r="G494" s="6"/>
      <c r="H494" s="6"/>
      <c r="I494" s="7"/>
      <c r="J494" s="7"/>
      <c r="K494" s="7"/>
      <c r="L494" s="7"/>
      <c r="M494" s="6"/>
      <c r="N494" s="7"/>
      <c r="O494" s="7"/>
      <c r="P494" s="7"/>
      <c r="Q494" s="7"/>
      <c r="R494" s="7"/>
      <c r="S494" s="7"/>
      <c r="T494" s="7"/>
      <c r="U494" s="7"/>
      <c r="V494" s="7"/>
      <c r="W494" s="7"/>
      <c r="X494" s="7"/>
      <c r="Y494" s="7"/>
      <c r="Z494" s="6"/>
      <c r="AA494" s="6"/>
      <c r="AB494" s="6"/>
      <c r="AC494" s="6"/>
      <c r="AD494" s="6"/>
      <c r="AE494" s="6"/>
      <c r="AF494" s="6"/>
      <c r="AG494" s="6"/>
      <c r="AH494" s="6"/>
      <c r="AI494" s="6"/>
      <c r="AJ494" s="6"/>
    </row>
    <row r="495" spans="1:36" x14ac:dyDescent="0.2">
      <c r="A495" s="6"/>
      <c r="B495" s="6"/>
      <c r="C495" s="6"/>
      <c r="D495" s="6"/>
      <c r="E495" s="6"/>
      <c r="F495" s="6"/>
      <c r="G495" s="6"/>
      <c r="H495" s="6"/>
      <c r="I495" s="7"/>
      <c r="J495" s="7"/>
      <c r="K495" s="7"/>
      <c r="L495" s="7"/>
      <c r="M495" s="6"/>
      <c r="N495" s="7"/>
      <c r="O495" s="7"/>
      <c r="P495" s="7"/>
      <c r="Q495" s="7"/>
      <c r="R495" s="7"/>
      <c r="S495" s="7"/>
      <c r="T495" s="7"/>
      <c r="U495" s="7"/>
      <c r="V495" s="7"/>
      <c r="W495" s="7"/>
      <c r="X495" s="7"/>
      <c r="Y495" s="7"/>
      <c r="Z495" s="6"/>
      <c r="AA495" s="6"/>
      <c r="AB495" s="6"/>
      <c r="AC495" s="6"/>
      <c r="AD495" s="6"/>
      <c r="AE495" s="6"/>
      <c r="AF495" s="6"/>
      <c r="AG495" s="6"/>
      <c r="AH495" s="6"/>
      <c r="AI495" s="6"/>
      <c r="AJ495" s="6"/>
    </row>
    <row r="496" spans="1:36" x14ac:dyDescent="0.2">
      <c r="A496" s="6"/>
      <c r="B496" s="6"/>
      <c r="C496" s="6"/>
      <c r="D496" s="6"/>
      <c r="E496" s="6"/>
      <c r="F496" s="6"/>
      <c r="G496" s="6"/>
      <c r="H496" s="6"/>
      <c r="I496" s="7"/>
      <c r="J496" s="7"/>
      <c r="K496" s="7"/>
      <c r="L496" s="7"/>
      <c r="M496" s="6"/>
      <c r="N496" s="7"/>
      <c r="O496" s="7"/>
      <c r="P496" s="7"/>
      <c r="Q496" s="7"/>
      <c r="R496" s="7"/>
      <c r="S496" s="7"/>
      <c r="T496" s="7"/>
      <c r="U496" s="7"/>
      <c r="V496" s="7"/>
      <c r="W496" s="7"/>
      <c r="X496" s="7"/>
      <c r="Y496" s="7"/>
      <c r="Z496" s="6"/>
      <c r="AA496" s="6"/>
      <c r="AB496" s="6"/>
      <c r="AC496" s="6"/>
      <c r="AD496" s="6"/>
      <c r="AE496" s="6"/>
      <c r="AF496" s="6"/>
      <c r="AG496" s="6"/>
      <c r="AH496" s="6"/>
      <c r="AI496" s="6"/>
      <c r="AJ496" s="6"/>
    </row>
    <row r="497" spans="1:36" x14ac:dyDescent="0.2">
      <c r="A497" s="6"/>
      <c r="B497" s="6"/>
      <c r="C497" s="6"/>
      <c r="D497" s="6"/>
      <c r="E497" s="6"/>
      <c r="F497" s="6"/>
      <c r="G497" s="6"/>
      <c r="H497" s="6"/>
      <c r="I497" s="7"/>
      <c r="J497" s="7"/>
      <c r="K497" s="7"/>
      <c r="L497" s="7"/>
      <c r="M497" s="6"/>
      <c r="N497" s="7"/>
      <c r="O497" s="7"/>
      <c r="P497" s="7"/>
      <c r="Q497" s="7"/>
      <c r="R497" s="7"/>
      <c r="S497" s="7"/>
      <c r="T497" s="7"/>
      <c r="U497" s="7"/>
      <c r="V497" s="7"/>
      <c r="W497" s="7"/>
      <c r="X497" s="7"/>
      <c r="Y497" s="7"/>
      <c r="Z497" s="6"/>
      <c r="AA497" s="6"/>
      <c r="AB497" s="6"/>
      <c r="AC497" s="6"/>
      <c r="AD497" s="6"/>
      <c r="AE497" s="6"/>
      <c r="AF497" s="6"/>
      <c r="AG497" s="6"/>
      <c r="AH497" s="6"/>
      <c r="AI497" s="6"/>
      <c r="AJ497" s="6"/>
    </row>
    <row r="498" spans="1:36" x14ac:dyDescent="0.2">
      <c r="A498" s="6"/>
      <c r="B498" s="6"/>
      <c r="C498" s="6"/>
      <c r="D498" s="6"/>
      <c r="E498" s="6"/>
      <c r="F498" s="6"/>
      <c r="G498" s="6"/>
      <c r="H498" s="6"/>
      <c r="I498" s="7"/>
      <c r="J498" s="7"/>
      <c r="K498" s="7"/>
      <c r="L498" s="7"/>
      <c r="M498" s="6"/>
      <c r="N498" s="7"/>
      <c r="O498" s="7"/>
      <c r="P498" s="7"/>
      <c r="Q498" s="7"/>
      <c r="R498" s="7"/>
      <c r="S498" s="7"/>
      <c r="T498" s="7"/>
      <c r="U498" s="7"/>
      <c r="V498" s="7"/>
      <c r="W498" s="7"/>
      <c r="X498" s="7"/>
      <c r="Y498" s="7"/>
      <c r="Z498" s="6"/>
      <c r="AA498" s="6"/>
      <c r="AB498" s="6"/>
      <c r="AC498" s="6"/>
      <c r="AD498" s="6"/>
      <c r="AE498" s="6"/>
      <c r="AF498" s="6"/>
      <c r="AG498" s="6"/>
      <c r="AH498" s="6"/>
      <c r="AI498" s="6"/>
      <c r="AJ498" s="6"/>
    </row>
    <row r="499" spans="1:36" x14ac:dyDescent="0.2">
      <c r="A499" s="6"/>
      <c r="B499" s="6"/>
      <c r="C499" s="6"/>
      <c r="D499" s="6"/>
      <c r="E499" s="6"/>
      <c r="F499" s="6"/>
      <c r="G499" s="6"/>
      <c r="H499" s="6"/>
      <c r="I499" s="7"/>
      <c r="J499" s="7"/>
      <c r="K499" s="7"/>
      <c r="L499" s="7"/>
      <c r="M499" s="6"/>
      <c r="N499" s="7"/>
      <c r="O499" s="7"/>
      <c r="P499" s="7"/>
      <c r="Q499" s="7"/>
      <c r="R499" s="7"/>
      <c r="S499" s="7"/>
      <c r="T499" s="7"/>
      <c r="U499" s="7"/>
      <c r="V499" s="7"/>
      <c r="W499" s="7"/>
      <c r="X499" s="7"/>
      <c r="Y499" s="7"/>
      <c r="Z499" s="6"/>
      <c r="AA499" s="6"/>
      <c r="AB499" s="6"/>
      <c r="AC499" s="6"/>
      <c r="AD499" s="6"/>
      <c r="AE499" s="6"/>
      <c r="AF499" s="6"/>
      <c r="AG499" s="6"/>
      <c r="AH499" s="6"/>
      <c r="AI499" s="6"/>
      <c r="AJ499" s="6"/>
    </row>
    <row r="500" spans="1:36" x14ac:dyDescent="0.2">
      <c r="A500" s="6"/>
      <c r="B500" s="6"/>
      <c r="C500" s="6"/>
      <c r="D500" s="6"/>
      <c r="E500" s="6"/>
      <c r="F500" s="6"/>
      <c r="G500" s="6"/>
      <c r="H500" s="6"/>
      <c r="I500" s="7"/>
      <c r="J500" s="7"/>
      <c r="K500" s="7"/>
      <c r="L500" s="7"/>
      <c r="M500" s="6"/>
      <c r="N500" s="7"/>
      <c r="O500" s="7"/>
      <c r="P500" s="7"/>
      <c r="Q500" s="7"/>
      <c r="R500" s="7"/>
      <c r="S500" s="7"/>
      <c r="T500" s="7"/>
      <c r="U500" s="7"/>
      <c r="V500" s="7"/>
      <c r="W500" s="7"/>
      <c r="X500" s="7"/>
      <c r="Y500" s="7"/>
      <c r="Z500" s="6"/>
      <c r="AA500" s="6"/>
      <c r="AB500" s="6"/>
      <c r="AC500" s="6"/>
      <c r="AD500" s="6"/>
      <c r="AE500" s="6"/>
      <c r="AF500" s="6"/>
      <c r="AG500" s="6"/>
      <c r="AH500" s="6"/>
      <c r="AI500" s="6"/>
      <c r="AJ500" s="6"/>
    </row>
    <row r="501" spans="1:36" x14ac:dyDescent="0.2">
      <c r="A501" s="6"/>
      <c r="B501" s="6"/>
      <c r="C501" s="6"/>
      <c r="D501" s="6"/>
      <c r="E501" s="6"/>
      <c r="F501" s="6"/>
      <c r="G501" s="6"/>
      <c r="H501" s="6"/>
      <c r="I501" s="7"/>
      <c r="J501" s="7"/>
      <c r="K501" s="7"/>
      <c r="L501" s="7"/>
      <c r="M501" s="6"/>
      <c r="N501" s="7"/>
      <c r="O501" s="7"/>
      <c r="P501" s="7"/>
      <c r="Q501" s="7"/>
      <c r="R501" s="7"/>
      <c r="S501" s="7"/>
      <c r="T501" s="7"/>
      <c r="U501" s="7"/>
      <c r="V501" s="7"/>
      <c r="W501" s="7"/>
      <c r="X501" s="7"/>
      <c r="Y501" s="7"/>
      <c r="Z501" s="6"/>
      <c r="AA501" s="6"/>
      <c r="AB501" s="6"/>
      <c r="AC501" s="6"/>
      <c r="AD501" s="6"/>
      <c r="AE501" s="6"/>
      <c r="AF501" s="6"/>
      <c r="AG501" s="6"/>
      <c r="AH501" s="6"/>
      <c r="AI501" s="6"/>
      <c r="AJ501" s="6"/>
    </row>
    <row r="502" spans="1:36" x14ac:dyDescent="0.2">
      <c r="A502" s="6"/>
      <c r="B502" s="6"/>
      <c r="C502" s="6"/>
      <c r="D502" s="6"/>
      <c r="E502" s="6"/>
      <c r="F502" s="6"/>
      <c r="G502" s="6"/>
      <c r="H502" s="6"/>
      <c r="I502" s="7"/>
      <c r="J502" s="7"/>
      <c r="K502" s="7"/>
      <c r="L502" s="7"/>
      <c r="M502" s="6"/>
      <c r="N502" s="7"/>
      <c r="O502" s="7"/>
      <c r="P502" s="7"/>
      <c r="Q502" s="7"/>
      <c r="R502" s="7"/>
      <c r="S502" s="7"/>
      <c r="T502" s="7"/>
      <c r="U502" s="7"/>
      <c r="V502" s="7"/>
      <c r="W502" s="7"/>
      <c r="X502" s="7"/>
      <c r="Y502" s="7"/>
      <c r="Z502" s="6"/>
      <c r="AA502" s="6"/>
      <c r="AB502" s="6"/>
      <c r="AC502" s="6"/>
      <c r="AD502" s="6"/>
      <c r="AE502" s="6"/>
      <c r="AF502" s="6"/>
      <c r="AG502" s="6"/>
      <c r="AH502" s="6"/>
      <c r="AI502" s="6"/>
      <c r="AJ502" s="6"/>
    </row>
    <row r="503" spans="1:36" x14ac:dyDescent="0.2">
      <c r="A503" s="6"/>
      <c r="B503" s="6"/>
      <c r="C503" s="6"/>
      <c r="D503" s="6"/>
      <c r="E503" s="6"/>
      <c r="F503" s="6"/>
      <c r="G503" s="6"/>
      <c r="H503" s="6"/>
      <c r="I503" s="7"/>
      <c r="J503" s="7"/>
      <c r="K503" s="7"/>
      <c r="L503" s="7"/>
      <c r="M503" s="6"/>
      <c r="N503" s="7"/>
      <c r="O503" s="7"/>
      <c r="P503" s="7"/>
      <c r="Q503" s="7"/>
      <c r="R503" s="7"/>
      <c r="S503" s="7"/>
      <c r="T503" s="7"/>
      <c r="U503" s="7"/>
      <c r="V503" s="7"/>
      <c r="W503" s="7"/>
      <c r="X503" s="7"/>
      <c r="Y503" s="7"/>
      <c r="Z503" s="6"/>
      <c r="AA503" s="6"/>
      <c r="AB503" s="6"/>
      <c r="AC503" s="6"/>
      <c r="AD503" s="6"/>
      <c r="AE503" s="6"/>
      <c r="AF503" s="6"/>
      <c r="AG503" s="6"/>
      <c r="AH503" s="6"/>
      <c r="AI503" s="6"/>
      <c r="AJ503" s="6"/>
    </row>
    <row r="504" spans="1:36" x14ac:dyDescent="0.2">
      <c r="A504" s="6"/>
      <c r="B504" s="6"/>
      <c r="C504" s="6"/>
      <c r="D504" s="6"/>
      <c r="E504" s="6"/>
      <c r="F504" s="6"/>
      <c r="G504" s="6"/>
      <c r="H504" s="6"/>
      <c r="I504" s="7"/>
      <c r="J504" s="7"/>
      <c r="K504" s="7"/>
      <c r="L504" s="7"/>
      <c r="M504" s="6"/>
      <c r="N504" s="7"/>
      <c r="O504" s="7"/>
      <c r="P504" s="7"/>
      <c r="Q504" s="7"/>
      <c r="R504" s="7"/>
      <c r="S504" s="7"/>
      <c r="T504" s="7"/>
      <c r="U504" s="7"/>
      <c r="V504" s="7"/>
      <c r="W504" s="7"/>
      <c r="X504" s="7"/>
      <c r="Y504" s="7"/>
      <c r="Z504" s="6"/>
      <c r="AA504" s="6"/>
      <c r="AB504" s="6"/>
      <c r="AC504" s="6"/>
      <c r="AD504" s="6"/>
      <c r="AE504" s="6"/>
      <c r="AF504" s="6"/>
      <c r="AG504" s="6"/>
      <c r="AH504" s="6"/>
      <c r="AI504" s="6"/>
      <c r="AJ504" s="6"/>
    </row>
    <row r="505" spans="1:36" x14ac:dyDescent="0.2">
      <c r="A505" s="6"/>
      <c r="B505" s="6"/>
      <c r="C505" s="6"/>
      <c r="D505" s="6"/>
      <c r="E505" s="6"/>
      <c r="F505" s="6"/>
      <c r="G505" s="6"/>
      <c r="H505" s="6"/>
      <c r="I505" s="7"/>
      <c r="J505" s="7"/>
      <c r="K505" s="7"/>
      <c r="L505" s="7"/>
      <c r="M505" s="6"/>
      <c r="N505" s="7"/>
      <c r="O505" s="7"/>
      <c r="P505" s="7"/>
      <c r="Q505" s="7"/>
      <c r="R505" s="7"/>
      <c r="S505" s="7"/>
      <c r="T505" s="7"/>
      <c r="U505" s="7"/>
      <c r="V505" s="7"/>
      <c r="W505" s="7"/>
      <c r="X505" s="7"/>
      <c r="Y505" s="7"/>
      <c r="Z505" s="6"/>
      <c r="AA505" s="6"/>
      <c r="AB505" s="6"/>
      <c r="AC505" s="6"/>
      <c r="AD505" s="6"/>
      <c r="AE505" s="6"/>
      <c r="AF505" s="6"/>
      <c r="AG505" s="6"/>
      <c r="AH505" s="6"/>
      <c r="AI505" s="6"/>
      <c r="AJ505" s="6"/>
    </row>
    <row r="506" spans="1:36" x14ac:dyDescent="0.2">
      <c r="A506" s="6"/>
      <c r="B506" s="6"/>
      <c r="C506" s="6"/>
      <c r="D506" s="6"/>
      <c r="E506" s="6"/>
      <c r="F506" s="6"/>
      <c r="G506" s="6"/>
      <c r="H506" s="6"/>
      <c r="I506" s="7"/>
      <c r="J506" s="7"/>
      <c r="K506" s="7"/>
      <c r="L506" s="7"/>
      <c r="M506" s="6"/>
      <c r="N506" s="7"/>
      <c r="O506" s="7"/>
      <c r="P506" s="7"/>
      <c r="Q506" s="7"/>
      <c r="R506" s="7"/>
      <c r="S506" s="7"/>
      <c r="T506" s="7"/>
      <c r="U506" s="7"/>
      <c r="V506" s="7"/>
      <c r="W506" s="7"/>
      <c r="X506" s="7"/>
      <c r="Y506" s="7"/>
      <c r="Z506" s="6"/>
      <c r="AA506" s="6"/>
      <c r="AB506" s="6"/>
      <c r="AC506" s="6"/>
      <c r="AD506" s="6"/>
      <c r="AE506" s="6"/>
      <c r="AF506" s="6"/>
      <c r="AG506" s="6"/>
      <c r="AH506" s="6"/>
      <c r="AI506" s="6"/>
      <c r="AJ506" s="6"/>
    </row>
    <row r="507" spans="1:36" x14ac:dyDescent="0.2">
      <c r="A507" s="6"/>
      <c r="B507" s="6"/>
      <c r="C507" s="6"/>
      <c r="D507" s="6"/>
      <c r="E507" s="6"/>
      <c r="F507" s="6"/>
      <c r="G507" s="6"/>
      <c r="H507" s="6"/>
      <c r="I507" s="7"/>
      <c r="J507" s="7"/>
      <c r="K507" s="7"/>
      <c r="L507" s="7"/>
      <c r="M507" s="6"/>
      <c r="N507" s="7"/>
      <c r="O507" s="7"/>
      <c r="P507" s="7"/>
      <c r="Q507" s="7"/>
      <c r="R507" s="7"/>
      <c r="S507" s="7"/>
      <c r="T507" s="7"/>
      <c r="U507" s="7"/>
      <c r="V507" s="7"/>
      <c r="W507" s="7"/>
      <c r="X507" s="7"/>
      <c r="Y507" s="7"/>
      <c r="Z507" s="6"/>
      <c r="AA507" s="6"/>
      <c r="AB507" s="6"/>
      <c r="AC507" s="6"/>
      <c r="AD507" s="6"/>
      <c r="AE507" s="6"/>
      <c r="AF507" s="6"/>
      <c r="AG507" s="6"/>
      <c r="AH507" s="6"/>
      <c r="AI507" s="6"/>
      <c r="AJ507" s="6"/>
    </row>
    <row r="508" spans="1:36" x14ac:dyDescent="0.2">
      <c r="A508" s="6"/>
      <c r="B508" s="6"/>
      <c r="C508" s="6"/>
      <c r="D508" s="6"/>
      <c r="E508" s="6"/>
      <c r="F508" s="6"/>
      <c r="G508" s="6"/>
      <c r="H508" s="6"/>
      <c r="I508" s="7"/>
      <c r="J508" s="7"/>
      <c r="K508" s="7"/>
      <c r="L508" s="7"/>
      <c r="M508" s="6"/>
      <c r="N508" s="7"/>
      <c r="O508" s="7"/>
      <c r="P508" s="7"/>
      <c r="Q508" s="7"/>
      <c r="R508" s="7"/>
      <c r="S508" s="7"/>
      <c r="T508" s="7"/>
      <c r="U508" s="7"/>
      <c r="V508" s="7"/>
      <c r="W508" s="7"/>
      <c r="X508" s="7"/>
      <c r="Y508" s="7"/>
      <c r="Z508" s="6"/>
      <c r="AA508" s="6"/>
      <c r="AB508" s="6"/>
      <c r="AC508" s="6"/>
      <c r="AD508" s="6"/>
      <c r="AE508" s="6"/>
      <c r="AF508" s="6"/>
      <c r="AG508" s="6"/>
      <c r="AH508" s="6"/>
      <c r="AI508" s="6"/>
      <c r="AJ508" s="6"/>
    </row>
    <row r="509" spans="1:36" x14ac:dyDescent="0.2">
      <c r="A509" s="6"/>
      <c r="B509" s="6"/>
      <c r="C509" s="6"/>
      <c r="D509" s="6"/>
      <c r="E509" s="6"/>
      <c r="F509" s="6"/>
      <c r="G509" s="6"/>
      <c r="H509" s="6"/>
      <c r="I509" s="7"/>
      <c r="J509" s="7"/>
      <c r="K509" s="7"/>
      <c r="L509" s="7"/>
      <c r="M509" s="6"/>
      <c r="N509" s="7"/>
      <c r="O509" s="7"/>
      <c r="P509" s="7"/>
      <c r="Q509" s="7"/>
      <c r="R509" s="7"/>
      <c r="S509" s="7"/>
      <c r="T509" s="7"/>
      <c r="U509" s="7"/>
      <c r="V509" s="7"/>
      <c r="W509" s="7"/>
      <c r="X509" s="7"/>
      <c r="Y509" s="7"/>
      <c r="Z509" s="6"/>
      <c r="AA509" s="6"/>
      <c r="AB509" s="6"/>
      <c r="AC509" s="6"/>
      <c r="AD509" s="6"/>
      <c r="AE509" s="6"/>
      <c r="AF509" s="6"/>
      <c r="AG509" s="6"/>
      <c r="AH509" s="6"/>
      <c r="AI509" s="6"/>
      <c r="AJ509" s="6"/>
    </row>
    <row r="510" spans="1:36" x14ac:dyDescent="0.2">
      <c r="A510" s="6"/>
      <c r="B510" s="6"/>
      <c r="C510" s="6"/>
      <c r="D510" s="6"/>
      <c r="E510" s="6"/>
      <c r="F510" s="6"/>
      <c r="G510" s="6"/>
      <c r="H510" s="6"/>
      <c r="I510" s="7"/>
      <c r="J510" s="7"/>
      <c r="K510" s="7"/>
      <c r="L510" s="7"/>
      <c r="M510" s="6"/>
      <c r="N510" s="7"/>
      <c r="O510" s="7"/>
      <c r="P510" s="7"/>
      <c r="Q510" s="7"/>
      <c r="R510" s="7"/>
      <c r="S510" s="7"/>
      <c r="T510" s="7"/>
      <c r="U510" s="7"/>
      <c r="V510" s="7"/>
      <c r="W510" s="7"/>
      <c r="X510" s="7"/>
      <c r="Y510" s="7"/>
      <c r="Z510" s="6"/>
      <c r="AA510" s="6"/>
      <c r="AB510" s="6"/>
      <c r="AC510" s="6"/>
      <c r="AD510" s="6"/>
      <c r="AE510" s="6"/>
      <c r="AF510" s="6"/>
      <c r="AG510" s="6"/>
      <c r="AH510" s="6"/>
      <c r="AI510" s="6"/>
      <c r="AJ510" s="6"/>
    </row>
    <row r="511" spans="1:36" x14ac:dyDescent="0.2">
      <c r="A511" s="6"/>
      <c r="B511" s="6"/>
      <c r="C511" s="6"/>
      <c r="D511" s="6"/>
      <c r="E511" s="6"/>
      <c r="F511" s="6"/>
      <c r="G511" s="6"/>
      <c r="H511" s="6"/>
      <c r="I511" s="7"/>
      <c r="J511" s="7"/>
      <c r="K511" s="7"/>
      <c r="L511" s="7"/>
      <c r="M511" s="6"/>
      <c r="N511" s="7"/>
      <c r="O511" s="7"/>
      <c r="P511" s="7"/>
      <c r="Q511" s="7"/>
      <c r="R511" s="7"/>
      <c r="S511" s="7"/>
      <c r="T511" s="7"/>
      <c r="U511" s="7"/>
      <c r="V511" s="7"/>
      <c r="W511" s="7"/>
      <c r="X511" s="7"/>
      <c r="Y511" s="7"/>
      <c r="Z511" s="6"/>
      <c r="AA511" s="6"/>
      <c r="AB511" s="6"/>
      <c r="AC511" s="6"/>
      <c r="AD511" s="6"/>
      <c r="AE511" s="6"/>
      <c r="AF511" s="6"/>
      <c r="AG511" s="6"/>
      <c r="AH511" s="6"/>
      <c r="AI511" s="6"/>
      <c r="AJ511" s="6"/>
    </row>
    <row r="512" spans="1:36" x14ac:dyDescent="0.2">
      <c r="A512" s="6"/>
      <c r="B512" s="6"/>
      <c r="C512" s="6"/>
      <c r="D512" s="6"/>
      <c r="E512" s="6"/>
      <c r="F512" s="6"/>
      <c r="G512" s="6"/>
      <c r="H512" s="6"/>
      <c r="I512" s="7"/>
      <c r="J512" s="7"/>
      <c r="K512" s="7"/>
      <c r="L512" s="7"/>
      <c r="M512" s="6"/>
      <c r="N512" s="7"/>
      <c r="O512" s="7"/>
      <c r="P512" s="7"/>
      <c r="Q512" s="7"/>
      <c r="R512" s="7"/>
      <c r="S512" s="7"/>
      <c r="T512" s="7"/>
      <c r="U512" s="7"/>
      <c r="V512" s="7"/>
      <c r="W512" s="7"/>
      <c r="X512" s="7"/>
      <c r="Y512" s="7"/>
      <c r="Z512" s="6"/>
      <c r="AA512" s="6"/>
      <c r="AB512" s="6"/>
      <c r="AC512" s="6"/>
      <c r="AD512" s="6"/>
      <c r="AE512" s="6"/>
      <c r="AF512" s="6"/>
      <c r="AG512" s="6"/>
      <c r="AH512" s="6"/>
      <c r="AI512" s="6"/>
      <c r="AJ512" s="6"/>
    </row>
    <row r="513" spans="1:36" x14ac:dyDescent="0.2">
      <c r="A513" s="6"/>
      <c r="B513" s="6"/>
      <c r="C513" s="6"/>
      <c r="D513" s="6"/>
      <c r="E513" s="6"/>
      <c r="F513" s="6"/>
      <c r="G513" s="6"/>
      <c r="H513" s="6"/>
      <c r="I513" s="7"/>
      <c r="J513" s="7"/>
      <c r="K513" s="7"/>
      <c r="L513" s="7"/>
      <c r="M513" s="6"/>
      <c r="N513" s="7"/>
      <c r="O513" s="7"/>
      <c r="P513" s="7"/>
      <c r="Q513" s="7"/>
      <c r="R513" s="7"/>
      <c r="S513" s="7"/>
      <c r="T513" s="7"/>
      <c r="U513" s="7"/>
      <c r="V513" s="7"/>
      <c r="W513" s="7"/>
      <c r="X513" s="7"/>
      <c r="Y513" s="7"/>
      <c r="Z513" s="6"/>
      <c r="AA513" s="6"/>
      <c r="AB513" s="6"/>
      <c r="AC513" s="6"/>
      <c r="AD513" s="6"/>
      <c r="AE513" s="6"/>
      <c r="AF513" s="6"/>
      <c r="AG513" s="6"/>
      <c r="AH513" s="6"/>
      <c r="AI513" s="6"/>
      <c r="AJ513" s="6"/>
    </row>
    <row r="514" spans="1:36" x14ac:dyDescent="0.2">
      <c r="A514" s="6"/>
      <c r="B514" s="6"/>
      <c r="C514" s="6"/>
      <c r="D514" s="6"/>
      <c r="E514" s="6"/>
      <c r="F514" s="6"/>
      <c r="G514" s="6"/>
      <c r="H514" s="6"/>
      <c r="I514" s="7"/>
      <c r="J514" s="7"/>
      <c r="K514" s="7"/>
      <c r="L514" s="7"/>
      <c r="M514" s="6"/>
      <c r="N514" s="7"/>
      <c r="O514" s="7"/>
      <c r="P514" s="7"/>
      <c r="Q514" s="7"/>
      <c r="R514" s="7"/>
      <c r="S514" s="7"/>
      <c r="T514" s="7"/>
      <c r="U514" s="7"/>
      <c r="V514" s="7"/>
      <c r="W514" s="7"/>
      <c r="X514" s="7"/>
      <c r="Y514" s="7"/>
      <c r="Z514" s="6"/>
      <c r="AA514" s="6"/>
      <c r="AB514" s="6"/>
      <c r="AC514" s="6"/>
      <c r="AD514" s="6"/>
      <c r="AE514" s="6"/>
      <c r="AF514" s="6"/>
      <c r="AG514" s="6"/>
      <c r="AH514" s="6"/>
      <c r="AI514" s="6"/>
      <c r="AJ514" s="6"/>
    </row>
    <row r="515" spans="1:36" x14ac:dyDescent="0.2">
      <c r="A515" s="6"/>
      <c r="B515" s="6"/>
      <c r="C515" s="6"/>
      <c r="D515" s="6"/>
      <c r="E515" s="6"/>
      <c r="F515" s="6"/>
      <c r="G515" s="6"/>
      <c r="H515" s="6"/>
      <c r="I515" s="7"/>
      <c r="J515" s="7"/>
      <c r="K515" s="7"/>
      <c r="L515" s="7"/>
      <c r="M515" s="6"/>
      <c r="N515" s="7"/>
      <c r="O515" s="7"/>
      <c r="P515" s="7"/>
      <c r="Q515" s="7"/>
      <c r="R515" s="7"/>
      <c r="S515" s="7"/>
      <c r="T515" s="7"/>
      <c r="U515" s="7"/>
      <c r="V515" s="7"/>
      <c r="W515" s="7"/>
      <c r="X515" s="7"/>
      <c r="Y515" s="7"/>
      <c r="Z515" s="6"/>
      <c r="AA515" s="6"/>
      <c r="AB515" s="6"/>
      <c r="AC515" s="6"/>
      <c r="AD515" s="6"/>
      <c r="AE515" s="6"/>
      <c r="AF515" s="6"/>
      <c r="AG515" s="6"/>
      <c r="AH515" s="6"/>
      <c r="AI515" s="6"/>
      <c r="AJ515" s="6"/>
    </row>
    <row r="516" spans="1:36" x14ac:dyDescent="0.2">
      <c r="A516" s="6"/>
      <c r="B516" s="6"/>
      <c r="C516" s="6"/>
      <c r="D516" s="6"/>
      <c r="E516" s="6"/>
      <c r="F516" s="6"/>
      <c r="G516" s="6"/>
      <c r="H516" s="6"/>
      <c r="I516" s="7"/>
      <c r="J516" s="7"/>
      <c r="K516" s="7"/>
      <c r="L516" s="7"/>
      <c r="M516" s="6"/>
      <c r="N516" s="7"/>
      <c r="O516" s="7"/>
      <c r="P516" s="7"/>
      <c r="Q516" s="7"/>
      <c r="R516" s="7"/>
      <c r="S516" s="7"/>
      <c r="T516" s="7"/>
      <c r="U516" s="7"/>
      <c r="V516" s="7"/>
      <c r="W516" s="7"/>
      <c r="X516" s="7"/>
      <c r="Y516" s="7"/>
      <c r="Z516" s="6"/>
      <c r="AA516" s="6"/>
      <c r="AB516" s="6"/>
      <c r="AC516" s="6"/>
      <c r="AD516" s="6"/>
      <c r="AE516" s="6"/>
      <c r="AF516" s="6"/>
      <c r="AG516" s="6"/>
      <c r="AH516" s="6"/>
      <c r="AI516" s="6"/>
      <c r="AJ516" s="6"/>
    </row>
    <row r="517" spans="1:36" x14ac:dyDescent="0.2">
      <c r="A517" s="6"/>
      <c r="B517" s="6"/>
      <c r="C517" s="6"/>
      <c r="D517" s="6"/>
      <c r="E517" s="6"/>
      <c r="F517" s="6"/>
      <c r="G517" s="6"/>
      <c r="H517" s="6"/>
      <c r="I517" s="7"/>
      <c r="J517" s="7"/>
      <c r="K517" s="7"/>
      <c r="L517" s="7"/>
      <c r="M517" s="6"/>
      <c r="N517" s="7"/>
      <c r="O517" s="7"/>
      <c r="P517" s="7"/>
      <c r="Q517" s="7"/>
      <c r="R517" s="7"/>
      <c r="S517" s="7"/>
      <c r="T517" s="7"/>
      <c r="U517" s="7"/>
      <c r="V517" s="7"/>
      <c r="W517" s="7"/>
      <c r="X517" s="7"/>
      <c r="Y517" s="7"/>
      <c r="Z517" s="6"/>
      <c r="AA517" s="6"/>
      <c r="AB517" s="6"/>
      <c r="AC517" s="6"/>
      <c r="AD517" s="6"/>
      <c r="AE517" s="6"/>
      <c r="AF517" s="6"/>
      <c r="AG517" s="6"/>
      <c r="AH517" s="6"/>
      <c r="AI517" s="6"/>
      <c r="AJ517" s="6"/>
    </row>
    <row r="518" spans="1:36" x14ac:dyDescent="0.2">
      <c r="A518" s="6"/>
      <c r="B518" s="6"/>
      <c r="C518" s="6"/>
      <c r="D518" s="6"/>
      <c r="E518" s="6"/>
      <c r="F518" s="6"/>
      <c r="G518" s="6"/>
      <c r="H518" s="6"/>
      <c r="I518" s="7"/>
      <c r="J518" s="7"/>
      <c r="K518" s="7"/>
      <c r="L518" s="7"/>
      <c r="M518" s="6"/>
      <c r="N518" s="7"/>
      <c r="O518" s="7"/>
      <c r="P518" s="7"/>
      <c r="Q518" s="7"/>
      <c r="R518" s="7"/>
      <c r="S518" s="7"/>
      <c r="T518" s="7"/>
      <c r="U518" s="7"/>
      <c r="V518" s="7"/>
      <c r="W518" s="7"/>
      <c r="X518" s="7"/>
      <c r="Y518" s="7"/>
      <c r="Z518" s="6"/>
      <c r="AA518" s="6"/>
      <c r="AB518" s="6"/>
      <c r="AC518" s="6"/>
      <c r="AD518" s="6"/>
      <c r="AE518" s="6"/>
      <c r="AF518" s="6"/>
      <c r="AG518" s="6"/>
      <c r="AH518" s="6"/>
      <c r="AI518" s="6"/>
      <c r="AJ518" s="6"/>
    </row>
    <row r="519" spans="1:36" x14ac:dyDescent="0.2">
      <c r="A519" s="6"/>
      <c r="B519" s="6"/>
      <c r="C519" s="6"/>
      <c r="D519" s="6"/>
      <c r="E519" s="6"/>
      <c r="F519" s="6"/>
      <c r="G519" s="6"/>
      <c r="H519" s="6"/>
      <c r="I519" s="7"/>
      <c r="J519" s="7"/>
      <c r="K519" s="7"/>
      <c r="L519" s="7"/>
      <c r="M519" s="6"/>
      <c r="N519" s="7"/>
      <c r="O519" s="7"/>
      <c r="P519" s="7"/>
      <c r="Q519" s="7"/>
      <c r="R519" s="7"/>
      <c r="S519" s="7"/>
      <c r="T519" s="7"/>
      <c r="U519" s="7"/>
      <c r="V519" s="7"/>
      <c r="W519" s="7"/>
      <c r="X519" s="7"/>
      <c r="Y519" s="7"/>
      <c r="Z519" s="6"/>
      <c r="AA519" s="6"/>
      <c r="AB519" s="6"/>
      <c r="AC519" s="6"/>
      <c r="AD519" s="6"/>
      <c r="AE519" s="6"/>
      <c r="AF519" s="6"/>
      <c r="AG519" s="6"/>
      <c r="AH519" s="6"/>
      <c r="AI519" s="6"/>
      <c r="AJ519" s="6"/>
    </row>
    <row r="520" spans="1:36" x14ac:dyDescent="0.2">
      <c r="A520" s="6"/>
      <c r="B520" s="6"/>
      <c r="C520" s="6"/>
      <c r="D520" s="6"/>
      <c r="E520" s="6"/>
      <c r="F520" s="6"/>
      <c r="G520" s="6"/>
      <c r="H520" s="6"/>
      <c r="I520" s="7"/>
      <c r="J520" s="7"/>
      <c r="K520" s="7"/>
      <c r="L520" s="7"/>
      <c r="M520" s="6"/>
      <c r="N520" s="7"/>
      <c r="O520" s="7"/>
      <c r="P520" s="7"/>
      <c r="Q520" s="7"/>
      <c r="R520" s="7"/>
      <c r="S520" s="7"/>
      <c r="T520" s="7"/>
      <c r="U520" s="7"/>
      <c r="V520" s="7"/>
      <c r="W520" s="7"/>
      <c r="X520" s="7"/>
      <c r="Y520" s="7"/>
      <c r="Z520" s="6"/>
      <c r="AA520" s="6"/>
      <c r="AB520" s="6"/>
      <c r="AC520" s="6"/>
      <c r="AD520" s="6"/>
      <c r="AE520" s="6"/>
      <c r="AF520" s="6"/>
      <c r="AG520" s="6"/>
      <c r="AH520" s="6"/>
      <c r="AI520" s="6"/>
      <c r="AJ520" s="6"/>
    </row>
    <row r="521" spans="1:36" x14ac:dyDescent="0.2">
      <c r="A521" s="6"/>
      <c r="B521" s="6"/>
      <c r="C521" s="6"/>
      <c r="D521" s="6"/>
      <c r="E521" s="6"/>
      <c r="F521" s="6"/>
      <c r="G521" s="6"/>
      <c r="H521" s="6"/>
      <c r="I521" s="7"/>
      <c r="J521" s="7"/>
      <c r="K521" s="7"/>
      <c r="L521" s="7"/>
      <c r="M521" s="6"/>
      <c r="N521" s="7"/>
      <c r="O521" s="7"/>
      <c r="P521" s="7"/>
      <c r="Q521" s="7"/>
      <c r="R521" s="7"/>
      <c r="S521" s="7"/>
      <c r="T521" s="7"/>
      <c r="U521" s="7"/>
      <c r="V521" s="7"/>
      <c r="W521" s="7"/>
      <c r="X521" s="7"/>
      <c r="Y521" s="7"/>
      <c r="Z521" s="6"/>
      <c r="AA521" s="6"/>
      <c r="AB521" s="6"/>
      <c r="AC521" s="6"/>
      <c r="AD521" s="6"/>
      <c r="AE521" s="6"/>
      <c r="AF521" s="6"/>
      <c r="AG521" s="6"/>
      <c r="AH521" s="6"/>
      <c r="AI521" s="6"/>
      <c r="AJ521" s="6"/>
    </row>
    <row r="522" spans="1:36" x14ac:dyDescent="0.2">
      <c r="A522" s="6"/>
      <c r="B522" s="6"/>
      <c r="C522" s="6"/>
      <c r="D522" s="6"/>
      <c r="E522" s="6"/>
      <c r="F522" s="6"/>
      <c r="G522" s="6"/>
      <c r="H522" s="6"/>
      <c r="I522" s="7"/>
      <c r="J522" s="7"/>
      <c r="K522" s="7"/>
      <c r="L522" s="7"/>
      <c r="M522" s="6"/>
      <c r="N522" s="7"/>
      <c r="O522" s="7"/>
      <c r="P522" s="7"/>
      <c r="Q522" s="7"/>
      <c r="R522" s="7"/>
      <c r="S522" s="7"/>
      <c r="T522" s="7"/>
      <c r="U522" s="7"/>
      <c r="V522" s="7"/>
      <c r="W522" s="7"/>
      <c r="X522" s="7"/>
      <c r="Y522" s="7"/>
      <c r="Z522" s="6"/>
      <c r="AA522" s="6"/>
      <c r="AB522" s="6"/>
      <c r="AC522" s="6"/>
      <c r="AD522" s="6"/>
      <c r="AE522" s="6"/>
      <c r="AF522" s="6"/>
      <c r="AG522" s="6"/>
      <c r="AH522" s="6"/>
      <c r="AI522" s="6"/>
      <c r="AJ522" s="6"/>
    </row>
    <row r="523" spans="1:36" x14ac:dyDescent="0.2">
      <c r="A523" s="6"/>
      <c r="B523" s="6"/>
      <c r="C523" s="6"/>
      <c r="D523" s="6"/>
      <c r="E523" s="6"/>
      <c r="F523" s="6"/>
      <c r="G523" s="6"/>
      <c r="H523" s="6"/>
      <c r="I523" s="7"/>
      <c r="J523" s="7"/>
      <c r="K523" s="7"/>
      <c r="L523" s="7"/>
      <c r="M523" s="6"/>
      <c r="N523" s="7"/>
      <c r="O523" s="7"/>
      <c r="P523" s="7"/>
      <c r="Q523" s="7"/>
      <c r="R523" s="7"/>
      <c r="S523" s="7"/>
      <c r="T523" s="7"/>
      <c r="U523" s="7"/>
      <c r="V523" s="7"/>
      <c r="W523" s="7"/>
      <c r="X523" s="7"/>
      <c r="Y523" s="7"/>
      <c r="Z523" s="6"/>
      <c r="AA523" s="6"/>
      <c r="AB523" s="6"/>
      <c r="AC523" s="6"/>
      <c r="AD523" s="6"/>
      <c r="AE523" s="6"/>
      <c r="AF523" s="6"/>
      <c r="AG523" s="6"/>
      <c r="AH523" s="6"/>
      <c r="AI523" s="6"/>
      <c r="AJ523" s="6"/>
    </row>
    <row r="524" spans="1:36" x14ac:dyDescent="0.2">
      <c r="A524" s="6"/>
      <c r="B524" s="6"/>
      <c r="C524" s="6"/>
      <c r="D524" s="6"/>
      <c r="E524" s="6"/>
      <c r="F524" s="6"/>
      <c r="G524" s="6"/>
      <c r="H524" s="6"/>
      <c r="I524" s="7"/>
      <c r="J524" s="7"/>
      <c r="K524" s="7"/>
      <c r="L524" s="7"/>
      <c r="M524" s="6"/>
      <c r="N524" s="7"/>
      <c r="O524" s="7"/>
      <c r="P524" s="7"/>
      <c r="Q524" s="7"/>
      <c r="R524" s="7"/>
      <c r="S524" s="7"/>
      <c r="T524" s="7"/>
      <c r="U524" s="7"/>
      <c r="V524" s="7"/>
      <c r="W524" s="7"/>
      <c r="X524" s="7"/>
      <c r="Y524" s="7"/>
      <c r="Z524" s="6"/>
      <c r="AA524" s="6"/>
      <c r="AB524" s="6"/>
      <c r="AC524" s="6"/>
      <c r="AD524" s="6"/>
      <c r="AE524" s="6"/>
      <c r="AF524" s="6"/>
      <c r="AG524" s="6"/>
      <c r="AH524" s="6"/>
      <c r="AI524" s="6"/>
      <c r="AJ524" s="6"/>
    </row>
    <row r="525" spans="1:36" x14ac:dyDescent="0.2">
      <c r="A525" s="6"/>
      <c r="B525" s="6"/>
      <c r="C525" s="6"/>
      <c r="D525" s="6"/>
      <c r="E525" s="6"/>
      <c r="F525" s="6"/>
      <c r="G525" s="6"/>
      <c r="H525" s="6"/>
      <c r="I525" s="7"/>
      <c r="J525" s="7"/>
      <c r="K525" s="7"/>
      <c r="L525" s="7"/>
      <c r="M525" s="6"/>
      <c r="N525" s="7"/>
      <c r="O525" s="7"/>
      <c r="P525" s="7"/>
      <c r="Q525" s="7"/>
      <c r="R525" s="7"/>
      <c r="S525" s="7"/>
      <c r="T525" s="7"/>
      <c r="U525" s="7"/>
      <c r="V525" s="7"/>
      <c r="W525" s="7"/>
      <c r="X525" s="7"/>
      <c r="Y525" s="7"/>
      <c r="Z525" s="6"/>
      <c r="AA525" s="6"/>
      <c r="AB525" s="6"/>
      <c r="AC525" s="6"/>
      <c r="AD525" s="6"/>
      <c r="AE525" s="6"/>
      <c r="AF525" s="6"/>
      <c r="AG525" s="6"/>
      <c r="AH525" s="6"/>
      <c r="AI525" s="6"/>
      <c r="AJ525" s="6"/>
    </row>
    <row r="526" spans="1:36" x14ac:dyDescent="0.2">
      <c r="I526" s="25"/>
      <c r="J526" s="25"/>
      <c r="K526" s="25"/>
      <c r="L526" s="25"/>
      <c r="N526" s="25"/>
      <c r="O526" s="25"/>
      <c r="P526" s="25"/>
      <c r="Q526" s="25"/>
      <c r="R526" s="25"/>
      <c r="S526" s="25"/>
      <c r="T526" s="25"/>
      <c r="U526" s="25"/>
      <c r="V526" s="25"/>
      <c r="W526" s="25"/>
      <c r="X526" s="25"/>
      <c r="Y526" s="25"/>
    </row>
    <row r="527" spans="1:36" x14ac:dyDescent="0.2">
      <c r="I527" s="25"/>
      <c r="J527" s="25"/>
      <c r="K527" s="25"/>
      <c r="L527" s="25"/>
      <c r="N527" s="25"/>
      <c r="O527" s="25"/>
      <c r="P527" s="25"/>
      <c r="Q527" s="25"/>
      <c r="R527" s="25"/>
      <c r="S527" s="25"/>
      <c r="T527" s="25"/>
      <c r="U527" s="25"/>
      <c r="V527" s="25"/>
      <c r="W527" s="25"/>
      <c r="X527" s="25"/>
      <c r="Y527" s="25"/>
    </row>
    <row r="528" spans="1:36" x14ac:dyDescent="0.2">
      <c r="I528" s="25"/>
      <c r="J528" s="25"/>
      <c r="K528" s="25"/>
      <c r="L528" s="25"/>
      <c r="N528" s="25"/>
      <c r="O528" s="25"/>
      <c r="P528" s="25"/>
      <c r="Q528" s="25"/>
      <c r="R528" s="25"/>
      <c r="S528" s="25"/>
      <c r="T528" s="25"/>
      <c r="U528" s="25"/>
      <c r="V528" s="25"/>
      <c r="W528" s="25"/>
      <c r="X528" s="25"/>
      <c r="Y528" s="25"/>
    </row>
    <row r="529" spans="9:25" x14ac:dyDescent="0.2">
      <c r="I529" s="25"/>
      <c r="J529" s="25"/>
      <c r="K529" s="25"/>
      <c r="L529" s="25"/>
      <c r="N529" s="25"/>
      <c r="O529" s="25"/>
      <c r="P529" s="25"/>
      <c r="Q529" s="25"/>
      <c r="R529" s="25"/>
      <c r="S529" s="25"/>
      <c r="T529" s="25"/>
      <c r="U529" s="25"/>
      <c r="V529" s="25"/>
      <c r="W529" s="25"/>
      <c r="X529" s="25"/>
      <c r="Y529" s="25"/>
    </row>
    <row r="530" spans="9:25" x14ac:dyDescent="0.2">
      <c r="I530" s="25"/>
      <c r="J530" s="25"/>
      <c r="K530" s="25"/>
      <c r="L530" s="25"/>
      <c r="N530" s="25"/>
      <c r="O530" s="25"/>
      <c r="P530" s="25"/>
      <c r="Q530" s="25"/>
      <c r="R530" s="25"/>
      <c r="S530" s="25"/>
      <c r="T530" s="25"/>
      <c r="U530" s="25"/>
      <c r="V530" s="25"/>
      <c r="W530" s="25"/>
      <c r="X530" s="25"/>
      <c r="Y530" s="25"/>
    </row>
    <row r="531" spans="9:25" x14ac:dyDescent="0.2">
      <c r="I531" s="25"/>
      <c r="J531" s="25"/>
      <c r="K531" s="25"/>
      <c r="L531" s="25"/>
      <c r="N531" s="25"/>
      <c r="O531" s="25"/>
      <c r="P531" s="25"/>
      <c r="Q531" s="25"/>
      <c r="R531" s="25"/>
      <c r="S531" s="25"/>
      <c r="T531" s="25"/>
      <c r="U531" s="25"/>
      <c r="V531" s="25"/>
      <c r="W531" s="25"/>
      <c r="X531" s="25"/>
      <c r="Y531" s="25"/>
    </row>
    <row r="532" spans="9:25" x14ac:dyDescent="0.2">
      <c r="I532" s="25"/>
      <c r="J532" s="25"/>
      <c r="K532" s="25"/>
      <c r="L532" s="25"/>
      <c r="N532" s="25"/>
      <c r="O532" s="25"/>
      <c r="P532" s="25"/>
      <c r="Q532" s="25"/>
      <c r="R532" s="25"/>
      <c r="S532" s="25"/>
      <c r="T532" s="25"/>
      <c r="U532" s="25"/>
      <c r="V532" s="25"/>
      <c r="W532" s="25"/>
      <c r="X532" s="25"/>
      <c r="Y532" s="25"/>
    </row>
    <row r="533" spans="9:25" x14ac:dyDescent="0.2">
      <c r="I533" s="25"/>
      <c r="J533" s="25"/>
      <c r="K533" s="25"/>
      <c r="L533" s="25"/>
      <c r="N533" s="25"/>
      <c r="O533" s="25"/>
      <c r="P533" s="25"/>
      <c r="Q533" s="25"/>
      <c r="R533" s="25"/>
      <c r="S533" s="25"/>
      <c r="T533" s="25"/>
      <c r="U533" s="25"/>
      <c r="V533" s="25"/>
      <c r="W533" s="25"/>
      <c r="X533" s="25"/>
      <c r="Y533" s="25"/>
    </row>
    <row r="534" spans="9:25" x14ac:dyDescent="0.2">
      <c r="I534" s="25"/>
      <c r="J534" s="25"/>
      <c r="K534" s="25"/>
      <c r="L534" s="25"/>
      <c r="N534" s="25"/>
      <c r="O534" s="25"/>
      <c r="P534" s="25"/>
      <c r="Q534" s="25"/>
      <c r="R534" s="25"/>
      <c r="S534" s="25"/>
      <c r="T534" s="25"/>
      <c r="U534" s="25"/>
      <c r="V534" s="25"/>
      <c r="W534" s="25"/>
      <c r="X534" s="25"/>
      <c r="Y534" s="25"/>
    </row>
    <row r="535" spans="9:25" x14ac:dyDescent="0.2">
      <c r="I535" s="25"/>
      <c r="J535" s="25"/>
      <c r="K535" s="25"/>
      <c r="L535" s="25"/>
      <c r="N535" s="25"/>
      <c r="O535" s="25"/>
      <c r="P535" s="25"/>
      <c r="Q535" s="25"/>
      <c r="R535" s="25"/>
      <c r="S535" s="25"/>
      <c r="T535" s="25"/>
      <c r="U535" s="25"/>
      <c r="V535" s="25"/>
      <c r="W535" s="25"/>
      <c r="X535" s="25"/>
      <c r="Y535" s="25"/>
    </row>
    <row r="536" spans="9:25" x14ac:dyDescent="0.2">
      <c r="I536" s="25"/>
      <c r="J536" s="25"/>
      <c r="K536" s="25"/>
      <c r="L536" s="25"/>
      <c r="N536" s="25"/>
      <c r="O536" s="25"/>
      <c r="P536" s="25"/>
      <c r="Q536" s="25"/>
      <c r="R536" s="25"/>
      <c r="S536" s="25"/>
      <c r="T536" s="25"/>
      <c r="U536" s="25"/>
      <c r="V536" s="25"/>
      <c r="W536" s="25"/>
      <c r="X536" s="25"/>
      <c r="Y536" s="25"/>
    </row>
    <row r="537" spans="9:25" x14ac:dyDescent="0.2">
      <c r="I537" s="25"/>
      <c r="J537" s="25"/>
      <c r="K537" s="25"/>
      <c r="L537" s="25"/>
      <c r="N537" s="25"/>
      <c r="O537" s="25"/>
      <c r="P537" s="25"/>
      <c r="Q537" s="25"/>
      <c r="R537" s="25"/>
      <c r="S537" s="25"/>
      <c r="T537" s="25"/>
      <c r="U537" s="25"/>
      <c r="V537" s="25"/>
      <c r="W537" s="25"/>
      <c r="X537" s="25"/>
      <c r="Y537" s="25"/>
    </row>
    <row r="538" spans="9:25" x14ac:dyDescent="0.2">
      <c r="I538" s="25"/>
      <c r="J538" s="25"/>
      <c r="K538" s="25"/>
      <c r="L538" s="25"/>
      <c r="N538" s="25"/>
      <c r="O538" s="25"/>
      <c r="P538" s="25"/>
      <c r="Q538" s="25"/>
      <c r="R538" s="25"/>
      <c r="S538" s="25"/>
      <c r="T538" s="25"/>
      <c r="U538" s="25"/>
      <c r="V538" s="25"/>
      <c r="W538" s="25"/>
      <c r="X538" s="25"/>
      <c r="Y538" s="25"/>
    </row>
    <row r="539" spans="9:25" x14ac:dyDescent="0.2">
      <c r="I539" s="25"/>
      <c r="J539" s="25"/>
      <c r="K539" s="25"/>
      <c r="L539" s="25"/>
      <c r="N539" s="25"/>
      <c r="O539" s="25"/>
      <c r="P539" s="25"/>
      <c r="Q539" s="25"/>
      <c r="R539" s="25"/>
      <c r="S539" s="25"/>
      <c r="T539" s="25"/>
      <c r="U539" s="25"/>
      <c r="V539" s="25"/>
      <c r="W539" s="25"/>
      <c r="X539" s="25"/>
      <c r="Y539" s="25"/>
    </row>
    <row r="540" spans="9:25" x14ac:dyDescent="0.2">
      <c r="I540" s="25"/>
      <c r="J540" s="25"/>
      <c r="K540" s="25"/>
      <c r="L540" s="25"/>
      <c r="N540" s="25"/>
      <c r="O540" s="25"/>
      <c r="P540" s="25"/>
      <c r="Q540" s="25"/>
      <c r="R540" s="25"/>
      <c r="S540" s="25"/>
      <c r="T540" s="25"/>
      <c r="U540" s="25"/>
      <c r="V540" s="25"/>
      <c r="W540" s="25"/>
      <c r="X540" s="25"/>
      <c r="Y540" s="25"/>
    </row>
    <row r="541" spans="9:25" x14ac:dyDescent="0.2">
      <c r="I541" s="25"/>
      <c r="J541" s="25"/>
      <c r="K541" s="25"/>
      <c r="L541" s="25"/>
      <c r="N541" s="25"/>
      <c r="O541" s="25"/>
      <c r="P541" s="25"/>
      <c r="Q541" s="25"/>
      <c r="R541" s="25"/>
      <c r="S541" s="25"/>
      <c r="T541" s="25"/>
      <c r="U541" s="25"/>
      <c r="V541" s="25"/>
      <c r="W541" s="25"/>
      <c r="X541" s="25"/>
      <c r="Y541" s="25"/>
    </row>
    <row r="542" spans="9:25" x14ac:dyDescent="0.2">
      <c r="I542" s="25"/>
      <c r="J542" s="25"/>
      <c r="K542" s="25"/>
      <c r="L542" s="25"/>
      <c r="N542" s="25"/>
      <c r="O542" s="25"/>
      <c r="P542" s="25"/>
      <c r="Q542" s="25"/>
      <c r="R542" s="25"/>
      <c r="S542" s="25"/>
      <c r="T542" s="25"/>
      <c r="U542" s="25"/>
      <c r="V542" s="25"/>
      <c r="W542" s="25"/>
      <c r="X542" s="25"/>
      <c r="Y542" s="25"/>
    </row>
    <row r="543" spans="9:25" x14ac:dyDescent="0.2">
      <c r="I543" s="25"/>
      <c r="J543" s="25"/>
      <c r="K543" s="25"/>
      <c r="L543" s="25"/>
      <c r="N543" s="25"/>
      <c r="O543" s="25"/>
      <c r="P543" s="25"/>
      <c r="Q543" s="25"/>
      <c r="R543" s="25"/>
      <c r="S543" s="25"/>
      <c r="T543" s="25"/>
      <c r="U543" s="25"/>
      <c r="V543" s="25"/>
      <c r="W543" s="25"/>
      <c r="X543" s="25"/>
      <c r="Y543" s="25"/>
    </row>
    <row r="544" spans="9:25" x14ac:dyDescent="0.2">
      <c r="I544" s="25"/>
      <c r="J544" s="25"/>
      <c r="K544" s="25"/>
      <c r="L544" s="25"/>
      <c r="N544" s="25"/>
      <c r="O544" s="25"/>
      <c r="P544" s="25"/>
      <c r="Q544" s="25"/>
      <c r="R544" s="25"/>
      <c r="S544" s="25"/>
      <c r="T544" s="25"/>
      <c r="U544" s="25"/>
      <c r="V544" s="25"/>
      <c r="W544" s="25"/>
      <c r="X544" s="25"/>
      <c r="Y544" s="25"/>
    </row>
    <row r="545" spans="9:25" x14ac:dyDescent="0.2">
      <c r="I545" s="25"/>
      <c r="J545" s="25"/>
      <c r="K545" s="25"/>
      <c r="L545" s="25"/>
      <c r="N545" s="25"/>
      <c r="O545" s="25"/>
      <c r="P545" s="25"/>
      <c r="Q545" s="25"/>
      <c r="R545" s="25"/>
      <c r="S545" s="25"/>
      <c r="T545" s="25"/>
      <c r="U545" s="25"/>
      <c r="V545" s="25"/>
      <c r="W545" s="25"/>
      <c r="X545" s="25"/>
      <c r="Y545" s="25"/>
    </row>
    <row r="546" spans="9:25" x14ac:dyDescent="0.2">
      <c r="I546" s="25"/>
      <c r="J546" s="25"/>
      <c r="K546" s="25"/>
      <c r="L546" s="25"/>
      <c r="N546" s="25"/>
      <c r="O546" s="25"/>
      <c r="P546" s="25"/>
      <c r="Q546" s="25"/>
      <c r="R546" s="25"/>
      <c r="S546" s="25"/>
      <c r="T546" s="25"/>
      <c r="U546" s="25"/>
      <c r="V546" s="25"/>
      <c r="W546" s="25"/>
      <c r="X546" s="25"/>
      <c r="Y546" s="25"/>
    </row>
    <row r="547" spans="9:25" x14ac:dyDescent="0.2">
      <c r="I547" s="25"/>
      <c r="J547" s="25"/>
      <c r="K547" s="25"/>
      <c r="L547" s="25"/>
      <c r="N547" s="25"/>
      <c r="O547" s="25"/>
      <c r="P547" s="25"/>
      <c r="Q547" s="25"/>
      <c r="R547" s="25"/>
      <c r="S547" s="25"/>
      <c r="T547" s="25"/>
      <c r="U547" s="25"/>
      <c r="V547" s="25"/>
      <c r="W547" s="25"/>
      <c r="X547" s="25"/>
      <c r="Y547" s="25"/>
    </row>
    <row r="548" spans="9:25" x14ac:dyDescent="0.2">
      <c r="I548" s="25"/>
      <c r="J548" s="25"/>
      <c r="K548" s="25"/>
      <c r="L548" s="25"/>
      <c r="N548" s="25"/>
      <c r="O548" s="25"/>
      <c r="P548" s="25"/>
      <c r="Q548" s="25"/>
      <c r="R548" s="25"/>
      <c r="S548" s="25"/>
      <c r="T548" s="25"/>
      <c r="U548" s="25"/>
      <c r="V548" s="25"/>
      <c r="W548" s="25"/>
      <c r="X548" s="25"/>
      <c r="Y548" s="25"/>
    </row>
    <row r="549" spans="9:25" x14ac:dyDescent="0.2">
      <c r="I549" s="25"/>
      <c r="J549" s="25"/>
      <c r="K549" s="25"/>
      <c r="L549" s="25"/>
      <c r="N549" s="25"/>
      <c r="O549" s="25"/>
      <c r="P549" s="25"/>
      <c r="Q549" s="25"/>
      <c r="R549" s="25"/>
      <c r="S549" s="25"/>
      <c r="T549" s="25"/>
      <c r="U549" s="25"/>
      <c r="V549" s="25"/>
      <c r="W549" s="25"/>
      <c r="X549" s="25"/>
      <c r="Y549" s="25"/>
    </row>
    <row r="550" spans="9:25" x14ac:dyDescent="0.2">
      <c r="I550" s="25"/>
      <c r="J550" s="25"/>
      <c r="K550" s="25"/>
      <c r="L550" s="25"/>
      <c r="N550" s="25"/>
      <c r="O550" s="25"/>
      <c r="P550" s="25"/>
      <c r="Q550" s="25"/>
      <c r="R550" s="25"/>
      <c r="S550" s="25"/>
      <c r="T550" s="25"/>
      <c r="U550" s="25"/>
      <c r="V550" s="25"/>
      <c r="W550" s="25"/>
      <c r="X550" s="25"/>
      <c r="Y550" s="25"/>
    </row>
    <row r="551" spans="9:25" x14ac:dyDescent="0.2">
      <c r="I551" s="25"/>
      <c r="J551" s="25"/>
      <c r="K551" s="25"/>
      <c r="L551" s="25"/>
      <c r="N551" s="25"/>
      <c r="O551" s="25"/>
      <c r="P551" s="25"/>
      <c r="Q551" s="25"/>
      <c r="R551" s="25"/>
      <c r="S551" s="25"/>
      <c r="T551" s="25"/>
      <c r="U551" s="25"/>
      <c r="V551" s="25"/>
      <c r="W551" s="25"/>
      <c r="X551" s="25"/>
      <c r="Y551" s="25"/>
    </row>
    <row r="552" spans="9:25" x14ac:dyDescent="0.2">
      <c r="I552" s="25"/>
      <c r="J552" s="25"/>
      <c r="K552" s="25"/>
      <c r="L552" s="25"/>
      <c r="N552" s="25"/>
      <c r="O552" s="25"/>
      <c r="P552" s="25"/>
      <c r="Q552" s="25"/>
      <c r="R552" s="25"/>
      <c r="S552" s="25"/>
      <c r="T552" s="25"/>
      <c r="U552" s="25"/>
      <c r="V552" s="25"/>
      <c r="W552" s="25"/>
      <c r="X552" s="25"/>
      <c r="Y552" s="25"/>
    </row>
    <row r="553" spans="9:25" x14ac:dyDescent="0.2">
      <c r="I553" s="25"/>
      <c r="J553" s="25"/>
      <c r="K553" s="25"/>
      <c r="L553" s="25"/>
      <c r="N553" s="25"/>
      <c r="O553" s="25"/>
      <c r="P553" s="25"/>
      <c r="Q553" s="25"/>
      <c r="R553" s="25"/>
      <c r="S553" s="25"/>
      <c r="T553" s="25"/>
      <c r="U553" s="25"/>
      <c r="V553" s="25"/>
      <c r="W553" s="25"/>
      <c r="X553" s="25"/>
      <c r="Y553" s="25"/>
    </row>
    <row r="554" spans="9:25" x14ac:dyDescent="0.2">
      <c r="I554" s="25"/>
      <c r="J554" s="25"/>
      <c r="K554" s="25"/>
      <c r="L554" s="25"/>
      <c r="N554" s="25"/>
      <c r="O554" s="25"/>
      <c r="P554" s="25"/>
      <c r="Q554" s="25"/>
      <c r="R554" s="25"/>
      <c r="S554" s="25"/>
      <c r="T554" s="25"/>
      <c r="U554" s="25"/>
      <c r="V554" s="25"/>
      <c r="W554" s="25"/>
      <c r="X554" s="25"/>
      <c r="Y554" s="25"/>
    </row>
    <row r="555" spans="9:25" x14ac:dyDescent="0.2">
      <c r="I555" s="25"/>
      <c r="J555" s="25"/>
      <c r="K555" s="25"/>
      <c r="L555" s="25"/>
      <c r="N555" s="25"/>
      <c r="O555" s="25"/>
      <c r="P555" s="25"/>
      <c r="Q555" s="25"/>
      <c r="R555" s="25"/>
      <c r="S555" s="25"/>
      <c r="T555" s="25"/>
      <c r="U555" s="25"/>
      <c r="V555" s="25"/>
      <c r="W555" s="25"/>
      <c r="X555" s="25"/>
      <c r="Y555" s="25"/>
    </row>
    <row r="556" spans="9:25" x14ac:dyDescent="0.2">
      <c r="I556" s="25"/>
      <c r="J556" s="25"/>
      <c r="K556" s="25"/>
      <c r="L556" s="25"/>
      <c r="N556" s="25"/>
      <c r="O556" s="25"/>
      <c r="P556" s="25"/>
      <c r="Q556" s="25"/>
      <c r="R556" s="25"/>
      <c r="S556" s="25"/>
      <c r="T556" s="25"/>
      <c r="U556" s="25"/>
      <c r="V556" s="25"/>
      <c r="W556" s="25"/>
      <c r="X556" s="25"/>
      <c r="Y556" s="25"/>
    </row>
    <row r="557" spans="9:25" x14ac:dyDescent="0.2">
      <c r="I557" s="25"/>
      <c r="J557" s="25"/>
      <c r="K557" s="25"/>
      <c r="L557" s="25"/>
      <c r="N557" s="25"/>
      <c r="O557" s="25"/>
      <c r="P557" s="25"/>
      <c r="Q557" s="25"/>
      <c r="R557" s="25"/>
      <c r="S557" s="25"/>
      <c r="T557" s="25"/>
      <c r="U557" s="25"/>
      <c r="V557" s="25"/>
      <c r="W557" s="25"/>
      <c r="X557" s="25"/>
      <c r="Y557" s="25"/>
    </row>
    <row r="558" spans="9:25" x14ac:dyDescent="0.2">
      <c r="I558" s="25"/>
      <c r="J558" s="25"/>
      <c r="K558" s="25"/>
      <c r="L558" s="25"/>
      <c r="N558" s="25"/>
      <c r="O558" s="25"/>
      <c r="P558" s="25"/>
      <c r="Q558" s="25"/>
      <c r="R558" s="25"/>
      <c r="S558" s="25"/>
      <c r="T558" s="25"/>
      <c r="U558" s="25"/>
      <c r="V558" s="25"/>
      <c r="W558" s="25"/>
      <c r="X558" s="25"/>
      <c r="Y558" s="25"/>
    </row>
    <row r="559" spans="9:25" x14ac:dyDescent="0.2">
      <c r="I559" s="25"/>
      <c r="J559" s="25"/>
      <c r="K559" s="25"/>
      <c r="L559" s="25"/>
      <c r="N559" s="25"/>
      <c r="O559" s="25"/>
      <c r="P559" s="25"/>
      <c r="Q559" s="25"/>
      <c r="R559" s="25"/>
      <c r="S559" s="25"/>
      <c r="T559" s="25"/>
      <c r="U559" s="25"/>
      <c r="V559" s="25"/>
      <c r="W559" s="25"/>
      <c r="X559" s="25"/>
      <c r="Y559" s="25"/>
    </row>
    <row r="560" spans="9:25" x14ac:dyDescent="0.2">
      <c r="I560" s="25"/>
      <c r="J560" s="25"/>
      <c r="K560" s="25"/>
      <c r="L560" s="25"/>
      <c r="N560" s="25"/>
      <c r="O560" s="25"/>
      <c r="P560" s="25"/>
      <c r="Q560" s="25"/>
      <c r="R560" s="25"/>
      <c r="S560" s="25"/>
      <c r="T560" s="25"/>
      <c r="U560" s="25"/>
      <c r="V560" s="25"/>
      <c r="W560" s="25"/>
      <c r="X560" s="25"/>
      <c r="Y560" s="25"/>
    </row>
    <row r="561" spans="9:25" x14ac:dyDescent="0.2">
      <c r="I561" s="25"/>
      <c r="J561" s="25"/>
      <c r="K561" s="25"/>
      <c r="L561" s="25"/>
      <c r="N561" s="25"/>
      <c r="O561" s="25"/>
      <c r="P561" s="25"/>
      <c r="Q561" s="25"/>
      <c r="R561" s="25"/>
      <c r="S561" s="25"/>
      <c r="T561" s="25"/>
      <c r="U561" s="25"/>
      <c r="V561" s="25"/>
      <c r="W561" s="25"/>
      <c r="X561" s="25"/>
      <c r="Y561" s="25"/>
    </row>
    <row r="562" spans="9:25" x14ac:dyDescent="0.2">
      <c r="I562" s="25"/>
      <c r="J562" s="25"/>
      <c r="K562" s="25"/>
      <c r="L562" s="25"/>
      <c r="N562" s="25"/>
      <c r="O562" s="25"/>
      <c r="P562" s="25"/>
      <c r="Q562" s="25"/>
      <c r="R562" s="25"/>
      <c r="S562" s="25"/>
      <c r="T562" s="25"/>
      <c r="U562" s="25"/>
      <c r="V562" s="25"/>
      <c r="W562" s="25"/>
      <c r="X562" s="25"/>
      <c r="Y562" s="25"/>
    </row>
    <row r="563" spans="9:25" x14ac:dyDescent="0.2">
      <c r="I563" s="25"/>
      <c r="J563" s="25"/>
      <c r="K563" s="25"/>
      <c r="L563" s="25"/>
      <c r="N563" s="25"/>
      <c r="O563" s="25"/>
      <c r="P563" s="25"/>
      <c r="Q563" s="25"/>
      <c r="R563" s="25"/>
      <c r="S563" s="25"/>
      <c r="T563" s="25"/>
      <c r="U563" s="25"/>
      <c r="V563" s="25"/>
      <c r="W563" s="25"/>
      <c r="X563" s="25"/>
      <c r="Y563" s="25"/>
    </row>
    <row r="564" spans="9:25" x14ac:dyDescent="0.2">
      <c r="I564" s="25"/>
      <c r="J564" s="25"/>
      <c r="K564" s="25"/>
      <c r="L564" s="25"/>
      <c r="N564" s="25"/>
      <c r="O564" s="25"/>
      <c r="P564" s="25"/>
      <c r="Q564" s="25"/>
      <c r="R564" s="25"/>
      <c r="S564" s="25"/>
      <c r="T564" s="25"/>
      <c r="U564" s="25"/>
      <c r="V564" s="25"/>
      <c r="W564" s="25"/>
      <c r="X564" s="25"/>
      <c r="Y564" s="25"/>
    </row>
    <row r="565" spans="9:25" x14ac:dyDescent="0.2">
      <c r="I565" s="25"/>
      <c r="J565" s="25"/>
      <c r="K565" s="25"/>
      <c r="L565" s="25"/>
      <c r="N565" s="25"/>
      <c r="O565" s="25"/>
      <c r="P565" s="25"/>
      <c r="Q565" s="25"/>
      <c r="R565" s="25"/>
      <c r="S565" s="25"/>
      <c r="T565" s="25"/>
      <c r="U565" s="25"/>
      <c r="V565" s="25"/>
      <c r="W565" s="25"/>
      <c r="X565" s="25"/>
      <c r="Y565" s="25"/>
    </row>
    <row r="566" spans="9:25" x14ac:dyDescent="0.2">
      <c r="I566" s="25"/>
      <c r="J566" s="25"/>
      <c r="K566" s="25"/>
      <c r="L566" s="25"/>
      <c r="N566" s="25"/>
      <c r="O566" s="25"/>
      <c r="P566" s="25"/>
      <c r="Q566" s="25"/>
      <c r="R566" s="25"/>
      <c r="S566" s="25"/>
      <c r="T566" s="25"/>
      <c r="U566" s="25"/>
      <c r="V566" s="25"/>
      <c r="W566" s="25"/>
      <c r="X566" s="25"/>
      <c r="Y566" s="25"/>
    </row>
    <row r="567" spans="9:25" x14ac:dyDescent="0.2">
      <c r="I567" s="25"/>
      <c r="J567" s="25"/>
      <c r="K567" s="25"/>
      <c r="L567" s="25"/>
      <c r="N567" s="25"/>
      <c r="O567" s="25"/>
      <c r="P567" s="25"/>
      <c r="Q567" s="25"/>
      <c r="R567" s="25"/>
      <c r="S567" s="25"/>
      <c r="T567" s="25"/>
      <c r="U567" s="25"/>
      <c r="V567" s="25"/>
      <c r="W567" s="25"/>
      <c r="X567" s="25"/>
      <c r="Y567" s="25"/>
    </row>
    <row r="568" spans="9:25" x14ac:dyDescent="0.2">
      <c r="I568" s="25"/>
      <c r="J568" s="25"/>
      <c r="K568" s="25"/>
      <c r="L568" s="25"/>
      <c r="N568" s="25"/>
      <c r="O568" s="25"/>
      <c r="P568" s="25"/>
      <c r="Q568" s="25"/>
      <c r="R568" s="25"/>
      <c r="S568" s="25"/>
      <c r="T568" s="25"/>
      <c r="U568" s="25"/>
      <c r="V568" s="25"/>
      <c r="W568" s="25"/>
      <c r="X568" s="25"/>
      <c r="Y568" s="25"/>
    </row>
    <row r="569" spans="9:25" x14ac:dyDescent="0.2">
      <c r="I569" s="25"/>
      <c r="J569" s="25"/>
      <c r="K569" s="25"/>
      <c r="L569" s="25"/>
      <c r="N569" s="25"/>
      <c r="O569" s="25"/>
      <c r="P569" s="25"/>
      <c r="Q569" s="25"/>
      <c r="R569" s="25"/>
      <c r="S569" s="25"/>
      <c r="T569" s="25"/>
      <c r="U569" s="25"/>
      <c r="V569" s="25"/>
      <c r="W569" s="25"/>
      <c r="X569" s="25"/>
      <c r="Y569" s="25"/>
    </row>
    <row r="570" spans="9:25" x14ac:dyDescent="0.2">
      <c r="I570" s="25"/>
      <c r="J570" s="25"/>
      <c r="K570" s="25"/>
      <c r="L570" s="25"/>
      <c r="N570" s="25"/>
      <c r="O570" s="25"/>
      <c r="P570" s="25"/>
      <c r="Q570" s="25"/>
      <c r="R570" s="25"/>
      <c r="S570" s="25"/>
      <c r="T570" s="25"/>
      <c r="U570" s="25"/>
      <c r="V570" s="25"/>
      <c r="W570" s="25"/>
      <c r="X570" s="25"/>
      <c r="Y570" s="25"/>
    </row>
    <row r="571" spans="9:25" x14ac:dyDescent="0.2">
      <c r="I571" s="25"/>
      <c r="J571" s="25"/>
      <c r="K571" s="25"/>
      <c r="L571" s="25"/>
      <c r="N571" s="25"/>
      <c r="O571" s="25"/>
      <c r="P571" s="25"/>
      <c r="Q571" s="25"/>
      <c r="R571" s="25"/>
      <c r="S571" s="25"/>
      <c r="T571" s="25"/>
      <c r="U571" s="25"/>
      <c r="V571" s="25"/>
      <c r="W571" s="25"/>
      <c r="X571" s="25"/>
      <c r="Y571" s="25"/>
    </row>
    <row r="572" spans="9:25" x14ac:dyDescent="0.2">
      <c r="I572" s="25"/>
      <c r="J572" s="25"/>
      <c r="K572" s="25"/>
      <c r="L572" s="25"/>
      <c r="N572" s="25"/>
      <c r="O572" s="25"/>
      <c r="P572" s="25"/>
      <c r="Q572" s="25"/>
      <c r="R572" s="25"/>
      <c r="S572" s="25"/>
      <c r="T572" s="25"/>
      <c r="U572" s="25"/>
      <c r="V572" s="25"/>
      <c r="W572" s="25"/>
      <c r="X572" s="25"/>
      <c r="Y572" s="25"/>
    </row>
    <row r="573" spans="9:25" x14ac:dyDescent="0.2">
      <c r="I573" s="25"/>
      <c r="J573" s="25"/>
      <c r="K573" s="25"/>
      <c r="L573" s="25"/>
      <c r="N573" s="25"/>
      <c r="O573" s="25"/>
      <c r="P573" s="25"/>
      <c r="Q573" s="25"/>
      <c r="R573" s="25"/>
      <c r="S573" s="25"/>
      <c r="T573" s="25"/>
      <c r="U573" s="25"/>
      <c r="V573" s="25"/>
      <c r="W573" s="25"/>
      <c r="X573" s="25"/>
      <c r="Y573" s="25"/>
    </row>
    <row r="574" spans="9:25" x14ac:dyDescent="0.2">
      <c r="I574" s="25"/>
      <c r="J574" s="25"/>
      <c r="K574" s="25"/>
      <c r="L574" s="25"/>
      <c r="N574" s="25"/>
      <c r="O574" s="25"/>
      <c r="P574" s="25"/>
      <c r="Q574" s="25"/>
      <c r="R574" s="25"/>
      <c r="S574" s="25"/>
      <c r="T574" s="25"/>
      <c r="U574" s="25"/>
      <c r="V574" s="25"/>
      <c r="W574" s="25"/>
      <c r="X574" s="25"/>
      <c r="Y574" s="25"/>
    </row>
    <row r="575" spans="9:25" x14ac:dyDescent="0.2">
      <c r="I575" s="25"/>
      <c r="J575" s="25"/>
      <c r="K575" s="25"/>
      <c r="L575" s="25"/>
      <c r="N575" s="25"/>
      <c r="O575" s="25"/>
      <c r="P575" s="25"/>
      <c r="Q575" s="25"/>
      <c r="R575" s="25"/>
      <c r="S575" s="25"/>
      <c r="T575" s="25"/>
      <c r="U575" s="25"/>
      <c r="V575" s="25"/>
      <c r="W575" s="25"/>
      <c r="X575" s="25"/>
      <c r="Y575" s="25"/>
    </row>
    <row r="576" spans="9:25" x14ac:dyDescent="0.2">
      <c r="I576" s="25"/>
      <c r="J576" s="25"/>
      <c r="K576" s="25"/>
      <c r="L576" s="25"/>
      <c r="N576" s="25"/>
      <c r="O576" s="25"/>
      <c r="P576" s="25"/>
      <c r="Q576" s="25"/>
      <c r="R576" s="25"/>
      <c r="S576" s="25"/>
      <c r="T576" s="25"/>
      <c r="U576" s="25"/>
      <c r="V576" s="25"/>
      <c r="W576" s="25"/>
      <c r="X576" s="25"/>
      <c r="Y576" s="25"/>
    </row>
    <row r="577" spans="9:25" x14ac:dyDescent="0.2">
      <c r="I577" s="25"/>
      <c r="J577" s="25"/>
      <c r="K577" s="25"/>
      <c r="L577" s="25"/>
      <c r="N577" s="25"/>
      <c r="O577" s="25"/>
      <c r="P577" s="25"/>
      <c r="Q577" s="25"/>
      <c r="R577" s="25"/>
      <c r="S577" s="25"/>
      <c r="T577" s="25"/>
      <c r="U577" s="25"/>
      <c r="V577" s="25"/>
      <c r="W577" s="25"/>
      <c r="X577" s="25"/>
      <c r="Y577" s="25"/>
    </row>
    <row r="578" spans="9:25" x14ac:dyDescent="0.2">
      <c r="I578" s="25"/>
      <c r="J578" s="25"/>
      <c r="K578" s="25"/>
      <c r="L578" s="25"/>
      <c r="N578" s="25"/>
      <c r="O578" s="25"/>
      <c r="P578" s="25"/>
      <c r="Q578" s="25"/>
      <c r="R578" s="25"/>
      <c r="S578" s="25"/>
      <c r="T578" s="25"/>
      <c r="U578" s="25"/>
      <c r="V578" s="25"/>
      <c r="W578" s="25"/>
      <c r="X578" s="25"/>
      <c r="Y578" s="25"/>
    </row>
    <row r="579" spans="9:25" x14ac:dyDescent="0.2">
      <c r="I579" s="25"/>
      <c r="J579" s="25"/>
      <c r="K579" s="25"/>
      <c r="L579" s="25"/>
      <c r="N579" s="25"/>
      <c r="O579" s="25"/>
      <c r="P579" s="25"/>
      <c r="Q579" s="25"/>
      <c r="R579" s="25"/>
      <c r="S579" s="25"/>
      <c r="T579" s="25"/>
      <c r="U579" s="25"/>
      <c r="V579" s="25"/>
      <c r="W579" s="25"/>
      <c r="X579" s="25"/>
      <c r="Y579" s="25"/>
    </row>
    <row r="580" spans="9:25" x14ac:dyDescent="0.2">
      <c r="I580" s="25"/>
      <c r="J580" s="25"/>
      <c r="K580" s="25"/>
      <c r="L580" s="25"/>
      <c r="N580" s="25"/>
      <c r="O580" s="25"/>
      <c r="P580" s="25"/>
      <c r="Q580" s="25"/>
      <c r="R580" s="25"/>
      <c r="S580" s="25"/>
      <c r="T580" s="25"/>
      <c r="U580" s="25"/>
      <c r="V580" s="25"/>
      <c r="W580" s="25"/>
      <c r="X580" s="25"/>
      <c r="Y580" s="25"/>
    </row>
    <row r="581" spans="9:25" x14ac:dyDescent="0.2">
      <c r="I581" s="25"/>
      <c r="J581" s="25"/>
      <c r="K581" s="25"/>
      <c r="L581" s="25"/>
      <c r="N581" s="25"/>
      <c r="O581" s="25"/>
      <c r="P581" s="25"/>
      <c r="Q581" s="25"/>
      <c r="R581" s="25"/>
      <c r="S581" s="25"/>
      <c r="T581" s="25"/>
      <c r="U581" s="25"/>
      <c r="V581" s="25"/>
      <c r="W581" s="25"/>
      <c r="X581" s="25"/>
      <c r="Y581" s="25"/>
    </row>
    <row r="582" spans="9:25" x14ac:dyDescent="0.2">
      <c r="I582" s="25"/>
      <c r="J582" s="25"/>
      <c r="K582" s="25"/>
      <c r="L582" s="25"/>
      <c r="N582" s="25"/>
      <c r="O582" s="25"/>
      <c r="P582" s="25"/>
      <c r="Q582" s="25"/>
      <c r="R582" s="25"/>
      <c r="S582" s="25"/>
      <c r="T582" s="25"/>
      <c r="U582" s="25"/>
      <c r="V582" s="25"/>
      <c r="W582" s="25"/>
      <c r="X582" s="25"/>
      <c r="Y582" s="25"/>
    </row>
    <row r="583" spans="9:25" x14ac:dyDescent="0.2">
      <c r="I583" s="25"/>
      <c r="J583" s="25"/>
      <c r="K583" s="25"/>
      <c r="L583" s="25"/>
      <c r="N583" s="25"/>
      <c r="O583" s="25"/>
      <c r="P583" s="25"/>
      <c r="Q583" s="25"/>
      <c r="R583" s="25"/>
      <c r="S583" s="25"/>
      <c r="T583" s="25"/>
      <c r="U583" s="25"/>
      <c r="V583" s="25"/>
      <c r="W583" s="25"/>
      <c r="X583" s="25"/>
      <c r="Y583" s="25"/>
    </row>
    <row r="584" spans="9:25" x14ac:dyDescent="0.2">
      <c r="I584" s="25"/>
      <c r="J584" s="25"/>
      <c r="K584" s="25"/>
      <c r="L584" s="25"/>
      <c r="N584" s="25"/>
      <c r="O584" s="25"/>
      <c r="P584" s="25"/>
      <c r="Q584" s="25"/>
      <c r="R584" s="25"/>
      <c r="S584" s="25"/>
      <c r="T584" s="25"/>
      <c r="U584" s="25"/>
      <c r="V584" s="25"/>
      <c r="W584" s="25"/>
      <c r="X584" s="25"/>
      <c r="Y584" s="25"/>
    </row>
    <row r="585" spans="9:25" x14ac:dyDescent="0.2">
      <c r="I585" s="25"/>
      <c r="J585" s="25"/>
      <c r="K585" s="25"/>
      <c r="L585" s="25"/>
      <c r="N585" s="25"/>
      <c r="O585" s="25"/>
      <c r="P585" s="25"/>
      <c r="Q585" s="25"/>
      <c r="R585" s="25"/>
      <c r="S585" s="25"/>
      <c r="T585" s="25"/>
      <c r="U585" s="25"/>
      <c r="V585" s="25"/>
      <c r="W585" s="25"/>
      <c r="X585" s="25"/>
      <c r="Y585" s="25"/>
    </row>
    <row r="586" spans="9:25" x14ac:dyDescent="0.2">
      <c r="I586" s="25"/>
      <c r="J586" s="25"/>
      <c r="K586" s="25"/>
      <c r="L586" s="25"/>
      <c r="N586" s="25"/>
      <c r="O586" s="25"/>
      <c r="P586" s="25"/>
      <c r="Q586" s="25"/>
      <c r="R586" s="25"/>
      <c r="S586" s="25"/>
      <c r="T586" s="25"/>
      <c r="U586" s="25"/>
      <c r="V586" s="25"/>
      <c r="W586" s="25"/>
      <c r="X586" s="25"/>
      <c r="Y586" s="25"/>
    </row>
    <row r="587" spans="9:25" x14ac:dyDescent="0.2">
      <c r="I587" s="25"/>
      <c r="J587" s="25"/>
      <c r="K587" s="25"/>
      <c r="L587" s="25"/>
      <c r="N587" s="25"/>
      <c r="O587" s="25"/>
      <c r="P587" s="25"/>
      <c r="Q587" s="25"/>
      <c r="R587" s="25"/>
      <c r="S587" s="25"/>
      <c r="T587" s="25"/>
      <c r="U587" s="25"/>
      <c r="V587" s="25"/>
      <c r="W587" s="25"/>
      <c r="X587" s="25"/>
      <c r="Y587" s="25"/>
    </row>
    <row r="588" spans="9:25" x14ac:dyDescent="0.2">
      <c r="I588" s="25"/>
      <c r="J588" s="25"/>
      <c r="K588" s="25"/>
      <c r="L588" s="25"/>
      <c r="N588" s="25"/>
      <c r="O588" s="25"/>
      <c r="P588" s="25"/>
      <c r="Q588" s="25"/>
      <c r="R588" s="25"/>
      <c r="S588" s="25"/>
      <c r="T588" s="25"/>
      <c r="U588" s="25"/>
      <c r="V588" s="25"/>
      <c r="W588" s="25"/>
      <c r="X588" s="25"/>
      <c r="Y588" s="25"/>
    </row>
    <row r="589" spans="9:25" x14ac:dyDescent="0.2">
      <c r="I589" s="25"/>
      <c r="J589" s="25"/>
      <c r="K589" s="25"/>
      <c r="L589" s="25"/>
      <c r="N589" s="25"/>
      <c r="O589" s="25"/>
      <c r="P589" s="25"/>
      <c r="Q589" s="25"/>
      <c r="R589" s="25"/>
      <c r="S589" s="25"/>
      <c r="T589" s="25"/>
      <c r="U589" s="25"/>
      <c r="V589" s="25"/>
      <c r="W589" s="25"/>
      <c r="X589" s="25"/>
      <c r="Y589" s="25"/>
    </row>
    <row r="590" spans="9:25" x14ac:dyDescent="0.2">
      <c r="I590" s="25"/>
      <c r="J590" s="25"/>
      <c r="K590" s="25"/>
      <c r="L590" s="25"/>
      <c r="N590" s="25"/>
      <c r="O590" s="25"/>
      <c r="P590" s="25"/>
      <c r="Q590" s="25"/>
      <c r="R590" s="25"/>
      <c r="S590" s="25"/>
      <c r="T590" s="25"/>
      <c r="U590" s="25"/>
      <c r="V590" s="25"/>
      <c r="W590" s="25"/>
      <c r="X590" s="25"/>
      <c r="Y590" s="25"/>
    </row>
    <row r="591" spans="9:25" x14ac:dyDescent="0.2">
      <c r="I591" s="25"/>
      <c r="J591" s="25"/>
      <c r="K591" s="25"/>
      <c r="L591" s="25"/>
      <c r="N591" s="25"/>
      <c r="O591" s="25"/>
      <c r="P591" s="25"/>
      <c r="Q591" s="25"/>
      <c r="R591" s="25"/>
      <c r="S591" s="25"/>
      <c r="T591" s="25"/>
      <c r="U591" s="25"/>
      <c r="V591" s="25"/>
      <c r="W591" s="25"/>
      <c r="X591" s="25"/>
      <c r="Y591" s="25"/>
    </row>
    <row r="592" spans="9:25" x14ac:dyDescent="0.2">
      <c r="I592" s="25"/>
      <c r="J592" s="25"/>
      <c r="K592" s="25"/>
      <c r="L592" s="25"/>
      <c r="N592" s="25"/>
      <c r="O592" s="25"/>
      <c r="P592" s="25"/>
      <c r="Q592" s="25"/>
      <c r="R592" s="25"/>
      <c r="S592" s="25"/>
      <c r="T592" s="25"/>
      <c r="U592" s="25"/>
      <c r="V592" s="25"/>
      <c r="W592" s="25"/>
      <c r="X592" s="25"/>
      <c r="Y592" s="25"/>
    </row>
    <row r="593" spans="9:25" x14ac:dyDescent="0.2">
      <c r="I593" s="25"/>
      <c r="J593" s="25"/>
      <c r="K593" s="25"/>
      <c r="L593" s="25"/>
      <c r="N593" s="25"/>
      <c r="O593" s="25"/>
      <c r="P593" s="25"/>
      <c r="Q593" s="25"/>
      <c r="R593" s="25"/>
      <c r="S593" s="25"/>
      <c r="T593" s="25"/>
      <c r="U593" s="25"/>
      <c r="V593" s="25"/>
      <c r="W593" s="25"/>
      <c r="X593" s="25"/>
      <c r="Y593" s="25"/>
    </row>
    <row r="594" spans="9:25" x14ac:dyDescent="0.2">
      <c r="I594" s="25"/>
      <c r="J594" s="25"/>
      <c r="K594" s="25"/>
      <c r="L594" s="25"/>
      <c r="N594" s="25"/>
      <c r="O594" s="25"/>
      <c r="P594" s="25"/>
      <c r="Q594" s="25"/>
      <c r="R594" s="25"/>
      <c r="S594" s="25"/>
      <c r="T594" s="25"/>
      <c r="U594" s="25"/>
      <c r="V594" s="25"/>
      <c r="W594" s="25"/>
      <c r="X594" s="25"/>
      <c r="Y594" s="25"/>
    </row>
    <row r="595" spans="9:25" x14ac:dyDescent="0.2">
      <c r="I595" s="25"/>
      <c r="J595" s="25"/>
      <c r="K595" s="25"/>
      <c r="L595" s="25"/>
      <c r="N595" s="25"/>
      <c r="O595" s="25"/>
      <c r="P595" s="25"/>
      <c r="Q595" s="25"/>
      <c r="R595" s="25"/>
      <c r="S595" s="25"/>
      <c r="T595" s="25"/>
      <c r="U595" s="25"/>
      <c r="V595" s="25"/>
      <c r="W595" s="25"/>
      <c r="X595" s="25"/>
      <c r="Y595" s="25"/>
    </row>
    <row r="596" spans="9:25" x14ac:dyDescent="0.2">
      <c r="I596" s="25"/>
      <c r="J596" s="25"/>
      <c r="K596" s="25"/>
      <c r="L596" s="25"/>
      <c r="N596" s="25"/>
      <c r="O596" s="25"/>
      <c r="P596" s="25"/>
      <c r="Q596" s="25"/>
      <c r="R596" s="25"/>
      <c r="S596" s="25"/>
      <c r="T596" s="25"/>
      <c r="U596" s="25"/>
      <c r="V596" s="25"/>
      <c r="W596" s="25"/>
      <c r="X596" s="25"/>
      <c r="Y596" s="25"/>
    </row>
    <row r="597" spans="9:25" x14ac:dyDescent="0.2">
      <c r="I597" s="25"/>
      <c r="J597" s="25"/>
      <c r="K597" s="25"/>
      <c r="L597" s="25"/>
      <c r="N597" s="25"/>
      <c r="O597" s="25"/>
      <c r="P597" s="25"/>
      <c r="Q597" s="25"/>
      <c r="R597" s="25"/>
      <c r="S597" s="25"/>
      <c r="T597" s="25"/>
      <c r="U597" s="25"/>
      <c r="V597" s="25"/>
      <c r="W597" s="25"/>
      <c r="X597" s="25"/>
      <c r="Y597" s="25"/>
    </row>
    <row r="598" spans="9:25" x14ac:dyDescent="0.2">
      <c r="I598" s="25"/>
      <c r="J598" s="25"/>
      <c r="K598" s="25"/>
      <c r="L598" s="25"/>
      <c r="N598" s="25"/>
      <c r="O598" s="25"/>
      <c r="P598" s="25"/>
      <c r="Q598" s="25"/>
      <c r="R598" s="25"/>
      <c r="S598" s="25"/>
      <c r="T598" s="25"/>
      <c r="U598" s="25"/>
      <c r="V598" s="25"/>
      <c r="W598" s="25"/>
      <c r="X598" s="25"/>
      <c r="Y598" s="25"/>
    </row>
    <row r="599" spans="9:25" x14ac:dyDescent="0.2">
      <c r="I599" s="25"/>
      <c r="J599" s="25"/>
      <c r="K599" s="25"/>
      <c r="L599" s="25"/>
      <c r="N599" s="25"/>
      <c r="O599" s="25"/>
      <c r="P599" s="25"/>
      <c r="Q599" s="25"/>
      <c r="R599" s="25"/>
      <c r="S599" s="25"/>
      <c r="T599" s="25"/>
      <c r="U599" s="25"/>
      <c r="V599" s="25"/>
      <c r="W599" s="25"/>
      <c r="X599" s="25"/>
      <c r="Y599" s="25"/>
    </row>
    <row r="600" spans="9:25" x14ac:dyDescent="0.2">
      <c r="I600" s="25"/>
      <c r="J600" s="25"/>
      <c r="K600" s="25"/>
      <c r="L600" s="25"/>
      <c r="N600" s="25"/>
      <c r="O600" s="25"/>
      <c r="P600" s="25"/>
      <c r="Q600" s="25"/>
      <c r="R600" s="25"/>
      <c r="S600" s="25"/>
      <c r="T600" s="25"/>
      <c r="U600" s="25"/>
      <c r="V600" s="25"/>
      <c r="W600" s="25"/>
      <c r="X600" s="25"/>
      <c r="Y600" s="25"/>
    </row>
    <row r="601" spans="9:25" x14ac:dyDescent="0.2">
      <c r="I601" s="25"/>
      <c r="J601" s="25"/>
      <c r="K601" s="25"/>
      <c r="L601" s="25"/>
      <c r="N601" s="25"/>
      <c r="O601" s="25"/>
      <c r="P601" s="25"/>
      <c r="Q601" s="25"/>
      <c r="R601" s="25"/>
      <c r="S601" s="25"/>
      <c r="T601" s="25"/>
      <c r="U601" s="25"/>
      <c r="V601" s="25"/>
      <c r="W601" s="25"/>
      <c r="X601" s="25"/>
      <c r="Y601" s="25"/>
    </row>
    <row r="602" spans="9:25" x14ac:dyDescent="0.2">
      <c r="I602" s="25"/>
      <c r="J602" s="25"/>
      <c r="K602" s="25"/>
      <c r="L602" s="25"/>
      <c r="N602" s="25"/>
      <c r="O602" s="25"/>
      <c r="P602" s="25"/>
      <c r="Q602" s="25"/>
      <c r="R602" s="25"/>
      <c r="S602" s="25"/>
      <c r="T602" s="25"/>
      <c r="U602" s="25"/>
      <c r="V602" s="25"/>
      <c r="W602" s="25"/>
      <c r="X602" s="25"/>
      <c r="Y602" s="25"/>
    </row>
    <row r="603" spans="9:25" x14ac:dyDescent="0.2">
      <c r="I603" s="25"/>
      <c r="J603" s="25"/>
      <c r="K603" s="25"/>
      <c r="L603" s="25"/>
      <c r="N603" s="25"/>
      <c r="O603" s="25"/>
      <c r="P603" s="25"/>
      <c r="Q603" s="25"/>
      <c r="R603" s="25"/>
      <c r="S603" s="25"/>
      <c r="T603" s="25"/>
      <c r="U603" s="25"/>
      <c r="V603" s="25"/>
      <c r="W603" s="25"/>
      <c r="X603" s="25"/>
      <c r="Y603" s="25"/>
    </row>
    <row r="604" spans="9:25" x14ac:dyDescent="0.2">
      <c r="I604" s="25"/>
      <c r="J604" s="25"/>
      <c r="K604" s="25"/>
      <c r="L604" s="25"/>
      <c r="N604" s="25"/>
      <c r="O604" s="25"/>
      <c r="P604" s="25"/>
      <c r="Q604" s="25"/>
      <c r="R604" s="25"/>
      <c r="S604" s="25"/>
      <c r="T604" s="25"/>
      <c r="U604" s="25"/>
      <c r="V604" s="25"/>
      <c r="W604" s="25"/>
      <c r="X604" s="25"/>
      <c r="Y604" s="25"/>
    </row>
    <row r="605" spans="9:25" x14ac:dyDescent="0.2">
      <c r="I605" s="25"/>
      <c r="J605" s="25"/>
      <c r="K605" s="25"/>
      <c r="L605" s="25"/>
      <c r="N605" s="25"/>
      <c r="O605" s="25"/>
      <c r="P605" s="25"/>
      <c r="Q605" s="25"/>
      <c r="R605" s="25"/>
      <c r="S605" s="25"/>
      <c r="T605" s="25"/>
      <c r="U605" s="25"/>
      <c r="V605" s="25"/>
      <c r="W605" s="25"/>
      <c r="X605" s="25"/>
      <c r="Y605" s="25"/>
    </row>
    <row r="606" spans="9:25" x14ac:dyDescent="0.2">
      <c r="I606" s="25"/>
      <c r="J606" s="25"/>
      <c r="K606" s="25"/>
      <c r="L606" s="25"/>
      <c r="N606" s="25"/>
      <c r="O606" s="25"/>
      <c r="P606" s="25"/>
      <c r="Q606" s="25"/>
      <c r="R606" s="25"/>
      <c r="S606" s="25"/>
      <c r="T606" s="25"/>
      <c r="U606" s="25"/>
      <c r="V606" s="25"/>
      <c r="W606" s="25"/>
      <c r="X606" s="25"/>
      <c r="Y606" s="25"/>
    </row>
    <row r="607" spans="9:25" x14ac:dyDescent="0.2">
      <c r="I607" s="25"/>
      <c r="J607" s="25"/>
      <c r="K607" s="25"/>
      <c r="L607" s="25"/>
      <c r="N607" s="25"/>
      <c r="O607" s="25"/>
      <c r="P607" s="25"/>
      <c r="Q607" s="25"/>
      <c r="R607" s="25"/>
      <c r="S607" s="25"/>
      <c r="T607" s="25"/>
      <c r="U607" s="25"/>
      <c r="V607" s="25"/>
      <c r="W607" s="25"/>
      <c r="X607" s="25"/>
      <c r="Y607" s="25"/>
    </row>
    <row r="608" spans="9:25" x14ac:dyDescent="0.2">
      <c r="I608" s="25"/>
      <c r="J608" s="25"/>
      <c r="K608" s="25"/>
      <c r="L608" s="25"/>
      <c r="N608" s="25"/>
      <c r="O608" s="25"/>
      <c r="P608" s="25"/>
      <c r="Q608" s="25"/>
      <c r="R608" s="25"/>
      <c r="S608" s="25"/>
      <c r="T608" s="25"/>
      <c r="U608" s="25"/>
      <c r="V608" s="25"/>
      <c r="W608" s="25"/>
      <c r="X608" s="25"/>
      <c r="Y608" s="25"/>
    </row>
    <row r="609" spans="9:25" x14ac:dyDescent="0.2">
      <c r="I609" s="25"/>
      <c r="J609" s="25"/>
      <c r="K609" s="25"/>
      <c r="L609" s="25"/>
      <c r="N609" s="25"/>
      <c r="O609" s="25"/>
      <c r="P609" s="25"/>
      <c r="Q609" s="25"/>
      <c r="R609" s="25"/>
      <c r="S609" s="25"/>
      <c r="T609" s="25"/>
      <c r="U609" s="25"/>
      <c r="V609" s="25"/>
      <c r="W609" s="25"/>
      <c r="X609" s="25"/>
      <c r="Y609" s="25"/>
    </row>
    <row r="610" spans="9:25" x14ac:dyDescent="0.2">
      <c r="I610" s="25"/>
      <c r="J610" s="25"/>
      <c r="K610" s="25"/>
      <c r="L610" s="25"/>
      <c r="N610" s="25"/>
      <c r="O610" s="25"/>
      <c r="P610" s="25"/>
      <c r="Q610" s="25"/>
      <c r="R610" s="25"/>
      <c r="S610" s="25"/>
      <c r="T610" s="25"/>
      <c r="U610" s="25"/>
      <c r="V610" s="25"/>
      <c r="W610" s="25"/>
      <c r="X610" s="25"/>
      <c r="Y610" s="25"/>
    </row>
    <row r="611" spans="9:25" x14ac:dyDescent="0.2">
      <c r="I611" s="25"/>
      <c r="J611" s="25"/>
      <c r="K611" s="25"/>
      <c r="L611" s="25"/>
      <c r="N611" s="25"/>
      <c r="O611" s="25"/>
      <c r="P611" s="25"/>
      <c r="Q611" s="25"/>
      <c r="R611" s="25"/>
      <c r="S611" s="25"/>
      <c r="T611" s="25"/>
      <c r="U611" s="25"/>
      <c r="V611" s="25"/>
      <c r="W611" s="25"/>
      <c r="X611" s="25"/>
      <c r="Y611" s="25"/>
    </row>
    <row r="612" spans="9:25" x14ac:dyDescent="0.2">
      <c r="I612" s="25"/>
      <c r="J612" s="25"/>
      <c r="K612" s="25"/>
      <c r="L612" s="25"/>
      <c r="N612" s="25"/>
      <c r="O612" s="25"/>
      <c r="P612" s="25"/>
      <c r="Q612" s="25"/>
      <c r="R612" s="25"/>
      <c r="S612" s="25"/>
      <c r="T612" s="25"/>
      <c r="U612" s="25"/>
      <c r="V612" s="25"/>
      <c r="W612" s="25"/>
      <c r="X612" s="25"/>
      <c r="Y612" s="25"/>
    </row>
    <row r="613" spans="9:25" x14ac:dyDescent="0.2">
      <c r="I613" s="25"/>
      <c r="J613" s="25"/>
      <c r="K613" s="25"/>
      <c r="L613" s="25"/>
      <c r="N613" s="25"/>
      <c r="O613" s="25"/>
      <c r="P613" s="25"/>
      <c r="Q613" s="25"/>
      <c r="R613" s="25"/>
      <c r="S613" s="25"/>
      <c r="T613" s="25"/>
      <c r="U613" s="25"/>
      <c r="V613" s="25"/>
      <c r="W613" s="25"/>
      <c r="X613" s="25"/>
      <c r="Y613" s="25"/>
    </row>
    <row r="614" spans="9:25" x14ac:dyDescent="0.2">
      <c r="I614" s="25"/>
      <c r="J614" s="25"/>
      <c r="K614" s="25"/>
      <c r="L614" s="25"/>
      <c r="N614" s="25"/>
      <c r="O614" s="25"/>
      <c r="P614" s="25"/>
      <c r="Q614" s="25"/>
      <c r="R614" s="25"/>
      <c r="S614" s="25"/>
      <c r="T614" s="25"/>
      <c r="U614" s="25"/>
      <c r="V614" s="25"/>
      <c r="W614" s="25"/>
      <c r="X614" s="25"/>
      <c r="Y614" s="25"/>
    </row>
    <row r="615" spans="9:25" x14ac:dyDescent="0.2">
      <c r="I615" s="25"/>
      <c r="J615" s="25"/>
      <c r="K615" s="25"/>
      <c r="L615" s="25"/>
      <c r="N615" s="25"/>
      <c r="O615" s="25"/>
      <c r="P615" s="25"/>
      <c r="Q615" s="25"/>
      <c r="R615" s="25"/>
      <c r="S615" s="25"/>
      <c r="T615" s="25"/>
      <c r="U615" s="25"/>
      <c r="V615" s="25"/>
      <c r="W615" s="25"/>
      <c r="X615" s="25"/>
      <c r="Y615" s="25"/>
    </row>
    <row r="616" spans="9:25" x14ac:dyDescent="0.2">
      <c r="I616" s="25"/>
      <c r="J616" s="25"/>
      <c r="K616" s="25"/>
      <c r="L616" s="25"/>
      <c r="N616" s="25"/>
      <c r="O616" s="25"/>
      <c r="P616" s="25"/>
      <c r="Q616" s="25"/>
      <c r="R616" s="25"/>
      <c r="S616" s="25"/>
      <c r="T616" s="25"/>
      <c r="U616" s="25"/>
      <c r="V616" s="25"/>
      <c r="W616" s="25"/>
      <c r="X616" s="25"/>
      <c r="Y616" s="25"/>
    </row>
    <row r="617" spans="9:25" x14ac:dyDescent="0.2">
      <c r="I617" s="25"/>
      <c r="J617" s="25"/>
      <c r="K617" s="25"/>
      <c r="L617" s="25"/>
      <c r="N617" s="25"/>
      <c r="O617" s="25"/>
      <c r="P617" s="25"/>
      <c r="Q617" s="25"/>
      <c r="R617" s="25"/>
      <c r="S617" s="25"/>
      <c r="T617" s="25"/>
      <c r="U617" s="25"/>
      <c r="V617" s="25"/>
      <c r="W617" s="25"/>
      <c r="X617" s="25"/>
      <c r="Y617" s="25"/>
    </row>
    <row r="618" spans="9:25" x14ac:dyDescent="0.2">
      <c r="I618" s="25"/>
      <c r="J618" s="25"/>
      <c r="K618" s="25"/>
      <c r="L618" s="25"/>
      <c r="N618" s="25"/>
      <c r="O618" s="25"/>
      <c r="P618" s="25"/>
      <c r="Q618" s="25"/>
      <c r="R618" s="25"/>
      <c r="S618" s="25"/>
      <c r="T618" s="25"/>
      <c r="U618" s="25"/>
      <c r="V618" s="25"/>
      <c r="W618" s="25"/>
      <c r="X618" s="25"/>
      <c r="Y618" s="25"/>
    </row>
    <row r="619" spans="9:25" x14ac:dyDescent="0.2">
      <c r="I619" s="25"/>
      <c r="J619" s="25"/>
      <c r="K619" s="25"/>
      <c r="L619" s="25"/>
      <c r="N619" s="25"/>
      <c r="O619" s="25"/>
      <c r="P619" s="25"/>
      <c r="Q619" s="25"/>
      <c r="R619" s="25"/>
      <c r="S619" s="25"/>
      <c r="T619" s="25"/>
      <c r="U619" s="25"/>
      <c r="V619" s="25"/>
      <c r="W619" s="25"/>
      <c r="X619" s="25"/>
      <c r="Y619" s="25"/>
    </row>
    <row r="620" spans="9:25" x14ac:dyDescent="0.2">
      <c r="I620" s="25"/>
      <c r="J620" s="25"/>
      <c r="K620" s="25"/>
      <c r="L620" s="25"/>
      <c r="N620" s="25"/>
      <c r="O620" s="25"/>
      <c r="P620" s="25"/>
      <c r="Q620" s="25"/>
      <c r="R620" s="25"/>
      <c r="S620" s="25"/>
      <c r="T620" s="25"/>
      <c r="U620" s="25"/>
      <c r="V620" s="25"/>
      <c r="W620" s="25"/>
      <c r="X620" s="25"/>
      <c r="Y620" s="25"/>
    </row>
    <row r="621" spans="9:25" x14ac:dyDescent="0.2">
      <c r="I621" s="25"/>
      <c r="J621" s="25"/>
      <c r="K621" s="25"/>
      <c r="L621" s="25"/>
      <c r="N621" s="25"/>
      <c r="O621" s="25"/>
      <c r="P621" s="25"/>
      <c r="Q621" s="25"/>
      <c r="R621" s="25"/>
      <c r="S621" s="25"/>
      <c r="T621" s="25"/>
      <c r="U621" s="25"/>
      <c r="V621" s="25"/>
      <c r="W621" s="25"/>
      <c r="X621" s="25"/>
      <c r="Y621" s="25"/>
    </row>
    <row r="622" spans="9:25" x14ac:dyDescent="0.2">
      <c r="I622" s="25"/>
      <c r="J622" s="25"/>
      <c r="K622" s="25"/>
      <c r="L622" s="25"/>
      <c r="N622" s="25"/>
      <c r="O622" s="25"/>
      <c r="P622" s="25"/>
      <c r="Q622" s="25"/>
      <c r="R622" s="25"/>
      <c r="S622" s="25"/>
      <c r="T622" s="25"/>
      <c r="U622" s="25"/>
      <c r="V622" s="25"/>
      <c r="W622" s="25"/>
      <c r="X622" s="25"/>
      <c r="Y622" s="25"/>
    </row>
    <row r="623" spans="9:25" x14ac:dyDescent="0.2">
      <c r="I623" s="25"/>
      <c r="J623" s="25"/>
      <c r="K623" s="25"/>
      <c r="L623" s="25"/>
      <c r="N623" s="25"/>
      <c r="O623" s="25"/>
      <c r="P623" s="25"/>
      <c r="Q623" s="25"/>
      <c r="R623" s="25"/>
      <c r="S623" s="25"/>
      <c r="T623" s="25"/>
      <c r="U623" s="25"/>
      <c r="V623" s="25"/>
      <c r="W623" s="25"/>
      <c r="X623" s="25"/>
      <c r="Y623" s="25"/>
    </row>
    <row r="624" spans="9:25" x14ac:dyDescent="0.2">
      <c r="I624" s="25"/>
      <c r="J624" s="25"/>
      <c r="K624" s="25"/>
      <c r="L624" s="25"/>
      <c r="N624" s="25"/>
      <c r="O624" s="25"/>
      <c r="P624" s="25"/>
      <c r="Q624" s="25"/>
      <c r="R624" s="25"/>
      <c r="S624" s="25"/>
      <c r="T624" s="25"/>
      <c r="U624" s="25"/>
      <c r="V624" s="25"/>
      <c r="W624" s="25"/>
      <c r="X624" s="25"/>
      <c r="Y624" s="25"/>
    </row>
    <row r="625" spans="9:25" x14ac:dyDescent="0.2">
      <c r="I625" s="25"/>
      <c r="J625" s="25"/>
      <c r="K625" s="25"/>
      <c r="L625" s="25"/>
      <c r="N625" s="25"/>
      <c r="O625" s="25"/>
      <c r="P625" s="25"/>
      <c r="Q625" s="25"/>
      <c r="R625" s="25"/>
      <c r="S625" s="25"/>
      <c r="T625" s="25"/>
      <c r="U625" s="25"/>
      <c r="V625" s="25"/>
      <c r="W625" s="25"/>
      <c r="X625" s="25"/>
      <c r="Y625" s="25"/>
    </row>
    <row r="626" spans="9:25" x14ac:dyDescent="0.2">
      <c r="I626" s="25"/>
      <c r="J626" s="25"/>
      <c r="K626" s="25"/>
      <c r="L626" s="25"/>
      <c r="N626" s="25"/>
      <c r="O626" s="25"/>
      <c r="P626" s="25"/>
      <c r="Q626" s="25"/>
      <c r="R626" s="25"/>
      <c r="S626" s="25"/>
      <c r="T626" s="25"/>
      <c r="U626" s="25"/>
      <c r="V626" s="25"/>
      <c r="W626" s="25"/>
      <c r="X626" s="25"/>
      <c r="Y626" s="25"/>
    </row>
    <row r="627" spans="9:25" x14ac:dyDescent="0.2">
      <c r="I627" s="25"/>
      <c r="J627" s="25"/>
      <c r="K627" s="25"/>
      <c r="L627" s="25"/>
      <c r="N627" s="25"/>
      <c r="O627" s="25"/>
      <c r="P627" s="25"/>
      <c r="Q627" s="25"/>
      <c r="R627" s="25"/>
      <c r="S627" s="25"/>
      <c r="T627" s="25"/>
      <c r="U627" s="25"/>
      <c r="V627" s="25"/>
      <c r="W627" s="25"/>
      <c r="X627" s="25"/>
      <c r="Y627" s="25"/>
    </row>
    <row r="628" spans="9:25" x14ac:dyDescent="0.2">
      <c r="I628" s="25"/>
      <c r="J628" s="25"/>
      <c r="K628" s="25"/>
      <c r="L628" s="25"/>
      <c r="N628" s="25"/>
      <c r="O628" s="25"/>
      <c r="P628" s="25"/>
      <c r="Q628" s="25"/>
      <c r="R628" s="25"/>
      <c r="S628" s="25"/>
      <c r="T628" s="25"/>
      <c r="U628" s="25"/>
      <c r="V628" s="25"/>
      <c r="W628" s="25"/>
      <c r="X628" s="25"/>
      <c r="Y628" s="25"/>
    </row>
    <row r="629" spans="9:25" x14ac:dyDescent="0.2">
      <c r="I629" s="25"/>
      <c r="J629" s="25"/>
      <c r="K629" s="25"/>
      <c r="L629" s="25"/>
      <c r="N629" s="25"/>
      <c r="O629" s="25"/>
      <c r="P629" s="25"/>
      <c r="Q629" s="25"/>
      <c r="R629" s="25"/>
      <c r="S629" s="25"/>
      <c r="T629" s="25"/>
      <c r="U629" s="25"/>
      <c r="V629" s="25"/>
      <c r="W629" s="25"/>
      <c r="X629" s="25"/>
      <c r="Y629" s="25"/>
    </row>
    <row r="630" spans="9:25" x14ac:dyDescent="0.2">
      <c r="I630" s="25"/>
      <c r="J630" s="25"/>
      <c r="K630" s="25"/>
      <c r="L630" s="25"/>
      <c r="N630" s="25"/>
      <c r="O630" s="25"/>
      <c r="P630" s="25"/>
      <c r="Q630" s="25"/>
      <c r="R630" s="25"/>
      <c r="S630" s="25"/>
      <c r="T630" s="25"/>
      <c r="U630" s="25"/>
      <c r="V630" s="25"/>
      <c r="W630" s="25"/>
      <c r="X630" s="25"/>
      <c r="Y630" s="25"/>
    </row>
    <row r="631" spans="9:25" x14ac:dyDescent="0.2">
      <c r="I631" s="25"/>
      <c r="J631" s="25"/>
      <c r="K631" s="25"/>
      <c r="L631" s="25"/>
      <c r="N631" s="25"/>
      <c r="O631" s="25"/>
      <c r="P631" s="25"/>
      <c r="Q631" s="25"/>
      <c r="R631" s="25"/>
      <c r="S631" s="25"/>
      <c r="T631" s="25"/>
      <c r="U631" s="25"/>
      <c r="V631" s="25"/>
      <c r="W631" s="25"/>
      <c r="X631" s="25"/>
      <c r="Y631" s="25"/>
    </row>
    <row r="632" spans="9:25" x14ac:dyDescent="0.2">
      <c r="I632" s="25"/>
      <c r="J632" s="25"/>
      <c r="K632" s="25"/>
      <c r="L632" s="25"/>
      <c r="N632" s="25"/>
      <c r="O632" s="25"/>
      <c r="P632" s="25"/>
      <c r="Q632" s="25"/>
      <c r="R632" s="25"/>
      <c r="S632" s="25"/>
      <c r="T632" s="25"/>
      <c r="U632" s="25"/>
      <c r="V632" s="25"/>
      <c r="W632" s="25"/>
      <c r="X632" s="25"/>
      <c r="Y632" s="25"/>
    </row>
    <row r="633" spans="9:25" x14ac:dyDescent="0.2">
      <c r="I633" s="25"/>
      <c r="J633" s="25"/>
      <c r="K633" s="25"/>
      <c r="L633" s="25"/>
      <c r="N633" s="25"/>
      <c r="O633" s="25"/>
      <c r="P633" s="25"/>
      <c r="Q633" s="25"/>
      <c r="R633" s="25"/>
      <c r="S633" s="25"/>
      <c r="T633" s="25"/>
      <c r="U633" s="25"/>
      <c r="V633" s="25"/>
      <c r="W633" s="25"/>
      <c r="X633" s="25"/>
      <c r="Y633" s="25"/>
    </row>
    <row r="634" spans="9:25" x14ac:dyDescent="0.2">
      <c r="I634" s="25"/>
      <c r="J634" s="25"/>
      <c r="K634" s="25"/>
      <c r="L634" s="25"/>
      <c r="N634" s="25"/>
      <c r="O634" s="25"/>
      <c r="P634" s="25"/>
      <c r="Q634" s="25"/>
      <c r="R634" s="25"/>
      <c r="S634" s="25"/>
      <c r="T634" s="25"/>
      <c r="U634" s="25"/>
      <c r="V634" s="25"/>
      <c r="W634" s="25"/>
      <c r="X634" s="25"/>
      <c r="Y634" s="25"/>
    </row>
    <row r="635" spans="9:25" x14ac:dyDescent="0.2">
      <c r="I635" s="25"/>
      <c r="J635" s="25"/>
      <c r="K635" s="25"/>
      <c r="L635" s="25"/>
      <c r="N635" s="25"/>
      <c r="O635" s="25"/>
      <c r="P635" s="25"/>
      <c r="Q635" s="25"/>
      <c r="R635" s="25"/>
      <c r="S635" s="25"/>
      <c r="T635" s="25"/>
      <c r="U635" s="25"/>
      <c r="V635" s="25"/>
      <c r="W635" s="25"/>
      <c r="X635" s="25"/>
      <c r="Y635" s="25"/>
    </row>
    <row r="636" spans="9:25" x14ac:dyDescent="0.2">
      <c r="I636" s="25"/>
      <c r="J636" s="25"/>
      <c r="K636" s="25"/>
      <c r="L636" s="25"/>
      <c r="N636" s="25"/>
      <c r="O636" s="25"/>
      <c r="P636" s="25"/>
      <c r="Q636" s="25"/>
      <c r="R636" s="25"/>
      <c r="S636" s="25"/>
      <c r="T636" s="25"/>
      <c r="U636" s="25"/>
      <c r="V636" s="25"/>
      <c r="W636" s="25"/>
      <c r="X636" s="25"/>
      <c r="Y636" s="25"/>
    </row>
    <row r="637" spans="9:25" x14ac:dyDescent="0.2">
      <c r="I637" s="25"/>
      <c r="J637" s="25"/>
      <c r="K637" s="25"/>
      <c r="L637" s="25"/>
      <c r="N637" s="25"/>
      <c r="O637" s="25"/>
      <c r="P637" s="25"/>
      <c r="Q637" s="25"/>
      <c r="R637" s="25"/>
      <c r="S637" s="25"/>
      <c r="T637" s="25"/>
      <c r="U637" s="25"/>
      <c r="V637" s="25"/>
      <c r="W637" s="25"/>
      <c r="X637" s="25"/>
      <c r="Y637" s="25"/>
    </row>
    <row r="638" spans="9:25" x14ac:dyDescent="0.2">
      <c r="I638" s="25"/>
      <c r="J638" s="25"/>
      <c r="K638" s="25"/>
      <c r="L638" s="25"/>
      <c r="N638" s="25"/>
      <c r="O638" s="25"/>
      <c r="P638" s="25"/>
      <c r="Q638" s="25"/>
      <c r="R638" s="25"/>
      <c r="S638" s="25"/>
      <c r="T638" s="25"/>
      <c r="U638" s="25"/>
      <c r="V638" s="25"/>
      <c r="W638" s="25"/>
      <c r="X638" s="25"/>
      <c r="Y638" s="25"/>
    </row>
    <row r="639" spans="9:25" x14ac:dyDescent="0.2">
      <c r="I639" s="25"/>
      <c r="J639" s="25"/>
      <c r="K639" s="25"/>
      <c r="L639" s="25"/>
      <c r="N639" s="25"/>
      <c r="O639" s="25"/>
      <c r="P639" s="25"/>
      <c r="Q639" s="25"/>
      <c r="R639" s="25"/>
      <c r="S639" s="25"/>
      <c r="T639" s="25"/>
      <c r="U639" s="25"/>
      <c r="V639" s="25"/>
      <c r="W639" s="25"/>
      <c r="X639" s="25"/>
      <c r="Y639" s="25"/>
    </row>
    <row r="640" spans="9:25" x14ac:dyDescent="0.2">
      <c r="I640" s="25"/>
      <c r="J640" s="25"/>
      <c r="K640" s="25"/>
      <c r="L640" s="25"/>
      <c r="N640" s="25"/>
      <c r="O640" s="25"/>
      <c r="P640" s="25"/>
      <c r="Q640" s="25"/>
      <c r="R640" s="25"/>
      <c r="S640" s="25"/>
      <c r="T640" s="25"/>
      <c r="U640" s="25"/>
      <c r="V640" s="25"/>
      <c r="W640" s="25"/>
      <c r="X640" s="25"/>
      <c r="Y640" s="25"/>
    </row>
    <row r="641" spans="9:25" x14ac:dyDescent="0.2">
      <c r="I641" s="25"/>
      <c r="J641" s="25"/>
      <c r="K641" s="25"/>
      <c r="L641" s="25"/>
      <c r="N641" s="25"/>
      <c r="O641" s="25"/>
      <c r="P641" s="25"/>
      <c r="Q641" s="25"/>
      <c r="R641" s="25"/>
      <c r="S641" s="25"/>
      <c r="T641" s="25"/>
      <c r="U641" s="25"/>
      <c r="V641" s="25"/>
      <c r="W641" s="25"/>
      <c r="X641" s="25"/>
      <c r="Y641" s="25"/>
    </row>
    <row r="642" spans="9:25" x14ac:dyDescent="0.2">
      <c r="I642" s="25"/>
      <c r="J642" s="25"/>
      <c r="K642" s="25"/>
      <c r="L642" s="25"/>
      <c r="N642" s="25"/>
      <c r="O642" s="25"/>
      <c r="P642" s="25"/>
      <c r="Q642" s="25"/>
      <c r="R642" s="25"/>
      <c r="S642" s="25"/>
      <c r="T642" s="25"/>
      <c r="U642" s="25"/>
      <c r="V642" s="25"/>
      <c r="W642" s="25"/>
      <c r="X642" s="25"/>
      <c r="Y642" s="25"/>
    </row>
    <row r="643" spans="9:25" x14ac:dyDescent="0.2">
      <c r="I643" s="25"/>
      <c r="J643" s="25"/>
      <c r="K643" s="25"/>
      <c r="L643" s="25"/>
      <c r="N643" s="25"/>
      <c r="O643" s="25"/>
      <c r="P643" s="25"/>
      <c r="Q643" s="25"/>
      <c r="R643" s="25"/>
      <c r="S643" s="25"/>
      <c r="T643" s="25"/>
      <c r="U643" s="25"/>
      <c r="V643" s="25"/>
      <c r="W643" s="25"/>
      <c r="X643" s="25"/>
      <c r="Y643" s="25"/>
    </row>
    <row r="644" spans="9:25" x14ac:dyDescent="0.2">
      <c r="I644" s="25"/>
      <c r="J644" s="25"/>
      <c r="K644" s="25"/>
      <c r="L644" s="25"/>
      <c r="N644" s="25"/>
      <c r="O644" s="25"/>
      <c r="P644" s="25"/>
      <c r="Q644" s="25"/>
      <c r="R644" s="25"/>
      <c r="S644" s="25"/>
      <c r="T644" s="25"/>
      <c r="U644" s="25"/>
      <c r="V644" s="25"/>
      <c r="W644" s="25"/>
      <c r="X644" s="25"/>
      <c r="Y644" s="25"/>
    </row>
    <row r="645" spans="9:25" x14ac:dyDescent="0.2">
      <c r="I645" s="25"/>
      <c r="J645" s="25"/>
      <c r="K645" s="25"/>
      <c r="L645" s="25"/>
      <c r="N645" s="25"/>
      <c r="O645" s="25"/>
      <c r="P645" s="25"/>
      <c r="Q645" s="25"/>
      <c r="R645" s="25"/>
      <c r="S645" s="25"/>
      <c r="T645" s="25"/>
      <c r="U645" s="25"/>
      <c r="V645" s="25"/>
      <c r="W645" s="25"/>
      <c r="X645" s="25"/>
      <c r="Y645" s="25"/>
    </row>
    <row r="646" spans="9:25" x14ac:dyDescent="0.2">
      <c r="I646" s="25"/>
      <c r="J646" s="25"/>
      <c r="K646" s="25"/>
      <c r="L646" s="25"/>
      <c r="N646" s="25"/>
      <c r="O646" s="25"/>
      <c r="P646" s="25"/>
      <c r="Q646" s="25"/>
      <c r="R646" s="25"/>
      <c r="S646" s="25"/>
      <c r="T646" s="25"/>
      <c r="U646" s="25"/>
      <c r="V646" s="25"/>
      <c r="W646" s="25"/>
      <c r="X646" s="25"/>
      <c r="Y646" s="25"/>
    </row>
    <row r="647" spans="9:25" x14ac:dyDescent="0.2">
      <c r="I647" s="25"/>
      <c r="J647" s="25"/>
      <c r="K647" s="25"/>
      <c r="L647" s="25"/>
      <c r="N647" s="25"/>
      <c r="O647" s="25"/>
      <c r="P647" s="25"/>
      <c r="Q647" s="25"/>
      <c r="R647" s="25"/>
      <c r="S647" s="25"/>
      <c r="T647" s="25"/>
      <c r="U647" s="25"/>
      <c r="V647" s="25"/>
      <c r="W647" s="25"/>
      <c r="X647" s="25"/>
      <c r="Y647" s="25"/>
    </row>
    <row r="648" spans="9:25" x14ac:dyDescent="0.2">
      <c r="I648" s="25"/>
      <c r="J648" s="25"/>
      <c r="K648" s="25"/>
      <c r="L648" s="25"/>
      <c r="N648" s="25"/>
      <c r="O648" s="25"/>
      <c r="P648" s="25"/>
      <c r="Q648" s="25"/>
      <c r="R648" s="25"/>
      <c r="S648" s="25"/>
      <c r="T648" s="25"/>
      <c r="U648" s="25"/>
      <c r="V648" s="25"/>
      <c r="W648" s="25"/>
      <c r="X648" s="25"/>
      <c r="Y648" s="25"/>
    </row>
    <row r="649" spans="9:25" x14ac:dyDescent="0.2">
      <c r="I649" s="25"/>
      <c r="J649" s="25"/>
      <c r="K649" s="25"/>
      <c r="L649" s="25"/>
      <c r="N649" s="25"/>
      <c r="O649" s="25"/>
      <c r="P649" s="25"/>
      <c r="Q649" s="25"/>
      <c r="R649" s="25"/>
      <c r="S649" s="25"/>
      <c r="T649" s="25"/>
      <c r="U649" s="25"/>
      <c r="V649" s="25"/>
      <c r="W649" s="25"/>
      <c r="X649" s="25"/>
      <c r="Y649" s="25"/>
    </row>
    <row r="650" spans="9:25" x14ac:dyDescent="0.2">
      <c r="I650" s="25"/>
      <c r="J650" s="25"/>
      <c r="K650" s="25"/>
      <c r="L650" s="25"/>
      <c r="N650" s="25"/>
      <c r="O650" s="25"/>
      <c r="P650" s="25"/>
      <c r="Q650" s="25"/>
      <c r="R650" s="25"/>
      <c r="S650" s="25"/>
      <c r="T650" s="25"/>
      <c r="U650" s="25"/>
      <c r="V650" s="25"/>
      <c r="W650" s="25"/>
      <c r="X650" s="25"/>
      <c r="Y650" s="25"/>
    </row>
    <row r="651" spans="9:25" x14ac:dyDescent="0.2">
      <c r="I651" s="25"/>
      <c r="J651" s="25"/>
      <c r="K651" s="25"/>
      <c r="L651" s="25"/>
      <c r="N651" s="25"/>
      <c r="O651" s="25"/>
      <c r="P651" s="25"/>
      <c r="Q651" s="25"/>
      <c r="R651" s="25"/>
      <c r="S651" s="25"/>
      <c r="T651" s="25"/>
      <c r="U651" s="25"/>
      <c r="V651" s="25"/>
      <c r="W651" s="25"/>
      <c r="X651" s="25"/>
      <c r="Y651" s="25"/>
    </row>
    <row r="652" spans="9:25" x14ac:dyDescent="0.2">
      <c r="I652" s="25"/>
      <c r="J652" s="25"/>
      <c r="K652" s="25"/>
      <c r="L652" s="25"/>
      <c r="N652" s="25"/>
      <c r="O652" s="25"/>
      <c r="P652" s="25"/>
      <c r="Q652" s="25"/>
      <c r="R652" s="25"/>
      <c r="S652" s="25"/>
      <c r="T652" s="25"/>
      <c r="U652" s="25"/>
      <c r="V652" s="25"/>
      <c r="W652" s="25"/>
      <c r="X652" s="25"/>
      <c r="Y652" s="25"/>
    </row>
    <row r="653" spans="9:25" x14ac:dyDescent="0.2">
      <c r="I653" s="25"/>
      <c r="J653" s="25"/>
      <c r="K653" s="25"/>
      <c r="L653" s="25"/>
      <c r="N653" s="25"/>
      <c r="O653" s="25"/>
      <c r="P653" s="25"/>
      <c r="Q653" s="25"/>
      <c r="R653" s="25"/>
      <c r="S653" s="25"/>
      <c r="T653" s="25"/>
      <c r="U653" s="25"/>
      <c r="V653" s="25"/>
      <c r="W653" s="25"/>
      <c r="X653" s="25"/>
      <c r="Y653" s="25"/>
    </row>
    <row r="654" spans="9:25" x14ac:dyDescent="0.2">
      <c r="I654" s="25"/>
      <c r="J654" s="25"/>
      <c r="K654" s="25"/>
      <c r="L654" s="25"/>
      <c r="N654" s="25"/>
      <c r="O654" s="25"/>
      <c r="P654" s="25"/>
      <c r="Q654" s="25"/>
      <c r="R654" s="25"/>
      <c r="S654" s="25"/>
      <c r="T654" s="25"/>
      <c r="U654" s="25"/>
      <c r="V654" s="25"/>
      <c r="W654" s="25"/>
      <c r="X654" s="25"/>
      <c r="Y654" s="25"/>
    </row>
    <row r="655" spans="9:25" x14ac:dyDescent="0.2">
      <c r="I655" s="25"/>
      <c r="J655" s="25"/>
      <c r="K655" s="25"/>
      <c r="L655" s="25"/>
      <c r="N655" s="25"/>
      <c r="O655" s="25"/>
      <c r="P655" s="25"/>
      <c r="Q655" s="25"/>
      <c r="R655" s="25"/>
      <c r="S655" s="25"/>
      <c r="T655" s="25"/>
      <c r="U655" s="25"/>
      <c r="V655" s="25"/>
      <c r="W655" s="25"/>
      <c r="X655" s="25"/>
      <c r="Y655" s="25"/>
    </row>
    <row r="656" spans="9:25" x14ac:dyDescent="0.2">
      <c r="I656" s="25"/>
      <c r="J656" s="25"/>
      <c r="K656" s="25"/>
      <c r="L656" s="25"/>
      <c r="N656" s="25"/>
      <c r="O656" s="25"/>
      <c r="P656" s="25"/>
      <c r="Q656" s="25"/>
      <c r="R656" s="25"/>
      <c r="S656" s="25"/>
      <c r="T656" s="25"/>
      <c r="U656" s="25"/>
      <c r="V656" s="25"/>
      <c r="W656" s="25"/>
      <c r="X656" s="25"/>
      <c r="Y656" s="25"/>
    </row>
    <row r="657" spans="9:25" x14ac:dyDescent="0.2">
      <c r="I657" s="25"/>
      <c r="J657" s="25"/>
      <c r="K657" s="25"/>
      <c r="L657" s="25"/>
      <c r="N657" s="25"/>
      <c r="O657" s="25"/>
      <c r="P657" s="25"/>
      <c r="Q657" s="25"/>
      <c r="R657" s="25"/>
      <c r="S657" s="25"/>
      <c r="T657" s="25"/>
      <c r="U657" s="25"/>
      <c r="V657" s="25"/>
      <c r="W657" s="25"/>
      <c r="X657" s="25"/>
      <c r="Y657" s="25"/>
    </row>
    <row r="658" spans="9:25" x14ac:dyDescent="0.2">
      <c r="I658" s="25"/>
      <c r="J658" s="25"/>
      <c r="K658" s="25"/>
      <c r="L658" s="25"/>
      <c r="N658" s="25"/>
      <c r="O658" s="25"/>
      <c r="P658" s="25"/>
      <c r="Q658" s="25"/>
      <c r="R658" s="25"/>
      <c r="S658" s="25"/>
      <c r="T658" s="25"/>
      <c r="U658" s="25"/>
      <c r="V658" s="25"/>
      <c r="W658" s="25"/>
      <c r="X658" s="25"/>
      <c r="Y658" s="25"/>
    </row>
    <row r="659" spans="9:25" x14ac:dyDescent="0.2">
      <c r="I659" s="25"/>
      <c r="J659" s="25"/>
      <c r="K659" s="25"/>
      <c r="L659" s="25"/>
      <c r="N659" s="25"/>
      <c r="O659" s="25"/>
      <c r="P659" s="25"/>
      <c r="Q659" s="25"/>
      <c r="R659" s="25"/>
      <c r="S659" s="25"/>
      <c r="T659" s="25"/>
      <c r="U659" s="25"/>
      <c r="V659" s="25"/>
      <c r="W659" s="25"/>
      <c r="X659" s="25"/>
      <c r="Y659" s="25"/>
    </row>
    <row r="660" spans="9:25" x14ac:dyDescent="0.2">
      <c r="I660" s="25"/>
      <c r="J660" s="25"/>
      <c r="K660" s="25"/>
      <c r="L660" s="25"/>
      <c r="N660" s="25"/>
      <c r="O660" s="25"/>
      <c r="P660" s="25"/>
      <c r="Q660" s="25"/>
      <c r="R660" s="25"/>
      <c r="S660" s="25"/>
      <c r="T660" s="25"/>
      <c r="U660" s="25"/>
      <c r="V660" s="25"/>
      <c r="W660" s="25"/>
      <c r="X660" s="25"/>
      <c r="Y660" s="25"/>
    </row>
    <row r="661" spans="9:25" x14ac:dyDescent="0.2">
      <c r="I661" s="25"/>
      <c r="J661" s="25"/>
      <c r="K661" s="25"/>
      <c r="L661" s="25"/>
      <c r="N661" s="25"/>
      <c r="O661" s="25"/>
      <c r="P661" s="25"/>
      <c r="Q661" s="25"/>
      <c r="R661" s="25"/>
      <c r="S661" s="25"/>
      <c r="T661" s="25"/>
      <c r="U661" s="25"/>
      <c r="V661" s="25"/>
      <c r="W661" s="25"/>
      <c r="X661" s="25"/>
      <c r="Y661" s="25"/>
    </row>
    <row r="662" spans="9:25" x14ac:dyDescent="0.2">
      <c r="I662" s="25"/>
      <c r="J662" s="25"/>
      <c r="K662" s="25"/>
      <c r="L662" s="25"/>
      <c r="N662" s="25"/>
      <c r="O662" s="25"/>
      <c r="P662" s="25"/>
      <c r="Q662" s="25"/>
      <c r="R662" s="25"/>
      <c r="S662" s="25"/>
      <c r="T662" s="25"/>
      <c r="U662" s="25"/>
      <c r="V662" s="25"/>
      <c r="W662" s="25"/>
      <c r="X662" s="25"/>
      <c r="Y662" s="25"/>
    </row>
    <row r="663" spans="9:25" x14ac:dyDescent="0.2">
      <c r="I663" s="25"/>
      <c r="J663" s="25"/>
      <c r="K663" s="25"/>
      <c r="L663" s="25"/>
      <c r="N663" s="25"/>
      <c r="O663" s="25"/>
      <c r="P663" s="25"/>
      <c r="Q663" s="25"/>
      <c r="R663" s="25"/>
      <c r="S663" s="25"/>
      <c r="T663" s="25"/>
      <c r="U663" s="25"/>
      <c r="V663" s="25"/>
      <c r="W663" s="25"/>
      <c r="X663" s="25"/>
      <c r="Y663" s="25"/>
    </row>
    <row r="664" spans="9:25" x14ac:dyDescent="0.2">
      <c r="I664" s="25"/>
      <c r="J664" s="25"/>
      <c r="K664" s="25"/>
      <c r="L664" s="25"/>
      <c r="N664" s="25"/>
      <c r="O664" s="25"/>
      <c r="P664" s="25"/>
      <c r="Q664" s="25"/>
      <c r="R664" s="25"/>
      <c r="S664" s="25"/>
      <c r="T664" s="25"/>
      <c r="U664" s="25"/>
      <c r="V664" s="25"/>
      <c r="W664" s="25"/>
      <c r="X664" s="25"/>
      <c r="Y664" s="25"/>
    </row>
    <row r="665" spans="9:25" x14ac:dyDescent="0.2">
      <c r="I665" s="25"/>
      <c r="J665" s="25"/>
      <c r="K665" s="25"/>
      <c r="L665" s="25"/>
      <c r="N665" s="25"/>
      <c r="O665" s="25"/>
      <c r="P665" s="25"/>
      <c r="Q665" s="25"/>
      <c r="R665" s="25"/>
      <c r="S665" s="25"/>
      <c r="T665" s="25"/>
      <c r="U665" s="25"/>
      <c r="V665" s="25"/>
      <c r="W665" s="25"/>
      <c r="X665" s="25"/>
      <c r="Y665" s="25"/>
    </row>
    <row r="666" spans="9:25" x14ac:dyDescent="0.2">
      <c r="I666" s="25"/>
      <c r="J666" s="25"/>
      <c r="K666" s="25"/>
      <c r="L666" s="25"/>
      <c r="N666" s="25"/>
      <c r="O666" s="25"/>
      <c r="P666" s="25"/>
      <c r="Q666" s="25"/>
      <c r="R666" s="25"/>
      <c r="S666" s="25"/>
      <c r="T666" s="25"/>
      <c r="U666" s="25"/>
      <c r="V666" s="25"/>
      <c r="W666" s="25"/>
      <c r="X666" s="25"/>
      <c r="Y666" s="25"/>
    </row>
    <row r="667" spans="9:25" x14ac:dyDescent="0.2">
      <c r="I667" s="25"/>
      <c r="J667" s="25"/>
      <c r="K667" s="25"/>
      <c r="L667" s="25"/>
      <c r="N667" s="25"/>
      <c r="O667" s="25"/>
      <c r="P667" s="25"/>
      <c r="Q667" s="25"/>
      <c r="R667" s="25"/>
      <c r="S667" s="25"/>
      <c r="T667" s="25"/>
      <c r="U667" s="25"/>
      <c r="V667" s="25"/>
      <c r="W667" s="25"/>
      <c r="X667" s="25"/>
      <c r="Y667" s="25"/>
    </row>
    <row r="668" spans="9:25" x14ac:dyDescent="0.2">
      <c r="I668" s="25"/>
      <c r="J668" s="25"/>
      <c r="K668" s="25"/>
      <c r="L668" s="25"/>
      <c r="N668" s="25"/>
      <c r="O668" s="25"/>
      <c r="P668" s="25"/>
      <c r="Q668" s="25"/>
      <c r="R668" s="25"/>
      <c r="S668" s="25"/>
      <c r="T668" s="25"/>
      <c r="U668" s="25"/>
      <c r="V668" s="25"/>
      <c r="W668" s="25"/>
      <c r="X668" s="25"/>
      <c r="Y668" s="25"/>
    </row>
    <row r="669" spans="9:25" x14ac:dyDescent="0.2">
      <c r="I669" s="25"/>
      <c r="J669" s="25"/>
      <c r="K669" s="25"/>
      <c r="L669" s="25"/>
      <c r="N669" s="25"/>
      <c r="O669" s="25"/>
      <c r="P669" s="25"/>
      <c r="Q669" s="25"/>
      <c r="R669" s="25"/>
      <c r="S669" s="25"/>
      <c r="T669" s="25"/>
      <c r="U669" s="25"/>
      <c r="V669" s="25"/>
      <c r="W669" s="25"/>
      <c r="X669" s="25"/>
      <c r="Y669" s="25"/>
    </row>
    <row r="670" spans="9:25" x14ac:dyDescent="0.2">
      <c r="I670" s="25"/>
      <c r="J670" s="25"/>
      <c r="K670" s="25"/>
      <c r="L670" s="25"/>
      <c r="N670" s="25"/>
      <c r="O670" s="25"/>
      <c r="P670" s="25"/>
      <c r="Q670" s="25"/>
      <c r="R670" s="25"/>
      <c r="S670" s="25"/>
      <c r="T670" s="25"/>
      <c r="U670" s="25"/>
      <c r="V670" s="25"/>
      <c r="W670" s="25"/>
      <c r="X670" s="25"/>
      <c r="Y670" s="25"/>
    </row>
    <row r="671" spans="9:25" x14ac:dyDescent="0.2">
      <c r="I671" s="25"/>
      <c r="J671" s="25"/>
      <c r="K671" s="25"/>
      <c r="L671" s="25"/>
      <c r="N671" s="25"/>
      <c r="O671" s="25"/>
      <c r="P671" s="25"/>
      <c r="Q671" s="25"/>
      <c r="R671" s="25"/>
      <c r="S671" s="25"/>
      <c r="T671" s="25"/>
      <c r="U671" s="25"/>
      <c r="V671" s="25"/>
      <c r="W671" s="25"/>
      <c r="X671" s="25"/>
      <c r="Y671" s="25"/>
    </row>
    <row r="672" spans="9:25" x14ac:dyDescent="0.2">
      <c r="I672" s="25"/>
      <c r="J672" s="25"/>
      <c r="K672" s="25"/>
      <c r="L672" s="25"/>
      <c r="N672" s="25"/>
      <c r="O672" s="25"/>
      <c r="P672" s="25"/>
      <c r="Q672" s="25"/>
      <c r="R672" s="25"/>
      <c r="S672" s="25"/>
      <c r="T672" s="25"/>
      <c r="U672" s="25"/>
      <c r="V672" s="25"/>
      <c r="W672" s="25"/>
      <c r="X672" s="25"/>
      <c r="Y672" s="25"/>
    </row>
    <row r="673" spans="9:25" x14ac:dyDescent="0.2">
      <c r="I673" s="25"/>
      <c r="J673" s="25"/>
      <c r="K673" s="25"/>
      <c r="L673" s="25"/>
      <c r="N673" s="25"/>
      <c r="O673" s="25"/>
      <c r="P673" s="25"/>
      <c r="Q673" s="25"/>
      <c r="R673" s="25"/>
      <c r="S673" s="25"/>
      <c r="T673" s="25"/>
      <c r="U673" s="25"/>
      <c r="V673" s="25"/>
      <c r="W673" s="25"/>
      <c r="X673" s="25"/>
      <c r="Y673" s="25"/>
    </row>
    <row r="674" spans="9:25" x14ac:dyDescent="0.2">
      <c r="I674" s="25"/>
      <c r="J674" s="25"/>
      <c r="K674" s="25"/>
      <c r="L674" s="25"/>
      <c r="N674" s="25"/>
      <c r="O674" s="25"/>
      <c r="P674" s="25"/>
      <c r="Q674" s="25"/>
      <c r="R674" s="25"/>
      <c r="S674" s="25"/>
      <c r="T674" s="25"/>
      <c r="U674" s="25"/>
      <c r="V674" s="25"/>
      <c r="W674" s="25"/>
      <c r="X674" s="25"/>
      <c r="Y674" s="25"/>
    </row>
    <row r="675" spans="9:25" x14ac:dyDescent="0.2">
      <c r="I675" s="25"/>
      <c r="J675" s="25"/>
      <c r="K675" s="25"/>
      <c r="L675" s="25"/>
      <c r="N675" s="25"/>
      <c r="O675" s="25"/>
      <c r="P675" s="25"/>
      <c r="Q675" s="25"/>
      <c r="R675" s="25"/>
      <c r="S675" s="25"/>
      <c r="T675" s="25"/>
      <c r="U675" s="25"/>
      <c r="V675" s="25"/>
      <c r="W675" s="25"/>
      <c r="X675" s="25"/>
      <c r="Y675" s="25"/>
    </row>
    <row r="676" spans="9:25" x14ac:dyDescent="0.2">
      <c r="I676" s="25"/>
      <c r="J676" s="25"/>
      <c r="K676" s="25"/>
      <c r="L676" s="25"/>
      <c r="N676" s="25"/>
      <c r="O676" s="25"/>
      <c r="P676" s="25"/>
      <c r="Q676" s="25"/>
      <c r="R676" s="25"/>
      <c r="S676" s="25"/>
      <c r="T676" s="25"/>
      <c r="U676" s="25"/>
      <c r="V676" s="25"/>
      <c r="W676" s="25"/>
      <c r="X676" s="25"/>
      <c r="Y676" s="25"/>
    </row>
    <row r="677" spans="9:25" x14ac:dyDescent="0.2">
      <c r="I677" s="25"/>
      <c r="J677" s="25"/>
      <c r="K677" s="25"/>
      <c r="L677" s="25"/>
      <c r="N677" s="25"/>
      <c r="O677" s="25"/>
      <c r="P677" s="25"/>
      <c r="Q677" s="25"/>
      <c r="R677" s="25"/>
      <c r="S677" s="25"/>
      <c r="T677" s="25"/>
      <c r="U677" s="25"/>
      <c r="V677" s="25"/>
      <c r="W677" s="25"/>
      <c r="X677" s="25"/>
      <c r="Y677" s="25"/>
    </row>
    <row r="678" spans="9:25" x14ac:dyDescent="0.2">
      <c r="I678" s="25"/>
      <c r="J678" s="25"/>
      <c r="K678" s="25"/>
      <c r="L678" s="25"/>
      <c r="N678" s="25"/>
      <c r="O678" s="25"/>
      <c r="P678" s="25"/>
      <c r="Q678" s="25"/>
      <c r="R678" s="25"/>
      <c r="S678" s="25"/>
      <c r="T678" s="25"/>
      <c r="U678" s="25"/>
      <c r="V678" s="25"/>
      <c r="W678" s="25"/>
      <c r="X678" s="25"/>
      <c r="Y678" s="25"/>
    </row>
    <row r="679" spans="9:25" x14ac:dyDescent="0.2">
      <c r="I679" s="25"/>
      <c r="J679" s="25"/>
      <c r="K679" s="25"/>
      <c r="L679" s="25"/>
      <c r="N679" s="25"/>
      <c r="O679" s="25"/>
      <c r="P679" s="25"/>
      <c r="Q679" s="25"/>
      <c r="R679" s="25"/>
      <c r="S679" s="25"/>
      <c r="T679" s="25"/>
      <c r="U679" s="25"/>
      <c r="V679" s="25"/>
      <c r="W679" s="25"/>
      <c r="X679" s="25"/>
      <c r="Y679" s="25"/>
    </row>
    <row r="680" spans="9:25" x14ac:dyDescent="0.2">
      <c r="I680" s="25"/>
      <c r="J680" s="25"/>
      <c r="K680" s="25"/>
      <c r="L680" s="25"/>
      <c r="N680" s="25"/>
      <c r="O680" s="25"/>
      <c r="P680" s="25"/>
      <c r="Q680" s="25"/>
      <c r="R680" s="25"/>
      <c r="S680" s="25"/>
      <c r="T680" s="25"/>
      <c r="U680" s="25"/>
      <c r="V680" s="25"/>
      <c r="W680" s="25"/>
      <c r="X680" s="25"/>
      <c r="Y680" s="25"/>
    </row>
    <row r="681" spans="9:25" x14ac:dyDescent="0.2">
      <c r="I681" s="25"/>
      <c r="J681" s="25"/>
      <c r="K681" s="25"/>
      <c r="L681" s="25"/>
      <c r="N681" s="25"/>
      <c r="O681" s="25"/>
      <c r="P681" s="25"/>
      <c r="Q681" s="25"/>
      <c r="R681" s="25"/>
      <c r="S681" s="25"/>
      <c r="T681" s="25"/>
      <c r="U681" s="25"/>
      <c r="V681" s="25"/>
      <c r="W681" s="25"/>
      <c r="X681" s="25"/>
      <c r="Y681" s="25"/>
    </row>
    <row r="682" spans="9:25" x14ac:dyDescent="0.2">
      <c r="I682" s="25"/>
      <c r="J682" s="25"/>
      <c r="K682" s="25"/>
      <c r="L682" s="25"/>
      <c r="N682" s="25"/>
      <c r="O682" s="25"/>
      <c r="P682" s="25"/>
      <c r="Q682" s="25"/>
      <c r="R682" s="25"/>
      <c r="S682" s="25"/>
      <c r="T682" s="25"/>
      <c r="U682" s="25"/>
      <c r="V682" s="25"/>
      <c r="W682" s="25"/>
      <c r="X682" s="25"/>
      <c r="Y682" s="25"/>
    </row>
    <row r="683" spans="9:25" x14ac:dyDescent="0.2">
      <c r="I683" s="25"/>
      <c r="J683" s="25"/>
      <c r="K683" s="25"/>
      <c r="L683" s="25"/>
      <c r="N683" s="25"/>
      <c r="O683" s="25"/>
      <c r="P683" s="25"/>
      <c r="Q683" s="25"/>
      <c r="R683" s="25"/>
      <c r="S683" s="25"/>
      <c r="T683" s="25"/>
      <c r="U683" s="25"/>
      <c r="V683" s="25"/>
      <c r="W683" s="25"/>
      <c r="X683" s="25"/>
      <c r="Y683" s="25"/>
    </row>
    <row r="684" spans="9:25" x14ac:dyDescent="0.2">
      <c r="I684" s="25"/>
      <c r="J684" s="25"/>
      <c r="K684" s="25"/>
      <c r="L684" s="25"/>
      <c r="N684" s="25"/>
      <c r="O684" s="25"/>
      <c r="P684" s="25"/>
      <c r="Q684" s="25"/>
      <c r="R684" s="25"/>
      <c r="S684" s="25"/>
      <c r="T684" s="25"/>
      <c r="U684" s="25"/>
      <c r="V684" s="25"/>
      <c r="W684" s="25"/>
      <c r="X684" s="25"/>
      <c r="Y684" s="25"/>
    </row>
    <row r="685" spans="9:25" x14ac:dyDescent="0.2">
      <c r="I685" s="25"/>
      <c r="J685" s="25"/>
      <c r="K685" s="25"/>
      <c r="L685" s="25"/>
      <c r="N685" s="25"/>
      <c r="O685" s="25"/>
      <c r="P685" s="25"/>
      <c r="Q685" s="25"/>
      <c r="R685" s="25"/>
      <c r="S685" s="25"/>
      <c r="T685" s="25"/>
      <c r="U685" s="25"/>
      <c r="V685" s="25"/>
      <c r="W685" s="25"/>
      <c r="X685" s="25"/>
      <c r="Y685" s="25"/>
    </row>
    <row r="686" spans="9:25" x14ac:dyDescent="0.2">
      <c r="I686" s="25"/>
      <c r="J686" s="25"/>
      <c r="K686" s="25"/>
      <c r="L686" s="25"/>
      <c r="N686" s="25"/>
      <c r="O686" s="25"/>
      <c r="P686" s="25"/>
      <c r="Q686" s="25"/>
      <c r="R686" s="25"/>
      <c r="S686" s="25"/>
      <c r="T686" s="25"/>
      <c r="U686" s="25"/>
      <c r="V686" s="25"/>
      <c r="W686" s="25"/>
      <c r="X686" s="25"/>
      <c r="Y686" s="25"/>
    </row>
    <row r="687" spans="9:25" x14ac:dyDescent="0.2">
      <c r="I687" s="25"/>
      <c r="J687" s="25"/>
      <c r="K687" s="25"/>
      <c r="L687" s="25"/>
      <c r="N687" s="25"/>
      <c r="O687" s="25"/>
      <c r="P687" s="25"/>
      <c r="Q687" s="25"/>
      <c r="R687" s="25"/>
      <c r="S687" s="25"/>
      <c r="T687" s="25"/>
      <c r="U687" s="25"/>
      <c r="V687" s="25"/>
      <c r="W687" s="25"/>
      <c r="X687" s="25"/>
      <c r="Y687" s="25"/>
    </row>
    <row r="688" spans="9:25" x14ac:dyDescent="0.2">
      <c r="I688" s="25"/>
      <c r="J688" s="25"/>
      <c r="K688" s="25"/>
      <c r="L688" s="25"/>
      <c r="N688" s="25"/>
      <c r="O688" s="25"/>
      <c r="P688" s="25"/>
      <c r="Q688" s="25"/>
      <c r="R688" s="25"/>
      <c r="S688" s="25"/>
      <c r="T688" s="25"/>
      <c r="U688" s="25"/>
      <c r="V688" s="25"/>
      <c r="W688" s="25"/>
      <c r="X688" s="25"/>
      <c r="Y688" s="25"/>
    </row>
    <row r="689" spans="9:25" x14ac:dyDescent="0.2">
      <c r="I689" s="25"/>
      <c r="J689" s="25"/>
      <c r="K689" s="25"/>
      <c r="L689" s="25"/>
      <c r="N689" s="25"/>
      <c r="O689" s="25"/>
      <c r="P689" s="25"/>
      <c r="Q689" s="25"/>
      <c r="R689" s="25"/>
      <c r="S689" s="25"/>
      <c r="T689" s="25"/>
      <c r="U689" s="25"/>
      <c r="V689" s="25"/>
      <c r="W689" s="25"/>
      <c r="X689" s="25"/>
      <c r="Y689" s="25"/>
    </row>
    <row r="690" spans="9:25" x14ac:dyDescent="0.2">
      <c r="I690" s="25"/>
      <c r="J690" s="25"/>
      <c r="K690" s="25"/>
      <c r="L690" s="25"/>
      <c r="N690" s="25"/>
      <c r="O690" s="25"/>
      <c r="P690" s="25"/>
      <c r="Q690" s="25"/>
      <c r="R690" s="25"/>
      <c r="S690" s="25"/>
      <c r="T690" s="25"/>
      <c r="U690" s="25"/>
      <c r="V690" s="25"/>
      <c r="W690" s="25"/>
      <c r="X690" s="25"/>
      <c r="Y690" s="25"/>
    </row>
    <row r="691" spans="9:25" x14ac:dyDescent="0.2">
      <c r="I691" s="25"/>
      <c r="J691" s="25"/>
      <c r="K691" s="25"/>
      <c r="L691" s="25"/>
      <c r="N691" s="25"/>
      <c r="O691" s="25"/>
      <c r="P691" s="25"/>
      <c r="Q691" s="25"/>
      <c r="R691" s="25"/>
      <c r="S691" s="25"/>
      <c r="T691" s="25"/>
      <c r="U691" s="25"/>
      <c r="V691" s="25"/>
      <c r="W691" s="25"/>
      <c r="X691" s="25"/>
      <c r="Y691" s="25"/>
    </row>
    <row r="692" spans="9:25" x14ac:dyDescent="0.2">
      <c r="I692" s="25"/>
      <c r="J692" s="25"/>
      <c r="K692" s="25"/>
      <c r="L692" s="25"/>
      <c r="N692" s="25"/>
      <c r="O692" s="25"/>
      <c r="P692" s="25"/>
      <c r="Q692" s="25"/>
      <c r="R692" s="25"/>
      <c r="S692" s="25"/>
      <c r="T692" s="25"/>
      <c r="U692" s="25"/>
      <c r="V692" s="25"/>
      <c r="W692" s="25"/>
      <c r="X692" s="25"/>
      <c r="Y692" s="25"/>
    </row>
    <row r="693" spans="9:25" x14ac:dyDescent="0.2">
      <c r="I693" s="25"/>
      <c r="J693" s="25"/>
      <c r="K693" s="25"/>
      <c r="L693" s="25"/>
      <c r="N693" s="25"/>
      <c r="O693" s="25"/>
      <c r="P693" s="25"/>
      <c r="Q693" s="25"/>
      <c r="R693" s="25"/>
      <c r="S693" s="25"/>
      <c r="T693" s="25"/>
      <c r="U693" s="25"/>
      <c r="V693" s="25"/>
      <c r="W693" s="25"/>
      <c r="X693" s="25"/>
      <c r="Y693" s="25"/>
    </row>
    <row r="694" spans="9:25" x14ac:dyDescent="0.2">
      <c r="I694" s="25"/>
      <c r="J694" s="25"/>
      <c r="K694" s="25"/>
      <c r="L694" s="25"/>
      <c r="N694" s="25"/>
      <c r="O694" s="25"/>
      <c r="P694" s="25"/>
      <c r="Q694" s="25"/>
      <c r="R694" s="25"/>
      <c r="S694" s="25"/>
      <c r="T694" s="25"/>
      <c r="U694" s="25"/>
      <c r="V694" s="25"/>
      <c r="W694" s="25"/>
      <c r="X694" s="25"/>
      <c r="Y694" s="25"/>
    </row>
    <row r="695" spans="9:25" x14ac:dyDescent="0.2">
      <c r="I695" s="25"/>
      <c r="J695" s="25"/>
      <c r="K695" s="25"/>
      <c r="L695" s="25"/>
      <c r="N695" s="25"/>
      <c r="O695" s="25"/>
      <c r="P695" s="25"/>
      <c r="Q695" s="25"/>
      <c r="R695" s="25"/>
      <c r="S695" s="25"/>
      <c r="T695" s="25"/>
      <c r="U695" s="25"/>
      <c r="V695" s="25"/>
      <c r="W695" s="25"/>
      <c r="X695" s="25"/>
      <c r="Y695" s="25"/>
    </row>
    <row r="696" spans="9:25" x14ac:dyDescent="0.2">
      <c r="I696" s="25"/>
      <c r="J696" s="25"/>
      <c r="K696" s="25"/>
      <c r="L696" s="25"/>
      <c r="N696" s="25"/>
      <c r="O696" s="25"/>
      <c r="P696" s="25"/>
      <c r="Q696" s="25"/>
      <c r="R696" s="25"/>
      <c r="S696" s="25"/>
      <c r="T696" s="25"/>
      <c r="U696" s="25"/>
      <c r="V696" s="25"/>
      <c r="W696" s="25"/>
      <c r="X696" s="25"/>
      <c r="Y696" s="25"/>
    </row>
    <row r="697" spans="9:25" x14ac:dyDescent="0.2">
      <c r="I697" s="25"/>
      <c r="J697" s="25"/>
      <c r="K697" s="25"/>
      <c r="L697" s="25"/>
      <c r="N697" s="25"/>
      <c r="O697" s="25"/>
      <c r="P697" s="25"/>
      <c r="Q697" s="25"/>
      <c r="R697" s="25"/>
      <c r="S697" s="25"/>
      <c r="T697" s="25"/>
      <c r="U697" s="25"/>
      <c r="V697" s="25"/>
      <c r="W697" s="25"/>
      <c r="X697" s="25"/>
      <c r="Y697" s="25"/>
    </row>
    <row r="698" spans="9:25" x14ac:dyDescent="0.2">
      <c r="I698" s="25"/>
      <c r="J698" s="25"/>
      <c r="K698" s="25"/>
      <c r="L698" s="25"/>
      <c r="N698" s="25"/>
      <c r="O698" s="25"/>
      <c r="P698" s="25"/>
      <c r="Q698" s="25"/>
      <c r="R698" s="25"/>
      <c r="S698" s="25"/>
      <c r="T698" s="25"/>
      <c r="U698" s="25"/>
      <c r="V698" s="25"/>
      <c r="W698" s="25"/>
      <c r="X698" s="25"/>
      <c r="Y698" s="25"/>
    </row>
    <row r="699" spans="9:25" x14ac:dyDescent="0.2">
      <c r="I699" s="25"/>
      <c r="J699" s="25"/>
      <c r="K699" s="25"/>
      <c r="L699" s="25"/>
      <c r="N699" s="25"/>
      <c r="O699" s="25"/>
      <c r="P699" s="25"/>
      <c r="Q699" s="25"/>
      <c r="R699" s="25"/>
      <c r="S699" s="25"/>
      <c r="T699" s="25"/>
      <c r="U699" s="25"/>
      <c r="V699" s="25"/>
      <c r="W699" s="25"/>
      <c r="X699" s="25"/>
      <c r="Y699" s="25"/>
    </row>
    <row r="700" spans="9:25" x14ac:dyDescent="0.2">
      <c r="I700" s="25"/>
      <c r="J700" s="25"/>
      <c r="K700" s="25"/>
      <c r="L700" s="25"/>
      <c r="N700" s="25"/>
      <c r="O700" s="25"/>
      <c r="P700" s="25"/>
      <c r="Q700" s="25"/>
      <c r="R700" s="25"/>
      <c r="S700" s="25"/>
      <c r="T700" s="25"/>
      <c r="U700" s="25"/>
      <c r="V700" s="25"/>
      <c r="W700" s="25"/>
      <c r="X700" s="25"/>
      <c r="Y700" s="25"/>
    </row>
    <row r="701" spans="9:25" x14ac:dyDescent="0.2">
      <c r="I701" s="25"/>
      <c r="J701" s="25"/>
      <c r="K701" s="25"/>
      <c r="L701" s="25"/>
      <c r="N701" s="25"/>
      <c r="O701" s="25"/>
      <c r="P701" s="25"/>
      <c r="Q701" s="25"/>
      <c r="R701" s="25"/>
      <c r="S701" s="25"/>
      <c r="T701" s="25"/>
      <c r="U701" s="25"/>
      <c r="V701" s="25"/>
      <c r="W701" s="25"/>
      <c r="X701" s="25"/>
      <c r="Y701" s="25"/>
    </row>
    <row r="702" spans="9:25" x14ac:dyDescent="0.2">
      <c r="I702" s="25"/>
      <c r="J702" s="25"/>
      <c r="K702" s="25"/>
      <c r="L702" s="25"/>
      <c r="N702" s="25"/>
      <c r="O702" s="25"/>
      <c r="P702" s="25"/>
      <c r="Q702" s="25"/>
      <c r="R702" s="25"/>
      <c r="S702" s="25"/>
      <c r="T702" s="25"/>
      <c r="U702" s="25"/>
      <c r="V702" s="25"/>
      <c r="W702" s="25"/>
      <c r="X702" s="25"/>
      <c r="Y702" s="25"/>
    </row>
    <row r="703" spans="9:25" x14ac:dyDescent="0.2">
      <c r="I703" s="25"/>
      <c r="J703" s="25"/>
      <c r="K703" s="25"/>
      <c r="L703" s="25"/>
      <c r="N703" s="25"/>
      <c r="O703" s="25"/>
      <c r="P703" s="25"/>
      <c r="Q703" s="25"/>
      <c r="R703" s="25"/>
      <c r="S703" s="25"/>
      <c r="T703" s="25"/>
      <c r="U703" s="25"/>
      <c r="V703" s="25"/>
      <c r="W703" s="25"/>
      <c r="X703" s="25"/>
      <c r="Y703" s="25"/>
    </row>
    <row r="704" spans="9:25" x14ac:dyDescent="0.2">
      <c r="I704" s="25"/>
      <c r="J704" s="25"/>
      <c r="K704" s="25"/>
      <c r="L704" s="25"/>
      <c r="N704" s="25"/>
      <c r="O704" s="25"/>
      <c r="P704" s="25"/>
      <c r="Q704" s="25"/>
      <c r="R704" s="25"/>
      <c r="S704" s="25"/>
      <c r="T704" s="25"/>
      <c r="U704" s="25"/>
      <c r="V704" s="25"/>
      <c r="W704" s="25"/>
      <c r="X704" s="25"/>
      <c r="Y704" s="25"/>
    </row>
    <row r="705" spans="9:25" x14ac:dyDescent="0.2">
      <c r="I705" s="25"/>
      <c r="J705" s="25"/>
      <c r="K705" s="25"/>
      <c r="L705" s="25"/>
      <c r="N705" s="25"/>
      <c r="O705" s="25"/>
      <c r="P705" s="25"/>
      <c r="Q705" s="25"/>
      <c r="R705" s="25"/>
      <c r="S705" s="25"/>
      <c r="T705" s="25"/>
      <c r="U705" s="25"/>
      <c r="V705" s="25"/>
      <c r="W705" s="25"/>
      <c r="X705" s="25"/>
      <c r="Y705" s="25"/>
    </row>
    <row r="706" spans="9:25" x14ac:dyDescent="0.2">
      <c r="I706" s="25"/>
      <c r="J706" s="25"/>
      <c r="K706" s="25"/>
      <c r="L706" s="25"/>
      <c r="N706" s="25"/>
      <c r="O706" s="25"/>
      <c r="P706" s="25"/>
      <c r="Q706" s="25"/>
      <c r="R706" s="25"/>
      <c r="S706" s="25"/>
      <c r="T706" s="25"/>
      <c r="U706" s="25"/>
      <c r="V706" s="25"/>
      <c r="W706" s="25"/>
      <c r="X706" s="25"/>
      <c r="Y706" s="25"/>
    </row>
    <row r="707" spans="9:25" x14ac:dyDescent="0.2">
      <c r="I707" s="25"/>
      <c r="J707" s="25"/>
      <c r="K707" s="25"/>
      <c r="L707" s="25"/>
      <c r="N707" s="25"/>
      <c r="O707" s="25"/>
      <c r="P707" s="25"/>
      <c r="Q707" s="25"/>
      <c r="R707" s="25"/>
      <c r="S707" s="25"/>
      <c r="T707" s="25"/>
      <c r="U707" s="25"/>
      <c r="V707" s="25"/>
      <c r="W707" s="25"/>
      <c r="X707" s="25"/>
      <c r="Y707" s="25"/>
    </row>
    <row r="708" spans="9:25" x14ac:dyDescent="0.2">
      <c r="I708" s="25"/>
      <c r="J708" s="25"/>
      <c r="K708" s="25"/>
      <c r="L708" s="25"/>
      <c r="N708" s="25"/>
      <c r="O708" s="25"/>
      <c r="P708" s="25"/>
      <c r="Q708" s="25"/>
      <c r="R708" s="25"/>
      <c r="S708" s="25"/>
      <c r="T708" s="25"/>
      <c r="U708" s="25"/>
      <c r="V708" s="25"/>
      <c r="W708" s="25"/>
      <c r="X708" s="25"/>
      <c r="Y708" s="25"/>
    </row>
    <row r="709" spans="9:25" x14ac:dyDescent="0.2">
      <c r="I709" s="25"/>
      <c r="J709" s="25"/>
      <c r="K709" s="25"/>
      <c r="L709" s="25"/>
      <c r="N709" s="25"/>
      <c r="O709" s="25"/>
      <c r="P709" s="25"/>
      <c r="Q709" s="25"/>
      <c r="R709" s="25"/>
      <c r="S709" s="25"/>
      <c r="T709" s="25"/>
      <c r="U709" s="25"/>
      <c r="V709" s="25"/>
      <c r="W709" s="25"/>
      <c r="X709" s="25"/>
      <c r="Y709" s="25"/>
    </row>
    <row r="710" spans="9:25" x14ac:dyDescent="0.2">
      <c r="I710" s="25"/>
      <c r="J710" s="25"/>
      <c r="K710" s="25"/>
      <c r="L710" s="25"/>
      <c r="N710" s="25"/>
      <c r="O710" s="25"/>
      <c r="P710" s="25"/>
      <c r="Q710" s="25"/>
      <c r="R710" s="25"/>
      <c r="S710" s="25"/>
      <c r="T710" s="25"/>
      <c r="U710" s="25"/>
      <c r="V710" s="25"/>
      <c r="W710" s="25"/>
      <c r="X710" s="25"/>
      <c r="Y710" s="25"/>
    </row>
    <row r="711" spans="9:25" x14ac:dyDescent="0.2">
      <c r="I711" s="25"/>
      <c r="J711" s="25"/>
      <c r="K711" s="25"/>
      <c r="L711" s="25"/>
      <c r="N711" s="25"/>
      <c r="O711" s="25"/>
      <c r="P711" s="25"/>
      <c r="Q711" s="25"/>
      <c r="R711" s="25"/>
      <c r="S711" s="25"/>
      <c r="T711" s="25"/>
      <c r="U711" s="25"/>
      <c r="V711" s="25"/>
      <c r="W711" s="25"/>
      <c r="X711" s="25"/>
      <c r="Y711" s="25"/>
    </row>
    <row r="712" spans="9:25" x14ac:dyDescent="0.2">
      <c r="I712" s="25"/>
      <c r="J712" s="25"/>
      <c r="K712" s="25"/>
      <c r="L712" s="25"/>
      <c r="N712" s="25"/>
      <c r="O712" s="25"/>
      <c r="P712" s="25"/>
      <c r="Q712" s="25"/>
      <c r="R712" s="25"/>
      <c r="S712" s="25"/>
      <c r="T712" s="25"/>
      <c r="U712" s="25"/>
      <c r="V712" s="25"/>
      <c r="W712" s="25"/>
      <c r="X712" s="25"/>
      <c r="Y712" s="25"/>
    </row>
    <row r="713" spans="9:25" x14ac:dyDescent="0.2">
      <c r="I713" s="25"/>
      <c r="J713" s="25"/>
      <c r="K713" s="25"/>
      <c r="L713" s="25"/>
      <c r="N713" s="25"/>
      <c r="O713" s="25"/>
      <c r="P713" s="25"/>
      <c r="Q713" s="25"/>
      <c r="R713" s="25"/>
      <c r="S713" s="25"/>
      <c r="T713" s="25"/>
      <c r="U713" s="25"/>
      <c r="V713" s="25"/>
      <c r="W713" s="25"/>
      <c r="X713" s="25"/>
      <c r="Y713" s="25"/>
    </row>
    <row r="714" spans="9:25" x14ac:dyDescent="0.2">
      <c r="I714" s="25"/>
      <c r="J714" s="25"/>
      <c r="K714" s="25"/>
      <c r="L714" s="25"/>
      <c r="N714" s="25"/>
      <c r="O714" s="25"/>
      <c r="P714" s="25"/>
      <c r="Q714" s="25"/>
      <c r="R714" s="25"/>
      <c r="S714" s="25"/>
      <c r="T714" s="25"/>
      <c r="U714" s="25"/>
      <c r="V714" s="25"/>
      <c r="W714" s="25"/>
      <c r="X714" s="25"/>
      <c r="Y714" s="25"/>
    </row>
    <row r="715" spans="9:25" x14ac:dyDescent="0.2">
      <c r="I715" s="25"/>
      <c r="J715" s="25"/>
      <c r="K715" s="25"/>
      <c r="L715" s="25"/>
      <c r="N715" s="25"/>
      <c r="O715" s="25"/>
      <c r="P715" s="25"/>
      <c r="Q715" s="25"/>
      <c r="R715" s="25"/>
      <c r="S715" s="25"/>
      <c r="T715" s="25"/>
      <c r="U715" s="25"/>
      <c r="V715" s="25"/>
      <c r="W715" s="25"/>
      <c r="X715" s="25"/>
      <c r="Y715" s="25"/>
    </row>
    <row r="716" spans="9:25" x14ac:dyDescent="0.2">
      <c r="I716" s="25"/>
      <c r="J716" s="25"/>
      <c r="K716" s="25"/>
      <c r="L716" s="25"/>
      <c r="N716" s="25"/>
      <c r="O716" s="25"/>
      <c r="P716" s="25"/>
      <c r="Q716" s="25"/>
      <c r="R716" s="25"/>
      <c r="S716" s="25"/>
      <c r="T716" s="25"/>
      <c r="U716" s="25"/>
      <c r="V716" s="25"/>
      <c r="W716" s="25"/>
      <c r="X716" s="25"/>
      <c r="Y716" s="25"/>
    </row>
    <row r="717" spans="9:25" x14ac:dyDescent="0.2">
      <c r="I717" s="25"/>
      <c r="J717" s="25"/>
      <c r="K717" s="25"/>
      <c r="L717" s="25"/>
      <c r="N717" s="25"/>
      <c r="O717" s="25"/>
      <c r="P717" s="25"/>
      <c r="Q717" s="25"/>
      <c r="R717" s="25"/>
      <c r="S717" s="25"/>
      <c r="T717" s="25"/>
      <c r="U717" s="25"/>
      <c r="V717" s="25"/>
      <c r="W717" s="25"/>
      <c r="X717" s="25"/>
      <c r="Y717" s="25"/>
    </row>
    <row r="718" spans="9:25" x14ac:dyDescent="0.2">
      <c r="I718" s="25"/>
      <c r="J718" s="25"/>
      <c r="K718" s="25"/>
      <c r="L718" s="25"/>
      <c r="N718" s="25"/>
      <c r="O718" s="25"/>
      <c r="P718" s="25"/>
      <c r="Q718" s="25"/>
      <c r="R718" s="25"/>
      <c r="S718" s="25"/>
      <c r="T718" s="25"/>
      <c r="U718" s="25"/>
      <c r="V718" s="25"/>
      <c r="W718" s="25"/>
      <c r="X718" s="25"/>
      <c r="Y718" s="25"/>
    </row>
    <row r="719" spans="9:25" x14ac:dyDescent="0.2">
      <c r="I719" s="25"/>
      <c r="J719" s="25"/>
      <c r="K719" s="25"/>
      <c r="L719" s="25"/>
      <c r="N719" s="25"/>
      <c r="O719" s="25"/>
      <c r="P719" s="25"/>
      <c r="Q719" s="25"/>
      <c r="R719" s="25"/>
      <c r="S719" s="25"/>
      <c r="T719" s="25"/>
      <c r="U719" s="25"/>
      <c r="V719" s="25"/>
      <c r="W719" s="25"/>
      <c r="X719" s="25"/>
      <c r="Y719" s="25"/>
    </row>
    <row r="720" spans="9:25" x14ac:dyDescent="0.2">
      <c r="I720" s="25"/>
      <c r="J720" s="25"/>
      <c r="K720" s="25"/>
      <c r="L720" s="25"/>
      <c r="N720" s="25"/>
      <c r="O720" s="25"/>
      <c r="P720" s="25"/>
      <c r="Q720" s="25"/>
      <c r="R720" s="25"/>
      <c r="S720" s="25"/>
      <c r="T720" s="25"/>
      <c r="U720" s="25"/>
      <c r="V720" s="25"/>
      <c r="W720" s="25"/>
      <c r="X720" s="25"/>
      <c r="Y720" s="25"/>
    </row>
    <row r="721" spans="9:25" x14ac:dyDescent="0.2">
      <c r="I721" s="25"/>
      <c r="J721" s="25"/>
      <c r="K721" s="25"/>
      <c r="L721" s="25"/>
      <c r="N721" s="25"/>
      <c r="O721" s="25"/>
      <c r="P721" s="25"/>
      <c r="Q721" s="25"/>
      <c r="R721" s="25"/>
      <c r="S721" s="25"/>
      <c r="T721" s="25"/>
      <c r="U721" s="25"/>
      <c r="V721" s="25"/>
      <c r="W721" s="25"/>
      <c r="X721" s="25"/>
      <c r="Y721" s="25"/>
    </row>
    <row r="722" spans="9:25" x14ac:dyDescent="0.2">
      <c r="I722" s="25"/>
      <c r="J722" s="25"/>
      <c r="K722" s="25"/>
      <c r="L722" s="25"/>
      <c r="N722" s="25"/>
      <c r="O722" s="25"/>
      <c r="P722" s="25"/>
      <c r="Q722" s="25"/>
      <c r="R722" s="25"/>
      <c r="S722" s="25"/>
      <c r="T722" s="25"/>
      <c r="U722" s="25"/>
      <c r="V722" s="25"/>
      <c r="W722" s="25"/>
      <c r="X722" s="25"/>
      <c r="Y722" s="25"/>
    </row>
    <row r="723" spans="9:25" x14ac:dyDescent="0.2">
      <c r="I723" s="25"/>
      <c r="J723" s="25"/>
      <c r="K723" s="25"/>
      <c r="L723" s="25"/>
      <c r="N723" s="25"/>
      <c r="O723" s="25"/>
      <c r="P723" s="25"/>
      <c r="Q723" s="25"/>
      <c r="R723" s="25"/>
      <c r="S723" s="25"/>
      <c r="T723" s="25"/>
      <c r="U723" s="25"/>
      <c r="V723" s="25"/>
      <c r="W723" s="25"/>
      <c r="X723" s="25"/>
      <c r="Y723" s="25"/>
    </row>
    <row r="724" spans="9:25" x14ac:dyDescent="0.2">
      <c r="I724" s="25"/>
      <c r="J724" s="25"/>
      <c r="K724" s="25"/>
      <c r="L724" s="25"/>
      <c r="N724" s="25"/>
      <c r="O724" s="25"/>
      <c r="P724" s="25"/>
      <c r="Q724" s="25"/>
      <c r="R724" s="25"/>
      <c r="S724" s="25"/>
      <c r="T724" s="25"/>
      <c r="U724" s="25"/>
      <c r="V724" s="25"/>
      <c r="W724" s="25"/>
      <c r="X724" s="25"/>
      <c r="Y724" s="25"/>
    </row>
    <row r="725" spans="9:25" x14ac:dyDescent="0.2">
      <c r="I725" s="25"/>
      <c r="J725" s="25"/>
      <c r="K725" s="25"/>
      <c r="L725" s="25"/>
      <c r="N725" s="25"/>
      <c r="O725" s="25"/>
      <c r="P725" s="25"/>
      <c r="Q725" s="25"/>
      <c r="R725" s="25"/>
      <c r="S725" s="25"/>
      <c r="T725" s="25"/>
      <c r="U725" s="25"/>
      <c r="V725" s="25"/>
      <c r="W725" s="25"/>
      <c r="X725" s="25"/>
      <c r="Y725" s="25"/>
    </row>
    <row r="726" spans="9:25" x14ac:dyDescent="0.2">
      <c r="I726" s="25"/>
      <c r="J726" s="25"/>
      <c r="K726" s="25"/>
      <c r="L726" s="25"/>
      <c r="N726" s="25"/>
      <c r="O726" s="25"/>
      <c r="P726" s="25"/>
      <c r="Q726" s="25"/>
      <c r="R726" s="25"/>
      <c r="S726" s="25"/>
      <c r="T726" s="25"/>
      <c r="U726" s="25"/>
      <c r="V726" s="25"/>
      <c r="W726" s="25"/>
      <c r="X726" s="25"/>
      <c r="Y726" s="25"/>
    </row>
    <row r="727" spans="9:25" x14ac:dyDescent="0.2">
      <c r="I727" s="25"/>
      <c r="J727" s="25"/>
      <c r="K727" s="25"/>
      <c r="L727" s="25"/>
      <c r="N727" s="25"/>
      <c r="O727" s="25"/>
      <c r="P727" s="25"/>
      <c r="Q727" s="25"/>
      <c r="R727" s="25"/>
      <c r="S727" s="25"/>
      <c r="T727" s="25"/>
      <c r="U727" s="25"/>
      <c r="V727" s="25"/>
      <c r="W727" s="25"/>
      <c r="X727" s="25"/>
      <c r="Y727" s="25"/>
    </row>
    <row r="728" spans="9:25" x14ac:dyDescent="0.2">
      <c r="I728" s="25"/>
      <c r="J728" s="25"/>
      <c r="K728" s="25"/>
      <c r="L728" s="25"/>
      <c r="N728" s="25"/>
      <c r="O728" s="25"/>
      <c r="P728" s="25"/>
      <c r="Q728" s="25"/>
      <c r="R728" s="25"/>
      <c r="S728" s="25"/>
      <c r="T728" s="25"/>
      <c r="U728" s="25"/>
      <c r="V728" s="25"/>
      <c r="W728" s="25"/>
      <c r="X728" s="25"/>
      <c r="Y728" s="25"/>
    </row>
    <row r="729" spans="9:25" x14ac:dyDescent="0.2">
      <c r="I729" s="25"/>
      <c r="J729" s="25"/>
      <c r="K729" s="25"/>
      <c r="L729" s="25"/>
      <c r="N729" s="25"/>
      <c r="O729" s="25"/>
      <c r="P729" s="25"/>
      <c r="Q729" s="25"/>
      <c r="R729" s="25"/>
      <c r="S729" s="25"/>
      <c r="T729" s="25"/>
      <c r="U729" s="25"/>
      <c r="V729" s="25"/>
      <c r="W729" s="25"/>
      <c r="X729" s="25"/>
      <c r="Y729" s="25"/>
    </row>
    <row r="730" spans="9:25" x14ac:dyDescent="0.2">
      <c r="I730" s="25"/>
      <c r="J730" s="25"/>
      <c r="K730" s="25"/>
      <c r="L730" s="25"/>
      <c r="N730" s="25"/>
      <c r="O730" s="25"/>
      <c r="P730" s="25"/>
      <c r="Q730" s="25"/>
      <c r="R730" s="25"/>
      <c r="S730" s="25"/>
      <c r="T730" s="25"/>
      <c r="U730" s="25"/>
      <c r="V730" s="25"/>
      <c r="W730" s="25"/>
      <c r="X730" s="25"/>
      <c r="Y730" s="25"/>
    </row>
    <row r="731" spans="9:25" x14ac:dyDescent="0.2">
      <c r="I731" s="25"/>
      <c r="J731" s="25"/>
      <c r="K731" s="25"/>
      <c r="L731" s="25"/>
      <c r="N731" s="25"/>
      <c r="O731" s="25"/>
      <c r="P731" s="25"/>
      <c r="Q731" s="25"/>
      <c r="R731" s="25"/>
      <c r="S731" s="25"/>
      <c r="T731" s="25"/>
      <c r="U731" s="25"/>
      <c r="V731" s="25"/>
      <c r="W731" s="25"/>
      <c r="X731" s="25"/>
      <c r="Y731" s="25"/>
    </row>
    <row r="732" spans="9:25" x14ac:dyDescent="0.2">
      <c r="I732" s="25"/>
      <c r="J732" s="25"/>
      <c r="K732" s="25"/>
      <c r="L732" s="25"/>
      <c r="N732" s="25"/>
      <c r="O732" s="25"/>
      <c r="P732" s="25"/>
      <c r="Q732" s="25"/>
      <c r="R732" s="25"/>
      <c r="S732" s="25"/>
      <c r="T732" s="25"/>
      <c r="U732" s="25"/>
      <c r="V732" s="25"/>
      <c r="W732" s="25"/>
      <c r="X732" s="25"/>
      <c r="Y732" s="25"/>
    </row>
    <row r="733" spans="9:25" x14ac:dyDescent="0.2">
      <c r="I733" s="25"/>
      <c r="J733" s="25"/>
      <c r="K733" s="25"/>
      <c r="L733" s="25"/>
      <c r="N733" s="25"/>
      <c r="O733" s="25"/>
      <c r="P733" s="25"/>
      <c r="Q733" s="25"/>
      <c r="R733" s="25"/>
      <c r="S733" s="25"/>
      <c r="T733" s="25"/>
      <c r="U733" s="25"/>
      <c r="V733" s="25"/>
      <c r="W733" s="25"/>
      <c r="X733" s="25"/>
      <c r="Y733" s="25"/>
    </row>
    <row r="734" spans="9:25" x14ac:dyDescent="0.2">
      <c r="I734" s="25"/>
      <c r="J734" s="25"/>
      <c r="K734" s="25"/>
      <c r="L734" s="25"/>
      <c r="N734" s="25"/>
      <c r="O734" s="25"/>
      <c r="P734" s="25"/>
      <c r="Q734" s="25"/>
      <c r="R734" s="25"/>
      <c r="S734" s="25"/>
      <c r="T734" s="25"/>
      <c r="U734" s="25"/>
      <c r="V734" s="25"/>
      <c r="W734" s="25"/>
      <c r="X734" s="25"/>
      <c r="Y734" s="25"/>
    </row>
    <row r="735" spans="9:25" x14ac:dyDescent="0.2">
      <c r="I735" s="25"/>
      <c r="J735" s="25"/>
      <c r="K735" s="25"/>
      <c r="L735" s="25"/>
      <c r="N735" s="25"/>
      <c r="O735" s="25"/>
      <c r="P735" s="25"/>
      <c r="Q735" s="25"/>
      <c r="R735" s="25"/>
      <c r="S735" s="25"/>
      <c r="T735" s="25"/>
      <c r="U735" s="25"/>
      <c r="V735" s="25"/>
      <c r="W735" s="25"/>
      <c r="X735" s="25"/>
      <c r="Y735" s="25"/>
    </row>
    <row r="736" spans="9:25" x14ac:dyDescent="0.2">
      <c r="I736" s="25"/>
      <c r="J736" s="25"/>
      <c r="K736" s="25"/>
      <c r="L736" s="25"/>
      <c r="N736" s="25"/>
      <c r="O736" s="25"/>
      <c r="P736" s="25"/>
      <c r="Q736" s="25"/>
      <c r="R736" s="25"/>
      <c r="S736" s="25"/>
      <c r="T736" s="25"/>
      <c r="U736" s="25"/>
      <c r="V736" s="25"/>
      <c r="W736" s="25"/>
      <c r="X736" s="25"/>
      <c r="Y736" s="25"/>
    </row>
    <row r="737" spans="9:25" x14ac:dyDescent="0.2">
      <c r="I737" s="25"/>
      <c r="J737" s="25"/>
      <c r="K737" s="25"/>
      <c r="L737" s="25"/>
      <c r="N737" s="25"/>
      <c r="O737" s="25"/>
      <c r="P737" s="25"/>
      <c r="Q737" s="25"/>
      <c r="R737" s="25"/>
      <c r="S737" s="25"/>
      <c r="T737" s="25"/>
      <c r="U737" s="25"/>
      <c r="V737" s="25"/>
      <c r="W737" s="25"/>
      <c r="X737" s="25"/>
      <c r="Y737" s="25"/>
    </row>
    <row r="738" spans="9:25" x14ac:dyDescent="0.2">
      <c r="I738" s="25"/>
      <c r="J738" s="25"/>
      <c r="K738" s="25"/>
      <c r="L738" s="25"/>
      <c r="N738" s="25"/>
      <c r="O738" s="25"/>
      <c r="P738" s="25"/>
      <c r="Q738" s="25"/>
      <c r="R738" s="25"/>
      <c r="S738" s="25"/>
      <c r="T738" s="25"/>
      <c r="U738" s="25"/>
      <c r="V738" s="25"/>
      <c r="W738" s="25"/>
      <c r="X738" s="25"/>
      <c r="Y738" s="25"/>
    </row>
    <row r="739" spans="9:25" x14ac:dyDescent="0.2">
      <c r="I739" s="25"/>
      <c r="J739" s="25"/>
      <c r="K739" s="25"/>
      <c r="L739" s="25"/>
      <c r="N739" s="25"/>
      <c r="O739" s="25"/>
      <c r="P739" s="25"/>
      <c r="Q739" s="25"/>
      <c r="R739" s="25"/>
      <c r="S739" s="25"/>
      <c r="T739" s="25"/>
      <c r="U739" s="25"/>
      <c r="V739" s="25"/>
      <c r="W739" s="25"/>
      <c r="X739" s="25"/>
      <c r="Y739" s="25"/>
    </row>
    <row r="740" spans="9:25" x14ac:dyDescent="0.2">
      <c r="I740" s="25"/>
      <c r="J740" s="25"/>
      <c r="K740" s="25"/>
      <c r="L740" s="25"/>
      <c r="N740" s="25"/>
      <c r="O740" s="25"/>
      <c r="P740" s="25"/>
      <c r="Q740" s="25"/>
      <c r="R740" s="25"/>
      <c r="S740" s="25"/>
      <c r="T740" s="25"/>
      <c r="U740" s="25"/>
      <c r="V740" s="25"/>
      <c r="W740" s="25"/>
      <c r="X740" s="25"/>
      <c r="Y740" s="25"/>
    </row>
    <row r="741" spans="9:25" x14ac:dyDescent="0.2">
      <c r="I741" s="25"/>
      <c r="J741" s="25"/>
      <c r="K741" s="25"/>
      <c r="L741" s="25"/>
      <c r="N741" s="25"/>
      <c r="O741" s="25"/>
      <c r="P741" s="25"/>
      <c r="Q741" s="25"/>
      <c r="R741" s="25"/>
      <c r="S741" s="25"/>
      <c r="T741" s="25"/>
      <c r="U741" s="25"/>
      <c r="V741" s="25"/>
      <c r="W741" s="25"/>
      <c r="X741" s="25"/>
      <c r="Y741" s="25"/>
    </row>
    <row r="742" spans="9:25" x14ac:dyDescent="0.2">
      <c r="I742" s="25"/>
      <c r="J742" s="25"/>
      <c r="K742" s="25"/>
      <c r="L742" s="25"/>
      <c r="N742" s="25"/>
      <c r="O742" s="25"/>
      <c r="P742" s="25"/>
      <c r="Q742" s="25"/>
      <c r="R742" s="25"/>
      <c r="S742" s="25"/>
      <c r="T742" s="25"/>
      <c r="U742" s="25"/>
      <c r="V742" s="25"/>
      <c r="W742" s="25"/>
      <c r="X742" s="25"/>
      <c r="Y742" s="25"/>
    </row>
    <row r="743" spans="9:25" x14ac:dyDescent="0.2">
      <c r="I743" s="25"/>
      <c r="J743" s="25"/>
      <c r="K743" s="25"/>
      <c r="L743" s="25"/>
      <c r="N743" s="25"/>
      <c r="O743" s="25"/>
      <c r="P743" s="25"/>
      <c r="Q743" s="25"/>
      <c r="R743" s="25"/>
      <c r="S743" s="25"/>
      <c r="T743" s="25"/>
      <c r="U743" s="25"/>
      <c r="V743" s="25"/>
      <c r="W743" s="25"/>
      <c r="X743" s="25"/>
      <c r="Y743" s="25"/>
    </row>
    <row r="744" spans="9:25" x14ac:dyDescent="0.2">
      <c r="I744" s="25"/>
      <c r="J744" s="25"/>
      <c r="K744" s="25"/>
      <c r="L744" s="25"/>
      <c r="N744" s="25"/>
      <c r="O744" s="25"/>
      <c r="P744" s="25"/>
      <c r="Q744" s="25"/>
      <c r="R744" s="25"/>
      <c r="S744" s="25"/>
      <c r="T744" s="25"/>
      <c r="U744" s="25"/>
      <c r="V744" s="25"/>
      <c r="W744" s="25"/>
      <c r="X744" s="25"/>
      <c r="Y744" s="25"/>
    </row>
    <row r="745" spans="9:25" x14ac:dyDescent="0.2">
      <c r="I745" s="25"/>
      <c r="J745" s="25"/>
      <c r="K745" s="25"/>
      <c r="L745" s="25"/>
      <c r="N745" s="25"/>
      <c r="O745" s="25"/>
      <c r="P745" s="25"/>
      <c r="Q745" s="25"/>
      <c r="R745" s="25"/>
      <c r="S745" s="25"/>
      <c r="T745" s="25"/>
      <c r="U745" s="25"/>
      <c r="V745" s="25"/>
      <c r="W745" s="25"/>
      <c r="X745" s="25"/>
      <c r="Y745" s="25"/>
    </row>
    <row r="746" spans="9:25" x14ac:dyDescent="0.2">
      <c r="I746" s="25"/>
      <c r="J746" s="25"/>
      <c r="K746" s="25"/>
      <c r="L746" s="25"/>
      <c r="N746" s="25"/>
      <c r="O746" s="25"/>
      <c r="P746" s="25"/>
      <c r="Q746" s="25"/>
      <c r="R746" s="25"/>
      <c r="S746" s="25"/>
      <c r="T746" s="25"/>
      <c r="U746" s="25"/>
      <c r="V746" s="25"/>
      <c r="W746" s="25"/>
      <c r="X746" s="25"/>
      <c r="Y746" s="25"/>
    </row>
    <row r="747" spans="9:25" x14ac:dyDescent="0.2">
      <c r="I747" s="25"/>
      <c r="J747" s="25"/>
      <c r="K747" s="25"/>
      <c r="L747" s="25"/>
      <c r="N747" s="25"/>
      <c r="O747" s="25"/>
      <c r="P747" s="25"/>
      <c r="Q747" s="25"/>
      <c r="R747" s="25"/>
      <c r="S747" s="25"/>
      <c r="T747" s="25"/>
      <c r="U747" s="25"/>
      <c r="V747" s="25"/>
      <c r="W747" s="25"/>
      <c r="X747" s="25"/>
      <c r="Y747" s="25"/>
    </row>
    <row r="748" spans="9:25" x14ac:dyDescent="0.2">
      <c r="I748" s="25"/>
      <c r="J748" s="25"/>
      <c r="K748" s="25"/>
      <c r="L748" s="25"/>
      <c r="N748" s="25"/>
      <c r="O748" s="25"/>
      <c r="P748" s="25"/>
      <c r="Q748" s="25"/>
      <c r="R748" s="25"/>
      <c r="S748" s="25"/>
      <c r="T748" s="25"/>
      <c r="U748" s="25"/>
      <c r="V748" s="25"/>
      <c r="W748" s="25"/>
      <c r="X748" s="25"/>
      <c r="Y748" s="25"/>
    </row>
    <row r="749" spans="9:25" x14ac:dyDescent="0.2">
      <c r="I749" s="25"/>
      <c r="J749" s="25"/>
      <c r="K749" s="25"/>
      <c r="L749" s="25"/>
      <c r="N749" s="25"/>
      <c r="O749" s="25"/>
      <c r="P749" s="25"/>
      <c r="Q749" s="25"/>
      <c r="R749" s="25"/>
      <c r="S749" s="25"/>
      <c r="T749" s="25"/>
      <c r="U749" s="25"/>
      <c r="V749" s="25"/>
      <c r="W749" s="25"/>
      <c r="X749" s="25"/>
      <c r="Y749" s="25"/>
    </row>
    <row r="750" spans="9:25" x14ac:dyDescent="0.2">
      <c r="I750" s="25"/>
      <c r="J750" s="25"/>
      <c r="K750" s="25"/>
      <c r="L750" s="25"/>
      <c r="N750" s="25"/>
      <c r="O750" s="25"/>
      <c r="P750" s="25"/>
      <c r="Q750" s="25"/>
      <c r="R750" s="25"/>
      <c r="S750" s="25"/>
      <c r="T750" s="25"/>
      <c r="U750" s="25"/>
      <c r="V750" s="25"/>
      <c r="W750" s="25"/>
      <c r="X750" s="25"/>
      <c r="Y750" s="25"/>
    </row>
    <row r="751" spans="9:25" x14ac:dyDescent="0.2">
      <c r="I751" s="25"/>
      <c r="J751" s="25"/>
      <c r="K751" s="25"/>
      <c r="L751" s="25"/>
      <c r="N751" s="25"/>
      <c r="O751" s="25"/>
      <c r="P751" s="25"/>
      <c r="Q751" s="25"/>
      <c r="R751" s="25"/>
      <c r="S751" s="25"/>
      <c r="T751" s="25"/>
      <c r="U751" s="25"/>
      <c r="V751" s="25"/>
      <c r="W751" s="25"/>
      <c r="X751" s="25"/>
      <c r="Y751" s="25"/>
    </row>
    <row r="752" spans="9:25" x14ac:dyDescent="0.2">
      <c r="I752" s="25"/>
      <c r="J752" s="25"/>
      <c r="K752" s="25"/>
      <c r="L752" s="25"/>
      <c r="N752" s="25"/>
      <c r="O752" s="25"/>
      <c r="P752" s="25"/>
      <c r="Q752" s="25"/>
      <c r="R752" s="25"/>
      <c r="S752" s="25"/>
      <c r="T752" s="25"/>
      <c r="U752" s="25"/>
      <c r="V752" s="25"/>
      <c r="W752" s="25"/>
      <c r="X752" s="25"/>
      <c r="Y752" s="25"/>
    </row>
    <row r="753" spans="9:25" x14ac:dyDescent="0.2">
      <c r="I753" s="25"/>
      <c r="J753" s="25"/>
      <c r="K753" s="25"/>
      <c r="L753" s="25"/>
      <c r="N753" s="25"/>
      <c r="O753" s="25"/>
      <c r="P753" s="25"/>
      <c r="Q753" s="25"/>
      <c r="R753" s="25"/>
      <c r="S753" s="25"/>
      <c r="T753" s="25"/>
      <c r="U753" s="25"/>
      <c r="V753" s="25"/>
      <c r="W753" s="25"/>
      <c r="X753" s="25"/>
      <c r="Y753" s="25"/>
    </row>
    <row r="754" spans="9:25" x14ac:dyDescent="0.2">
      <c r="I754" s="25"/>
      <c r="J754" s="25"/>
      <c r="K754" s="25"/>
      <c r="L754" s="25"/>
      <c r="N754" s="25"/>
      <c r="O754" s="25"/>
      <c r="P754" s="25"/>
      <c r="Q754" s="25"/>
      <c r="R754" s="25"/>
      <c r="S754" s="25"/>
      <c r="T754" s="25"/>
      <c r="U754" s="25"/>
      <c r="V754" s="25"/>
      <c r="W754" s="25"/>
      <c r="X754" s="25"/>
      <c r="Y754" s="25"/>
    </row>
    <row r="755" spans="9:25" x14ac:dyDescent="0.2">
      <c r="I755" s="25"/>
      <c r="J755" s="25"/>
      <c r="K755" s="25"/>
      <c r="L755" s="25"/>
      <c r="N755" s="25"/>
      <c r="O755" s="25"/>
      <c r="P755" s="25"/>
      <c r="Q755" s="25"/>
      <c r="R755" s="25"/>
      <c r="S755" s="25"/>
      <c r="T755" s="25"/>
      <c r="U755" s="25"/>
      <c r="V755" s="25"/>
      <c r="W755" s="25"/>
      <c r="X755" s="25"/>
      <c r="Y755" s="25"/>
    </row>
    <row r="756" spans="9:25" x14ac:dyDescent="0.2">
      <c r="I756" s="25"/>
      <c r="J756" s="25"/>
      <c r="K756" s="25"/>
      <c r="L756" s="25"/>
      <c r="N756" s="25"/>
      <c r="O756" s="25"/>
      <c r="P756" s="25"/>
      <c r="Q756" s="25"/>
      <c r="R756" s="25"/>
      <c r="S756" s="25"/>
      <c r="T756" s="25"/>
      <c r="U756" s="25"/>
      <c r="V756" s="25"/>
      <c r="W756" s="25"/>
      <c r="X756" s="25"/>
      <c r="Y756" s="25"/>
    </row>
    <row r="757" spans="9:25" x14ac:dyDescent="0.2">
      <c r="I757" s="25"/>
      <c r="J757" s="25"/>
      <c r="K757" s="25"/>
      <c r="L757" s="25"/>
      <c r="N757" s="25"/>
      <c r="O757" s="25"/>
      <c r="P757" s="25"/>
      <c r="Q757" s="25"/>
      <c r="R757" s="25"/>
      <c r="S757" s="25"/>
      <c r="T757" s="25"/>
      <c r="U757" s="25"/>
      <c r="V757" s="25"/>
      <c r="W757" s="25"/>
      <c r="X757" s="25"/>
      <c r="Y757" s="25"/>
    </row>
    <row r="758" spans="9:25" x14ac:dyDescent="0.2">
      <c r="I758" s="25"/>
      <c r="J758" s="25"/>
      <c r="K758" s="25"/>
      <c r="L758" s="25"/>
      <c r="N758" s="25"/>
      <c r="O758" s="25"/>
      <c r="P758" s="25"/>
      <c r="Q758" s="25"/>
      <c r="R758" s="25"/>
      <c r="S758" s="25"/>
      <c r="T758" s="25"/>
      <c r="U758" s="25"/>
      <c r="V758" s="25"/>
      <c r="W758" s="25"/>
      <c r="X758" s="25"/>
      <c r="Y758" s="25"/>
    </row>
    <row r="759" spans="9:25" x14ac:dyDescent="0.2">
      <c r="I759" s="25"/>
      <c r="J759" s="25"/>
      <c r="K759" s="25"/>
      <c r="L759" s="25"/>
      <c r="N759" s="25"/>
      <c r="O759" s="25"/>
      <c r="P759" s="25"/>
      <c r="Q759" s="25"/>
      <c r="R759" s="25"/>
      <c r="S759" s="25"/>
      <c r="T759" s="25"/>
      <c r="U759" s="25"/>
      <c r="V759" s="25"/>
      <c r="W759" s="25"/>
      <c r="X759" s="25"/>
      <c r="Y759" s="25"/>
    </row>
    <row r="760" spans="9:25" x14ac:dyDescent="0.2">
      <c r="I760" s="25"/>
      <c r="J760" s="25"/>
      <c r="K760" s="25"/>
      <c r="L760" s="25"/>
      <c r="N760" s="25"/>
      <c r="O760" s="25"/>
      <c r="P760" s="25"/>
      <c r="Q760" s="25"/>
      <c r="R760" s="25"/>
      <c r="S760" s="25"/>
      <c r="T760" s="25"/>
      <c r="U760" s="25"/>
      <c r="V760" s="25"/>
      <c r="W760" s="25"/>
      <c r="X760" s="25"/>
      <c r="Y760" s="25"/>
    </row>
    <row r="761" spans="9:25" x14ac:dyDescent="0.2">
      <c r="I761" s="25"/>
      <c r="J761" s="25"/>
      <c r="K761" s="25"/>
      <c r="L761" s="25"/>
      <c r="N761" s="25"/>
      <c r="O761" s="25"/>
      <c r="P761" s="25"/>
      <c r="Q761" s="25"/>
      <c r="R761" s="25"/>
      <c r="S761" s="25"/>
      <c r="T761" s="25"/>
      <c r="U761" s="25"/>
      <c r="V761" s="25"/>
      <c r="W761" s="25"/>
      <c r="X761" s="25"/>
      <c r="Y761" s="25"/>
    </row>
  </sheetData>
  <mergeCells count="2">
    <mergeCell ref="A5:F5"/>
    <mergeCell ref="G1:H1"/>
  </mergeCells>
  <phoneticPr fontId="2"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A250"/>
  <sheetViews>
    <sheetView zoomScaleNormal="100" workbookViewId="0">
      <pane xSplit="2" ySplit="13" topLeftCell="C14" activePane="bottomRight" state="frozen"/>
      <selection activeCell="D5" sqref="D5"/>
      <selection pane="topRight" activeCell="D5" sqref="D5"/>
      <selection pane="bottomLeft" activeCell="D5" sqref="D5"/>
      <selection pane="bottomRight" activeCell="D5" sqref="D5"/>
    </sheetView>
  </sheetViews>
  <sheetFormatPr defaultRowHeight="12.75" x14ac:dyDescent="0.2"/>
  <cols>
    <col min="1" max="1" width="15.42578125" customWidth="1"/>
    <col min="2" max="2" width="31" customWidth="1"/>
    <col min="3" max="3" width="12.85546875" customWidth="1"/>
    <col min="4" max="4" width="9" customWidth="1"/>
    <col min="5" max="8" width="10.42578125" customWidth="1"/>
    <col min="9" max="9" width="57.140625" customWidth="1"/>
  </cols>
  <sheetData>
    <row r="1" spans="1:27" ht="25.5" x14ac:dyDescent="0.35">
      <c r="A1" s="5" t="s">
        <v>905</v>
      </c>
      <c r="B1" s="5"/>
      <c r="C1" s="5"/>
      <c r="D1" s="5"/>
      <c r="E1" s="516"/>
      <c r="F1" s="516"/>
      <c r="G1" s="516"/>
      <c r="H1" s="68"/>
    </row>
    <row r="2" spans="1:27" x14ac:dyDescent="0.2">
      <c r="A2" s="7"/>
      <c r="B2" s="7"/>
      <c r="C2" s="7"/>
      <c r="D2" s="7"/>
      <c r="E2" s="7"/>
      <c r="F2" s="7"/>
      <c r="G2" s="7"/>
      <c r="H2" s="7"/>
      <c r="I2" s="7"/>
      <c r="J2" s="7"/>
      <c r="K2" s="7"/>
      <c r="L2" s="7"/>
      <c r="M2" s="7"/>
      <c r="N2" s="7"/>
      <c r="O2" s="7"/>
      <c r="P2" s="7"/>
      <c r="Q2" s="7"/>
      <c r="R2" s="6"/>
      <c r="S2" s="6"/>
      <c r="T2" s="6"/>
      <c r="U2" s="6"/>
      <c r="V2" s="6"/>
      <c r="W2" s="6"/>
      <c r="X2" s="6"/>
      <c r="Y2" s="6"/>
      <c r="Z2" s="6"/>
      <c r="AA2" s="6"/>
    </row>
    <row r="3" spans="1:27" x14ac:dyDescent="0.2">
      <c r="A3" s="17" t="s">
        <v>965</v>
      </c>
      <c r="B3" s="17"/>
      <c r="C3" s="17"/>
      <c r="D3" s="17"/>
      <c r="E3" s="7"/>
      <c r="F3" s="7"/>
      <c r="G3" s="7"/>
      <c r="H3" s="7"/>
      <c r="I3" s="7"/>
      <c r="J3" s="7"/>
      <c r="K3" s="7"/>
      <c r="L3" s="7"/>
      <c r="M3" s="7"/>
      <c r="N3" s="7"/>
      <c r="O3" s="7"/>
      <c r="P3" s="7"/>
      <c r="Q3" s="7"/>
      <c r="R3" s="6"/>
      <c r="S3" s="6"/>
      <c r="T3" s="6"/>
      <c r="U3" s="6"/>
      <c r="V3" s="6"/>
      <c r="W3" s="6"/>
      <c r="X3" s="6"/>
      <c r="Y3" s="6"/>
      <c r="Z3" s="6"/>
      <c r="AA3" s="6"/>
    </row>
    <row r="4" spans="1:27" x14ac:dyDescent="0.2">
      <c r="A4" s="7"/>
      <c r="B4" s="7"/>
      <c r="C4" s="7"/>
      <c r="D4" s="7"/>
      <c r="E4" s="7"/>
      <c r="F4" s="7"/>
      <c r="G4" s="7"/>
      <c r="H4" s="7"/>
      <c r="I4" s="7"/>
      <c r="J4" s="7"/>
      <c r="K4" s="7"/>
      <c r="L4" s="7"/>
      <c r="M4" s="7"/>
      <c r="N4" s="7"/>
      <c r="O4" s="7"/>
      <c r="P4" s="7"/>
      <c r="Q4" s="7"/>
      <c r="R4" s="6"/>
      <c r="S4" s="6"/>
      <c r="T4" s="6"/>
      <c r="U4" s="6"/>
      <c r="V4" s="6"/>
      <c r="W4" s="6"/>
      <c r="X4" s="6"/>
      <c r="Y4" s="6"/>
      <c r="Z4" s="6"/>
      <c r="AA4" s="6"/>
    </row>
    <row r="5" spans="1:27" ht="39.4" customHeight="1" x14ac:dyDescent="0.2">
      <c r="A5" s="493" t="s">
        <v>2147</v>
      </c>
      <c r="B5" s="493"/>
      <c r="C5" s="493"/>
      <c r="D5" s="493"/>
      <c r="E5" s="493"/>
      <c r="F5" s="7"/>
      <c r="G5" s="7"/>
      <c r="H5" s="7"/>
      <c r="I5" s="7"/>
      <c r="J5" s="7"/>
      <c r="K5" s="7"/>
      <c r="L5" s="7"/>
      <c r="M5" s="7"/>
      <c r="N5" s="7"/>
      <c r="O5" s="7"/>
      <c r="P5" s="7"/>
      <c r="Q5" s="7"/>
      <c r="R5" s="6"/>
      <c r="S5" s="6"/>
      <c r="T5" s="6"/>
      <c r="U5" s="6"/>
      <c r="V5" s="6"/>
      <c r="W5" s="6"/>
      <c r="X5" s="6"/>
      <c r="Y5" s="6"/>
      <c r="Z5" s="6"/>
      <c r="AA5" s="6"/>
    </row>
    <row r="6" spans="1:27" x14ac:dyDescent="0.2">
      <c r="A6" s="7"/>
      <c r="B6" s="7"/>
      <c r="C6" s="7"/>
      <c r="D6" s="7"/>
      <c r="E6" s="7"/>
      <c r="F6" s="7"/>
      <c r="G6" s="7"/>
      <c r="H6" s="7"/>
      <c r="I6" s="7"/>
      <c r="J6" s="7"/>
      <c r="K6" s="7"/>
      <c r="L6" s="7"/>
      <c r="M6" s="7"/>
      <c r="N6" s="7"/>
      <c r="O6" s="7"/>
      <c r="P6" s="7"/>
      <c r="Q6" s="7"/>
      <c r="R6" s="6"/>
      <c r="S6" s="6"/>
      <c r="T6" s="6"/>
      <c r="U6" s="6"/>
      <c r="V6" s="6"/>
      <c r="W6" s="6"/>
      <c r="X6" s="6"/>
      <c r="Y6" s="6"/>
      <c r="Z6" s="6"/>
      <c r="AA6" s="6"/>
    </row>
    <row r="7" spans="1:27" x14ac:dyDescent="0.2">
      <c r="A7" s="17" t="s">
        <v>270</v>
      </c>
      <c r="B7" s="17"/>
      <c r="C7" s="17"/>
      <c r="D7" s="17"/>
      <c r="E7" s="7"/>
      <c r="F7" s="7"/>
      <c r="G7" s="7"/>
      <c r="H7" s="7"/>
      <c r="I7" s="7"/>
      <c r="J7" s="7"/>
      <c r="K7" s="7"/>
      <c r="L7" s="7"/>
      <c r="M7" s="7"/>
      <c r="N7" s="7"/>
      <c r="O7" s="7"/>
      <c r="P7" s="7"/>
      <c r="Q7" s="7"/>
      <c r="R7" s="6"/>
      <c r="S7" s="6"/>
      <c r="T7" s="6"/>
      <c r="U7" s="6"/>
      <c r="V7" s="6"/>
      <c r="W7" s="6"/>
      <c r="X7" s="6"/>
      <c r="Y7" s="6"/>
      <c r="Z7" s="6"/>
      <c r="AA7" s="6"/>
    </row>
    <row r="8" spans="1:27" x14ac:dyDescent="0.2">
      <c r="A8" s="17"/>
      <c r="B8" s="17"/>
      <c r="C8" s="17"/>
      <c r="D8" s="17"/>
      <c r="E8" s="7"/>
      <c r="F8" s="7"/>
      <c r="G8" s="7"/>
      <c r="H8" s="7"/>
      <c r="I8" s="7"/>
      <c r="J8" s="7"/>
      <c r="K8" s="7"/>
      <c r="L8" s="7"/>
      <c r="M8" s="7"/>
      <c r="N8" s="7"/>
      <c r="O8" s="7"/>
      <c r="P8" s="7"/>
      <c r="Q8" s="7"/>
      <c r="R8" s="6"/>
      <c r="S8" s="6"/>
      <c r="T8" s="6"/>
      <c r="U8" s="6"/>
      <c r="V8" s="6"/>
      <c r="W8" s="6"/>
      <c r="X8" s="6"/>
      <c r="Y8" s="6"/>
      <c r="Z8" s="6"/>
      <c r="AA8" s="6"/>
    </row>
    <row r="9" spans="1:27" x14ac:dyDescent="0.2">
      <c r="A9" s="17" t="s">
        <v>906</v>
      </c>
      <c r="B9" s="17"/>
      <c r="C9" s="17"/>
      <c r="D9" s="17"/>
      <c r="E9" s="7"/>
      <c r="F9" s="7"/>
      <c r="G9" s="7"/>
      <c r="H9" s="7"/>
      <c r="I9" s="7"/>
      <c r="J9" s="7"/>
      <c r="K9" s="7"/>
      <c r="L9" s="7"/>
      <c r="M9" s="7"/>
      <c r="N9" s="7"/>
      <c r="O9" s="7"/>
      <c r="P9" s="7"/>
      <c r="Q9" s="7"/>
      <c r="R9" s="6"/>
      <c r="S9" s="6"/>
      <c r="T9" s="6"/>
      <c r="U9" s="6"/>
      <c r="V9" s="6"/>
      <c r="W9" s="6"/>
      <c r="X9" s="6"/>
      <c r="Y9" s="6"/>
      <c r="Z9" s="6"/>
      <c r="AA9" s="6"/>
    </row>
    <row r="10" spans="1:27" ht="26.45" customHeight="1" x14ac:dyDescent="0.2">
      <c r="A10" s="493" t="s">
        <v>907</v>
      </c>
      <c r="B10" s="494"/>
      <c r="C10" s="494"/>
      <c r="D10" s="494"/>
      <c r="E10" s="494"/>
      <c r="F10" s="25"/>
      <c r="G10" s="7"/>
      <c r="H10" s="7"/>
      <c r="I10" s="7"/>
      <c r="J10" s="7"/>
      <c r="K10" s="7"/>
      <c r="L10" s="7"/>
      <c r="M10" s="7"/>
      <c r="N10" s="7"/>
      <c r="O10" s="7"/>
      <c r="P10" s="7"/>
      <c r="Q10" s="7"/>
      <c r="R10" s="6"/>
      <c r="S10" s="6"/>
      <c r="T10" s="6"/>
      <c r="U10" s="6"/>
      <c r="V10" s="6"/>
      <c r="W10" s="6"/>
      <c r="X10" s="6"/>
      <c r="Y10" s="6"/>
      <c r="Z10" s="6"/>
      <c r="AA10" s="6"/>
    </row>
    <row r="11" spans="1:27" ht="18" customHeight="1" x14ac:dyDescent="0.2">
      <c r="A11" s="493" t="s">
        <v>908</v>
      </c>
      <c r="B11" s="494"/>
      <c r="C11" s="494"/>
      <c r="D11" s="494"/>
      <c r="E11" s="494"/>
      <c r="F11" s="25"/>
      <c r="G11" s="7"/>
      <c r="H11" s="7"/>
      <c r="I11" s="7"/>
      <c r="J11" s="7"/>
      <c r="K11" s="7"/>
      <c r="L11" s="7"/>
      <c r="M11" s="7"/>
      <c r="N11" s="7"/>
      <c r="O11" s="7"/>
      <c r="P11" s="7"/>
      <c r="Q11" s="7"/>
      <c r="R11" s="6"/>
      <c r="S11" s="6"/>
      <c r="T11" s="6"/>
      <c r="U11" s="6"/>
      <c r="V11" s="6"/>
      <c r="W11" s="6"/>
      <c r="X11" s="6"/>
      <c r="Y11" s="6"/>
      <c r="Z11" s="6"/>
      <c r="AA11" s="6"/>
    </row>
    <row r="12" spans="1:27" x14ac:dyDescent="0.2">
      <c r="A12" s="7"/>
      <c r="B12" s="7"/>
      <c r="C12" s="7"/>
      <c r="D12" s="7"/>
      <c r="E12" s="7"/>
      <c r="F12" s="7"/>
      <c r="G12" s="7"/>
      <c r="H12" s="7"/>
      <c r="I12" s="7"/>
      <c r="J12" s="7"/>
      <c r="K12" s="7"/>
      <c r="L12" s="7"/>
      <c r="M12" s="7"/>
      <c r="N12" s="7"/>
      <c r="O12" s="7"/>
      <c r="P12" s="7"/>
      <c r="Q12" s="7"/>
      <c r="R12" s="6"/>
      <c r="S12" s="6"/>
      <c r="T12" s="6"/>
      <c r="U12" s="6"/>
      <c r="V12" s="6"/>
      <c r="W12" s="6"/>
      <c r="X12" s="6"/>
      <c r="Y12" s="6"/>
      <c r="Z12" s="6"/>
      <c r="AA12" s="6"/>
    </row>
    <row r="13" spans="1:27" ht="36" customHeight="1" x14ac:dyDescent="0.2">
      <c r="A13" s="125" t="s">
        <v>1817</v>
      </c>
      <c r="B13" s="126" t="s">
        <v>965</v>
      </c>
      <c r="C13" s="126" t="s">
        <v>187</v>
      </c>
      <c r="D13" s="126" t="s">
        <v>877</v>
      </c>
      <c r="E13" s="126" t="s">
        <v>1818</v>
      </c>
      <c r="F13" s="126" t="s">
        <v>878</v>
      </c>
      <c r="G13" s="126" t="s">
        <v>325</v>
      </c>
      <c r="H13" s="126" t="s">
        <v>879</v>
      </c>
      <c r="I13" s="176" t="s">
        <v>1774</v>
      </c>
      <c r="J13" s="7"/>
      <c r="K13" s="7"/>
      <c r="L13" s="7"/>
      <c r="M13" s="7"/>
      <c r="N13" s="7"/>
      <c r="O13" s="7"/>
      <c r="P13" s="7"/>
      <c r="Q13" s="7"/>
      <c r="R13" s="6"/>
      <c r="S13" s="6"/>
      <c r="T13" s="6"/>
      <c r="U13" s="6"/>
      <c r="V13" s="6"/>
      <c r="W13" s="6"/>
      <c r="X13" s="6"/>
      <c r="Y13" s="6"/>
      <c r="Z13" s="6"/>
      <c r="AA13" s="6"/>
    </row>
    <row r="14" spans="1:27" ht="18.75" customHeight="1" x14ac:dyDescent="0.2">
      <c r="A14" s="164" t="s">
        <v>16</v>
      </c>
      <c r="B14" s="164" t="str">
        <f>VLOOKUP(A14,'Tariff Schedule Lookup Table'!A8:D142,2,FALSE)</f>
        <v>Fluorescent Twin 20</v>
      </c>
      <c r="C14" s="165">
        <v>3.8</v>
      </c>
      <c r="D14" s="165">
        <f>C14*(1 + 'Maintenance Model'!B$10)</f>
        <v>4.9399999999999995</v>
      </c>
      <c r="E14" s="165">
        <v>23.457100000000001</v>
      </c>
      <c r="F14" s="165">
        <f>E14*(1 + 'Maintenance Model'!$B$10)</f>
        <v>30.494230000000002</v>
      </c>
      <c r="G14" s="165">
        <v>0.44</v>
      </c>
      <c r="H14" s="166">
        <f>G14*(1 + 'Maintenance Model'!$B$10)</f>
        <v>0.57200000000000006</v>
      </c>
      <c r="I14" s="515" t="s">
        <v>1771</v>
      </c>
      <c r="J14" s="7"/>
      <c r="K14" s="7"/>
      <c r="L14" s="7"/>
      <c r="M14" s="7"/>
      <c r="N14" s="7"/>
      <c r="O14" s="7"/>
      <c r="P14" s="7"/>
      <c r="Q14" s="7"/>
      <c r="R14" s="6"/>
      <c r="S14" s="6"/>
      <c r="T14" s="6"/>
      <c r="U14" s="6"/>
      <c r="V14" s="6"/>
      <c r="W14" s="6"/>
      <c r="X14" s="6"/>
      <c r="Y14" s="6"/>
      <c r="Z14" s="6"/>
      <c r="AA14" s="6"/>
    </row>
    <row r="15" spans="1:27" ht="18.75" customHeight="1" x14ac:dyDescent="0.2">
      <c r="A15" s="9" t="s">
        <v>23</v>
      </c>
      <c r="B15" s="9" t="str">
        <f>VLOOKUP(A15,'Tariff Schedule Lookup Table'!A9:D143,2,FALSE)</f>
        <v>Fluorescent 40</v>
      </c>
      <c r="C15" s="167">
        <v>1.85</v>
      </c>
      <c r="D15" s="167">
        <f>C15*(1 + 'Maintenance Model'!B$10)</f>
        <v>2.4050000000000002</v>
      </c>
      <c r="E15" s="167">
        <v>23.457100000000001</v>
      </c>
      <c r="F15" s="167">
        <f>E15*(1 + 'Maintenance Model'!$B$10)</f>
        <v>30.494230000000002</v>
      </c>
      <c r="G15" s="167">
        <v>0.36</v>
      </c>
      <c r="H15" s="168">
        <f>G15*(1 + 'Maintenance Model'!$B$10)</f>
        <v>0.46799999999999997</v>
      </c>
      <c r="I15" s="515"/>
      <c r="J15" s="7"/>
      <c r="K15" s="7"/>
      <c r="L15" s="7"/>
      <c r="M15" s="7"/>
      <c r="N15" s="7"/>
      <c r="O15" s="7"/>
      <c r="P15" s="7"/>
      <c r="Q15" s="7"/>
      <c r="R15" s="6"/>
      <c r="S15" s="6"/>
      <c r="T15" s="6"/>
      <c r="U15" s="6"/>
      <c r="V15" s="6"/>
      <c r="W15" s="6"/>
      <c r="X15" s="6"/>
      <c r="Y15" s="6"/>
      <c r="Z15" s="6"/>
      <c r="AA15" s="6"/>
    </row>
    <row r="16" spans="1:27" x14ac:dyDescent="0.2">
      <c r="A16" s="9" t="s">
        <v>43</v>
      </c>
      <c r="B16" s="9" t="str">
        <f>VLOOKUP(A16,'Tariff Schedule Lookup Table'!A10:D144,2,FALSE)</f>
        <v>High Pressure Sodium 50</v>
      </c>
      <c r="C16" s="167">
        <v>12.89</v>
      </c>
      <c r="D16" s="167">
        <f>C16*(1 + 'Maintenance Model'!B$10)</f>
        <v>16.757000000000001</v>
      </c>
      <c r="E16" s="167">
        <v>17.86</v>
      </c>
      <c r="F16" s="167">
        <f>E16*(1 + 'Maintenance Model'!$B$10)</f>
        <v>23.218</v>
      </c>
      <c r="G16" s="167">
        <v>23.9</v>
      </c>
      <c r="H16" s="168">
        <f>G16*(1 + 'Maintenance Model'!$B$10)</f>
        <v>31.07</v>
      </c>
      <c r="I16" s="172" t="s">
        <v>1775</v>
      </c>
      <c r="J16" s="7"/>
      <c r="K16" s="7"/>
      <c r="L16" s="7"/>
      <c r="M16" s="7"/>
      <c r="N16" s="7"/>
      <c r="O16" s="7"/>
      <c r="P16" s="7"/>
      <c r="Q16" s="7"/>
      <c r="R16" s="6"/>
      <c r="S16" s="6"/>
      <c r="T16" s="6"/>
      <c r="U16" s="6"/>
      <c r="V16" s="6"/>
      <c r="W16" s="6"/>
      <c r="X16" s="6"/>
      <c r="Y16" s="6"/>
      <c r="Z16" s="6"/>
      <c r="AA16" s="6"/>
    </row>
    <row r="17" spans="1:27" x14ac:dyDescent="0.2">
      <c r="A17" s="9" t="s">
        <v>2085</v>
      </c>
      <c r="B17" s="9" t="str">
        <f>CONCATENATE(VLOOKUP(LEFT(A17,7),'Tariff Schedule Lookup Table'!A11:D145,2,FALSE), " Twin Arc")</f>
        <v>High Pressure Sodium 50 Twin Arc</v>
      </c>
      <c r="C17" s="167">
        <v>24.3</v>
      </c>
      <c r="D17" s="167">
        <f>C17*(1 + 'Maintenance Model'!B$10)</f>
        <v>31.590000000000003</v>
      </c>
      <c r="E17" s="167">
        <v>17.86</v>
      </c>
      <c r="F17" s="167">
        <f>E17*(1 + 'Maintenance Model'!$B$10)</f>
        <v>23.218</v>
      </c>
      <c r="G17" s="167">
        <v>23.9</v>
      </c>
      <c r="H17" s="168">
        <f>G17*(1 + 'Maintenance Model'!$B$10)</f>
        <v>31.07</v>
      </c>
      <c r="I17" s="172" t="s">
        <v>1775</v>
      </c>
      <c r="J17" s="7"/>
      <c r="K17" s="7"/>
      <c r="L17" s="7"/>
      <c r="M17" s="7"/>
      <c r="N17" s="7"/>
      <c r="O17" s="7"/>
      <c r="P17" s="7"/>
      <c r="Q17" s="7"/>
      <c r="R17" s="6"/>
      <c r="S17" s="6"/>
      <c r="T17" s="6"/>
      <c r="U17" s="6"/>
      <c r="V17" s="6"/>
      <c r="W17" s="6"/>
      <c r="X17" s="6"/>
      <c r="Y17" s="6"/>
      <c r="Z17" s="6"/>
      <c r="AA17" s="6"/>
    </row>
    <row r="18" spans="1:27" x14ac:dyDescent="0.2">
      <c r="A18" s="9" t="s">
        <v>44</v>
      </c>
      <c r="B18" s="9" t="str">
        <f>VLOOKUP(A18,'Tariff Schedule Lookup Table'!A11:D145,2,FALSE)</f>
        <v>High Pressure Sodium 70</v>
      </c>
      <c r="C18" s="167">
        <v>10.66</v>
      </c>
      <c r="D18" s="167">
        <f>C18*(1 + 'Maintenance Model'!B$10)</f>
        <v>13.858000000000001</v>
      </c>
      <c r="E18" s="167">
        <v>25.2</v>
      </c>
      <c r="F18" s="167">
        <f>E18*(1 + 'Maintenance Model'!$B$10)</f>
        <v>32.76</v>
      </c>
      <c r="G18" s="167">
        <v>23.9</v>
      </c>
      <c r="H18" s="168">
        <f>G18*(1 + 'Maintenance Model'!$B$10)</f>
        <v>31.07</v>
      </c>
      <c r="I18" s="172" t="s">
        <v>1775</v>
      </c>
      <c r="J18" s="7"/>
      <c r="K18" s="7"/>
      <c r="L18" s="7"/>
      <c r="M18" s="7"/>
      <c r="N18" s="7"/>
      <c r="O18" s="7"/>
      <c r="P18" s="7"/>
      <c r="Q18" s="7"/>
      <c r="R18" s="6"/>
      <c r="S18" s="6"/>
      <c r="T18" s="6"/>
      <c r="U18" s="6"/>
      <c r="V18" s="6"/>
      <c r="W18" s="6"/>
      <c r="X18" s="6"/>
      <c r="Y18" s="6"/>
      <c r="Z18" s="6"/>
      <c r="AA18" s="6"/>
    </row>
    <row r="19" spans="1:27" x14ac:dyDescent="0.2">
      <c r="A19" s="9" t="s">
        <v>51</v>
      </c>
      <c r="B19" s="9" t="str">
        <f>VLOOKUP(A19,'Tariff Schedule Lookup Table'!A12:D146,2,FALSE)</f>
        <v>High Pressure Sodium 150</v>
      </c>
      <c r="C19" s="171">
        <v>15.3</v>
      </c>
      <c r="D19" s="167">
        <f>C19*(1 + 'Maintenance Model'!B$10)</f>
        <v>19.89</v>
      </c>
      <c r="E19" s="167">
        <v>44.15</v>
      </c>
      <c r="F19" s="167">
        <f>E19*(1 + 'Maintenance Model'!$B$10)</f>
        <v>57.395000000000003</v>
      </c>
      <c r="G19" s="167">
        <v>19.46</v>
      </c>
      <c r="H19" s="168">
        <f>G19*(1 + 'Maintenance Model'!$B$10)</f>
        <v>25.298000000000002</v>
      </c>
      <c r="I19" s="172" t="s">
        <v>1776</v>
      </c>
      <c r="J19" s="7"/>
      <c r="K19" s="7"/>
      <c r="L19" s="7"/>
      <c r="M19" s="7"/>
      <c r="N19" s="7"/>
      <c r="O19" s="7"/>
      <c r="P19" s="7"/>
      <c r="Q19" s="7"/>
      <c r="R19" s="6"/>
      <c r="S19" s="6"/>
      <c r="T19" s="6"/>
      <c r="U19" s="6"/>
      <c r="V19" s="6"/>
      <c r="W19" s="6"/>
      <c r="X19" s="6"/>
      <c r="Y19" s="6"/>
      <c r="Z19" s="6"/>
      <c r="AA19" s="6"/>
    </row>
    <row r="20" spans="1:27" x14ac:dyDescent="0.2">
      <c r="A20" s="9" t="s">
        <v>53</v>
      </c>
      <c r="B20" s="9" t="str">
        <f>VLOOKUP(A20,'Tariff Schedule Lookup Table'!A13:D147,2,FALSE)</f>
        <v>High Pressure Sodium 250</v>
      </c>
      <c r="C20" s="167">
        <v>15.72</v>
      </c>
      <c r="D20" s="167">
        <f>C20*(1 + 'Maintenance Model'!B$10)</f>
        <v>20.436</v>
      </c>
      <c r="E20" s="167">
        <v>50.8</v>
      </c>
      <c r="F20" s="167">
        <f>E20*(1 + 'Maintenance Model'!$B$10)</f>
        <v>66.039999999999992</v>
      </c>
      <c r="G20" s="167">
        <v>19.46</v>
      </c>
      <c r="H20" s="168">
        <f>G20*(1 + 'Maintenance Model'!$B$10)</f>
        <v>25.298000000000002</v>
      </c>
      <c r="I20" s="172" t="s">
        <v>1776</v>
      </c>
      <c r="J20" s="7"/>
      <c r="K20" s="7"/>
      <c r="L20" s="7"/>
      <c r="M20" s="7"/>
      <c r="N20" s="7"/>
      <c r="O20" s="7"/>
      <c r="P20" s="7"/>
      <c r="Q20" s="7"/>
      <c r="R20" s="6"/>
      <c r="S20" s="6"/>
      <c r="T20" s="6"/>
      <c r="U20" s="6"/>
      <c r="V20" s="6"/>
      <c r="W20" s="6"/>
      <c r="X20" s="6"/>
      <c r="Y20" s="6"/>
      <c r="Z20" s="6"/>
      <c r="AA20" s="6"/>
    </row>
    <row r="21" spans="1:27" x14ac:dyDescent="0.2">
      <c r="A21" s="9" t="s">
        <v>61</v>
      </c>
      <c r="B21" s="9" t="str">
        <f>VLOOKUP(A21,'Tariff Schedule Lookup Table'!A14:D148,2,FALSE)</f>
        <v>High Pressure Sodium 400</v>
      </c>
      <c r="C21" s="167">
        <v>21.41</v>
      </c>
      <c r="D21" s="167">
        <f>C21*(1 + 'Maintenance Model'!B$10)</f>
        <v>27.833000000000002</v>
      </c>
      <c r="E21" s="167">
        <v>60.72</v>
      </c>
      <c r="F21" s="167">
        <f>E21*(1 + 'Maintenance Model'!$B$10)</f>
        <v>78.936000000000007</v>
      </c>
      <c r="G21" s="167">
        <v>19.46</v>
      </c>
      <c r="H21" s="168">
        <f>G21*(1 + 'Maintenance Model'!$B$10)</f>
        <v>25.298000000000002</v>
      </c>
      <c r="I21" s="172" t="s">
        <v>1776</v>
      </c>
      <c r="J21" s="7"/>
      <c r="K21" s="7"/>
      <c r="L21" s="7"/>
      <c r="M21" s="7"/>
      <c r="N21" s="7"/>
      <c r="O21" s="7"/>
      <c r="P21" s="7"/>
      <c r="Q21" s="7"/>
      <c r="R21" s="6"/>
      <c r="S21" s="6"/>
      <c r="T21" s="6"/>
      <c r="U21" s="6"/>
      <c r="V21" s="6"/>
      <c r="W21" s="6"/>
      <c r="X21" s="6"/>
      <c r="Y21" s="6"/>
      <c r="Z21" s="6"/>
      <c r="AA21" s="6"/>
    </row>
    <row r="22" spans="1:27" x14ac:dyDescent="0.2">
      <c r="A22" s="9" t="s">
        <v>2101</v>
      </c>
      <c r="B22" s="9" t="str">
        <f>CONCATENATE(VLOOKUP(LEFT(A22,7),'Tariff Schedule Lookup Table'!A10:D144,2,FALSE), " Twin Arc")</f>
        <v>High Pressure Sodium 400 Twin Arc</v>
      </c>
      <c r="C22" s="171">
        <v>52.3</v>
      </c>
      <c r="D22" s="171">
        <f>C22*(1 + 'Maintenance Model'!B$10)</f>
        <v>67.989999999999995</v>
      </c>
      <c r="E22" s="167">
        <v>60.72</v>
      </c>
      <c r="F22" s="171">
        <f>E22*(1 + 'Maintenance Model'!$B$10)</f>
        <v>78.936000000000007</v>
      </c>
      <c r="G22" s="167">
        <v>19.46</v>
      </c>
      <c r="H22" s="168">
        <f>G22*(1 + 'Maintenance Model'!$B$10)</f>
        <v>25.298000000000002</v>
      </c>
      <c r="I22" s="172" t="s">
        <v>1776</v>
      </c>
      <c r="J22" s="7"/>
      <c r="K22" s="7"/>
      <c r="L22" s="7"/>
      <c r="M22" s="7"/>
      <c r="N22" s="7"/>
      <c r="O22" s="7"/>
      <c r="P22" s="7"/>
      <c r="Q22" s="7"/>
      <c r="R22" s="6"/>
      <c r="S22" s="6"/>
      <c r="T22" s="6"/>
      <c r="U22" s="6"/>
      <c r="V22" s="6"/>
      <c r="W22" s="6"/>
      <c r="X22" s="6"/>
      <c r="Y22" s="6"/>
      <c r="Z22" s="6"/>
      <c r="AA22" s="6"/>
    </row>
    <row r="23" spans="1:27" x14ac:dyDescent="0.2">
      <c r="A23" s="9" t="s">
        <v>2087</v>
      </c>
      <c r="B23" s="9" t="str">
        <f>CONCATENATE(VLOOKUP(LEFT(A23,7),'Tariff Schedule Lookup Table'!A11:D145,2,FALSE), " Twin Arc")</f>
        <v>High Pressure Sodium 70 Twin Arc</v>
      </c>
      <c r="C23" s="171">
        <v>25.8</v>
      </c>
      <c r="D23" s="171">
        <f>C23*(1 + 'Maintenance Model'!B$10)</f>
        <v>33.54</v>
      </c>
      <c r="E23" s="167">
        <v>47.7</v>
      </c>
      <c r="F23" s="171">
        <f>E23*(1 + 'Maintenance Model'!$B$10)</f>
        <v>62.010000000000005</v>
      </c>
      <c r="G23" s="167">
        <v>23.9</v>
      </c>
      <c r="H23" s="168">
        <f>G23*(1 + 'Maintenance Model'!$B$10)</f>
        <v>31.07</v>
      </c>
      <c r="I23" s="172" t="s">
        <v>1775</v>
      </c>
      <c r="J23" s="7"/>
      <c r="K23" s="7"/>
      <c r="L23" s="7"/>
      <c r="M23" s="7"/>
      <c r="N23" s="7"/>
      <c r="O23" s="7"/>
      <c r="P23" s="7"/>
      <c r="Q23" s="7"/>
      <c r="R23" s="6"/>
      <c r="S23" s="6"/>
      <c r="T23" s="6"/>
      <c r="U23" s="6"/>
      <c r="V23" s="6"/>
      <c r="W23" s="6"/>
      <c r="X23" s="6"/>
      <c r="Y23" s="6"/>
      <c r="Z23" s="6"/>
      <c r="AA23" s="6"/>
    </row>
    <row r="24" spans="1:27" x14ac:dyDescent="0.2">
      <c r="A24" s="9" t="s">
        <v>2092</v>
      </c>
      <c r="B24" s="9" t="str">
        <f>CONCATENATE(VLOOKUP(LEFT(A24,7),'Tariff Schedule Lookup Table'!A17:D151,2,FALSE), " Twin Arc")</f>
        <v>High Pressure Sodium 150 Twin Arc</v>
      </c>
      <c r="C24" s="171">
        <v>35.799999999999997</v>
      </c>
      <c r="D24" s="171">
        <f>C24*(1 + 'Maintenance Model'!B$10)</f>
        <v>46.54</v>
      </c>
      <c r="E24" s="167">
        <v>63.6</v>
      </c>
      <c r="F24" s="171">
        <f>E24*(1 + 'Maintenance Model'!$B$10)</f>
        <v>82.68</v>
      </c>
      <c r="G24" s="167">
        <v>19.46</v>
      </c>
      <c r="H24" s="168">
        <f>G24*(1 + 'Maintenance Model'!$B$10)</f>
        <v>25.298000000000002</v>
      </c>
      <c r="I24" s="172" t="s">
        <v>1776</v>
      </c>
      <c r="J24" s="7"/>
      <c r="K24" s="7"/>
      <c r="L24" s="7"/>
      <c r="M24" s="7"/>
      <c r="N24" s="7"/>
      <c r="O24" s="7"/>
      <c r="P24" s="7"/>
      <c r="Q24" s="7"/>
      <c r="R24" s="6"/>
      <c r="S24" s="6"/>
      <c r="T24" s="6"/>
      <c r="U24" s="6"/>
      <c r="V24" s="6"/>
      <c r="W24" s="6"/>
      <c r="X24" s="6"/>
      <c r="Y24" s="6"/>
      <c r="Z24" s="6"/>
      <c r="AA24" s="6"/>
    </row>
    <row r="25" spans="1:27" x14ac:dyDescent="0.2">
      <c r="A25" s="9" t="s">
        <v>2095</v>
      </c>
      <c r="B25" s="9" t="str">
        <f>CONCATENATE(VLOOKUP(LEFT(A25,7),'Tariff Schedule Lookup Table'!A19:D153,2,FALSE), " Twin Arc")</f>
        <v>High Pressure Sodium 250 Twin Arc</v>
      </c>
      <c r="C25" s="171">
        <v>37.700000000000003</v>
      </c>
      <c r="D25" s="171">
        <f>C25*(1 + 'Maintenance Model'!B$10)</f>
        <v>49.010000000000005</v>
      </c>
      <c r="E25" s="167">
        <v>40.6</v>
      </c>
      <c r="F25" s="171">
        <f>E25*(1 + 'Maintenance Model'!$B$10)</f>
        <v>52.78</v>
      </c>
      <c r="G25" s="167">
        <v>19.46</v>
      </c>
      <c r="H25" s="168">
        <f>G25*(1 + 'Maintenance Model'!$B$10)</f>
        <v>25.298000000000002</v>
      </c>
      <c r="I25" s="172" t="s">
        <v>1776</v>
      </c>
      <c r="J25" s="7"/>
      <c r="K25" s="7"/>
      <c r="L25" s="7"/>
      <c r="M25" s="7"/>
      <c r="N25" s="7"/>
      <c r="O25" s="7"/>
      <c r="P25" s="7"/>
      <c r="Q25" s="7"/>
      <c r="R25" s="6"/>
      <c r="S25" s="6"/>
      <c r="T25" s="6"/>
      <c r="U25" s="6"/>
      <c r="V25" s="6"/>
      <c r="W25" s="6"/>
      <c r="X25" s="6"/>
      <c r="Y25" s="6"/>
      <c r="Z25" s="6"/>
      <c r="AA25" s="6"/>
    </row>
    <row r="26" spans="1:27" x14ac:dyDescent="0.2">
      <c r="A26" s="9" t="s">
        <v>164</v>
      </c>
      <c r="B26" s="9" t="str">
        <f>CONCATENATE(VLOOKUP(LEFT(A26,7),'Tariff Schedule Lookup Table'!A26:D160,2,FALSE), " Twin Arc")</f>
        <v>High Pressure Sodium 4x400 Twin Arc</v>
      </c>
      <c r="C26" s="171">
        <v>52.3</v>
      </c>
      <c r="D26" s="171">
        <f>C26*(1 + 'Maintenance Model'!B$10)</f>
        <v>67.989999999999995</v>
      </c>
      <c r="E26" s="167">
        <v>60.72</v>
      </c>
      <c r="F26" s="171">
        <f>E26*(1 + 'Maintenance Model'!$B$10)</f>
        <v>78.936000000000007</v>
      </c>
      <c r="G26" s="167">
        <v>19.46</v>
      </c>
      <c r="H26" s="168">
        <f>G26*(1 + 'Maintenance Model'!$B$10)</f>
        <v>25.298000000000002</v>
      </c>
      <c r="I26" s="172" t="s">
        <v>1776</v>
      </c>
      <c r="J26" s="7"/>
      <c r="K26" s="7"/>
      <c r="L26" s="7"/>
      <c r="M26" s="7"/>
      <c r="N26" s="7"/>
      <c r="O26" s="7"/>
      <c r="P26" s="7"/>
      <c r="Q26" s="7"/>
      <c r="R26" s="6"/>
      <c r="S26" s="6"/>
      <c r="T26" s="6"/>
      <c r="U26" s="6"/>
      <c r="V26" s="6"/>
      <c r="W26" s="6"/>
      <c r="X26" s="6"/>
      <c r="Y26" s="6"/>
      <c r="Z26" s="6"/>
      <c r="AA26" s="6"/>
    </row>
    <row r="27" spans="1:27" x14ac:dyDescent="0.2">
      <c r="A27" s="9" t="s">
        <v>114</v>
      </c>
      <c r="B27" s="9" t="str">
        <f>VLOOKUP(A27,'Tariff Schedule Lookup Table'!A15:D149,2,FALSE)</f>
        <v>Mercury Vapour 50</v>
      </c>
      <c r="C27" s="167">
        <v>3.95</v>
      </c>
      <c r="D27" s="167">
        <f>C27*(1 + 'Maintenance Model'!B$10)</f>
        <v>5.1350000000000007</v>
      </c>
      <c r="E27" s="167">
        <v>17.86</v>
      </c>
      <c r="F27" s="171">
        <f>E27*(1 + 'Maintenance Model'!$B$10)</f>
        <v>23.218</v>
      </c>
      <c r="G27" s="171">
        <v>23.9</v>
      </c>
      <c r="H27" s="168">
        <f>G27*(1 + 'Maintenance Model'!$B$10)</f>
        <v>31.07</v>
      </c>
      <c r="I27" s="259" t="s">
        <v>1254</v>
      </c>
      <c r="J27" s="7"/>
      <c r="K27" s="7"/>
      <c r="L27" s="7"/>
      <c r="M27" s="7"/>
      <c r="N27" s="7"/>
      <c r="O27" s="7"/>
      <c r="P27" s="7"/>
      <c r="Q27" s="7"/>
      <c r="R27" s="6"/>
      <c r="S27" s="6"/>
      <c r="T27" s="6"/>
      <c r="U27" s="6"/>
      <c r="V27" s="6"/>
      <c r="W27" s="6"/>
      <c r="X27" s="6"/>
      <c r="Y27" s="6"/>
      <c r="Z27" s="6"/>
      <c r="AA27" s="6"/>
    </row>
    <row r="28" spans="1:27" x14ac:dyDescent="0.2">
      <c r="A28" s="9" t="s">
        <v>115</v>
      </c>
      <c r="B28" s="9" t="str">
        <f>VLOOKUP(A28,'Tariff Schedule Lookup Table'!A16:D150,2,FALSE)</f>
        <v>Mercury Vapour 80</v>
      </c>
      <c r="C28" s="167">
        <v>3.5</v>
      </c>
      <c r="D28" s="167">
        <f>C28*(1 + 'Maintenance Model'!B$10)</f>
        <v>4.55</v>
      </c>
      <c r="E28" s="167">
        <v>21.5</v>
      </c>
      <c r="F28" s="167">
        <f>E28*(1 + 'Maintenance Model'!$B$10)</f>
        <v>27.95</v>
      </c>
      <c r="G28" s="171">
        <v>23.9</v>
      </c>
      <c r="H28" s="168">
        <f>G28*(1 + 'Maintenance Model'!$B$10)</f>
        <v>31.07</v>
      </c>
      <c r="I28" s="259" t="s">
        <v>1775</v>
      </c>
      <c r="J28" s="7"/>
      <c r="K28" s="7"/>
      <c r="L28" s="7"/>
      <c r="M28" s="7"/>
      <c r="N28" s="7"/>
      <c r="O28" s="7"/>
      <c r="P28" s="7"/>
      <c r="Q28" s="7"/>
      <c r="R28" s="6"/>
      <c r="S28" s="6"/>
      <c r="T28" s="6"/>
      <c r="U28" s="6"/>
      <c r="V28" s="6"/>
      <c r="W28" s="6"/>
      <c r="X28" s="6"/>
      <c r="Y28" s="6"/>
      <c r="Z28" s="6"/>
      <c r="AA28" s="6"/>
    </row>
    <row r="29" spans="1:27" x14ac:dyDescent="0.2">
      <c r="A29" s="9" t="s">
        <v>121</v>
      </c>
      <c r="B29" s="9" t="str">
        <f>VLOOKUP(A29,'Tariff Schedule Lookup Table'!A17:D151,2,FALSE)</f>
        <v>Mercury Vapour 125</v>
      </c>
      <c r="C29" s="167">
        <v>3.74</v>
      </c>
      <c r="D29" s="167">
        <f>C29*(1 + 'Maintenance Model'!B$10)</f>
        <v>4.8620000000000001</v>
      </c>
      <c r="E29" s="167">
        <v>26.7</v>
      </c>
      <c r="F29" s="167">
        <f>E29*(1 + 'Maintenance Model'!$B$10)</f>
        <v>34.71</v>
      </c>
      <c r="G29" s="167">
        <v>19.46</v>
      </c>
      <c r="H29" s="168">
        <f>G29*(1 + 'Maintenance Model'!$B$10)</f>
        <v>25.298000000000002</v>
      </c>
      <c r="I29" s="172" t="s">
        <v>1776</v>
      </c>
      <c r="J29" s="7"/>
      <c r="K29" s="7"/>
      <c r="L29" s="7"/>
      <c r="M29" s="7"/>
      <c r="N29" s="7"/>
      <c r="O29" s="7"/>
      <c r="P29" s="7"/>
      <c r="Q29" s="7"/>
      <c r="R29" s="6"/>
      <c r="S29" s="6"/>
      <c r="T29" s="6"/>
      <c r="U29" s="6"/>
      <c r="V29" s="6"/>
      <c r="W29" s="6"/>
      <c r="X29" s="6"/>
      <c r="Y29" s="6"/>
      <c r="Z29" s="6"/>
      <c r="AA29" s="6"/>
    </row>
    <row r="30" spans="1:27" x14ac:dyDescent="0.2">
      <c r="A30" s="9" t="s">
        <v>132</v>
      </c>
      <c r="B30" s="9" t="str">
        <f>VLOOKUP(A30,'Tariff Schedule Lookup Table'!A18:D152,2,FALSE)</f>
        <v>Mercury Vapour 250</v>
      </c>
      <c r="C30" s="167">
        <v>9.9499999999999993</v>
      </c>
      <c r="D30" s="167">
        <f>C30*(1 + 'Maintenance Model'!B$10)</f>
        <v>12.934999999999999</v>
      </c>
      <c r="E30" s="167">
        <v>39.15</v>
      </c>
      <c r="F30" s="167">
        <f>E30*(1 + 'Maintenance Model'!$B$10)</f>
        <v>50.895000000000003</v>
      </c>
      <c r="G30" s="167">
        <v>19.46</v>
      </c>
      <c r="H30" s="168">
        <f>G30*(1 + 'Maintenance Model'!$B$10)</f>
        <v>25.298000000000002</v>
      </c>
      <c r="I30" s="172" t="s">
        <v>1776</v>
      </c>
      <c r="J30" s="7"/>
      <c r="K30" s="7"/>
      <c r="L30" s="7"/>
      <c r="M30" s="7"/>
      <c r="N30" s="7"/>
      <c r="O30" s="7"/>
      <c r="P30" s="7"/>
      <c r="Q30" s="7"/>
      <c r="R30" s="6"/>
      <c r="S30" s="6"/>
      <c r="T30" s="6"/>
      <c r="U30" s="6"/>
      <c r="V30" s="6"/>
      <c r="W30" s="6"/>
      <c r="X30" s="6"/>
      <c r="Y30" s="6"/>
      <c r="Z30" s="6"/>
      <c r="AA30" s="6"/>
    </row>
    <row r="31" spans="1:27" x14ac:dyDescent="0.2">
      <c r="A31" s="9" t="s">
        <v>135</v>
      </c>
      <c r="B31" s="9" t="str">
        <f>VLOOKUP(A31,'Tariff Schedule Lookup Table'!A19:D153,2,FALSE)</f>
        <v>Mercury Vapour 400</v>
      </c>
      <c r="C31" s="167">
        <v>9.86</v>
      </c>
      <c r="D31" s="167">
        <f>C31*(1 + 'Maintenance Model'!B$10)</f>
        <v>12.818</v>
      </c>
      <c r="E31" s="167">
        <v>47.9</v>
      </c>
      <c r="F31" s="167">
        <f>E31*(1 + 'Maintenance Model'!$B$10)</f>
        <v>62.27</v>
      </c>
      <c r="G31" s="167">
        <v>19.46</v>
      </c>
      <c r="H31" s="168">
        <f>G31*(1 + 'Maintenance Model'!$B$10)</f>
        <v>25.298000000000002</v>
      </c>
      <c r="I31" s="172" t="s">
        <v>1776</v>
      </c>
      <c r="J31" s="7"/>
      <c r="K31" s="7"/>
      <c r="L31" s="7"/>
      <c r="M31" s="7"/>
      <c r="N31" s="7"/>
      <c r="O31" s="7"/>
      <c r="P31" s="7"/>
      <c r="Q31" s="7"/>
      <c r="R31" s="6"/>
      <c r="S31" s="6"/>
      <c r="T31" s="6"/>
      <c r="U31" s="6"/>
      <c r="V31" s="6"/>
      <c r="W31" s="6"/>
      <c r="X31" s="6"/>
      <c r="Y31" s="6"/>
      <c r="Z31" s="6"/>
      <c r="AA31" s="6"/>
    </row>
    <row r="32" spans="1:27" x14ac:dyDescent="0.2">
      <c r="A32" s="9" t="s">
        <v>136</v>
      </c>
      <c r="B32" s="9" t="str">
        <f>VLOOKUP(A32,'Tariff Schedule Lookup Table'!A20:D154,2,FALSE)</f>
        <v>Mercury Vapour 2x400</v>
      </c>
      <c r="C32" s="167">
        <v>9.86</v>
      </c>
      <c r="D32" s="167">
        <f>C32*(1 + 'Maintenance Model'!B$10)</f>
        <v>12.818</v>
      </c>
      <c r="E32" s="167">
        <v>47.9</v>
      </c>
      <c r="F32" s="167">
        <f>E32*(1 + 'Maintenance Model'!$B$10)</f>
        <v>62.27</v>
      </c>
      <c r="G32" s="167">
        <v>19.46</v>
      </c>
      <c r="H32" s="168">
        <f>G32*(1 + 'Maintenance Model'!$B$10)</f>
        <v>25.298000000000002</v>
      </c>
      <c r="I32" s="172" t="s">
        <v>1776</v>
      </c>
      <c r="J32" s="7"/>
      <c r="K32" s="7"/>
      <c r="L32" s="7"/>
      <c r="M32" s="7"/>
      <c r="N32" s="7"/>
      <c r="O32" s="7"/>
      <c r="P32" s="7"/>
      <c r="Q32" s="7"/>
      <c r="R32" s="6"/>
      <c r="S32" s="6"/>
      <c r="T32" s="6"/>
      <c r="U32" s="6"/>
      <c r="V32" s="6"/>
      <c r="W32" s="6"/>
      <c r="X32" s="6"/>
      <c r="Y32" s="6"/>
      <c r="Z32" s="6"/>
      <c r="AA32" s="6"/>
    </row>
    <row r="33" spans="1:27" x14ac:dyDescent="0.2">
      <c r="A33" s="9" t="s">
        <v>106</v>
      </c>
      <c r="B33" s="9" t="str">
        <f>VLOOKUP(A33,'Tariff Schedule Lookup Table'!A21:D155,2,FALSE)</f>
        <v>Metal Hallide (Reactor Control Gear) 250</v>
      </c>
      <c r="C33" s="167">
        <v>52.4</v>
      </c>
      <c r="D33" s="167">
        <f>C33*(1 + 'Maintenance Model'!B$10)</f>
        <v>68.12</v>
      </c>
      <c r="E33" s="167">
        <v>50.8</v>
      </c>
      <c r="F33" s="167">
        <f>E33*(1 + 'Maintenance Model'!$B$10)</f>
        <v>66.039999999999992</v>
      </c>
      <c r="G33" s="167">
        <v>8</v>
      </c>
      <c r="H33" s="168">
        <f>G33*(1 + 'Maintenance Model'!$B$10)</f>
        <v>10.4</v>
      </c>
      <c r="I33" s="515" t="s">
        <v>1777</v>
      </c>
      <c r="J33" s="7"/>
      <c r="K33" s="7"/>
      <c r="L33" s="7"/>
      <c r="M33" s="7"/>
      <c r="N33" s="7"/>
      <c r="O33" s="7"/>
      <c r="P33" s="7"/>
      <c r="Q33" s="7"/>
      <c r="R33" s="6"/>
      <c r="S33" s="6"/>
      <c r="T33" s="6"/>
      <c r="U33" s="6"/>
      <c r="V33" s="6"/>
      <c r="W33" s="6"/>
      <c r="X33" s="6"/>
      <c r="Y33" s="6"/>
      <c r="Z33" s="6"/>
      <c r="AA33" s="6"/>
    </row>
    <row r="34" spans="1:27" x14ac:dyDescent="0.2">
      <c r="A34" s="9" t="s">
        <v>107</v>
      </c>
      <c r="B34" s="9" t="str">
        <f>VLOOKUP(A34,'Tariff Schedule Lookup Table'!A22:D155,2,FALSE)</f>
        <v>Metal Hallide (Reactor Control Gear) 400</v>
      </c>
      <c r="C34" s="167">
        <v>56.8</v>
      </c>
      <c r="D34" s="167">
        <f>C34*(1 + 'Maintenance Model'!B$10)</f>
        <v>73.84</v>
      </c>
      <c r="E34" s="167">
        <v>60.72</v>
      </c>
      <c r="F34" s="167">
        <f>E34*(1 + 'Maintenance Model'!$B$10)</f>
        <v>78.936000000000007</v>
      </c>
      <c r="G34" s="167">
        <v>8</v>
      </c>
      <c r="H34" s="168">
        <f>G34*(1 + 'Maintenance Model'!$B$10)</f>
        <v>10.4</v>
      </c>
      <c r="I34" s="515"/>
      <c r="J34" s="7"/>
      <c r="K34" s="7"/>
      <c r="L34" s="7"/>
      <c r="M34" s="7"/>
      <c r="N34" s="7"/>
      <c r="O34" s="7"/>
      <c r="P34" s="7"/>
      <c r="Q34" s="7"/>
      <c r="R34" s="6"/>
      <c r="S34" s="6"/>
      <c r="T34" s="6"/>
      <c r="U34" s="6"/>
      <c r="V34" s="6"/>
      <c r="W34" s="6"/>
      <c r="X34" s="6"/>
      <c r="Y34" s="6"/>
      <c r="Z34" s="6"/>
      <c r="AA34" s="6"/>
    </row>
    <row r="35" spans="1:27" ht="22.5" x14ac:dyDescent="0.2">
      <c r="A35" s="18" t="s">
        <v>73</v>
      </c>
      <c r="B35" s="9" t="str">
        <f>VLOOKUP(A35,'Tariff Schedule Lookup Table'!A23:D155,2,FALSE)</f>
        <v>Incandescent 60</v>
      </c>
      <c r="C35" s="167">
        <v>1.1000000000000001</v>
      </c>
      <c r="D35" s="167">
        <f>C35*(1 + 'Maintenance Model'!B$10)</f>
        <v>1.4300000000000002</v>
      </c>
      <c r="E35" s="167">
        <v>0</v>
      </c>
      <c r="F35" s="167">
        <f>E35*(1 + 'Maintenance Model'!$B$10)</f>
        <v>0</v>
      </c>
      <c r="G35" s="167">
        <v>0</v>
      </c>
      <c r="H35" s="168">
        <f>G35*(1 + 'Maintenance Model'!$B$10)</f>
        <v>0</v>
      </c>
      <c r="I35" s="172" t="s">
        <v>1772</v>
      </c>
      <c r="J35" s="7"/>
      <c r="K35" s="7"/>
      <c r="L35" s="7"/>
      <c r="M35" s="7"/>
      <c r="N35" s="7"/>
      <c r="O35" s="7"/>
      <c r="P35" s="7"/>
      <c r="Q35" s="7"/>
      <c r="R35" s="6"/>
      <c r="S35" s="6"/>
      <c r="T35" s="6"/>
      <c r="U35" s="6"/>
      <c r="V35" s="6"/>
      <c r="W35" s="6"/>
      <c r="X35" s="6"/>
      <c r="Y35" s="6"/>
      <c r="Z35" s="6"/>
      <c r="AA35" s="6"/>
    </row>
    <row r="36" spans="1:27" x14ac:dyDescent="0.2">
      <c r="A36" s="98" t="s">
        <v>106</v>
      </c>
      <c r="B36" s="9" t="str">
        <f>VLOOKUP(A36,'Tariff Schedule Lookup Table'!A24:D155,2,FALSE)</f>
        <v>Metal Hallide (Reactor Control Gear) 250</v>
      </c>
      <c r="C36" s="53">
        <v>52.4</v>
      </c>
      <c r="D36" s="53">
        <f>C36*(1 + 'Maintenance Model'!B$10)</f>
        <v>68.12</v>
      </c>
      <c r="E36" s="53">
        <v>50.8</v>
      </c>
      <c r="F36" s="53">
        <f>E36*(1 + 'Maintenance Model'!$B$10)</f>
        <v>66.039999999999992</v>
      </c>
      <c r="G36" s="171">
        <v>25.42</v>
      </c>
      <c r="H36" s="168">
        <f>G36*(1 + 'Maintenance Model'!$B$10)</f>
        <v>33.046000000000006</v>
      </c>
      <c r="I36" s="172"/>
      <c r="J36" s="7"/>
      <c r="K36" s="7"/>
      <c r="L36" s="7"/>
      <c r="M36" s="7"/>
      <c r="N36" s="7"/>
      <c r="O36" s="7"/>
      <c r="P36" s="7"/>
      <c r="Q36" s="7"/>
      <c r="R36" s="6"/>
      <c r="S36" s="6"/>
      <c r="T36" s="6"/>
      <c r="U36" s="6"/>
      <c r="V36" s="6"/>
      <c r="W36" s="6"/>
      <c r="X36" s="6"/>
      <c r="Y36" s="6"/>
      <c r="Z36" s="6"/>
      <c r="AA36" s="6"/>
    </row>
    <row r="37" spans="1:27" x14ac:dyDescent="0.2">
      <c r="A37" s="98" t="s">
        <v>107</v>
      </c>
      <c r="B37" s="9" t="str">
        <f>VLOOKUP(A37,'Tariff Schedule Lookup Table'!A25:D156,2,FALSE)</f>
        <v>Metal Hallide (Reactor Control Gear) 400</v>
      </c>
      <c r="C37" s="53">
        <v>56.8</v>
      </c>
      <c r="D37" s="53">
        <f>C37*(1 + 'Maintenance Model'!B$10)</f>
        <v>73.84</v>
      </c>
      <c r="E37" s="53">
        <v>60.72</v>
      </c>
      <c r="F37" s="53">
        <f>E37*(1 + 'Maintenance Model'!$B$10)</f>
        <v>78.936000000000007</v>
      </c>
      <c r="G37" s="171">
        <v>25.42</v>
      </c>
      <c r="H37" s="168">
        <f>G37*(1 + 'Maintenance Model'!$B$10)</f>
        <v>33.046000000000006</v>
      </c>
      <c r="I37" s="172"/>
      <c r="J37" s="7"/>
      <c r="K37" s="7"/>
      <c r="L37" s="7"/>
      <c r="M37" s="7"/>
      <c r="N37" s="7"/>
      <c r="O37" s="7"/>
      <c r="P37" s="7"/>
      <c r="Q37" s="7"/>
      <c r="R37" s="6"/>
      <c r="S37" s="6"/>
      <c r="T37" s="6"/>
      <c r="U37" s="6"/>
      <c r="V37" s="6"/>
      <c r="W37" s="6"/>
      <c r="X37" s="6"/>
      <c r="Y37" s="6"/>
      <c r="Z37" s="6"/>
      <c r="AA37" s="6"/>
    </row>
    <row r="38" spans="1:27" ht="45" x14ac:dyDescent="0.2">
      <c r="A38" s="18" t="s">
        <v>110</v>
      </c>
      <c r="B38" s="9" t="str">
        <f>VLOOKUP(A38,'Tariff Schedule Lookup Table'!A24:D155,2,FALSE)</f>
        <v>Metal Hallide (Reactor Control Gear) 1000</v>
      </c>
      <c r="C38" s="167">
        <v>215</v>
      </c>
      <c r="D38" s="167">
        <f>C38*(1 + 'Maintenance Model'!B$10)</f>
        <v>279.5</v>
      </c>
      <c r="E38" s="171">
        <v>130</v>
      </c>
      <c r="F38" s="171">
        <f>E38*(1 + 'Maintenance Model'!$B$10)</f>
        <v>169</v>
      </c>
      <c r="G38" s="171">
        <v>25.42</v>
      </c>
      <c r="H38" s="168">
        <f>G38*(1 + 'Maintenance Model'!$B$10)</f>
        <v>33.046000000000006</v>
      </c>
      <c r="I38" s="172" t="s">
        <v>1773</v>
      </c>
      <c r="J38" s="7"/>
      <c r="K38" s="7"/>
      <c r="L38" s="7"/>
      <c r="M38" s="7"/>
      <c r="N38" s="7"/>
      <c r="O38" s="7"/>
      <c r="P38" s="7"/>
      <c r="Q38" s="7"/>
      <c r="R38" s="6"/>
      <c r="S38" s="6"/>
      <c r="T38" s="6"/>
      <c r="U38" s="6"/>
      <c r="V38" s="6"/>
      <c r="W38" s="6"/>
      <c r="X38" s="6"/>
      <c r="Y38" s="6"/>
      <c r="Z38" s="6"/>
      <c r="AA38" s="6"/>
    </row>
    <row r="39" spans="1:27" x14ac:dyDescent="0.2">
      <c r="A39" s="9" t="s">
        <v>65</v>
      </c>
      <c r="B39" s="9" t="str">
        <f>VLOOKUP(A39,'Tariff Schedule Lookup Table'!A25:D156,2,FALSE)</f>
        <v>High Pressure Sodium 600 (Internal Ignitor)</v>
      </c>
      <c r="C39" s="171">
        <v>93.91</v>
      </c>
      <c r="D39" s="171">
        <f>C39*(1 + 'Maintenance Model'!B$10)</f>
        <v>122.083</v>
      </c>
      <c r="E39" s="171">
        <v>73.319999999999993</v>
      </c>
      <c r="F39" s="171">
        <f>E39*(1 + 'Maintenance Model'!$B$10)</f>
        <v>95.315999999999988</v>
      </c>
      <c r="G39" s="167">
        <v>19.46</v>
      </c>
      <c r="H39" s="168">
        <f>G39*(1 + 'Maintenance Model'!$B$10)</f>
        <v>25.298000000000002</v>
      </c>
      <c r="I39" s="172" t="s">
        <v>1776</v>
      </c>
      <c r="J39" s="7"/>
      <c r="K39" s="7"/>
      <c r="L39" s="7"/>
      <c r="M39" s="7"/>
      <c r="N39" s="7"/>
      <c r="O39" s="7"/>
      <c r="P39" s="7"/>
      <c r="Q39" s="7"/>
      <c r="R39" s="6"/>
      <c r="S39" s="6"/>
      <c r="T39" s="6"/>
      <c r="U39" s="6"/>
      <c r="V39" s="6"/>
      <c r="W39" s="6"/>
      <c r="X39" s="6"/>
      <c r="Y39" s="6"/>
      <c r="Z39" s="6"/>
      <c r="AA39" s="6"/>
    </row>
    <row r="40" spans="1:27" x14ac:dyDescent="0.2">
      <c r="A40" s="9" t="s">
        <v>59</v>
      </c>
      <c r="B40" s="9" t="str">
        <f>VLOOKUP(A40,'Tariff Schedule Lookup Table'!A26:D157,2,FALSE)</f>
        <v>Compact Fluorescent 1x42</v>
      </c>
      <c r="C40" s="53">
        <v>6.5</v>
      </c>
      <c r="D40" s="173">
        <f>C40*(1 + 'Maintenance Model'!B$10)</f>
        <v>8.4500000000000011</v>
      </c>
      <c r="E40" s="53">
        <v>46</v>
      </c>
      <c r="F40" s="173">
        <f>E40*(1 + 'Maintenance Model'!$B$10)</f>
        <v>59.800000000000004</v>
      </c>
      <c r="G40" s="53">
        <v>23.9</v>
      </c>
      <c r="H40" s="168">
        <f>G40*(1 + 'Maintenance Model'!$B$10)</f>
        <v>31.07</v>
      </c>
      <c r="I40" s="260" t="s">
        <v>1255</v>
      </c>
      <c r="J40" s="7"/>
      <c r="K40" s="7"/>
      <c r="L40" s="7"/>
      <c r="M40" s="7"/>
      <c r="N40" s="7"/>
      <c r="O40" s="7"/>
      <c r="P40" s="7"/>
      <c r="Q40" s="7"/>
      <c r="R40" s="6"/>
      <c r="S40" s="6"/>
      <c r="T40" s="6"/>
      <c r="U40" s="6"/>
      <c r="V40" s="6"/>
      <c r="W40" s="6"/>
      <c r="X40" s="6"/>
      <c r="Y40" s="6"/>
      <c r="Z40" s="6"/>
      <c r="AA40" s="6"/>
    </row>
    <row r="41" spans="1:27" ht="12.75" customHeight="1" x14ac:dyDescent="0.2">
      <c r="A41" s="9" t="s">
        <v>1769</v>
      </c>
      <c r="B41" s="9" t="str">
        <f>VLOOKUP(A41,'Tariff Schedule Lookup Table'!A27:D158,2,FALSE)</f>
        <v>T5 2x14W</v>
      </c>
      <c r="C41" s="173">
        <v>5.8</v>
      </c>
      <c r="D41" s="173">
        <f>C41*(1 + 'Maintenance Model'!B$10)</f>
        <v>7.54</v>
      </c>
      <c r="E41" s="53">
        <v>21.82</v>
      </c>
      <c r="F41" s="173">
        <f>E41*(1 + 'Maintenance Model'!$B$10)</f>
        <v>28.366</v>
      </c>
      <c r="G41" s="53">
        <v>23.9</v>
      </c>
      <c r="H41" s="168">
        <f>G41*(1 + 'Maintenance Model'!$B$10)</f>
        <v>31.07</v>
      </c>
      <c r="I41" s="260" t="s">
        <v>1255</v>
      </c>
      <c r="J41" s="7"/>
      <c r="K41" s="7"/>
      <c r="L41" s="7"/>
      <c r="M41" s="7"/>
      <c r="N41" s="7"/>
      <c r="O41" s="7"/>
      <c r="P41" s="7"/>
      <c r="Q41" s="7"/>
      <c r="R41" s="6"/>
      <c r="S41" s="6"/>
      <c r="T41" s="6"/>
      <c r="U41" s="6"/>
      <c r="V41" s="6"/>
      <c r="W41" s="6"/>
      <c r="X41" s="6"/>
      <c r="Y41" s="6"/>
      <c r="Z41" s="6"/>
      <c r="AA41" s="6"/>
    </row>
    <row r="42" spans="1:27" ht="12.4" customHeight="1" x14ac:dyDescent="0.2">
      <c r="A42" s="9" t="s">
        <v>1770</v>
      </c>
      <c r="B42" s="9" t="str">
        <f>VLOOKUP(A42,'Tariff Schedule Lookup Table'!A28:D159,2,FALSE)</f>
        <v>T5 2x24W</v>
      </c>
      <c r="C42" s="173">
        <v>12.05</v>
      </c>
      <c r="D42" s="173">
        <f>C42*(1 + 'Maintenance Model'!B$10)</f>
        <v>15.665000000000001</v>
      </c>
      <c r="E42" s="53">
        <v>34.549999999999997</v>
      </c>
      <c r="F42" s="173">
        <f>E42*(1 + 'Maintenance Model'!$B$10)</f>
        <v>44.914999999999999</v>
      </c>
      <c r="G42" s="53">
        <v>23.9</v>
      </c>
      <c r="H42" s="168">
        <f>G42*(1 + 'Maintenance Model'!$B$10)</f>
        <v>31.07</v>
      </c>
      <c r="I42" s="260" t="s">
        <v>1255</v>
      </c>
      <c r="J42" s="7"/>
      <c r="K42" s="7"/>
      <c r="L42" s="7"/>
      <c r="M42" s="7"/>
      <c r="N42" s="7"/>
      <c r="O42" s="7"/>
      <c r="P42" s="7"/>
      <c r="Q42" s="7"/>
      <c r="R42" s="6"/>
      <c r="S42" s="6"/>
      <c r="T42" s="6"/>
      <c r="U42" s="6"/>
      <c r="V42" s="6"/>
      <c r="W42" s="6"/>
      <c r="X42" s="6"/>
      <c r="Y42" s="6"/>
      <c r="Z42" s="6"/>
      <c r="AA42" s="6"/>
    </row>
    <row r="43" spans="1:27" x14ac:dyDescent="0.2">
      <c r="A43" s="9" t="s">
        <v>90</v>
      </c>
      <c r="B43" s="9" t="str">
        <f>VLOOKUP(A43,'Tariff Schedule Lookup Table'!A29:D160,2,FALSE)</f>
        <v>Low Pressure Sodium 55</v>
      </c>
      <c r="C43" s="53">
        <v>27.8</v>
      </c>
      <c r="D43" s="53">
        <f>C43*(1 + 'Maintenance Model'!B$10)</f>
        <v>36.14</v>
      </c>
      <c r="E43" s="53">
        <v>67</v>
      </c>
      <c r="F43" s="53">
        <f>E43*(1 + 'Maintenance Model'!$B$10)</f>
        <v>87.100000000000009</v>
      </c>
      <c r="G43" s="167">
        <v>19.46</v>
      </c>
      <c r="H43" s="168">
        <f>G43*(1 + 'Maintenance Model'!$B$10)</f>
        <v>25.298000000000002</v>
      </c>
      <c r="I43" s="24" t="s">
        <v>1776</v>
      </c>
      <c r="J43" s="7"/>
      <c r="K43" s="7"/>
      <c r="L43" s="7"/>
      <c r="M43" s="7"/>
      <c r="N43" s="7"/>
      <c r="O43" s="7"/>
      <c r="P43" s="7"/>
      <c r="Q43" s="7"/>
      <c r="R43" s="6"/>
      <c r="S43" s="6"/>
      <c r="T43" s="6"/>
      <c r="U43" s="6"/>
      <c r="V43" s="6"/>
      <c r="W43" s="6"/>
      <c r="X43" s="6"/>
      <c r="Y43" s="6"/>
      <c r="Z43" s="6"/>
      <c r="AA43" s="6"/>
    </row>
    <row r="44" spans="1:27" x14ac:dyDescent="0.2">
      <c r="A44" s="9" t="s">
        <v>91</v>
      </c>
      <c r="B44" s="9" t="str">
        <f>VLOOKUP(A44,'Tariff Schedule Lookup Table'!A30:D161,2,FALSE)</f>
        <v>Low Pressure Sodium 90/100</v>
      </c>
      <c r="C44" s="53">
        <v>31.55</v>
      </c>
      <c r="D44" s="53">
        <f>C44*(1 + 'Maintenance Model'!B$10)</f>
        <v>41.015000000000001</v>
      </c>
      <c r="E44" s="53">
        <v>69</v>
      </c>
      <c r="F44" s="53">
        <f>E44*(1 + 'Maintenance Model'!$B$10)</f>
        <v>89.7</v>
      </c>
      <c r="G44" s="167">
        <v>19.46</v>
      </c>
      <c r="H44" s="168">
        <f>G44*(1 + 'Maintenance Model'!$B$10)</f>
        <v>25.298000000000002</v>
      </c>
      <c r="I44" s="24" t="s">
        <v>1776</v>
      </c>
      <c r="J44" s="7"/>
      <c r="K44" s="7"/>
      <c r="L44" s="7"/>
      <c r="M44" s="7"/>
      <c r="N44" s="7"/>
      <c r="O44" s="7"/>
      <c r="P44" s="7"/>
      <c r="Q44" s="7"/>
      <c r="R44" s="6"/>
      <c r="S44" s="6"/>
      <c r="T44" s="6"/>
      <c r="U44" s="6"/>
      <c r="V44" s="6"/>
      <c r="W44" s="6"/>
      <c r="X44" s="6"/>
      <c r="Y44" s="6"/>
      <c r="Z44" s="6"/>
      <c r="AA44" s="6"/>
    </row>
    <row r="45" spans="1:27" ht="22.5" x14ac:dyDescent="0.2">
      <c r="A45" s="11" t="s">
        <v>92</v>
      </c>
      <c r="B45" s="11" t="str">
        <f>VLOOKUP(A45,'Tariff Schedule Lookup Table'!A29:D160,2,FALSE)</f>
        <v>Low Pressure Sodium 135</v>
      </c>
      <c r="C45" s="175">
        <v>35.5</v>
      </c>
      <c r="D45" s="175">
        <f>C45*(1 + 'Maintenance Model'!B$10)</f>
        <v>46.15</v>
      </c>
      <c r="E45" s="201">
        <v>73.7</v>
      </c>
      <c r="F45" s="201">
        <f>E45*(1 + 'Maintenance Model'!$B$10)</f>
        <v>95.81</v>
      </c>
      <c r="G45" s="201">
        <v>19.46</v>
      </c>
      <c r="H45" s="229">
        <f>G45*(1 + 'Maintenance Model'!$B$10)</f>
        <v>25.298000000000002</v>
      </c>
      <c r="I45" s="189" t="s">
        <v>897</v>
      </c>
      <c r="J45" s="7"/>
      <c r="K45" s="7"/>
      <c r="L45" s="7"/>
      <c r="M45" s="7"/>
      <c r="N45" s="7"/>
      <c r="O45" s="7"/>
      <c r="P45" s="7"/>
      <c r="Q45" s="7"/>
      <c r="R45" s="6"/>
      <c r="S45" s="6"/>
      <c r="T45" s="6"/>
      <c r="U45" s="6"/>
      <c r="V45" s="6"/>
      <c r="W45" s="6"/>
      <c r="X45" s="6"/>
      <c r="Y45" s="6"/>
      <c r="Z45" s="6"/>
      <c r="AA45" s="6"/>
    </row>
    <row r="46" spans="1:27" x14ac:dyDescent="0.2">
      <c r="A46" s="7"/>
      <c r="B46" s="7"/>
      <c r="C46" s="7"/>
      <c r="D46" s="7"/>
      <c r="E46" s="7"/>
      <c r="F46" s="7"/>
      <c r="G46" s="7"/>
      <c r="H46" s="7"/>
      <c r="I46" s="7"/>
      <c r="J46" s="7"/>
      <c r="K46" s="7"/>
      <c r="L46" s="7"/>
      <c r="M46" s="7"/>
      <c r="N46" s="7"/>
      <c r="O46" s="7"/>
      <c r="P46" s="7"/>
      <c r="Q46" s="7"/>
      <c r="R46" s="6"/>
      <c r="S46" s="6"/>
      <c r="T46" s="6"/>
      <c r="U46" s="6"/>
      <c r="V46" s="6"/>
      <c r="W46" s="6"/>
      <c r="X46" s="6"/>
      <c r="Y46" s="6"/>
      <c r="Z46" s="6"/>
      <c r="AA46" s="6"/>
    </row>
    <row r="47" spans="1:27" x14ac:dyDescent="0.2">
      <c r="A47" s="7"/>
      <c r="B47" s="7"/>
      <c r="C47" s="7"/>
      <c r="D47" s="7"/>
      <c r="E47" s="7"/>
      <c r="F47" s="7"/>
      <c r="G47" s="7"/>
      <c r="H47" s="7"/>
      <c r="I47" s="7"/>
      <c r="J47" s="7"/>
      <c r="K47" s="7"/>
      <c r="L47" s="7"/>
      <c r="M47" s="7"/>
      <c r="N47" s="7"/>
      <c r="O47" s="7"/>
      <c r="P47" s="7"/>
      <c r="Q47" s="7"/>
      <c r="R47" s="6"/>
      <c r="S47" s="6"/>
      <c r="T47" s="6"/>
      <c r="U47" s="6"/>
      <c r="V47" s="6"/>
      <c r="W47" s="6"/>
      <c r="X47" s="6"/>
      <c r="Y47" s="6"/>
      <c r="Z47" s="6"/>
      <c r="AA47" s="6"/>
    </row>
    <row r="48" spans="1:27" x14ac:dyDescent="0.2">
      <c r="A48" s="7"/>
      <c r="B48" s="7"/>
      <c r="C48" s="7"/>
      <c r="D48" s="7"/>
      <c r="E48" s="7"/>
      <c r="F48" s="7"/>
      <c r="G48" s="7"/>
      <c r="H48" s="7"/>
      <c r="I48" s="7"/>
      <c r="J48" s="7"/>
      <c r="K48" s="7"/>
      <c r="L48" s="7"/>
      <c r="M48" s="7"/>
      <c r="N48" s="7"/>
      <c r="O48" s="7"/>
      <c r="P48" s="7"/>
      <c r="Q48" s="7"/>
      <c r="R48" s="6"/>
      <c r="S48" s="6"/>
      <c r="T48" s="6"/>
      <c r="U48" s="6"/>
      <c r="V48" s="6"/>
      <c r="W48" s="6"/>
      <c r="X48" s="6"/>
      <c r="Y48" s="6"/>
      <c r="Z48" s="6"/>
      <c r="AA48" s="6"/>
    </row>
    <row r="49" spans="1:27" x14ac:dyDescent="0.2">
      <c r="A49" s="7"/>
      <c r="B49" s="7"/>
      <c r="C49" s="7"/>
      <c r="D49" s="7"/>
      <c r="E49" s="7"/>
      <c r="F49" s="7"/>
      <c r="G49" s="7"/>
      <c r="H49" s="7"/>
      <c r="I49" s="7"/>
      <c r="J49" s="7"/>
      <c r="K49" s="7"/>
      <c r="L49" s="7"/>
      <c r="M49" s="7"/>
      <c r="N49" s="7"/>
      <c r="O49" s="7"/>
      <c r="P49" s="7"/>
      <c r="Q49" s="7"/>
      <c r="R49" s="6"/>
      <c r="S49" s="6"/>
      <c r="T49" s="6"/>
      <c r="U49" s="6"/>
      <c r="V49" s="6"/>
      <c r="W49" s="6"/>
      <c r="X49" s="6"/>
      <c r="Y49" s="6"/>
      <c r="Z49" s="6"/>
      <c r="AA49" s="6"/>
    </row>
    <row r="50" spans="1:27" x14ac:dyDescent="0.2">
      <c r="A50" s="7"/>
      <c r="B50" s="7"/>
      <c r="C50" s="7"/>
      <c r="D50" s="7"/>
      <c r="E50" s="7"/>
      <c r="F50" s="7"/>
      <c r="G50" s="7"/>
      <c r="H50" s="7"/>
      <c r="I50" s="7"/>
      <c r="J50" s="7"/>
      <c r="K50" s="7"/>
      <c r="L50" s="7"/>
      <c r="M50" s="7"/>
      <c r="N50" s="7"/>
      <c r="O50" s="7"/>
      <c r="P50" s="7"/>
      <c r="Q50" s="7"/>
      <c r="R50" s="6"/>
      <c r="S50" s="6"/>
      <c r="T50" s="6"/>
      <c r="U50" s="6"/>
      <c r="V50" s="6"/>
      <c r="W50" s="6"/>
      <c r="X50" s="6"/>
      <c r="Y50" s="6"/>
      <c r="Z50" s="6"/>
      <c r="AA50" s="6"/>
    </row>
    <row r="51" spans="1:27" x14ac:dyDescent="0.2">
      <c r="A51" s="7"/>
      <c r="B51" s="7"/>
      <c r="C51" s="7"/>
      <c r="D51" s="7"/>
      <c r="E51" s="7"/>
      <c r="F51" s="7"/>
      <c r="G51" s="7"/>
      <c r="H51" s="7"/>
      <c r="I51" s="7"/>
      <c r="J51" s="7"/>
      <c r="K51" s="7"/>
      <c r="L51" s="7"/>
      <c r="M51" s="7"/>
      <c r="N51" s="7"/>
      <c r="O51" s="7"/>
      <c r="P51" s="7"/>
      <c r="Q51" s="7"/>
      <c r="R51" s="6"/>
      <c r="S51" s="6"/>
      <c r="T51" s="6"/>
      <c r="U51" s="6"/>
      <c r="V51" s="6"/>
      <c r="W51" s="6"/>
      <c r="X51" s="6"/>
      <c r="Y51" s="6"/>
      <c r="Z51" s="6"/>
      <c r="AA51" s="6"/>
    </row>
    <row r="52" spans="1:27" x14ac:dyDescent="0.2">
      <c r="A52" s="7"/>
      <c r="B52" s="7"/>
      <c r="C52" s="7"/>
      <c r="D52" s="7"/>
      <c r="E52" s="7"/>
      <c r="F52" s="7"/>
      <c r="G52" s="7"/>
      <c r="H52" s="7"/>
      <c r="I52" s="7"/>
      <c r="J52" s="7"/>
      <c r="K52" s="7"/>
      <c r="L52" s="7"/>
      <c r="M52" s="7"/>
      <c r="N52" s="7"/>
      <c r="O52" s="7"/>
      <c r="P52" s="7"/>
      <c r="Q52" s="7"/>
      <c r="R52" s="6"/>
      <c r="S52" s="6"/>
      <c r="T52" s="6"/>
      <c r="U52" s="6"/>
      <c r="V52" s="6"/>
      <c r="W52" s="6"/>
      <c r="X52" s="6"/>
      <c r="Y52" s="6"/>
      <c r="Z52" s="6"/>
      <c r="AA52" s="6"/>
    </row>
    <row r="53" spans="1:27" x14ac:dyDescent="0.2">
      <c r="A53" s="7"/>
      <c r="B53" s="7"/>
      <c r="C53" s="7"/>
      <c r="D53" s="7"/>
      <c r="E53" s="7"/>
      <c r="F53" s="7"/>
      <c r="G53" s="7"/>
      <c r="H53" s="7"/>
      <c r="I53" s="7"/>
      <c r="J53" s="7"/>
      <c r="K53" s="7"/>
      <c r="L53" s="7"/>
      <c r="M53" s="7"/>
      <c r="N53" s="7"/>
      <c r="O53" s="7"/>
      <c r="P53" s="7"/>
      <c r="Q53" s="7"/>
      <c r="R53" s="6"/>
      <c r="S53" s="6"/>
      <c r="T53" s="6"/>
      <c r="U53" s="6"/>
      <c r="V53" s="6"/>
      <c r="W53" s="6"/>
      <c r="X53" s="6"/>
      <c r="Y53" s="6"/>
      <c r="Z53" s="6"/>
      <c r="AA53" s="6"/>
    </row>
    <row r="54" spans="1:27" x14ac:dyDescent="0.2">
      <c r="A54" s="7"/>
      <c r="B54" s="7"/>
      <c r="C54" s="7"/>
      <c r="D54" s="7"/>
      <c r="E54" s="7"/>
      <c r="F54" s="7"/>
      <c r="G54" s="7"/>
      <c r="H54" s="7"/>
      <c r="I54" s="7"/>
      <c r="J54" s="7"/>
      <c r="K54" s="7"/>
      <c r="L54" s="7"/>
      <c r="M54" s="7"/>
      <c r="N54" s="7"/>
      <c r="O54" s="7"/>
      <c r="P54" s="7"/>
      <c r="Q54" s="7"/>
      <c r="R54" s="6"/>
      <c r="S54" s="6"/>
      <c r="T54" s="6"/>
      <c r="U54" s="6"/>
      <c r="V54" s="6"/>
      <c r="W54" s="6"/>
      <c r="X54" s="6"/>
      <c r="Y54" s="6"/>
      <c r="Z54" s="6"/>
      <c r="AA54" s="6"/>
    </row>
    <row r="55" spans="1:27" x14ac:dyDescent="0.2">
      <c r="A55" s="7"/>
      <c r="B55" s="7"/>
      <c r="C55" s="7"/>
      <c r="D55" s="7"/>
      <c r="E55" s="7"/>
      <c r="F55" s="7"/>
      <c r="G55" s="7"/>
      <c r="H55" s="7"/>
      <c r="I55" s="7"/>
      <c r="J55" s="7"/>
      <c r="K55" s="7"/>
      <c r="L55" s="7"/>
      <c r="M55" s="7"/>
      <c r="N55" s="7"/>
      <c r="O55" s="7"/>
      <c r="P55" s="7"/>
      <c r="Q55" s="7"/>
      <c r="R55" s="6"/>
      <c r="S55" s="6"/>
      <c r="T55" s="6"/>
      <c r="U55" s="6"/>
      <c r="V55" s="6"/>
      <c r="W55" s="6"/>
      <c r="X55" s="6"/>
      <c r="Y55" s="6"/>
      <c r="Z55" s="6"/>
      <c r="AA55" s="6"/>
    </row>
    <row r="56" spans="1:27" x14ac:dyDescent="0.2">
      <c r="A56" s="7"/>
      <c r="B56" s="7"/>
      <c r="C56" s="7"/>
      <c r="D56" s="7"/>
      <c r="E56" s="7"/>
      <c r="F56" s="7"/>
      <c r="G56" s="7"/>
      <c r="H56" s="7"/>
      <c r="I56" s="7"/>
      <c r="J56" s="7"/>
      <c r="K56" s="7"/>
      <c r="L56" s="7"/>
      <c r="M56" s="7"/>
      <c r="N56" s="7"/>
      <c r="O56" s="7"/>
      <c r="P56" s="7"/>
      <c r="Q56" s="7"/>
      <c r="R56" s="6"/>
      <c r="S56" s="6"/>
      <c r="T56" s="6"/>
      <c r="U56" s="6"/>
      <c r="V56" s="6"/>
      <c r="W56" s="6"/>
      <c r="X56" s="6"/>
      <c r="Y56" s="6"/>
      <c r="Z56" s="6"/>
      <c r="AA56" s="6"/>
    </row>
    <row r="57" spans="1:27" x14ac:dyDescent="0.2">
      <c r="A57" s="7"/>
      <c r="B57" s="7"/>
      <c r="C57" s="7"/>
      <c r="D57" s="7"/>
      <c r="E57" s="7"/>
      <c r="F57" s="7"/>
      <c r="G57" s="7"/>
      <c r="H57" s="7"/>
      <c r="I57" s="7"/>
      <c r="J57" s="7"/>
      <c r="K57" s="7"/>
      <c r="L57" s="7"/>
      <c r="M57" s="7"/>
      <c r="N57" s="7"/>
      <c r="O57" s="7"/>
      <c r="P57" s="7"/>
      <c r="Q57" s="7"/>
      <c r="R57" s="6"/>
      <c r="S57" s="6"/>
      <c r="T57" s="6"/>
      <c r="U57" s="6"/>
      <c r="V57" s="6"/>
      <c r="W57" s="6"/>
      <c r="X57" s="6"/>
      <c r="Y57" s="6"/>
      <c r="Z57" s="6"/>
      <c r="AA57" s="6"/>
    </row>
    <row r="58" spans="1:27" x14ac:dyDescent="0.2">
      <c r="A58" s="7"/>
      <c r="B58" s="7"/>
      <c r="C58" s="7"/>
      <c r="D58" s="7"/>
      <c r="E58" s="7"/>
      <c r="F58" s="7"/>
      <c r="G58" s="7"/>
      <c r="H58" s="7"/>
      <c r="I58" s="7"/>
      <c r="J58" s="7"/>
      <c r="K58" s="7"/>
      <c r="L58" s="7"/>
      <c r="M58" s="7"/>
      <c r="N58" s="7"/>
      <c r="O58" s="7"/>
      <c r="P58" s="7"/>
      <c r="Q58" s="7"/>
      <c r="R58" s="6"/>
      <c r="S58" s="6"/>
      <c r="T58" s="6"/>
      <c r="U58" s="6"/>
      <c r="V58" s="6"/>
      <c r="W58" s="6"/>
      <c r="X58" s="6"/>
      <c r="Y58" s="6"/>
      <c r="Z58" s="6"/>
      <c r="AA58" s="6"/>
    </row>
    <row r="59" spans="1:27" x14ac:dyDescent="0.2">
      <c r="A59" s="7"/>
      <c r="B59" s="7"/>
      <c r="C59" s="7"/>
      <c r="D59" s="7"/>
      <c r="E59" s="7"/>
      <c r="F59" s="7"/>
      <c r="G59" s="7"/>
      <c r="H59" s="7"/>
      <c r="I59" s="7"/>
      <c r="J59" s="7"/>
      <c r="K59" s="7"/>
      <c r="L59" s="7"/>
      <c r="M59" s="7"/>
      <c r="N59" s="7"/>
      <c r="O59" s="7"/>
      <c r="P59" s="7"/>
      <c r="Q59" s="7"/>
      <c r="R59" s="6"/>
      <c r="S59" s="6"/>
      <c r="T59" s="6"/>
      <c r="U59" s="6"/>
      <c r="V59" s="6"/>
      <c r="W59" s="6"/>
      <c r="X59" s="6"/>
      <c r="Y59" s="6"/>
      <c r="Z59" s="6"/>
      <c r="AA59" s="6"/>
    </row>
    <row r="60" spans="1:27" x14ac:dyDescent="0.2">
      <c r="A60" s="7"/>
      <c r="B60" s="7"/>
      <c r="C60" s="7"/>
      <c r="D60" s="7"/>
      <c r="E60" s="7"/>
      <c r="F60" s="7"/>
      <c r="G60" s="7"/>
      <c r="H60" s="7"/>
      <c r="I60" s="7"/>
      <c r="J60" s="7"/>
      <c r="K60" s="7"/>
      <c r="L60" s="7"/>
      <c r="M60" s="7"/>
      <c r="N60" s="7"/>
      <c r="O60" s="7"/>
      <c r="P60" s="7"/>
      <c r="Q60" s="7"/>
      <c r="R60" s="6"/>
      <c r="S60" s="6"/>
      <c r="T60" s="6"/>
      <c r="U60" s="6"/>
      <c r="V60" s="6"/>
      <c r="W60" s="6"/>
      <c r="X60" s="6"/>
      <c r="Y60" s="6"/>
      <c r="Z60" s="6"/>
      <c r="AA60" s="6"/>
    </row>
    <row r="61" spans="1:27" x14ac:dyDescent="0.2">
      <c r="A61" s="7"/>
      <c r="B61" s="7"/>
      <c r="C61" s="7"/>
      <c r="D61" s="7"/>
      <c r="E61" s="7"/>
      <c r="F61" s="7"/>
      <c r="G61" s="7"/>
      <c r="H61" s="7"/>
      <c r="I61" s="7"/>
      <c r="J61" s="7"/>
      <c r="K61" s="7"/>
      <c r="L61" s="7"/>
      <c r="M61" s="7"/>
      <c r="N61" s="7"/>
      <c r="O61" s="7"/>
      <c r="P61" s="7"/>
      <c r="Q61" s="7"/>
      <c r="R61" s="6"/>
      <c r="S61" s="6"/>
      <c r="T61" s="6"/>
      <c r="U61" s="6"/>
      <c r="V61" s="6"/>
      <c r="W61" s="6"/>
      <c r="X61" s="6"/>
      <c r="Y61" s="6"/>
      <c r="Z61" s="6"/>
      <c r="AA61" s="6"/>
    </row>
    <row r="62" spans="1:27" x14ac:dyDescent="0.2">
      <c r="A62" s="7"/>
      <c r="B62" s="7"/>
      <c r="C62" s="7"/>
      <c r="D62" s="7"/>
      <c r="E62" s="7"/>
      <c r="F62" s="7"/>
      <c r="G62" s="7"/>
      <c r="H62" s="7"/>
      <c r="I62" s="7"/>
      <c r="J62" s="7"/>
      <c r="K62" s="7"/>
      <c r="L62" s="7"/>
      <c r="M62" s="7"/>
      <c r="N62" s="7"/>
      <c r="O62" s="7"/>
      <c r="P62" s="7"/>
      <c r="Q62" s="7"/>
      <c r="R62" s="6"/>
      <c r="S62" s="6"/>
      <c r="T62" s="6"/>
      <c r="U62" s="6"/>
      <c r="V62" s="6"/>
      <c r="W62" s="6"/>
      <c r="X62" s="6"/>
      <c r="Y62" s="6"/>
      <c r="Z62" s="6"/>
      <c r="AA62" s="6"/>
    </row>
    <row r="63" spans="1:27" x14ac:dyDescent="0.2">
      <c r="A63" s="7"/>
      <c r="B63" s="7"/>
      <c r="C63" s="7"/>
      <c r="D63" s="7"/>
      <c r="E63" s="7"/>
      <c r="F63" s="7"/>
      <c r="G63" s="7"/>
      <c r="H63" s="7"/>
      <c r="I63" s="7"/>
      <c r="J63" s="7"/>
      <c r="K63" s="7"/>
      <c r="L63" s="7"/>
      <c r="M63" s="7"/>
      <c r="N63" s="7"/>
      <c r="O63" s="7"/>
      <c r="P63" s="7"/>
      <c r="Q63" s="7"/>
      <c r="R63" s="6"/>
      <c r="S63" s="6"/>
      <c r="T63" s="6"/>
      <c r="U63" s="6"/>
      <c r="V63" s="6"/>
      <c r="W63" s="6"/>
      <c r="X63" s="6"/>
      <c r="Y63" s="6"/>
      <c r="Z63" s="6"/>
      <c r="AA63" s="6"/>
    </row>
    <row r="64" spans="1:27" x14ac:dyDescent="0.2">
      <c r="A64" s="7"/>
      <c r="B64" s="7"/>
      <c r="C64" s="7"/>
      <c r="D64" s="7"/>
      <c r="E64" s="7"/>
      <c r="F64" s="7"/>
      <c r="G64" s="7"/>
      <c r="H64" s="7"/>
      <c r="I64" s="7"/>
      <c r="J64" s="7"/>
      <c r="K64" s="7"/>
      <c r="L64" s="7"/>
      <c r="M64" s="7"/>
      <c r="N64" s="7"/>
      <c r="O64" s="7"/>
      <c r="P64" s="7"/>
      <c r="Q64" s="7"/>
      <c r="R64" s="6"/>
      <c r="S64" s="6"/>
      <c r="T64" s="6"/>
      <c r="U64" s="6"/>
      <c r="V64" s="6"/>
      <c r="W64" s="6"/>
      <c r="X64" s="6"/>
      <c r="Y64" s="6"/>
      <c r="Z64" s="6"/>
      <c r="AA64" s="6"/>
    </row>
    <row r="65" spans="1:27" x14ac:dyDescent="0.2">
      <c r="A65" s="7"/>
      <c r="B65" s="7"/>
      <c r="C65" s="7"/>
      <c r="D65" s="7"/>
      <c r="E65" s="7"/>
      <c r="F65" s="7"/>
      <c r="G65" s="7"/>
      <c r="H65" s="7"/>
      <c r="I65" s="7"/>
      <c r="J65" s="7"/>
      <c r="K65" s="7"/>
      <c r="L65" s="7"/>
      <c r="M65" s="7"/>
      <c r="N65" s="7"/>
      <c r="O65" s="7"/>
      <c r="P65" s="7"/>
      <c r="Q65" s="7"/>
      <c r="R65" s="6"/>
      <c r="S65" s="6"/>
      <c r="T65" s="6"/>
      <c r="U65" s="6"/>
      <c r="V65" s="6"/>
      <c r="W65" s="6"/>
      <c r="X65" s="6"/>
      <c r="Y65" s="6"/>
      <c r="Z65" s="6"/>
      <c r="AA65" s="6"/>
    </row>
    <row r="66" spans="1:27" x14ac:dyDescent="0.2">
      <c r="A66" s="7"/>
      <c r="B66" s="7"/>
      <c r="C66" s="7"/>
      <c r="D66" s="7"/>
      <c r="E66" s="7"/>
      <c r="F66" s="7"/>
      <c r="G66" s="7"/>
      <c r="H66" s="7"/>
      <c r="I66" s="7"/>
      <c r="J66" s="7"/>
      <c r="K66" s="7"/>
      <c r="L66" s="7"/>
      <c r="M66" s="7"/>
      <c r="N66" s="7"/>
      <c r="O66" s="7"/>
      <c r="P66" s="7"/>
      <c r="Q66" s="7"/>
      <c r="R66" s="6"/>
      <c r="S66" s="6"/>
      <c r="T66" s="6"/>
      <c r="U66" s="6"/>
      <c r="V66" s="6"/>
      <c r="W66" s="6"/>
      <c r="X66" s="6"/>
      <c r="Y66" s="6"/>
      <c r="Z66" s="6"/>
      <c r="AA66" s="6"/>
    </row>
    <row r="67" spans="1:27" x14ac:dyDescent="0.2">
      <c r="A67" s="7"/>
      <c r="B67" s="7"/>
      <c r="C67" s="7"/>
      <c r="D67" s="7"/>
      <c r="E67" s="7"/>
      <c r="F67" s="7"/>
      <c r="G67" s="7"/>
      <c r="H67" s="7"/>
      <c r="I67" s="7"/>
      <c r="J67" s="7"/>
      <c r="K67" s="7"/>
      <c r="L67" s="7"/>
      <c r="M67" s="7"/>
      <c r="N67" s="7"/>
      <c r="O67" s="7"/>
      <c r="P67" s="7"/>
      <c r="Q67" s="7"/>
      <c r="R67" s="6"/>
      <c r="S67" s="6"/>
      <c r="T67" s="6"/>
      <c r="U67" s="6"/>
      <c r="V67" s="6"/>
      <c r="W67" s="6"/>
      <c r="X67" s="6"/>
      <c r="Y67" s="6"/>
      <c r="Z67" s="6"/>
      <c r="AA67" s="6"/>
    </row>
    <row r="68" spans="1:27" x14ac:dyDescent="0.2">
      <c r="A68" s="7"/>
      <c r="B68" s="7"/>
      <c r="C68" s="7"/>
      <c r="D68" s="7"/>
      <c r="E68" s="7"/>
      <c r="F68" s="7"/>
      <c r="G68" s="7"/>
      <c r="H68" s="7"/>
      <c r="I68" s="7"/>
      <c r="J68" s="7"/>
      <c r="K68" s="7"/>
      <c r="L68" s="7"/>
      <c r="M68" s="7"/>
      <c r="N68" s="7"/>
      <c r="O68" s="7"/>
      <c r="P68" s="7"/>
      <c r="Q68" s="7"/>
      <c r="R68" s="6"/>
      <c r="S68" s="6"/>
      <c r="T68" s="6"/>
      <c r="U68" s="6"/>
      <c r="V68" s="6"/>
      <c r="W68" s="6"/>
      <c r="X68" s="6"/>
      <c r="Y68" s="6"/>
      <c r="Z68" s="6"/>
      <c r="AA68" s="6"/>
    </row>
    <row r="69" spans="1:27" x14ac:dyDescent="0.2">
      <c r="A69" s="7"/>
      <c r="B69" s="7"/>
      <c r="C69" s="7"/>
      <c r="D69" s="7"/>
      <c r="E69" s="7"/>
      <c r="F69" s="7"/>
      <c r="G69" s="7"/>
      <c r="H69" s="7"/>
      <c r="I69" s="7"/>
      <c r="J69" s="7"/>
      <c r="K69" s="7"/>
      <c r="L69" s="7"/>
      <c r="M69" s="7"/>
      <c r="N69" s="7"/>
      <c r="O69" s="7"/>
      <c r="P69" s="7"/>
      <c r="Q69" s="7"/>
      <c r="R69" s="6"/>
      <c r="S69" s="6"/>
      <c r="T69" s="6"/>
      <c r="U69" s="6"/>
      <c r="V69" s="6"/>
      <c r="W69" s="6"/>
      <c r="X69" s="6"/>
      <c r="Y69" s="6"/>
      <c r="Z69" s="6"/>
      <c r="AA69" s="6"/>
    </row>
    <row r="70" spans="1:27" x14ac:dyDescent="0.2">
      <c r="A70" s="7"/>
      <c r="B70" s="7"/>
      <c r="C70" s="7"/>
      <c r="D70" s="7"/>
      <c r="E70" s="7"/>
      <c r="F70" s="7"/>
      <c r="G70" s="7"/>
      <c r="H70" s="7"/>
      <c r="I70" s="7"/>
      <c r="J70" s="7"/>
      <c r="K70" s="7"/>
      <c r="L70" s="7"/>
      <c r="M70" s="7"/>
      <c r="N70" s="7"/>
      <c r="O70" s="7"/>
      <c r="P70" s="7"/>
      <c r="Q70" s="7"/>
      <c r="R70" s="6"/>
      <c r="S70" s="6"/>
      <c r="T70" s="6"/>
      <c r="U70" s="6"/>
      <c r="V70" s="6"/>
      <c r="W70" s="6"/>
      <c r="X70" s="6"/>
      <c r="Y70" s="6"/>
      <c r="Z70" s="6"/>
      <c r="AA70" s="6"/>
    </row>
    <row r="71" spans="1:27" x14ac:dyDescent="0.2">
      <c r="A71" s="7"/>
      <c r="B71" s="7"/>
      <c r="C71" s="7"/>
      <c r="D71" s="7"/>
      <c r="E71" s="7"/>
      <c r="F71" s="7"/>
      <c r="G71" s="7"/>
      <c r="H71" s="7"/>
      <c r="I71" s="7"/>
      <c r="J71" s="7"/>
      <c r="K71" s="7"/>
      <c r="L71" s="7"/>
      <c r="M71" s="7"/>
      <c r="N71" s="7"/>
      <c r="O71" s="7"/>
      <c r="P71" s="7"/>
      <c r="Q71" s="7"/>
      <c r="R71" s="6"/>
      <c r="S71" s="6"/>
      <c r="T71" s="6"/>
      <c r="U71" s="6"/>
      <c r="V71" s="6"/>
      <c r="W71" s="6"/>
      <c r="X71" s="6"/>
      <c r="Y71" s="6"/>
      <c r="Z71" s="6"/>
      <c r="AA71" s="6"/>
    </row>
    <row r="72" spans="1:27" x14ac:dyDescent="0.2">
      <c r="A72" s="7"/>
      <c r="B72" s="7"/>
      <c r="C72" s="7"/>
      <c r="D72" s="7"/>
      <c r="E72" s="7"/>
      <c r="F72" s="7"/>
      <c r="G72" s="7"/>
      <c r="H72" s="7"/>
      <c r="I72" s="7"/>
      <c r="J72" s="7"/>
      <c r="K72" s="7"/>
      <c r="L72" s="7"/>
      <c r="M72" s="7"/>
      <c r="N72" s="7"/>
      <c r="O72" s="7"/>
      <c r="P72" s="7"/>
      <c r="Q72" s="7"/>
      <c r="R72" s="6"/>
      <c r="S72" s="6"/>
      <c r="T72" s="6"/>
      <c r="U72" s="6"/>
      <c r="V72" s="6"/>
      <c r="W72" s="6"/>
      <c r="X72" s="6"/>
      <c r="Y72" s="6"/>
      <c r="Z72" s="6"/>
      <c r="AA72" s="6"/>
    </row>
    <row r="73" spans="1:27" x14ac:dyDescent="0.2">
      <c r="A73" s="7"/>
      <c r="B73" s="7"/>
      <c r="C73" s="7"/>
      <c r="D73" s="7"/>
      <c r="E73" s="7"/>
      <c r="F73" s="7"/>
      <c r="G73" s="7"/>
      <c r="H73" s="7"/>
      <c r="I73" s="7"/>
      <c r="J73" s="7"/>
      <c r="K73" s="7"/>
      <c r="L73" s="7"/>
      <c r="M73" s="7"/>
      <c r="N73" s="7"/>
      <c r="O73" s="7"/>
      <c r="P73" s="7"/>
      <c r="Q73" s="7"/>
      <c r="R73" s="6"/>
      <c r="S73" s="6"/>
      <c r="T73" s="6"/>
      <c r="U73" s="6"/>
      <c r="V73" s="6"/>
      <c r="W73" s="6"/>
      <c r="X73" s="6"/>
      <c r="Y73" s="6"/>
      <c r="Z73" s="6"/>
      <c r="AA73" s="6"/>
    </row>
    <row r="74" spans="1:27" x14ac:dyDescent="0.2">
      <c r="A74" s="7"/>
      <c r="B74" s="7"/>
      <c r="C74" s="7"/>
      <c r="D74" s="7"/>
      <c r="E74" s="7"/>
      <c r="F74" s="7"/>
      <c r="G74" s="7"/>
      <c r="H74" s="7"/>
      <c r="I74" s="7"/>
      <c r="J74" s="7"/>
      <c r="K74" s="7"/>
      <c r="L74" s="7"/>
      <c r="M74" s="7"/>
      <c r="N74" s="7"/>
      <c r="O74" s="7"/>
      <c r="P74" s="7"/>
      <c r="Q74" s="7"/>
      <c r="R74" s="6"/>
      <c r="S74" s="6"/>
      <c r="T74" s="6"/>
      <c r="U74" s="6"/>
      <c r="V74" s="6"/>
      <c r="W74" s="6"/>
      <c r="X74" s="6"/>
      <c r="Y74" s="6"/>
      <c r="Z74" s="6"/>
      <c r="AA74" s="6"/>
    </row>
    <row r="75" spans="1:27" x14ac:dyDescent="0.2">
      <c r="A75" s="7"/>
      <c r="B75" s="7"/>
      <c r="C75" s="7"/>
      <c r="D75" s="7"/>
      <c r="E75" s="7"/>
      <c r="F75" s="7"/>
      <c r="G75" s="7"/>
      <c r="H75" s="7"/>
      <c r="I75" s="7"/>
      <c r="J75" s="7"/>
      <c r="K75" s="7"/>
      <c r="L75" s="7"/>
      <c r="M75" s="7"/>
      <c r="N75" s="7"/>
      <c r="O75" s="7"/>
      <c r="P75" s="7"/>
      <c r="Q75" s="7"/>
      <c r="R75" s="6"/>
      <c r="S75" s="6"/>
      <c r="T75" s="6"/>
      <c r="U75" s="6"/>
      <c r="V75" s="6"/>
      <c r="W75" s="6"/>
      <c r="X75" s="6"/>
      <c r="Y75" s="6"/>
      <c r="Z75" s="6"/>
      <c r="AA75" s="6"/>
    </row>
    <row r="76" spans="1:27" x14ac:dyDescent="0.2">
      <c r="A76" s="7"/>
      <c r="B76" s="7"/>
      <c r="C76" s="7"/>
      <c r="D76" s="7"/>
      <c r="E76" s="7"/>
      <c r="F76" s="7"/>
      <c r="G76" s="7"/>
      <c r="H76" s="7"/>
      <c r="I76" s="7"/>
      <c r="J76" s="7"/>
      <c r="K76" s="7"/>
      <c r="L76" s="7"/>
      <c r="M76" s="7"/>
      <c r="N76" s="7"/>
      <c r="O76" s="7"/>
      <c r="P76" s="7"/>
      <c r="Q76" s="7"/>
      <c r="R76" s="6"/>
      <c r="S76" s="6"/>
      <c r="T76" s="6"/>
      <c r="U76" s="6"/>
      <c r="V76" s="6"/>
      <c r="W76" s="6"/>
      <c r="X76" s="6"/>
      <c r="Y76" s="6"/>
      <c r="Z76" s="6"/>
      <c r="AA76" s="6"/>
    </row>
    <row r="77" spans="1:27" x14ac:dyDescent="0.2">
      <c r="A77" s="7"/>
      <c r="B77" s="7"/>
      <c r="C77" s="7"/>
      <c r="D77" s="7"/>
      <c r="E77" s="7"/>
      <c r="F77" s="7"/>
      <c r="G77" s="7"/>
      <c r="H77" s="7"/>
      <c r="I77" s="7"/>
      <c r="J77" s="7"/>
      <c r="K77" s="7"/>
      <c r="L77" s="7"/>
      <c r="M77" s="7"/>
      <c r="N77" s="7"/>
      <c r="O77" s="7"/>
      <c r="P77" s="7"/>
      <c r="Q77" s="7"/>
      <c r="R77" s="6"/>
      <c r="S77" s="6"/>
      <c r="T77" s="6"/>
      <c r="U77" s="6"/>
      <c r="V77" s="6"/>
      <c r="W77" s="6"/>
      <c r="X77" s="6"/>
      <c r="Y77" s="6"/>
      <c r="Z77" s="6"/>
      <c r="AA77" s="6"/>
    </row>
    <row r="78" spans="1:27" x14ac:dyDescent="0.2">
      <c r="A78" s="7"/>
      <c r="B78" s="7"/>
      <c r="C78" s="7"/>
      <c r="D78" s="7"/>
      <c r="E78" s="7"/>
      <c r="F78" s="7"/>
      <c r="G78" s="7"/>
      <c r="H78" s="7"/>
      <c r="I78" s="7"/>
      <c r="J78" s="7"/>
      <c r="K78" s="7"/>
      <c r="L78" s="7"/>
      <c r="M78" s="7"/>
      <c r="N78" s="7"/>
      <c r="O78" s="7"/>
      <c r="P78" s="7"/>
      <c r="Q78" s="7"/>
      <c r="R78" s="6"/>
      <c r="S78" s="6"/>
      <c r="T78" s="6"/>
      <c r="U78" s="6"/>
      <c r="V78" s="6"/>
      <c r="W78" s="6"/>
      <c r="X78" s="6"/>
      <c r="Y78" s="6"/>
      <c r="Z78" s="6"/>
      <c r="AA78" s="6"/>
    </row>
    <row r="79" spans="1:27" x14ac:dyDescent="0.2">
      <c r="A79" s="7"/>
      <c r="B79" s="7"/>
      <c r="C79" s="7"/>
      <c r="D79" s="7"/>
      <c r="E79" s="7"/>
      <c r="F79" s="7"/>
      <c r="G79" s="7"/>
      <c r="H79" s="7"/>
      <c r="I79" s="7"/>
      <c r="J79" s="7"/>
      <c r="K79" s="7"/>
      <c r="L79" s="7"/>
      <c r="M79" s="7"/>
      <c r="N79" s="7"/>
      <c r="O79" s="7"/>
      <c r="P79" s="7"/>
      <c r="Q79" s="7"/>
      <c r="R79" s="6"/>
      <c r="S79" s="6"/>
      <c r="T79" s="6"/>
      <c r="U79" s="6"/>
      <c r="V79" s="6"/>
      <c r="W79" s="6"/>
      <c r="X79" s="6"/>
      <c r="Y79" s="6"/>
      <c r="Z79" s="6"/>
      <c r="AA79" s="6"/>
    </row>
    <row r="80" spans="1:27" x14ac:dyDescent="0.2">
      <c r="A80" s="7"/>
      <c r="B80" s="7"/>
      <c r="C80" s="7"/>
      <c r="D80" s="7"/>
      <c r="E80" s="7"/>
      <c r="F80" s="7"/>
      <c r="G80" s="7"/>
      <c r="H80" s="7"/>
      <c r="I80" s="7"/>
      <c r="J80" s="7"/>
      <c r="K80" s="7"/>
      <c r="L80" s="7"/>
      <c r="M80" s="7"/>
      <c r="N80" s="7"/>
      <c r="O80" s="7"/>
      <c r="P80" s="7"/>
      <c r="Q80" s="7"/>
      <c r="R80" s="6"/>
      <c r="S80" s="6"/>
      <c r="T80" s="6"/>
      <c r="U80" s="6"/>
      <c r="V80" s="6"/>
      <c r="W80" s="6"/>
      <c r="X80" s="6"/>
      <c r="Y80" s="6"/>
      <c r="Z80" s="6"/>
      <c r="AA80" s="6"/>
    </row>
    <row r="81" spans="1:27" x14ac:dyDescent="0.2">
      <c r="A81" s="7"/>
      <c r="B81" s="7"/>
      <c r="C81" s="7"/>
      <c r="D81" s="7"/>
      <c r="E81" s="7"/>
      <c r="F81" s="7"/>
      <c r="G81" s="7"/>
      <c r="H81" s="7"/>
      <c r="I81" s="7"/>
      <c r="J81" s="7"/>
      <c r="K81" s="7"/>
      <c r="L81" s="7"/>
      <c r="M81" s="7"/>
      <c r="N81" s="7"/>
      <c r="O81" s="7"/>
      <c r="P81" s="7"/>
      <c r="Q81" s="7"/>
      <c r="R81" s="6"/>
      <c r="S81" s="6"/>
      <c r="T81" s="6"/>
      <c r="U81" s="6"/>
      <c r="V81" s="6"/>
      <c r="W81" s="6"/>
      <c r="X81" s="6"/>
      <c r="Y81" s="6"/>
      <c r="Z81" s="6"/>
      <c r="AA81" s="6"/>
    </row>
    <row r="82" spans="1:27" x14ac:dyDescent="0.2">
      <c r="A82" s="7"/>
      <c r="B82" s="7"/>
      <c r="C82" s="7"/>
      <c r="D82" s="7"/>
      <c r="E82" s="7"/>
      <c r="F82" s="7"/>
      <c r="G82" s="7"/>
      <c r="H82" s="7"/>
      <c r="I82" s="7"/>
      <c r="J82" s="7"/>
      <c r="K82" s="7"/>
      <c r="L82" s="7"/>
      <c r="M82" s="7"/>
      <c r="N82" s="7"/>
      <c r="O82" s="7"/>
      <c r="P82" s="7"/>
      <c r="Q82" s="7"/>
      <c r="R82" s="6"/>
      <c r="S82" s="6"/>
      <c r="T82" s="6"/>
      <c r="U82" s="6"/>
      <c r="V82" s="6"/>
      <c r="W82" s="6"/>
      <c r="X82" s="6"/>
      <c r="Y82" s="6"/>
      <c r="Z82" s="6"/>
      <c r="AA82" s="6"/>
    </row>
    <row r="83" spans="1:27" x14ac:dyDescent="0.2">
      <c r="A83" s="7"/>
      <c r="B83" s="7"/>
      <c r="C83" s="7"/>
      <c r="D83" s="7"/>
      <c r="E83" s="7"/>
      <c r="F83" s="7"/>
      <c r="G83" s="7"/>
      <c r="H83" s="7"/>
      <c r="I83" s="7"/>
      <c r="J83" s="7"/>
      <c r="K83" s="7"/>
      <c r="L83" s="7"/>
      <c r="M83" s="7"/>
      <c r="N83" s="7"/>
      <c r="O83" s="7"/>
      <c r="P83" s="7"/>
      <c r="Q83" s="7"/>
      <c r="R83" s="6"/>
      <c r="S83" s="6"/>
      <c r="T83" s="6"/>
      <c r="U83" s="6"/>
      <c r="V83" s="6"/>
      <c r="W83" s="6"/>
      <c r="X83" s="6"/>
      <c r="Y83" s="6"/>
      <c r="Z83" s="6"/>
      <c r="AA83" s="6"/>
    </row>
    <row r="84" spans="1:27" x14ac:dyDescent="0.2">
      <c r="A84" s="7"/>
      <c r="B84" s="7"/>
      <c r="C84" s="7"/>
      <c r="D84" s="7"/>
      <c r="E84" s="7"/>
      <c r="F84" s="7"/>
      <c r="G84" s="7"/>
      <c r="H84" s="7"/>
      <c r="I84" s="7"/>
      <c r="J84" s="7"/>
      <c r="K84" s="7"/>
      <c r="L84" s="7"/>
      <c r="M84" s="7"/>
      <c r="N84" s="7"/>
      <c r="O84" s="7"/>
      <c r="P84" s="7"/>
      <c r="Q84" s="7"/>
      <c r="R84" s="6"/>
      <c r="S84" s="6"/>
      <c r="T84" s="6"/>
      <c r="U84" s="6"/>
      <c r="V84" s="6"/>
      <c r="W84" s="6"/>
      <c r="X84" s="6"/>
      <c r="Y84" s="6"/>
      <c r="Z84" s="6"/>
      <c r="AA84" s="6"/>
    </row>
    <row r="85" spans="1:27" x14ac:dyDescent="0.2">
      <c r="A85" s="7"/>
      <c r="B85" s="7"/>
      <c r="C85" s="7"/>
      <c r="D85" s="7"/>
      <c r="E85" s="7"/>
      <c r="F85" s="7"/>
      <c r="G85" s="7"/>
      <c r="H85" s="7"/>
      <c r="I85" s="7"/>
      <c r="J85" s="7"/>
      <c r="K85" s="7"/>
      <c r="L85" s="7"/>
      <c r="M85" s="7"/>
      <c r="N85" s="7"/>
      <c r="O85" s="7"/>
      <c r="P85" s="7"/>
      <c r="Q85" s="7"/>
      <c r="R85" s="6"/>
      <c r="S85" s="6"/>
      <c r="T85" s="6"/>
      <c r="U85" s="6"/>
      <c r="V85" s="6"/>
      <c r="W85" s="6"/>
      <c r="X85" s="6"/>
      <c r="Y85" s="6"/>
      <c r="Z85" s="6"/>
      <c r="AA85" s="6"/>
    </row>
    <row r="86" spans="1:27" x14ac:dyDescent="0.2">
      <c r="A86" s="7"/>
      <c r="B86" s="7"/>
      <c r="C86" s="7"/>
      <c r="D86" s="7"/>
      <c r="E86" s="7"/>
      <c r="F86" s="7"/>
      <c r="G86" s="7"/>
      <c r="H86" s="7"/>
      <c r="I86" s="7"/>
      <c r="J86" s="7"/>
      <c r="K86" s="7"/>
      <c r="L86" s="7"/>
      <c r="M86" s="7"/>
      <c r="N86" s="7"/>
      <c r="O86" s="7"/>
      <c r="P86" s="7"/>
      <c r="Q86" s="7"/>
      <c r="R86" s="6"/>
      <c r="S86" s="6"/>
      <c r="T86" s="6"/>
      <c r="U86" s="6"/>
      <c r="V86" s="6"/>
      <c r="W86" s="6"/>
      <c r="X86" s="6"/>
      <c r="Y86" s="6"/>
      <c r="Z86" s="6"/>
      <c r="AA86" s="6"/>
    </row>
    <row r="87" spans="1:27" x14ac:dyDescent="0.2">
      <c r="A87" s="7"/>
      <c r="B87" s="7"/>
      <c r="C87" s="7"/>
      <c r="D87" s="7"/>
      <c r="E87" s="7"/>
      <c r="F87" s="7"/>
      <c r="G87" s="7"/>
      <c r="H87" s="7"/>
      <c r="I87" s="7"/>
      <c r="J87" s="7"/>
      <c r="K87" s="7"/>
      <c r="L87" s="7"/>
      <c r="M87" s="7"/>
      <c r="N87" s="7"/>
      <c r="O87" s="7"/>
      <c r="P87" s="7"/>
      <c r="Q87" s="7"/>
      <c r="R87" s="6"/>
      <c r="S87" s="6"/>
      <c r="T87" s="6"/>
      <c r="U87" s="6"/>
      <c r="V87" s="6"/>
      <c r="W87" s="6"/>
      <c r="X87" s="6"/>
      <c r="Y87" s="6"/>
      <c r="Z87" s="6"/>
      <c r="AA87" s="6"/>
    </row>
    <row r="88" spans="1:27" x14ac:dyDescent="0.2">
      <c r="A88" s="7"/>
      <c r="B88" s="7"/>
      <c r="C88" s="7"/>
      <c r="D88" s="7"/>
      <c r="E88" s="7"/>
      <c r="F88" s="7"/>
      <c r="G88" s="7"/>
      <c r="H88" s="7"/>
      <c r="I88" s="7"/>
      <c r="J88" s="7"/>
      <c r="K88" s="7"/>
      <c r="L88" s="7"/>
      <c r="M88" s="7"/>
      <c r="N88" s="7"/>
      <c r="O88" s="7"/>
      <c r="P88" s="7"/>
      <c r="Q88" s="7"/>
      <c r="R88" s="6"/>
      <c r="S88" s="6"/>
      <c r="T88" s="6"/>
      <c r="U88" s="6"/>
      <c r="V88" s="6"/>
      <c r="W88" s="6"/>
      <c r="X88" s="6"/>
      <c r="Y88" s="6"/>
      <c r="Z88" s="6"/>
      <c r="AA88" s="6"/>
    </row>
    <row r="89" spans="1:27" x14ac:dyDescent="0.2">
      <c r="A89" s="7"/>
      <c r="B89" s="7"/>
      <c r="C89" s="7"/>
      <c r="D89" s="7"/>
      <c r="E89" s="7"/>
      <c r="F89" s="7"/>
      <c r="G89" s="7"/>
      <c r="H89" s="7"/>
      <c r="I89" s="7"/>
      <c r="J89" s="7"/>
      <c r="K89" s="7"/>
      <c r="L89" s="7"/>
      <c r="M89" s="7"/>
      <c r="N89" s="7"/>
      <c r="O89" s="7"/>
      <c r="P89" s="7"/>
      <c r="Q89" s="7"/>
      <c r="R89" s="6"/>
      <c r="S89" s="6"/>
      <c r="T89" s="6"/>
      <c r="U89" s="6"/>
      <c r="V89" s="6"/>
      <c r="W89" s="6"/>
      <c r="X89" s="6"/>
      <c r="Y89" s="6"/>
      <c r="Z89" s="6"/>
      <c r="AA89" s="6"/>
    </row>
    <row r="90" spans="1:27" x14ac:dyDescent="0.2">
      <c r="A90" s="7"/>
      <c r="B90" s="7"/>
      <c r="C90" s="7"/>
      <c r="D90" s="7"/>
      <c r="E90" s="7"/>
      <c r="F90" s="7"/>
      <c r="G90" s="7"/>
      <c r="H90" s="7"/>
      <c r="I90" s="7"/>
      <c r="J90" s="7"/>
      <c r="K90" s="7"/>
      <c r="L90" s="7"/>
      <c r="M90" s="7"/>
      <c r="N90" s="7"/>
      <c r="O90" s="7"/>
      <c r="P90" s="7"/>
      <c r="Q90" s="7"/>
      <c r="R90" s="6"/>
      <c r="S90" s="6"/>
      <c r="T90" s="6"/>
      <c r="U90" s="6"/>
      <c r="V90" s="6"/>
      <c r="W90" s="6"/>
      <c r="X90" s="6"/>
      <c r="Y90" s="6"/>
      <c r="Z90" s="6"/>
      <c r="AA90" s="6"/>
    </row>
    <row r="91" spans="1:27" x14ac:dyDescent="0.2">
      <c r="A91" s="7"/>
      <c r="B91" s="7"/>
      <c r="C91" s="7"/>
      <c r="D91" s="7"/>
      <c r="E91" s="7"/>
      <c r="F91" s="7"/>
      <c r="G91" s="7"/>
      <c r="H91" s="7"/>
      <c r="I91" s="7"/>
      <c r="J91" s="7"/>
      <c r="K91" s="7"/>
      <c r="L91" s="7"/>
      <c r="M91" s="7"/>
      <c r="N91" s="7"/>
      <c r="O91" s="7"/>
      <c r="P91" s="7"/>
      <c r="Q91" s="7"/>
      <c r="R91" s="6"/>
      <c r="S91" s="6"/>
      <c r="T91" s="6"/>
      <c r="U91" s="6"/>
      <c r="V91" s="6"/>
      <c r="W91" s="6"/>
      <c r="X91" s="6"/>
      <c r="Y91" s="6"/>
      <c r="Z91" s="6"/>
      <c r="AA91" s="6"/>
    </row>
    <row r="92" spans="1:27" x14ac:dyDescent="0.2">
      <c r="A92" s="7"/>
      <c r="B92" s="7"/>
      <c r="C92" s="7"/>
      <c r="D92" s="7"/>
      <c r="E92" s="7"/>
      <c r="F92" s="7"/>
      <c r="G92" s="7"/>
      <c r="H92" s="7"/>
      <c r="I92" s="7"/>
      <c r="J92" s="7"/>
      <c r="K92" s="7"/>
      <c r="L92" s="7"/>
      <c r="M92" s="7"/>
      <c r="N92" s="7"/>
      <c r="O92" s="7"/>
      <c r="P92" s="7"/>
      <c r="Q92" s="7"/>
      <c r="R92" s="6"/>
      <c r="S92" s="6"/>
      <c r="T92" s="6"/>
      <c r="U92" s="6"/>
      <c r="V92" s="6"/>
      <c r="W92" s="6"/>
      <c r="X92" s="6"/>
      <c r="Y92" s="6"/>
      <c r="Z92" s="6"/>
      <c r="AA92" s="6"/>
    </row>
    <row r="93" spans="1:27" x14ac:dyDescent="0.2">
      <c r="A93" s="7"/>
      <c r="B93" s="7"/>
      <c r="C93" s="7"/>
      <c r="D93" s="7"/>
      <c r="E93" s="7"/>
      <c r="F93" s="7"/>
      <c r="G93" s="7"/>
      <c r="H93" s="7"/>
      <c r="I93" s="7"/>
      <c r="J93" s="7"/>
      <c r="K93" s="7"/>
      <c r="L93" s="7"/>
      <c r="M93" s="7"/>
      <c r="N93" s="7"/>
      <c r="O93" s="7"/>
      <c r="P93" s="7"/>
      <c r="Q93" s="7"/>
      <c r="R93" s="6"/>
      <c r="S93" s="6"/>
      <c r="T93" s="6"/>
      <c r="U93" s="6"/>
      <c r="V93" s="6"/>
      <c r="W93" s="6"/>
      <c r="X93" s="6"/>
      <c r="Y93" s="6"/>
      <c r="Z93" s="6"/>
      <c r="AA93" s="6"/>
    </row>
    <row r="94" spans="1:27" x14ac:dyDescent="0.2">
      <c r="A94" s="7"/>
      <c r="B94" s="7"/>
      <c r="C94" s="7"/>
      <c r="D94" s="7"/>
      <c r="E94" s="7"/>
      <c r="F94" s="7"/>
      <c r="G94" s="7"/>
      <c r="H94" s="7"/>
      <c r="I94" s="7"/>
      <c r="J94" s="7"/>
      <c r="K94" s="7"/>
      <c r="L94" s="7"/>
      <c r="M94" s="7"/>
      <c r="N94" s="7"/>
      <c r="O94" s="7"/>
      <c r="P94" s="7"/>
      <c r="Q94" s="7"/>
      <c r="R94" s="6"/>
      <c r="S94" s="6"/>
      <c r="T94" s="6"/>
      <c r="U94" s="6"/>
      <c r="V94" s="6"/>
      <c r="W94" s="6"/>
      <c r="X94" s="6"/>
      <c r="Y94" s="6"/>
      <c r="Z94" s="6"/>
      <c r="AA94" s="6"/>
    </row>
    <row r="95" spans="1:27" x14ac:dyDescent="0.2">
      <c r="A95" s="7"/>
      <c r="B95" s="7"/>
      <c r="C95" s="7"/>
      <c r="D95" s="7"/>
      <c r="E95" s="7"/>
      <c r="F95" s="7"/>
      <c r="G95" s="7"/>
      <c r="H95" s="7"/>
      <c r="I95" s="7"/>
      <c r="J95" s="7"/>
      <c r="K95" s="7"/>
      <c r="L95" s="7"/>
      <c r="M95" s="7"/>
      <c r="N95" s="7"/>
      <c r="O95" s="7"/>
      <c r="P95" s="7"/>
      <c r="Q95" s="7"/>
      <c r="R95" s="6"/>
      <c r="S95" s="6"/>
      <c r="T95" s="6"/>
      <c r="U95" s="6"/>
      <c r="V95" s="6"/>
      <c r="W95" s="6"/>
      <c r="X95" s="6"/>
      <c r="Y95" s="6"/>
      <c r="Z95" s="6"/>
      <c r="AA95" s="6"/>
    </row>
    <row r="96" spans="1:27" x14ac:dyDescent="0.2">
      <c r="A96" s="7"/>
      <c r="B96" s="7"/>
      <c r="C96" s="7"/>
      <c r="D96" s="7"/>
      <c r="E96" s="7"/>
      <c r="F96" s="7"/>
      <c r="G96" s="7"/>
      <c r="H96" s="7"/>
      <c r="I96" s="7"/>
      <c r="J96" s="7"/>
      <c r="K96" s="7"/>
      <c r="L96" s="7"/>
      <c r="M96" s="7"/>
      <c r="N96" s="7"/>
      <c r="O96" s="7"/>
      <c r="P96" s="7"/>
      <c r="Q96" s="7"/>
      <c r="R96" s="6"/>
      <c r="S96" s="6"/>
      <c r="T96" s="6"/>
      <c r="U96" s="6"/>
      <c r="V96" s="6"/>
      <c r="W96" s="6"/>
      <c r="X96" s="6"/>
      <c r="Y96" s="6"/>
      <c r="Z96" s="6"/>
      <c r="AA96" s="6"/>
    </row>
    <row r="97" spans="1:27" x14ac:dyDescent="0.2">
      <c r="A97" s="7"/>
      <c r="B97" s="7"/>
      <c r="C97" s="7"/>
      <c r="D97" s="7"/>
      <c r="E97" s="7"/>
      <c r="F97" s="7"/>
      <c r="G97" s="7"/>
      <c r="H97" s="7"/>
      <c r="I97" s="7"/>
      <c r="J97" s="7"/>
      <c r="K97" s="7"/>
      <c r="L97" s="7"/>
      <c r="M97" s="7"/>
      <c r="N97" s="7"/>
      <c r="O97" s="7"/>
      <c r="P97" s="7"/>
      <c r="Q97" s="7"/>
      <c r="R97" s="6"/>
      <c r="S97" s="6"/>
      <c r="T97" s="6"/>
      <c r="U97" s="6"/>
      <c r="V97" s="6"/>
      <c r="W97" s="6"/>
      <c r="X97" s="6"/>
      <c r="Y97" s="6"/>
      <c r="Z97" s="6"/>
      <c r="AA97" s="6"/>
    </row>
    <row r="98" spans="1:27" x14ac:dyDescent="0.2">
      <c r="A98" s="7"/>
      <c r="B98" s="7"/>
      <c r="C98" s="7"/>
      <c r="D98" s="7"/>
      <c r="E98" s="7"/>
      <c r="F98" s="7"/>
      <c r="G98" s="7"/>
      <c r="H98" s="7"/>
      <c r="I98" s="7"/>
      <c r="J98" s="7"/>
      <c r="K98" s="7"/>
      <c r="L98" s="7"/>
      <c r="M98" s="7"/>
      <c r="N98" s="7"/>
      <c r="O98" s="7"/>
      <c r="P98" s="7"/>
      <c r="Q98" s="7"/>
      <c r="R98" s="6"/>
      <c r="S98" s="6"/>
      <c r="T98" s="6"/>
      <c r="U98" s="6"/>
      <c r="V98" s="6"/>
      <c r="W98" s="6"/>
      <c r="X98" s="6"/>
      <c r="Y98" s="6"/>
      <c r="Z98" s="6"/>
      <c r="AA98" s="6"/>
    </row>
    <row r="99" spans="1:27" x14ac:dyDescent="0.2">
      <c r="A99" s="7"/>
      <c r="B99" s="7"/>
      <c r="C99" s="7"/>
      <c r="D99" s="7"/>
      <c r="E99" s="7"/>
      <c r="F99" s="7"/>
      <c r="G99" s="7"/>
      <c r="H99" s="7"/>
      <c r="I99" s="7"/>
      <c r="J99" s="7"/>
      <c r="K99" s="7"/>
      <c r="L99" s="7"/>
      <c r="M99" s="7"/>
      <c r="N99" s="7"/>
      <c r="O99" s="7"/>
      <c r="P99" s="7"/>
      <c r="Q99" s="7"/>
      <c r="R99" s="6"/>
      <c r="S99" s="6"/>
      <c r="T99" s="6"/>
      <c r="U99" s="6"/>
      <c r="V99" s="6"/>
      <c r="W99" s="6"/>
      <c r="X99" s="6"/>
      <c r="Y99" s="6"/>
      <c r="Z99" s="6"/>
      <c r="AA99" s="6"/>
    </row>
    <row r="100" spans="1:27" x14ac:dyDescent="0.2">
      <c r="A100" s="7"/>
      <c r="B100" s="7"/>
      <c r="C100" s="7"/>
      <c r="D100" s="7"/>
      <c r="E100" s="7"/>
      <c r="F100" s="7"/>
      <c r="G100" s="7"/>
      <c r="H100" s="7"/>
      <c r="I100" s="7"/>
      <c r="J100" s="7"/>
      <c r="K100" s="7"/>
      <c r="L100" s="7"/>
      <c r="M100" s="7"/>
      <c r="N100" s="7"/>
      <c r="O100" s="7"/>
      <c r="P100" s="7"/>
      <c r="Q100" s="7"/>
      <c r="R100" s="6"/>
      <c r="S100" s="6"/>
      <c r="T100" s="6"/>
      <c r="U100" s="6"/>
      <c r="V100" s="6"/>
      <c r="W100" s="6"/>
      <c r="X100" s="6"/>
      <c r="Y100" s="6"/>
      <c r="Z100" s="6"/>
      <c r="AA100" s="6"/>
    </row>
    <row r="101" spans="1:27" x14ac:dyDescent="0.2">
      <c r="A101" s="7"/>
      <c r="B101" s="7"/>
      <c r="C101" s="7"/>
      <c r="D101" s="7"/>
      <c r="E101" s="7"/>
      <c r="F101" s="7"/>
      <c r="G101" s="7"/>
      <c r="H101" s="7"/>
      <c r="I101" s="7"/>
      <c r="J101" s="7"/>
      <c r="K101" s="7"/>
      <c r="L101" s="7"/>
      <c r="M101" s="7"/>
      <c r="N101" s="7"/>
      <c r="O101" s="7"/>
      <c r="P101" s="7"/>
      <c r="Q101" s="7"/>
      <c r="R101" s="6"/>
      <c r="S101" s="6"/>
      <c r="T101" s="6"/>
      <c r="U101" s="6"/>
      <c r="V101" s="6"/>
      <c r="W101" s="6"/>
      <c r="X101" s="6"/>
      <c r="Y101" s="6"/>
      <c r="Z101" s="6"/>
      <c r="AA101" s="6"/>
    </row>
    <row r="102" spans="1:27" x14ac:dyDescent="0.2">
      <c r="A102" s="7"/>
      <c r="B102" s="7"/>
      <c r="C102" s="7"/>
      <c r="D102" s="7"/>
      <c r="E102" s="7"/>
      <c r="F102" s="7"/>
      <c r="G102" s="7"/>
      <c r="H102" s="7"/>
      <c r="I102" s="7"/>
      <c r="J102" s="7"/>
      <c r="K102" s="7"/>
      <c r="L102" s="7"/>
      <c r="M102" s="7"/>
      <c r="N102" s="7"/>
      <c r="O102" s="7"/>
      <c r="P102" s="7"/>
      <c r="Q102" s="7"/>
      <c r="R102" s="6"/>
      <c r="S102" s="6"/>
      <c r="T102" s="6"/>
      <c r="U102" s="6"/>
      <c r="V102" s="6"/>
      <c r="W102" s="6"/>
      <c r="X102" s="6"/>
      <c r="Y102" s="6"/>
      <c r="Z102" s="6"/>
      <c r="AA102" s="6"/>
    </row>
    <row r="103" spans="1:27" x14ac:dyDescent="0.2">
      <c r="A103" s="7"/>
      <c r="B103" s="7"/>
      <c r="C103" s="7"/>
      <c r="D103" s="7"/>
      <c r="E103" s="7"/>
      <c r="F103" s="7"/>
      <c r="G103" s="7"/>
      <c r="H103" s="7"/>
      <c r="I103" s="7"/>
      <c r="J103" s="7"/>
      <c r="K103" s="7"/>
      <c r="L103" s="7"/>
      <c r="M103" s="7"/>
      <c r="N103" s="7"/>
      <c r="O103" s="7"/>
      <c r="P103" s="7"/>
      <c r="Q103" s="7"/>
      <c r="R103" s="6"/>
      <c r="S103" s="6"/>
      <c r="T103" s="6"/>
      <c r="U103" s="6"/>
      <c r="V103" s="6"/>
      <c r="W103" s="6"/>
      <c r="X103" s="6"/>
      <c r="Y103" s="6"/>
      <c r="Z103" s="6"/>
      <c r="AA103" s="6"/>
    </row>
    <row r="104" spans="1:27" x14ac:dyDescent="0.2">
      <c r="A104" s="7"/>
      <c r="B104" s="7"/>
      <c r="C104" s="7"/>
      <c r="D104" s="7"/>
      <c r="E104" s="7"/>
      <c r="F104" s="7"/>
      <c r="G104" s="7"/>
      <c r="H104" s="7"/>
      <c r="I104" s="7"/>
      <c r="J104" s="7"/>
      <c r="K104" s="7"/>
      <c r="L104" s="7"/>
      <c r="M104" s="7"/>
      <c r="N104" s="7"/>
      <c r="O104" s="7"/>
      <c r="P104" s="7"/>
      <c r="Q104" s="7"/>
      <c r="R104" s="6"/>
      <c r="S104" s="6"/>
      <c r="T104" s="6"/>
      <c r="U104" s="6"/>
      <c r="V104" s="6"/>
      <c r="W104" s="6"/>
      <c r="X104" s="6"/>
      <c r="Y104" s="6"/>
      <c r="Z104" s="6"/>
      <c r="AA104" s="6"/>
    </row>
    <row r="105" spans="1:27" x14ac:dyDescent="0.2">
      <c r="A105" s="7"/>
      <c r="B105" s="7"/>
      <c r="C105" s="7"/>
      <c r="D105" s="7"/>
      <c r="E105" s="7"/>
      <c r="F105" s="7"/>
      <c r="G105" s="7"/>
      <c r="H105" s="7"/>
      <c r="I105" s="7"/>
      <c r="J105" s="7"/>
      <c r="K105" s="7"/>
      <c r="L105" s="7"/>
      <c r="M105" s="7"/>
      <c r="N105" s="7"/>
      <c r="O105" s="7"/>
      <c r="P105" s="7"/>
      <c r="Q105" s="7"/>
      <c r="R105" s="6"/>
      <c r="S105" s="6"/>
      <c r="T105" s="6"/>
      <c r="U105" s="6"/>
      <c r="V105" s="6"/>
      <c r="W105" s="6"/>
      <c r="X105" s="6"/>
      <c r="Y105" s="6"/>
      <c r="Z105" s="6"/>
      <c r="AA105" s="6"/>
    </row>
    <row r="106" spans="1:27" x14ac:dyDescent="0.2">
      <c r="A106" s="7"/>
      <c r="B106" s="7"/>
      <c r="C106" s="7"/>
      <c r="D106" s="7"/>
      <c r="E106" s="7"/>
      <c r="F106" s="7"/>
      <c r="G106" s="7"/>
      <c r="H106" s="7"/>
      <c r="I106" s="7"/>
      <c r="J106" s="7"/>
      <c r="K106" s="7"/>
      <c r="L106" s="7"/>
      <c r="M106" s="7"/>
      <c r="N106" s="7"/>
      <c r="O106" s="7"/>
      <c r="P106" s="7"/>
      <c r="Q106" s="7"/>
      <c r="R106" s="6"/>
      <c r="S106" s="6"/>
      <c r="T106" s="6"/>
      <c r="U106" s="6"/>
      <c r="V106" s="6"/>
      <c r="W106" s="6"/>
      <c r="X106" s="6"/>
      <c r="Y106" s="6"/>
      <c r="Z106" s="6"/>
      <c r="AA106" s="6"/>
    </row>
    <row r="107" spans="1:27" x14ac:dyDescent="0.2">
      <c r="A107" s="7"/>
      <c r="B107" s="7"/>
      <c r="C107" s="7"/>
      <c r="D107" s="7"/>
      <c r="E107" s="7"/>
      <c r="F107" s="7"/>
      <c r="G107" s="7"/>
      <c r="H107" s="7"/>
      <c r="I107" s="7"/>
      <c r="J107" s="7"/>
      <c r="K107" s="7"/>
      <c r="L107" s="7"/>
      <c r="M107" s="7"/>
      <c r="N107" s="7"/>
      <c r="O107" s="7"/>
      <c r="P107" s="7"/>
      <c r="Q107" s="7"/>
      <c r="R107" s="6"/>
      <c r="S107" s="6"/>
      <c r="T107" s="6"/>
      <c r="U107" s="6"/>
      <c r="V107" s="6"/>
      <c r="W107" s="6"/>
      <c r="X107" s="6"/>
      <c r="Y107" s="6"/>
      <c r="Z107" s="6"/>
      <c r="AA107" s="6"/>
    </row>
    <row r="108" spans="1:27" x14ac:dyDescent="0.2">
      <c r="A108" s="7"/>
      <c r="B108" s="7"/>
      <c r="C108" s="7"/>
      <c r="D108" s="7"/>
      <c r="E108" s="7"/>
      <c r="F108" s="7"/>
      <c r="G108" s="7"/>
      <c r="H108" s="7"/>
      <c r="I108" s="7"/>
      <c r="J108" s="7"/>
      <c r="K108" s="7"/>
      <c r="L108" s="7"/>
      <c r="M108" s="7"/>
      <c r="N108" s="7"/>
      <c r="O108" s="7"/>
      <c r="P108" s="7"/>
      <c r="Q108" s="7"/>
      <c r="R108" s="6"/>
      <c r="S108" s="6"/>
      <c r="T108" s="6"/>
      <c r="U108" s="6"/>
      <c r="V108" s="6"/>
      <c r="W108" s="6"/>
      <c r="X108" s="6"/>
      <c r="Y108" s="6"/>
      <c r="Z108" s="6"/>
      <c r="AA108" s="6"/>
    </row>
    <row r="109" spans="1:27" x14ac:dyDescent="0.2">
      <c r="A109" s="7"/>
      <c r="B109" s="7"/>
      <c r="C109" s="7"/>
      <c r="D109" s="7"/>
      <c r="E109" s="7"/>
      <c r="F109" s="7"/>
      <c r="G109" s="7"/>
      <c r="H109" s="7"/>
      <c r="I109" s="7"/>
      <c r="J109" s="7"/>
      <c r="K109" s="7"/>
      <c r="L109" s="7"/>
      <c r="M109" s="7"/>
      <c r="N109" s="7"/>
      <c r="O109" s="7"/>
      <c r="P109" s="7"/>
      <c r="Q109" s="7"/>
      <c r="R109" s="6"/>
      <c r="S109" s="6"/>
      <c r="T109" s="6"/>
      <c r="U109" s="6"/>
      <c r="V109" s="6"/>
      <c r="W109" s="6"/>
      <c r="X109" s="6"/>
      <c r="Y109" s="6"/>
      <c r="Z109" s="6"/>
      <c r="AA109" s="6"/>
    </row>
    <row r="110" spans="1:27" x14ac:dyDescent="0.2">
      <c r="A110" s="7"/>
      <c r="B110" s="7"/>
      <c r="C110" s="7"/>
      <c r="D110" s="7"/>
      <c r="E110" s="7"/>
      <c r="F110" s="7"/>
      <c r="G110" s="7"/>
      <c r="H110" s="7"/>
      <c r="I110" s="7"/>
      <c r="J110" s="7"/>
      <c r="K110" s="7"/>
      <c r="L110" s="7"/>
      <c r="M110" s="7"/>
      <c r="N110" s="7"/>
      <c r="O110" s="7"/>
      <c r="P110" s="7"/>
      <c r="Q110" s="7"/>
      <c r="R110" s="6"/>
      <c r="S110" s="6"/>
      <c r="T110" s="6"/>
      <c r="U110" s="6"/>
      <c r="V110" s="6"/>
      <c r="W110" s="6"/>
      <c r="X110" s="6"/>
      <c r="Y110" s="6"/>
      <c r="Z110" s="6"/>
      <c r="AA110" s="6"/>
    </row>
    <row r="111" spans="1:27" x14ac:dyDescent="0.2">
      <c r="A111" s="7"/>
      <c r="B111" s="7"/>
      <c r="C111" s="7"/>
      <c r="D111" s="7"/>
      <c r="E111" s="7"/>
      <c r="F111" s="7"/>
      <c r="G111" s="7"/>
      <c r="H111" s="7"/>
      <c r="I111" s="7"/>
      <c r="J111" s="7"/>
      <c r="K111" s="7"/>
      <c r="L111" s="7"/>
      <c r="M111" s="7"/>
      <c r="N111" s="7"/>
      <c r="O111" s="7"/>
      <c r="P111" s="7"/>
      <c r="Q111" s="7"/>
      <c r="R111" s="6"/>
      <c r="S111" s="6"/>
      <c r="T111" s="6"/>
      <c r="U111" s="6"/>
      <c r="V111" s="6"/>
      <c r="W111" s="6"/>
      <c r="X111" s="6"/>
      <c r="Y111" s="6"/>
      <c r="Z111" s="6"/>
      <c r="AA111" s="6"/>
    </row>
    <row r="112" spans="1:27" x14ac:dyDescent="0.2">
      <c r="A112" s="7"/>
      <c r="B112" s="7"/>
      <c r="C112" s="7"/>
      <c r="D112" s="7"/>
      <c r="E112" s="7"/>
      <c r="F112" s="7"/>
      <c r="G112" s="7"/>
      <c r="H112" s="7"/>
      <c r="I112" s="7"/>
      <c r="J112" s="7"/>
      <c r="K112" s="7"/>
      <c r="L112" s="7"/>
      <c r="M112" s="7"/>
      <c r="N112" s="7"/>
      <c r="O112" s="7"/>
      <c r="P112" s="7"/>
      <c r="Q112" s="7"/>
      <c r="R112" s="6"/>
      <c r="S112" s="6"/>
      <c r="T112" s="6"/>
      <c r="U112" s="6"/>
      <c r="V112" s="6"/>
      <c r="W112" s="6"/>
      <c r="X112" s="6"/>
      <c r="Y112" s="6"/>
      <c r="Z112" s="6"/>
      <c r="AA112" s="6"/>
    </row>
    <row r="113" spans="1:27" x14ac:dyDescent="0.2">
      <c r="A113" s="7"/>
      <c r="B113" s="7"/>
      <c r="C113" s="7"/>
      <c r="D113" s="7"/>
      <c r="E113" s="7"/>
      <c r="F113" s="7"/>
      <c r="G113" s="7"/>
      <c r="H113" s="7"/>
      <c r="I113" s="7"/>
      <c r="J113" s="7"/>
      <c r="K113" s="7"/>
      <c r="L113" s="7"/>
      <c r="M113" s="7"/>
      <c r="N113" s="7"/>
      <c r="O113" s="7"/>
      <c r="P113" s="7"/>
      <c r="Q113" s="7"/>
      <c r="R113" s="6"/>
      <c r="S113" s="6"/>
      <c r="T113" s="6"/>
      <c r="U113" s="6"/>
      <c r="V113" s="6"/>
      <c r="W113" s="6"/>
      <c r="X113" s="6"/>
      <c r="Y113" s="6"/>
      <c r="Z113" s="6"/>
      <c r="AA113" s="6"/>
    </row>
    <row r="114" spans="1:27" x14ac:dyDescent="0.2">
      <c r="A114" s="7"/>
      <c r="B114" s="7"/>
      <c r="C114" s="7"/>
      <c r="D114" s="7"/>
      <c r="E114" s="7"/>
      <c r="F114" s="7"/>
      <c r="G114" s="7"/>
      <c r="H114" s="7"/>
      <c r="I114" s="7"/>
      <c r="J114" s="7"/>
      <c r="K114" s="7"/>
      <c r="L114" s="7"/>
      <c r="M114" s="7"/>
      <c r="N114" s="7"/>
      <c r="O114" s="7"/>
      <c r="P114" s="7"/>
      <c r="Q114" s="7"/>
      <c r="R114" s="6"/>
      <c r="S114" s="6"/>
      <c r="T114" s="6"/>
      <c r="U114" s="6"/>
      <c r="V114" s="6"/>
      <c r="W114" s="6"/>
      <c r="X114" s="6"/>
      <c r="Y114" s="6"/>
      <c r="Z114" s="6"/>
      <c r="AA114" s="6"/>
    </row>
    <row r="115" spans="1:27" x14ac:dyDescent="0.2">
      <c r="A115" s="7"/>
      <c r="B115" s="7"/>
      <c r="C115" s="7"/>
      <c r="D115" s="7"/>
      <c r="E115" s="7"/>
      <c r="F115" s="7"/>
      <c r="G115" s="7"/>
      <c r="H115" s="7"/>
      <c r="I115" s="7"/>
      <c r="J115" s="7"/>
      <c r="K115" s="7"/>
      <c r="L115" s="7"/>
      <c r="M115" s="7"/>
      <c r="N115" s="7"/>
      <c r="O115" s="7"/>
      <c r="P115" s="7"/>
      <c r="Q115" s="7"/>
      <c r="R115" s="6"/>
      <c r="S115" s="6"/>
      <c r="T115" s="6"/>
      <c r="U115" s="6"/>
      <c r="V115" s="6"/>
      <c r="W115" s="6"/>
      <c r="X115" s="6"/>
      <c r="Y115" s="6"/>
      <c r="Z115" s="6"/>
      <c r="AA115" s="6"/>
    </row>
    <row r="116" spans="1:27" x14ac:dyDescent="0.2">
      <c r="A116" s="7"/>
      <c r="B116" s="7"/>
      <c r="C116" s="7"/>
      <c r="D116" s="7"/>
      <c r="E116" s="7"/>
      <c r="F116" s="7"/>
      <c r="G116" s="7"/>
      <c r="H116" s="7"/>
      <c r="I116" s="7"/>
      <c r="J116" s="7"/>
      <c r="K116" s="7"/>
      <c r="L116" s="7"/>
      <c r="M116" s="7"/>
      <c r="N116" s="7"/>
      <c r="O116" s="7"/>
      <c r="P116" s="7"/>
      <c r="Q116" s="7"/>
      <c r="R116" s="6"/>
      <c r="S116" s="6"/>
      <c r="T116" s="6"/>
      <c r="U116" s="6"/>
      <c r="V116" s="6"/>
      <c r="W116" s="6"/>
      <c r="X116" s="6"/>
      <c r="Y116" s="6"/>
      <c r="Z116" s="6"/>
      <c r="AA116" s="6"/>
    </row>
    <row r="117" spans="1:27" x14ac:dyDescent="0.2">
      <c r="A117" s="7"/>
      <c r="B117" s="7"/>
      <c r="C117" s="7"/>
      <c r="D117" s="7"/>
      <c r="E117" s="7"/>
      <c r="F117" s="7"/>
      <c r="G117" s="7"/>
      <c r="H117" s="7"/>
      <c r="I117" s="7"/>
      <c r="J117" s="7"/>
      <c r="K117" s="7"/>
      <c r="L117" s="7"/>
      <c r="M117" s="7"/>
      <c r="N117" s="7"/>
      <c r="O117" s="7"/>
      <c r="P117" s="7"/>
      <c r="Q117" s="7"/>
      <c r="R117" s="6"/>
      <c r="S117" s="6"/>
      <c r="T117" s="6"/>
      <c r="U117" s="6"/>
      <c r="V117" s="6"/>
      <c r="W117" s="6"/>
      <c r="X117" s="6"/>
      <c r="Y117" s="6"/>
      <c r="Z117" s="6"/>
      <c r="AA117" s="6"/>
    </row>
    <row r="118" spans="1:27" x14ac:dyDescent="0.2">
      <c r="A118" s="7"/>
      <c r="B118" s="7"/>
      <c r="C118" s="7"/>
      <c r="D118" s="7"/>
      <c r="E118" s="7"/>
      <c r="F118" s="7"/>
      <c r="G118" s="7"/>
      <c r="H118" s="7"/>
      <c r="I118" s="7"/>
      <c r="J118" s="7"/>
      <c r="K118" s="7"/>
      <c r="L118" s="7"/>
      <c r="M118" s="7"/>
      <c r="N118" s="7"/>
      <c r="O118" s="7"/>
      <c r="P118" s="7"/>
      <c r="Q118" s="7"/>
      <c r="R118" s="6"/>
      <c r="S118" s="6"/>
      <c r="T118" s="6"/>
      <c r="U118" s="6"/>
      <c r="V118" s="6"/>
      <c r="W118" s="6"/>
      <c r="X118" s="6"/>
      <c r="Y118" s="6"/>
      <c r="Z118" s="6"/>
      <c r="AA118" s="6"/>
    </row>
    <row r="119" spans="1:27" x14ac:dyDescent="0.2">
      <c r="A119" s="7"/>
      <c r="B119" s="7"/>
      <c r="C119" s="7"/>
      <c r="D119" s="7"/>
      <c r="E119" s="7"/>
      <c r="F119" s="7"/>
      <c r="G119" s="7"/>
      <c r="H119" s="7"/>
      <c r="I119" s="7"/>
      <c r="J119" s="7"/>
      <c r="K119" s="7"/>
      <c r="L119" s="7"/>
      <c r="M119" s="7"/>
      <c r="N119" s="7"/>
      <c r="O119" s="7"/>
      <c r="P119" s="7"/>
      <c r="Q119" s="7"/>
      <c r="R119" s="6"/>
      <c r="S119" s="6"/>
      <c r="T119" s="6"/>
      <c r="U119" s="6"/>
      <c r="V119" s="6"/>
      <c r="W119" s="6"/>
      <c r="X119" s="6"/>
      <c r="Y119" s="6"/>
      <c r="Z119" s="6"/>
      <c r="AA119" s="6"/>
    </row>
    <row r="120" spans="1:27" x14ac:dyDescent="0.2">
      <c r="A120" s="7"/>
      <c r="B120" s="7"/>
      <c r="C120" s="7"/>
      <c r="D120" s="7"/>
      <c r="E120" s="7"/>
      <c r="F120" s="7"/>
      <c r="G120" s="7"/>
      <c r="H120" s="7"/>
      <c r="I120" s="7"/>
      <c r="J120" s="7"/>
      <c r="K120" s="7"/>
      <c r="L120" s="7"/>
      <c r="M120" s="7"/>
      <c r="N120" s="7"/>
      <c r="O120" s="7"/>
      <c r="P120" s="7"/>
      <c r="Q120" s="7"/>
      <c r="R120" s="6"/>
      <c r="S120" s="6"/>
      <c r="T120" s="6"/>
      <c r="U120" s="6"/>
      <c r="V120" s="6"/>
      <c r="W120" s="6"/>
      <c r="X120" s="6"/>
      <c r="Y120" s="6"/>
      <c r="Z120" s="6"/>
      <c r="AA120" s="6"/>
    </row>
    <row r="121" spans="1:27"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sheetData>
  <mergeCells count="6">
    <mergeCell ref="I33:I34"/>
    <mergeCell ref="E1:G1"/>
    <mergeCell ref="I14:I15"/>
    <mergeCell ref="A5:E5"/>
    <mergeCell ref="A10:E10"/>
    <mergeCell ref="A11:E11"/>
  </mergeCells>
  <phoneticPr fontId="2" type="noConversion"/>
  <pageMargins left="0.75" right="0.75" top="0.46" bottom="0.36" header="0.26" footer="0.17"/>
  <pageSetup paperSize="9" scale="77" orientation="landscape" r:id="rId1"/>
  <headerFooter alignWithMargins="0">
    <oddHeader>&amp;R&amp;D</oddHeader>
    <oddFooter>&amp;L&amp;8&amp;Z&amp;F&amp;R&amp;8&amp;A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Z289"/>
  <sheetViews>
    <sheetView zoomScaleNormal="100" workbookViewId="0">
      <pane xSplit="4" ySplit="19" topLeftCell="E20" activePane="bottomRight" state="frozenSplit"/>
      <selection activeCell="D5" sqref="D5"/>
      <selection pane="topRight" activeCell="D5" sqref="D5"/>
      <selection pane="bottomLeft" activeCell="D5" sqref="D5"/>
      <selection pane="bottomRight" activeCell="D5" sqref="D5"/>
    </sheetView>
  </sheetViews>
  <sheetFormatPr defaultRowHeight="12.75" x14ac:dyDescent="0.2"/>
  <cols>
    <col min="1" max="1" width="14.7109375" customWidth="1"/>
    <col min="2" max="2" width="11.42578125" style="1" customWidth="1"/>
    <col min="3" max="3" width="15.28515625" customWidth="1"/>
    <col min="4" max="4" width="10.28515625" customWidth="1"/>
    <col min="5" max="5" width="11" customWidth="1"/>
    <col min="6" max="6" width="8.42578125" bestFit="1" customWidth="1"/>
    <col min="7" max="7" width="11.7109375" customWidth="1"/>
    <col min="8" max="8" width="10.28515625" bestFit="1" customWidth="1"/>
    <col min="9" max="11" width="17.42578125" style="2" customWidth="1"/>
    <col min="12" max="12" width="15.140625" customWidth="1"/>
    <col min="13" max="13" width="14.28515625" style="3" customWidth="1"/>
    <col min="14" max="14" width="14.140625" style="4" customWidth="1"/>
    <col min="15" max="15" width="11.7109375" customWidth="1"/>
    <col min="16" max="16" width="8.7109375" customWidth="1"/>
    <col min="17" max="17" width="10.28515625" bestFit="1" customWidth="1"/>
    <col min="18" max="18" width="11.7109375" bestFit="1" customWidth="1"/>
    <col min="19" max="19" width="12" bestFit="1" customWidth="1"/>
    <col min="20" max="20" width="13.85546875" bestFit="1" customWidth="1"/>
    <col min="21" max="21" width="12.42578125" customWidth="1"/>
    <col min="22" max="22" width="11.7109375" bestFit="1" customWidth="1"/>
    <col min="23" max="23" width="13.42578125" bestFit="1" customWidth="1"/>
    <col min="24" max="24" width="12.42578125" bestFit="1" customWidth="1"/>
    <col min="25" max="26" width="12" bestFit="1" customWidth="1"/>
    <col min="27" max="27" width="13.140625" customWidth="1"/>
    <col min="28" max="29" width="17.7109375" bestFit="1" customWidth="1"/>
    <col min="30" max="30" width="11.42578125" customWidth="1"/>
    <col min="31" max="31" width="15" hidden="1" customWidth="1"/>
    <col min="32" max="33" width="17.7109375" bestFit="1" customWidth="1"/>
    <col min="34" max="34" width="18.140625" hidden="1" customWidth="1"/>
    <col min="35" max="48" width="9.140625" hidden="1" customWidth="1"/>
  </cols>
  <sheetData>
    <row r="1" spans="1:78" ht="33.75" customHeight="1" x14ac:dyDescent="0.35">
      <c r="A1" s="533" t="s">
        <v>197</v>
      </c>
      <c r="B1" s="494"/>
      <c r="C1" s="494"/>
      <c r="D1" s="494"/>
      <c r="E1" s="494"/>
      <c r="F1" s="494"/>
      <c r="G1" s="494"/>
      <c r="H1" s="56"/>
      <c r="I1" s="526"/>
      <c r="J1" s="526"/>
      <c r="K1" s="144"/>
      <c r="L1" s="25"/>
      <c r="M1" s="57"/>
      <c r="N1" s="58"/>
      <c r="O1" s="68"/>
      <c r="P1" s="69"/>
      <c r="Q1" s="60"/>
      <c r="R1" s="60"/>
      <c r="S1" s="60"/>
      <c r="T1" s="60"/>
      <c r="U1" s="60"/>
      <c r="V1" s="60"/>
      <c r="W1" s="60"/>
      <c r="X1" s="60"/>
      <c r="Y1" s="60"/>
      <c r="Z1" s="60"/>
      <c r="AA1" s="25"/>
      <c r="AB1" s="25"/>
      <c r="AC1" s="25"/>
      <c r="AD1" s="25"/>
      <c r="AE1" s="56" t="s">
        <v>1847</v>
      </c>
      <c r="AF1" s="56"/>
      <c r="AG1" s="56"/>
      <c r="AH1" s="25" t="s">
        <v>2035</v>
      </c>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row>
    <row r="2" spans="1:78" ht="15" customHeight="1" x14ac:dyDescent="0.2">
      <c r="A2" s="61"/>
      <c r="B2" s="61"/>
      <c r="C2" s="61"/>
      <c r="D2" s="61"/>
      <c r="E2" s="61"/>
      <c r="F2" s="61"/>
      <c r="G2" s="61"/>
      <c r="H2" s="51"/>
      <c r="I2" s="75"/>
      <c r="J2" s="75"/>
      <c r="K2" s="75"/>
      <c r="L2" s="51"/>
      <c r="M2" s="76"/>
      <c r="N2" s="77"/>
      <c r="O2" s="78"/>
      <c r="P2" s="78"/>
      <c r="Q2" s="78"/>
      <c r="R2" s="78"/>
      <c r="S2" s="78"/>
      <c r="T2" s="78"/>
      <c r="U2" s="78"/>
      <c r="V2" s="78"/>
      <c r="W2" s="78"/>
      <c r="X2" s="78"/>
      <c r="Y2" s="78"/>
      <c r="Z2" s="78"/>
      <c r="AA2" s="25"/>
      <c r="AB2" s="25"/>
      <c r="AC2" s="25"/>
      <c r="AD2" s="25"/>
      <c r="AE2" s="56"/>
      <c r="AF2" s="56"/>
      <c r="AG2" s="56"/>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row>
    <row r="3" spans="1:78" ht="16.5" customHeight="1" x14ac:dyDescent="0.2">
      <c r="A3" s="534" t="s">
        <v>965</v>
      </c>
      <c r="B3" s="534"/>
      <c r="C3" s="61"/>
      <c r="D3" s="61"/>
      <c r="E3" s="61"/>
      <c r="F3" s="61"/>
      <c r="G3" s="61"/>
      <c r="H3" s="51"/>
      <c r="I3" s="75"/>
      <c r="J3" s="75"/>
      <c r="K3" s="75"/>
      <c r="L3" s="51"/>
      <c r="M3" s="76"/>
      <c r="N3" s="77"/>
      <c r="O3" s="78"/>
      <c r="P3" s="78"/>
      <c r="Q3" s="78"/>
      <c r="R3" s="78"/>
      <c r="S3" s="78"/>
      <c r="T3" s="78"/>
      <c r="U3" s="78"/>
      <c r="V3" s="78"/>
      <c r="W3" s="78"/>
      <c r="X3" s="78"/>
      <c r="Y3" s="78"/>
      <c r="Z3" s="78"/>
      <c r="AA3" s="25"/>
      <c r="AB3" s="25"/>
      <c r="AC3" s="25"/>
      <c r="AD3" s="25"/>
      <c r="AE3" s="56"/>
      <c r="AF3" s="56"/>
      <c r="AG3" s="56"/>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row>
    <row r="4" spans="1:78" ht="11.25" customHeight="1" x14ac:dyDescent="0.2">
      <c r="A4" s="17"/>
      <c r="B4" s="17"/>
      <c r="C4" s="61"/>
      <c r="D4" s="61"/>
      <c r="E4" s="61"/>
      <c r="F4" s="61"/>
      <c r="G4" s="61"/>
      <c r="H4" s="51"/>
      <c r="I4" s="75"/>
      <c r="J4" s="75"/>
      <c r="K4" s="75"/>
      <c r="L4" s="51"/>
      <c r="M4" s="76"/>
      <c r="N4" s="77"/>
      <c r="O4" s="78"/>
      <c r="P4" s="78"/>
      <c r="Q4" s="78"/>
      <c r="R4" s="78"/>
      <c r="S4" s="78"/>
      <c r="T4" s="78"/>
      <c r="U4" s="78"/>
      <c r="V4" s="78"/>
      <c r="W4" s="78"/>
      <c r="X4" s="78"/>
      <c r="Y4" s="78"/>
      <c r="Z4" s="78"/>
      <c r="AA4" s="25"/>
      <c r="AB4" s="25"/>
      <c r="AC4" s="25"/>
      <c r="AD4" s="25"/>
      <c r="AE4" s="56"/>
      <c r="AF4" s="56"/>
      <c r="AG4" s="56"/>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row>
    <row r="5" spans="1:78" ht="14.25" customHeight="1" x14ac:dyDescent="0.2">
      <c r="A5" s="79" t="s">
        <v>199</v>
      </c>
      <c r="B5" s="80"/>
      <c r="C5" s="79"/>
      <c r="D5" s="79"/>
      <c r="E5" s="79"/>
      <c r="F5" s="79"/>
      <c r="G5" s="79"/>
      <c r="H5" s="81"/>
      <c r="I5" s="82"/>
      <c r="J5" s="82"/>
      <c r="K5" s="82" t="s">
        <v>208</v>
      </c>
      <c r="L5" s="81"/>
      <c r="M5" s="83"/>
      <c r="N5" s="84"/>
      <c r="O5" s="85"/>
      <c r="P5" s="85"/>
      <c r="Q5" s="85"/>
      <c r="R5" s="85"/>
      <c r="S5" s="85"/>
      <c r="T5" s="85"/>
      <c r="U5" s="85"/>
      <c r="V5" s="85"/>
      <c r="W5" s="85"/>
      <c r="X5" s="85"/>
      <c r="Y5" s="85"/>
      <c r="Z5" s="85"/>
      <c r="AA5" s="42"/>
      <c r="AB5" s="25"/>
      <c r="AC5" s="25"/>
      <c r="AD5" s="25"/>
      <c r="AE5" s="56"/>
      <c r="AF5" s="56"/>
      <c r="AG5" s="56"/>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row>
    <row r="6" spans="1:78" ht="13.7" customHeight="1" x14ac:dyDescent="0.2">
      <c r="A6" s="79" t="s">
        <v>198</v>
      </c>
      <c r="B6" s="80"/>
      <c r="C6" s="79"/>
      <c r="D6" s="79"/>
      <c r="E6" s="79"/>
      <c r="F6" s="79"/>
      <c r="G6" s="79"/>
      <c r="H6" s="81"/>
      <c r="I6" s="82"/>
      <c r="J6" s="82"/>
      <c r="K6" s="82"/>
      <c r="L6" s="81"/>
      <c r="M6" s="83"/>
      <c r="N6" s="84"/>
      <c r="O6" s="85"/>
      <c r="P6" s="85"/>
      <c r="Q6" s="85"/>
      <c r="R6" s="85"/>
      <c r="S6" s="85"/>
      <c r="T6" s="85"/>
      <c r="U6" s="85"/>
      <c r="V6" s="85"/>
      <c r="W6" s="85"/>
      <c r="X6" s="85"/>
      <c r="Y6" s="85"/>
      <c r="Z6" s="85"/>
      <c r="AA6" s="42"/>
      <c r="AB6" s="25"/>
      <c r="AC6" s="25"/>
      <c r="AD6" s="25"/>
      <c r="AE6" s="56"/>
      <c r="AF6" s="56"/>
      <c r="AG6" s="56"/>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row>
    <row r="7" spans="1:78" ht="14.25" customHeight="1" x14ac:dyDescent="0.2">
      <c r="A7" s="79"/>
      <c r="B7" s="80"/>
      <c r="C7" s="79"/>
      <c r="D7" s="79"/>
      <c r="E7" s="79"/>
      <c r="F7" s="79"/>
      <c r="G7" s="79"/>
      <c r="H7" s="81"/>
      <c r="I7" s="82"/>
      <c r="J7" s="82"/>
      <c r="K7" s="82"/>
      <c r="L7" s="81"/>
      <c r="M7" s="83"/>
      <c r="N7" s="84"/>
      <c r="O7" s="85"/>
      <c r="P7" s="85"/>
      <c r="Q7" s="85"/>
      <c r="R7" s="85"/>
      <c r="S7" s="85"/>
      <c r="T7" s="85"/>
      <c r="U7" s="85"/>
      <c r="V7" s="85"/>
      <c r="W7" s="85"/>
      <c r="X7" s="85"/>
      <c r="Y7" s="85"/>
      <c r="Z7" s="85"/>
      <c r="AA7" s="42"/>
      <c r="AB7" s="25"/>
      <c r="AC7" s="25"/>
      <c r="AD7" s="25"/>
      <c r="AE7" s="56"/>
      <c r="AF7" s="56"/>
      <c r="AG7" s="56"/>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row>
    <row r="8" spans="1:78" ht="15.75" customHeight="1" x14ac:dyDescent="0.2">
      <c r="A8" s="80" t="s">
        <v>294</v>
      </c>
      <c r="B8" s="80"/>
      <c r="C8" s="79"/>
      <c r="D8" s="79"/>
      <c r="E8" s="79"/>
      <c r="F8" s="79"/>
      <c r="G8" s="79"/>
      <c r="H8" s="81"/>
      <c r="I8" s="82"/>
      <c r="J8" s="82"/>
      <c r="K8" s="82"/>
      <c r="L8" s="81"/>
      <c r="M8" s="83"/>
      <c r="N8" s="84"/>
      <c r="O8" s="85"/>
      <c r="P8" s="85"/>
      <c r="Q8" s="85"/>
      <c r="R8" s="85"/>
      <c r="S8" s="85"/>
      <c r="T8" s="85"/>
      <c r="U8" s="85"/>
      <c r="V8" s="85"/>
      <c r="W8" s="85"/>
      <c r="X8" s="85"/>
      <c r="Y8" s="85"/>
      <c r="Z8" s="85"/>
      <c r="AA8" s="79"/>
      <c r="AB8" s="61"/>
      <c r="AC8" s="61"/>
      <c r="AD8" s="61"/>
      <c r="AE8" s="51"/>
      <c r="AF8" s="51"/>
      <c r="AG8" s="51"/>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row>
    <row r="9" spans="1:78" ht="12.75" customHeight="1" x14ac:dyDescent="0.2">
      <c r="A9" s="79"/>
      <c r="B9" s="79"/>
      <c r="C9" s="79"/>
      <c r="D9" s="79"/>
      <c r="E9" s="79"/>
      <c r="F9" s="79"/>
      <c r="G9" s="79"/>
      <c r="H9" s="79"/>
      <c r="I9" s="86"/>
      <c r="J9" s="86"/>
      <c r="K9" s="86"/>
      <c r="L9" s="79"/>
      <c r="M9" s="87"/>
      <c r="N9" s="88"/>
      <c r="O9" s="89"/>
      <c r="P9" s="89"/>
      <c r="Q9" s="89"/>
      <c r="R9" s="89"/>
      <c r="S9" s="89"/>
      <c r="T9" s="89"/>
      <c r="U9" s="89"/>
      <c r="V9" s="89"/>
      <c r="W9" s="89"/>
      <c r="X9" s="89"/>
      <c r="Y9" s="89"/>
      <c r="Z9" s="89"/>
      <c r="AA9" s="79"/>
      <c r="AB9" s="61"/>
      <c r="AC9" s="61"/>
      <c r="AD9" s="61"/>
      <c r="AE9" s="61"/>
      <c r="AF9" s="61"/>
      <c r="AG9" s="61"/>
      <c r="AH9" s="74"/>
      <c r="AI9" s="74"/>
      <c r="AJ9" s="74"/>
      <c r="AK9" s="74"/>
      <c r="AL9" s="74"/>
      <c r="AM9" s="74"/>
      <c r="AN9" s="74"/>
      <c r="AO9" s="74"/>
      <c r="AP9" s="74"/>
      <c r="AQ9" s="74"/>
      <c r="AR9" s="74"/>
      <c r="AS9" s="74"/>
      <c r="AT9" s="74"/>
      <c r="AU9" s="74"/>
      <c r="AV9" s="74"/>
      <c r="AW9" s="74"/>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row>
    <row r="10" spans="1:78" ht="11.25" customHeight="1" x14ac:dyDescent="0.2">
      <c r="A10" s="79" t="s">
        <v>334</v>
      </c>
      <c r="B10" s="79"/>
      <c r="C10" s="79"/>
      <c r="D10" s="79"/>
      <c r="E10" s="79"/>
      <c r="F10" s="79"/>
      <c r="G10" s="79"/>
      <c r="H10" s="79"/>
      <c r="I10" s="86"/>
      <c r="J10" s="86"/>
      <c r="K10" s="86"/>
      <c r="L10" s="79"/>
      <c r="M10" s="87"/>
      <c r="N10" s="88"/>
      <c r="O10" s="89"/>
      <c r="P10" s="89"/>
      <c r="Q10" s="89"/>
      <c r="R10" s="89"/>
      <c r="S10" s="89"/>
      <c r="T10" s="89"/>
      <c r="U10" s="89"/>
      <c r="V10" s="89"/>
      <c r="W10" s="89"/>
      <c r="X10" s="89"/>
      <c r="Y10" s="89"/>
      <c r="Z10" s="89"/>
      <c r="AA10" s="79"/>
      <c r="AB10" s="61"/>
      <c r="AC10" s="61"/>
      <c r="AD10" s="61"/>
      <c r="AE10" s="61"/>
      <c r="AF10" s="61"/>
      <c r="AG10" s="61"/>
      <c r="AH10" s="74"/>
      <c r="AI10" s="74"/>
      <c r="AJ10" s="74"/>
      <c r="AK10" s="74"/>
      <c r="AL10" s="74"/>
      <c r="AM10" s="74"/>
      <c r="AN10" s="74"/>
      <c r="AO10" s="74"/>
      <c r="AP10" s="74"/>
      <c r="AQ10" s="74"/>
      <c r="AR10" s="74"/>
      <c r="AS10" s="74"/>
      <c r="AT10" s="74"/>
      <c r="AU10" s="74"/>
      <c r="AV10" s="74"/>
      <c r="AW10" s="74"/>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row>
    <row r="11" spans="1:78" ht="15" customHeight="1" x14ac:dyDescent="0.2">
      <c r="A11" s="79" t="s">
        <v>280</v>
      </c>
      <c r="B11" s="79"/>
      <c r="C11" s="79"/>
      <c r="D11" s="79"/>
      <c r="E11" s="79"/>
      <c r="F11" s="79"/>
      <c r="G11" s="79"/>
      <c r="H11" s="79"/>
      <c r="I11" s="86"/>
      <c r="J11" s="86"/>
      <c r="K11" s="86"/>
      <c r="L11" s="79"/>
      <c r="M11" s="87"/>
      <c r="N11" s="88"/>
      <c r="O11" s="89"/>
      <c r="P11" s="89"/>
      <c r="Q11" s="89"/>
      <c r="R11" s="89"/>
      <c r="S11" s="89"/>
      <c r="T11" s="89"/>
      <c r="U11" s="89"/>
      <c r="V11" s="89"/>
      <c r="W11" s="89"/>
      <c r="X11" s="89"/>
      <c r="Y11" s="89"/>
      <c r="Z11" s="89"/>
      <c r="AA11" s="79"/>
      <c r="AB11" s="61"/>
      <c r="AC11" s="61"/>
      <c r="AD11" s="61"/>
      <c r="AE11" s="61"/>
      <c r="AF11" s="61"/>
      <c r="AG11" s="61"/>
      <c r="AH11" s="74"/>
      <c r="AI11" s="74"/>
      <c r="AJ11" s="74"/>
      <c r="AK11" s="74"/>
      <c r="AL11" s="74"/>
      <c r="AM11" s="74"/>
      <c r="AN11" s="74"/>
      <c r="AO11" s="74"/>
      <c r="AP11" s="74"/>
      <c r="AQ11" s="74"/>
      <c r="AR11" s="74"/>
      <c r="AS11" s="74"/>
      <c r="AT11" s="74"/>
      <c r="AU11" s="74"/>
      <c r="AV11" s="74"/>
      <c r="AW11" s="74"/>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row>
    <row r="12" spans="1:78" ht="15" customHeight="1" x14ac:dyDescent="0.2">
      <c r="A12" s="79" t="s">
        <v>1243</v>
      </c>
      <c r="B12" s="79"/>
      <c r="C12" s="79"/>
      <c r="D12" s="79"/>
      <c r="E12" s="79"/>
      <c r="F12" s="79"/>
      <c r="G12" s="79"/>
      <c r="H12" s="79"/>
      <c r="I12" s="86"/>
      <c r="J12" s="86"/>
      <c r="K12" s="86"/>
      <c r="L12" s="79"/>
      <c r="M12" s="87"/>
      <c r="N12" s="88"/>
      <c r="O12" s="89"/>
      <c r="P12" s="89"/>
      <c r="Q12" s="89"/>
      <c r="R12" s="89"/>
      <c r="S12" s="89"/>
      <c r="T12" s="89"/>
      <c r="U12" s="89"/>
      <c r="V12" s="89"/>
      <c r="W12" s="89"/>
      <c r="X12" s="89"/>
      <c r="Y12" s="89"/>
      <c r="Z12" s="89"/>
      <c r="AA12" s="79"/>
      <c r="AB12" s="61"/>
      <c r="AC12" s="61"/>
      <c r="AD12" s="61"/>
      <c r="AE12" s="61"/>
      <c r="AF12" s="61"/>
      <c r="AG12" s="61"/>
      <c r="AH12" s="74"/>
      <c r="AI12" s="74"/>
      <c r="AJ12" s="74"/>
      <c r="AK12" s="74"/>
      <c r="AL12" s="74"/>
      <c r="AM12" s="74"/>
      <c r="AN12" s="74"/>
      <c r="AO12" s="74"/>
      <c r="AP12" s="74"/>
      <c r="AQ12" s="74"/>
      <c r="AR12" s="74"/>
      <c r="AS12" s="74"/>
      <c r="AT12" s="74"/>
      <c r="AU12" s="74"/>
      <c r="AV12" s="74"/>
      <c r="AW12" s="74"/>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row>
    <row r="13" spans="1:78" ht="14.25" customHeight="1" x14ac:dyDescent="0.2">
      <c r="A13" s="80" t="s">
        <v>270</v>
      </c>
      <c r="B13" s="80"/>
      <c r="C13" s="79"/>
      <c r="D13" s="79"/>
      <c r="E13" s="79"/>
      <c r="F13" s="79"/>
      <c r="G13" s="79"/>
      <c r="H13" s="81"/>
      <c r="I13" s="82"/>
      <c r="J13" s="82"/>
      <c r="K13" s="82"/>
      <c r="L13" s="81"/>
      <c r="M13" s="83"/>
      <c r="N13" s="84"/>
      <c r="O13" s="85"/>
      <c r="P13" s="85"/>
      <c r="Q13" s="85"/>
      <c r="R13" s="85"/>
      <c r="S13" s="85"/>
      <c r="T13" s="85"/>
      <c r="U13" s="85"/>
      <c r="V13" s="85"/>
      <c r="W13" s="85"/>
      <c r="X13" s="85"/>
      <c r="Y13" s="85"/>
      <c r="Z13" s="85"/>
      <c r="AA13" s="79"/>
      <c r="AB13" s="61"/>
      <c r="AC13" s="61"/>
      <c r="AD13" s="61"/>
      <c r="AE13" s="51"/>
      <c r="AF13" s="51"/>
      <c r="AG13" s="51"/>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row>
    <row r="14" spans="1:78" ht="14.25" customHeight="1" x14ac:dyDescent="0.2">
      <c r="A14" s="80">
        <v>1</v>
      </c>
      <c r="B14" s="80">
        <v>2</v>
      </c>
      <c r="C14" s="80">
        <v>3</v>
      </c>
      <c r="D14" s="80">
        <v>4</v>
      </c>
      <c r="E14" s="80">
        <v>5</v>
      </c>
      <c r="F14" s="80">
        <v>6</v>
      </c>
      <c r="G14" s="80">
        <v>7</v>
      </c>
      <c r="H14" s="80">
        <v>8</v>
      </c>
      <c r="I14" s="80">
        <v>9</v>
      </c>
      <c r="J14" s="80">
        <v>10</v>
      </c>
      <c r="K14" s="80">
        <v>11</v>
      </c>
      <c r="L14" s="80">
        <v>12</v>
      </c>
      <c r="M14" s="80">
        <v>13</v>
      </c>
      <c r="N14" s="80">
        <v>14</v>
      </c>
      <c r="O14" s="80">
        <v>15</v>
      </c>
      <c r="P14" s="80">
        <v>16</v>
      </c>
      <c r="Q14" s="80">
        <v>17</v>
      </c>
      <c r="R14" s="80">
        <v>18</v>
      </c>
      <c r="S14" s="80">
        <v>19</v>
      </c>
      <c r="T14" s="80">
        <v>20</v>
      </c>
      <c r="U14" s="80">
        <v>21</v>
      </c>
      <c r="V14" s="80">
        <v>22</v>
      </c>
      <c r="W14" s="80">
        <v>23</v>
      </c>
      <c r="X14" s="80">
        <v>24</v>
      </c>
      <c r="Y14" s="80">
        <v>25</v>
      </c>
      <c r="Z14" s="80">
        <v>26</v>
      </c>
      <c r="AA14" s="80">
        <v>27</v>
      </c>
      <c r="AB14" s="80">
        <v>28</v>
      </c>
      <c r="AC14" s="80">
        <v>29</v>
      </c>
      <c r="AD14" s="80">
        <v>30</v>
      </c>
      <c r="AE14" s="80">
        <v>31</v>
      </c>
      <c r="AF14" s="80">
        <v>32</v>
      </c>
      <c r="AG14" s="80">
        <v>33</v>
      </c>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row>
    <row r="15" spans="1:78" ht="29.25" customHeight="1" x14ac:dyDescent="0.2">
      <c r="A15" s="540" t="s">
        <v>254</v>
      </c>
      <c r="B15" s="541"/>
      <c r="C15" s="541"/>
      <c r="D15" s="541"/>
      <c r="E15" s="541"/>
      <c r="F15" s="541"/>
      <c r="G15" s="541"/>
      <c r="H15" s="81"/>
      <c r="I15" s="82"/>
      <c r="J15" s="82"/>
      <c r="K15" s="82"/>
      <c r="L15" s="81"/>
      <c r="M15" s="83"/>
      <c r="N15" s="84"/>
      <c r="O15" s="85"/>
      <c r="P15" s="85"/>
      <c r="Q15" s="85"/>
      <c r="R15" s="85"/>
      <c r="S15" s="85"/>
      <c r="T15" s="85"/>
      <c r="U15" s="85"/>
      <c r="V15" s="85"/>
      <c r="W15" s="85"/>
      <c r="X15" s="85"/>
      <c r="Y15" s="85"/>
      <c r="Z15" s="85"/>
      <c r="AA15" s="79"/>
      <c r="AB15" s="61"/>
      <c r="AC15" s="61"/>
      <c r="AD15" s="61"/>
      <c r="AE15" s="51"/>
      <c r="AF15" s="51"/>
      <c r="AG15" s="51"/>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row>
    <row r="16" spans="1:78" ht="14.25" customHeight="1" x14ac:dyDescent="0.2">
      <c r="A16" s="79" t="s">
        <v>901</v>
      </c>
      <c r="B16" s="79"/>
      <c r="C16" s="79"/>
      <c r="D16" s="79"/>
      <c r="E16" s="79"/>
      <c r="F16" s="90"/>
      <c r="G16" s="90"/>
      <c r="H16" s="91"/>
      <c r="I16" s="82"/>
      <c r="J16" s="82"/>
      <c r="K16" s="92"/>
      <c r="L16" s="355" t="s">
        <v>1627</v>
      </c>
      <c r="M16" s="83"/>
      <c r="N16" s="84"/>
      <c r="O16" s="85"/>
      <c r="P16" s="85"/>
      <c r="Q16" s="85"/>
      <c r="R16" s="85"/>
      <c r="S16" s="85"/>
      <c r="T16" s="85"/>
      <c r="U16" s="85"/>
      <c r="V16" s="85"/>
      <c r="W16" s="85"/>
      <c r="X16" s="85"/>
      <c r="Y16" s="85"/>
      <c r="Z16" s="85"/>
      <c r="AA16" s="90"/>
      <c r="AB16" s="61"/>
      <c r="AC16" s="61"/>
      <c r="AD16" s="61"/>
      <c r="AE16" s="51"/>
      <c r="AF16" s="51"/>
      <c r="AG16" s="51"/>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row>
    <row r="17" spans="1:78" ht="12.75" customHeight="1" x14ac:dyDescent="0.2">
      <c r="A17" s="527" t="s">
        <v>974</v>
      </c>
      <c r="B17" s="524" t="s">
        <v>281</v>
      </c>
      <c r="C17" s="524" t="s">
        <v>186</v>
      </c>
      <c r="D17" s="524" t="s">
        <v>253</v>
      </c>
      <c r="E17" s="524" t="s">
        <v>301</v>
      </c>
      <c r="F17" s="524" t="s">
        <v>187</v>
      </c>
      <c r="G17" s="524" t="s">
        <v>188</v>
      </c>
      <c r="H17" s="524" t="s">
        <v>325</v>
      </c>
      <c r="I17" s="535" t="s">
        <v>282</v>
      </c>
      <c r="J17" s="524" t="s">
        <v>283</v>
      </c>
      <c r="K17" s="524" t="s">
        <v>284</v>
      </c>
      <c r="L17" s="524" t="s">
        <v>910</v>
      </c>
      <c r="M17" s="543" t="s">
        <v>285</v>
      </c>
      <c r="N17" s="542" t="s">
        <v>286</v>
      </c>
      <c r="O17" s="519" t="s">
        <v>2036</v>
      </c>
      <c r="P17" s="520"/>
      <c r="Q17" s="520"/>
      <c r="R17" s="520"/>
      <c r="S17" s="521"/>
      <c r="T17" s="519" t="s">
        <v>2037</v>
      </c>
      <c r="U17" s="520"/>
      <c r="V17" s="520"/>
      <c r="W17" s="520"/>
      <c r="X17" s="520"/>
      <c r="Y17" s="520"/>
      <c r="Z17" s="521"/>
      <c r="AA17" s="527" t="s">
        <v>192</v>
      </c>
      <c r="AB17" s="524" t="s">
        <v>1244</v>
      </c>
      <c r="AC17" s="524" t="s">
        <v>1245</v>
      </c>
      <c r="AD17" s="524" t="s">
        <v>194</v>
      </c>
      <c r="AE17" s="93" t="s">
        <v>2038</v>
      </c>
      <c r="AF17" s="524" t="str">
        <f>CONCATENATE("Total Maintenance Cost - Spot (", 'Maintenance Model'!B$65," Patrols)")</f>
        <v>Total Maintenance Cost - Spot (2 Patrols)</v>
      </c>
      <c r="AG17" s="522" t="str">
        <f>"Total Maintenance Cost - Bulk ("&amp;2/3*'Maintenance Model'!B65&amp;" Patrols)"</f>
        <v>Total Maintenance Cost - Bulk (1.33333333333333 Patrols)</v>
      </c>
      <c r="AH17" s="25" t="s">
        <v>2038</v>
      </c>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row>
    <row r="18" spans="1:78" x14ac:dyDescent="0.2">
      <c r="A18" s="528"/>
      <c r="B18" s="525"/>
      <c r="C18" s="525"/>
      <c r="D18" s="494"/>
      <c r="E18" s="525"/>
      <c r="F18" s="525"/>
      <c r="G18" s="525"/>
      <c r="H18" s="525"/>
      <c r="I18" s="525"/>
      <c r="J18" s="494"/>
      <c r="K18" s="494"/>
      <c r="L18" s="525"/>
      <c r="M18" s="525"/>
      <c r="N18" s="523"/>
      <c r="O18" s="536" t="s">
        <v>189</v>
      </c>
      <c r="P18" s="517" t="s">
        <v>190</v>
      </c>
      <c r="Q18" s="517" t="s">
        <v>325</v>
      </c>
      <c r="R18" s="517" t="s">
        <v>172</v>
      </c>
      <c r="S18" s="538" t="s">
        <v>173</v>
      </c>
      <c r="T18" s="519" t="s">
        <v>195</v>
      </c>
      <c r="U18" s="520"/>
      <c r="V18" s="521"/>
      <c r="W18" s="530" t="s">
        <v>196</v>
      </c>
      <c r="X18" s="531"/>
      <c r="Y18" s="531"/>
      <c r="Z18" s="532"/>
      <c r="AA18" s="528"/>
      <c r="AB18" s="525"/>
      <c r="AC18" s="525"/>
      <c r="AD18" s="525"/>
      <c r="AE18" s="94"/>
      <c r="AF18" s="525"/>
      <c r="AG18" s="523"/>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row>
    <row r="19" spans="1:78" ht="61.5" customHeight="1" x14ac:dyDescent="0.2">
      <c r="A19" s="537"/>
      <c r="B19" s="518"/>
      <c r="C19" s="518"/>
      <c r="D19" s="529"/>
      <c r="E19" s="518"/>
      <c r="F19" s="518"/>
      <c r="G19" s="518"/>
      <c r="H19" s="518"/>
      <c r="I19" s="518"/>
      <c r="J19" s="529"/>
      <c r="K19" s="529"/>
      <c r="L19" s="518"/>
      <c r="M19" s="518"/>
      <c r="N19" s="539"/>
      <c r="O19" s="537"/>
      <c r="P19" s="518"/>
      <c r="Q19" s="518"/>
      <c r="R19" s="518"/>
      <c r="S19" s="539"/>
      <c r="T19" s="95" t="s">
        <v>189</v>
      </c>
      <c r="U19" s="94" t="s">
        <v>191</v>
      </c>
      <c r="V19" s="96" t="s">
        <v>172</v>
      </c>
      <c r="W19" s="94" t="s">
        <v>189</v>
      </c>
      <c r="X19" s="94" t="s">
        <v>191</v>
      </c>
      <c r="Y19" s="94" t="s">
        <v>172</v>
      </c>
      <c r="Z19" s="96" t="s">
        <v>173</v>
      </c>
      <c r="AA19" s="528"/>
      <c r="AB19" s="525"/>
      <c r="AC19" s="525"/>
      <c r="AD19" s="525"/>
      <c r="AE19" s="94" t="s">
        <v>2039</v>
      </c>
      <c r="AF19" s="525"/>
      <c r="AG19" s="523"/>
      <c r="AH19" s="25" t="s">
        <v>2040</v>
      </c>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row>
    <row r="20" spans="1:78" ht="14.25" customHeight="1" x14ac:dyDescent="0.2">
      <c r="A20" s="98" t="s">
        <v>2058</v>
      </c>
      <c r="B20" s="99">
        <f>VLOOKUP(LEFT(A20,7),'Tariff Schedule Lookup Table'!A$8:D$142,3,FALSE)</f>
        <v>9</v>
      </c>
      <c r="C20" s="100">
        <v>1</v>
      </c>
      <c r="D20" s="100">
        <v>34</v>
      </c>
      <c r="E20" s="100" t="s">
        <v>16</v>
      </c>
      <c r="F20" s="169">
        <f>VLOOKUP(E20,'Lamp Stock'!A$14:H$49,4,FALSE)*(1+'Public Lighting Charges'!$R$11)</f>
        <v>5.083753999999999</v>
      </c>
      <c r="G20" s="169">
        <f>VLOOKUP(E20,'Lamp Stock'!A$14:G$49,6,FALSE)*(1+'Public Lighting Charges'!$R$11)</f>
        <v>31.381612092999998</v>
      </c>
      <c r="H20" s="169">
        <f>VLOOKUP(E20,'Lamp Stock'!A$14:H$49,8,FALSE)*(1+'Public Lighting Charges'!$R$11)</f>
        <v>0.58864519999999998</v>
      </c>
      <c r="I20" s="102">
        <v>0.35</v>
      </c>
      <c r="J20" s="102">
        <v>0.1</v>
      </c>
      <c r="K20" s="102">
        <v>0.2</v>
      </c>
      <c r="L20" s="101">
        <v>3</v>
      </c>
      <c r="M20" s="103">
        <f t="shared" ref="M20:M72" si="0">1/L20</f>
        <v>0.33333333333333331</v>
      </c>
      <c r="N20" s="451">
        <v>2.2700000000000001E-2</v>
      </c>
      <c r="O20" s="190">
        <f>'Maintenance Model'!B$110*I20</f>
        <v>83.95015415332</v>
      </c>
      <c r="P20" s="105">
        <f t="shared" ref="P20:P95" si="1">C20*(F20*I20+G20*J20)</f>
        <v>4.9174751092999998</v>
      </c>
      <c r="Q20" s="181">
        <f>H20*K20*'Maintenance Model'!B$85</f>
        <v>9.4183232000000006E-2</v>
      </c>
      <c r="R20" s="180">
        <f>'Maintenance Model'!B$104*I20</f>
        <v>2.6814666666666667</v>
      </c>
      <c r="S20" s="191">
        <f t="shared" ref="S20:S72" si="2">SUM(O20:R20)</f>
        <v>91.643279161286671</v>
      </c>
      <c r="T20" s="104">
        <f>'Maintenance Model'!B$110*N20</f>
        <v>5.4447671408010407</v>
      </c>
      <c r="U20" s="240">
        <f>N20*((C20*F20)+K20*H20)+C20*G20*J20</f>
        <v>3.2562348743079998</v>
      </c>
      <c r="V20" s="104">
        <f>'Maintenance Model'!B$104*N20</f>
        <v>0.17391226666666668</v>
      </c>
      <c r="W20" s="104">
        <f>'Maintenance Model'!B$111*M20</f>
        <v>12.300388886933334</v>
      </c>
      <c r="X20" s="240">
        <f>(C20*(F20+(K20*H20)))*M20</f>
        <v>1.7338276799999996</v>
      </c>
      <c r="Y20" s="104">
        <f>M20*'Maintenance Model'!B$105</f>
        <v>0.3928888888888889</v>
      </c>
      <c r="Z20" s="104">
        <f t="shared" ref="Z20:Z52" si="3">SUM(T20:Y20)</f>
        <v>23.302019737597934</v>
      </c>
      <c r="AA20" s="203">
        <f>'Other Maintenance'!B$94</f>
        <v>2.9107349228680333</v>
      </c>
      <c r="AB20" s="104">
        <f>(S20+AA20)</f>
        <v>94.554014084154701</v>
      </c>
      <c r="AC20" s="142">
        <f>(Z20+AA20)</f>
        <v>26.212754660465968</v>
      </c>
      <c r="AD20" s="141">
        <f>'Maintenance Model'!B$114 + 'Maintenance Model'!B$115</f>
        <v>0.99616182311111112</v>
      </c>
      <c r="AE20" s="142" t="e">
        <f>AB20+#REF!+#REF!</f>
        <v>#REF!</v>
      </c>
      <c r="AF20" s="142">
        <f t="shared" ref="AF20:AF51" si="4">(AB20+AD20)</f>
        <v>95.55017590726581</v>
      </c>
      <c r="AG20" s="143">
        <f t="shared" ref="AG20:AG51" si="5">(AC20+ (2/3*AD20))</f>
        <v>26.876862542540042</v>
      </c>
      <c r="AH20" s="25" t="e">
        <f>S20+#REF!+AD20</f>
        <v>#REF!</v>
      </c>
      <c r="AI20" s="25"/>
      <c r="AJ20" s="25"/>
      <c r="AK20" s="25"/>
      <c r="AL20" s="25"/>
      <c r="AM20" s="25"/>
      <c r="AN20" s="25"/>
      <c r="AO20" s="25"/>
      <c r="AP20" s="25"/>
      <c r="AQ20" s="25"/>
      <c r="AR20" s="25"/>
      <c r="AS20" s="25" t="s">
        <v>994</v>
      </c>
      <c r="AT20" s="25"/>
      <c r="AU20" s="25">
        <v>39.183865062603687</v>
      </c>
      <c r="AV20" s="25" t="s">
        <v>2041</v>
      </c>
      <c r="AW20" s="25"/>
      <c r="AX20" s="61" t="b">
        <f>AF20 &gt; AG20</f>
        <v>1</v>
      </c>
      <c r="AY20" s="25"/>
      <c r="AZ20" s="59"/>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row>
    <row r="21" spans="1:78" x14ac:dyDescent="0.2">
      <c r="A21" s="98" t="s">
        <v>2059</v>
      </c>
      <c r="B21" s="99">
        <f>VLOOKUP(LEFT(A21,7),'Tariff Schedule Lookup Table'!A$8:D$142,3,FALSE)</f>
        <v>11</v>
      </c>
      <c r="C21" s="100">
        <v>1</v>
      </c>
      <c r="D21" s="100">
        <v>0</v>
      </c>
      <c r="E21" s="100" t="s">
        <v>16</v>
      </c>
      <c r="F21" s="169">
        <f>VLOOKUP(E21,'Lamp Stock'!A$14:H$49,4,FALSE)*(1+'Public Lighting Charges'!$R$11)</f>
        <v>5.083753999999999</v>
      </c>
      <c r="G21" s="169">
        <f>VLOOKUP(E21,'Lamp Stock'!A$14:G$49,6,FALSE)*(1+'Public Lighting Charges'!$R$11)</f>
        <v>31.381612092999998</v>
      </c>
      <c r="H21" s="169">
        <f>VLOOKUP(E21,'Lamp Stock'!A$14:H$49,8,FALSE)*(1+'Public Lighting Charges'!$R$11)</f>
        <v>0.58864519999999998</v>
      </c>
      <c r="I21" s="102">
        <v>0.35</v>
      </c>
      <c r="J21" s="102">
        <v>0.1</v>
      </c>
      <c r="K21" s="102">
        <v>0.2</v>
      </c>
      <c r="L21" s="101">
        <v>3</v>
      </c>
      <c r="M21" s="103">
        <f t="shared" si="0"/>
        <v>0.33333333333333331</v>
      </c>
      <c r="N21" s="451">
        <v>2.2700000000000001E-2</v>
      </c>
      <c r="O21" s="192">
        <f>'Maintenance Model'!B$110*I21</f>
        <v>83.95015415332</v>
      </c>
      <c r="P21" s="105">
        <f t="shared" si="1"/>
        <v>4.9174751092999998</v>
      </c>
      <c r="Q21" s="105">
        <f>H21*K21*'Maintenance Model'!B$85</f>
        <v>9.4183232000000006E-2</v>
      </c>
      <c r="R21" s="104">
        <f>'Maintenance Model'!B$104*I21</f>
        <v>2.6814666666666667</v>
      </c>
      <c r="S21" s="193">
        <f t="shared" si="2"/>
        <v>91.643279161286671</v>
      </c>
      <c r="T21" s="104">
        <f>'Maintenance Model'!B$110*N21</f>
        <v>5.4447671408010407</v>
      </c>
      <c r="U21" s="240">
        <f>N21*((C21*F21)+K21*H21)+C21*G21*J21</f>
        <v>3.2562348743079998</v>
      </c>
      <c r="V21" s="104">
        <f>'Maintenance Model'!B$104*N21</f>
        <v>0.17391226666666668</v>
      </c>
      <c r="W21" s="104">
        <f>'Maintenance Model'!B$111*M21</f>
        <v>12.300388886933334</v>
      </c>
      <c r="X21" s="240">
        <f t="shared" ref="X21:X84" si="6">(C21*(F21+(K21*H21)))*M21</f>
        <v>1.7338276799999996</v>
      </c>
      <c r="Y21" s="104">
        <f>M21*'Maintenance Model'!B$105</f>
        <v>0.3928888888888889</v>
      </c>
      <c r="Z21" s="104">
        <f t="shared" si="3"/>
        <v>23.302019737597934</v>
      </c>
      <c r="AA21" s="203">
        <f>'Other Maintenance'!B$94</f>
        <v>2.9107349228680333</v>
      </c>
      <c r="AB21" s="104">
        <f t="shared" ref="AB21:AB95" si="7">(S21+AA21)</f>
        <v>94.554014084154701</v>
      </c>
      <c r="AC21" s="142">
        <f t="shared" ref="AC21:AC95" si="8">(Z21+AA21)</f>
        <v>26.212754660465968</v>
      </c>
      <c r="AD21" s="141">
        <f>'Maintenance Model'!B$114 + 'Maintenance Model'!B$115</f>
        <v>0.99616182311111112</v>
      </c>
      <c r="AE21" s="142" t="e">
        <f>AB21+#REF!+#REF!</f>
        <v>#REF!</v>
      </c>
      <c r="AF21" s="142">
        <f t="shared" si="4"/>
        <v>95.55017590726581</v>
      </c>
      <c r="AG21" s="143">
        <f t="shared" si="5"/>
        <v>26.876862542540042</v>
      </c>
      <c r="AH21" s="61" t="e">
        <f>S21+#REF!+AD21</f>
        <v>#REF!</v>
      </c>
      <c r="AI21" s="61"/>
      <c r="AJ21" s="61"/>
      <c r="AK21" s="61"/>
      <c r="AL21" s="61"/>
      <c r="AM21" s="61"/>
      <c r="AN21" s="61"/>
      <c r="AO21" s="61"/>
      <c r="AP21" s="61"/>
      <c r="AQ21" s="61"/>
      <c r="AR21" s="61"/>
      <c r="AS21" s="61" t="s">
        <v>997</v>
      </c>
      <c r="AT21" s="61"/>
      <c r="AU21" s="61">
        <v>39.183865062603687</v>
      </c>
      <c r="AV21" s="61" t="s">
        <v>2041</v>
      </c>
      <c r="AW21" s="25"/>
      <c r="AX21" s="61" t="b">
        <f t="shared" ref="AX21:AX95" si="9">AF21 &gt; AG21</f>
        <v>1</v>
      </c>
      <c r="AY21" s="61"/>
      <c r="AZ21" s="129"/>
      <c r="BA21" s="25"/>
      <c r="BB21" s="25"/>
      <c r="BC21" s="61"/>
      <c r="BD21" s="61"/>
      <c r="BE21" s="61"/>
      <c r="BF21" s="61"/>
      <c r="BG21" s="25"/>
      <c r="BH21" s="25"/>
      <c r="BI21" s="25"/>
      <c r="BJ21" s="25"/>
      <c r="BK21" s="25"/>
      <c r="BL21" s="25"/>
      <c r="BM21" s="25"/>
      <c r="BN21" s="25"/>
      <c r="BO21" s="25"/>
      <c r="BP21" s="25"/>
      <c r="BQ21" s="25"/>
      <c r="BR21" s="25"/>
      <c r="BS21" s="25"/>
      <c r="BT21" s="25"/>
      <c r="BU21" s="25"/>
      <c r="BV21" s="25"/>
      <c r="BW21" s="25"/>
      <c r="BX21" s="25"/>
      <c r="BY21" s="25"/>
      <c r="BZ21" s="25"/>
    </row>
    <row r="22" spans="1:78" x14ac:dyDescent="0.2">
      <c r="A22" s="98" t="s">
        <v>2060</v>
      </c>
      <c r="B22" s="99">
        <f>VLOOKUP(LEFT(A22,7),'Tariff Schedule Lookup Table'!A$8:D$142,3,FALSE)</f>
        <v>13</v>
      </c>
      <c r="C22" s="100">
        <v>1</v>
      </c>
      <c r="D22" s="100">
        <v>0</v>
      </c>
      <c r="E22" s="100" t="s">
        <v>16</v>
      </c>
      <c r="F22" s="169">
        <f>VLOOKUP(E22,'Lamp Stock'!A$14:H$49,4,FALSE)*(1+'Public Lighting Charges'!$R$11)</f>
        <v>5.083753999999999</v>
      </c>
      <c r="G22" s="169">
        <f>VLOOKUP(E22,'Lamp Stock'!A$14:G$49,6,FALSE)*(1+'Public Lighting Charges'!$R$11)</f>
        <v>31.381612092999998</v>
      </c>
      <c r="H22" s="169">
        <f>VLOOKUP(E22,'Lamp Stock'!A$14:H$49,8,FALSE)*(1+'Public Lighting Charges'!$R$11)</f>
        <v>0.58864519999999998</v>
      </c>
      <c r="I22" s="102">
        <v>0.35</v>
      </c>
      <c r="J22" s="102">
        <v>0.1</v>
      </c>
      <c r="K22" s="102">
        <v>0.2</v>
      </c>
      <c r="L22" s="101">
        <v>3</v>
      </c>
      <c r="M22" s="103">
        <f t="shared" si="0"/>
        <v>0.33333333333333331</v>
      </c>
      <c r="N22" s="451">
        <v>2.2700000000000001E-2</v>
      </c>
      <c r="O22" s="192">
        <f>'Maintenance Model'!B$110*I22</f>
        <v>83.95015415332</v>
      </c>
      <c r="P22" s="105">
        <f t="shared" si="1"/>
        <v>4.9174751092999998</v>
      </c>
      <c r="Q22" s="105">
        <f>H22*K22*'Maintenance Model'!B$85</f>
        <v>9.4183232000000006E-2</v>
      </c>
      <c r="R22" s="104">
        <f>'Maintenance Model'!B$104*I22</f>
        <v>2.6814666666666667</v>
      </c>
      <c r="S22" s="193">
        <f t="shared" si="2"/>
        <v>91.643279161286671</v>
      </c>
      <c r="T22" s="104">
        <f>'Maintenance Model'!B$110*N22</f>
        <v>5.4447671408010407</v>
      </c>
      <c r="U22" s="240">
        <f t="shared" ref="U22:U85" si="10">N22*((C22*F22)+K22*H22)+C22*G22*J22</f>
        <v>3.2562348743079998</v>
      </c>
      <c r="V22" s="104">
        <f>'Maintenance Model'!B$104*N22</f>
        <v>0.17391226666666668</v>
      </c>
      <c r="W22" s="104">
        <f>'Maintenance Model'!B$111*M22</f>
        <v>12.300388886933334</v>
      </c>
      <c r="X22" s="240">
        <f t="shared" si="6"/>
        <v>1.7338276799999996</v>
      </c>
      <c r="Y22" s="104">
        <f>M22*'Maintenance Model'!B$105</f>
        <v>0.3928888888888889</v>
      </c>
      <c r="Z22" s="104">
        <f t="shared" si="3"/>
        <v>23.302019737597934</v>
      </c>
      <c r="AA22" s="203">
        <f>'Other Maintenance'!B$94</f>
        <v>2.9107349228680333</v>
      </c>
      <c r="AB22" s="104">
        <f t="shared" si="7"/>
        <v>94.554014084154701</v>
      </c>
      <c r="AC22" s="142">
        <f t="shared" si="8"/>
        <v>26.212754660465968</v>
      </c>
      <c r="AD22" s="141">
        <f>'Maintenance Model'!B$114 + 'Maintenance Model'!B$115</f>
        <v>0.99616182311111112</v>
      </c>
      <c r="AE22" s="142" t="e">
        <f>AB22+#REF!+#REF!</f>
        <v>#REF!</v>
      </c>
      <c r="AF22" s="142">
        <f t="shared" si="4"/>
        <v>95.55017590726581</v>
      </c>
      <c r="AG22" s="143">
        <f t="shared" si="5"/>
        <v>26.876862542540042</v>
      </c>
      <c r="AH22" s="61" t="e">
        <f>S22+#REF!+AD22</f>
        <v>#REF!</v>
      </c>
      <c r="AI22" s="61"/>
      <c r="AJ22" s="61"/>
      <c r="AK22" s="61"/>
      <c r="AL22" s="61"/>
      <c r="AM22" s="61"/>
      <c r="AN22" s="61"/>
      <c r="AO22" s="61"/>
      <c r="AP22" s="61"/>
      <c r="AQ22" s="61"/>
      <c r="AR22" s="61"/>
      <c r="AS22" s="61" t="s">
        <v>999</v>
      </c>
      <c r="AT22" s="61"/>
      <c r="AU22" s="61">
        <v>39.183865062603687</v>
      </c>
      <c r="AV22" s="61" t="s">
        <v>2041</v>
      </c>
      <c r="AW22" s="25"/>
      <c r="AX22" s="61" t="b">
        <f t="shared" si="9"/>
        <v>1</v>
      </c>
      <c r="AY22" s="61"/>
      <c r="AZ22" s="129"/>
      <c r="BA22" s="25"/>
      <c r="BB22" s="25"/>
      <c r="BC22" s="61"/>
      <c r="BD22" s="61"/>
      <c r="BE22" s="61"/>
      <c r="BF22" s="61"/>
      <c r="BG22" s="25"/>
      <c r="BH22" s="25"/>
      <c r="BI22" s="25"/>
      <c r="BJ22" s="25"/>
      <c r="BK22" s="25"/>
      <c r="BL22" s="25"/>
      <c r="BM22" s="25"/>
      <c r="BN22" s="25"/>
      <c r="BO22" s="25"/>
      <c r="BP22" s="25"/>
      <c r="BQ22" s="25"/>
      <c r="BR22" s="25"/>
      <c r="BS22" s="25"/>
      <c r="BT22" s="25"/>
      <c r="BU22" s="25"/>
      <c r="BV22" s="25"/>
      <c r="BW22" s="25"/>
      <c r="BX22" s="25"/>
      <c r="BY22" s="25"/>
      <c r="BZ22" s="25"/>
    </row>
    <row r="23" spans="1:78" x14ac:dyDescent="0.2">
      <c r="A23" s="98" t="s">
        <v>2065</v>
      </c>
      <c r="B23" s="99">
        <f>VLOOKUP(LEFT(A23,7),'Tariff Schedule Lookup Table'!A$8:D$142,3,FALSE)</f>
        <v>15</v>
      </c>
      <c r="C23" s="100">
        <v>1</v>
      </c>
      <c r="D23" s="100">
        <v>40</v>
      </c>
      <c r="E23" s="100" t="s">
        <v>16</v>
      </c>
      <c r="F23" s="169">
        <f>VLOOKUP(E23,'Lamp Stock'!A$14:H$49,4,FALSE)*(1+'Public Lighting Charges'!$R$11)</f>
        <v>5.083753999999999</v>
      </c>
      <c r="G23" s="169">
        <f>VLOOKUP(E23,'Lamp Stock'!A$14:G$49,6,FALSE)*(1+'Public Lighting Charges'!$R$11)</f>
        <v>31.381612092999998</v>
      </c>
      <c r="H23" s="169">
        <f>VLOOKUP(E23,'Lamp Stock'!A$14:H$49,8,FALSE)*(1+'Public Lighting Charges'!$R$11)</f>
        <v>0.58864519999999998</v>
      </c>
      <c r="I23" s="102">
        <v>0.35</v>
      </c>
      <c r="J23" s="102">
        <v>0.1</v>
      </c>
      <c r="K23" s="102">
        <v>0.2</v>
      </c>
      <c r="L23" s="101">
        <v>3</v>
      </c>
      <c r="M23" s="103">
        <f t="shared" si="0"/>
        <v>0.33333333333333331</v>
      </c>
      <c r="N23" s="451">
        <v>2.2700000000000001E-2</v>
      </c>
      <c r="O23" s="192">
        <f>'Maintenance Model'!B$110*I23</f>
        <v>83.95015415332</v>
      </c>
      <c r="P23" s="105">
        <f t="shared" si="1"/>
        <v>4.9174751092999998</v>
      </c>
      <c r="Q23" s="105">
        <f>H23*K23*'Maintenance Model'!B$85</f>
        <v>9.4183232000000006E-2</v>
      </c>
      <c r="R23" s="104">
        <f>'Maintenance Model'!B$104*I23</f>
        <v>2.6814666666666667</v>
      </c>
      <c r="S23" s="193">
        <f t="shared" si="2"/>
        <v>91.643279161286671</v>
      </c>
      <c r="T23" s="104">
        <f>'Maintenance Model'!B$110*N23</f>
        <v>5.4447671408010407</v>
      </c>
      <c r="U23" s="240">
        <f t="shared" si="10"/>
        <v>3.2562348743079998</v>
      </c>
      <c r="V23" s="104">
        <f>'Maintenance Model'!B$104*N23</f>
        <v>0.17391226666666668</v>
      </c>
      <c r="W23" s="104">
        <f>'Maintenance Model'!B$111*M23</f>
        <v>12.300388886933334</v>
      </c>
      <c r="X23" s="240">
        <f t="shared" si="6"/>
        <v>1.7338276799999996</v>
      </c>
      <c r="Y23" s="104">
        <f>M23*'Maintenance Model'!B$105</f>
        <v>0.3928888888888889</v>
      </c>
      <c r="Z23" s="104">
        <f t="shared" si="3"/>
        <v>23.302019737597934</v>
      </c>
      <c r="AA23" s="203">
        <f>'Other Maintenance'!B$94</f>
        <v>2.9107349228680333</v>
      </c>
      <c r="AB23" s="104">
        <f t="shared" si="7"/>
        <v>94.554014084154701</v>
      </c>
      <c r="AC23" s="142">
        <f t="shared" si="8"/>
        <v>26.212754660465968</v>
      </c>
      <c r="AD23" s="141">
        <f>'Maintenance Model'!B$114 + 'Maintenance Model'!B$115</f>
        <v>0.99616182311111112</v>
      </c>
      <c r="AE23" s="142" t="e">
        <f>AB23+#REF!+#REF!</f>
        <v>#REF!</v>
      </c>
      <c r="AF23" s="142">
        <f t="shared" si="4"/>
        <v>95.55017590726581</v>
      </c>
      <c r="AG23" s="143">
        <f t="shared" si="5"/>
        <v>26.876862542540042</v>
      </c>
      <c r="AH23" s="61" t="e">
        <f>S23+#REF!+AD23</f>
        <v>#REF!</v>
      </c>
      <c r="AI23" s="61"/>
      <c r="AJ23" s="61"/>
      <c r="AK23" s="61"/>
      <c r="AL23" s="61"/>
      <c r="AM23" s="61"/>
      <c r="AN23" s="61"/>
      <c r="AO23" s="61"/>
      <c r="AP23" s="61"/>
      <c r="AQ23" s="61"/>
      <c r="AR23" s="61"/>
      <c r="AS23" s="61" t="s">
        <v>1001</v>
      </c>
      <c r="AT23" s="61"/>
      <c r="AU23" s="61">
        <v>39.183865062603687</v>
      </c>
      <c r="AV23" s="61" t="s">
        <v>2041</v>
      </c>
      <c r="AW23" s="25"/>
      <c r="AX23" s="61" t="b">
        <f t="shared" si="9"/>
        <v>1</v>
      </c>
      <c r="AY23" s="61"/>
      <c r="AZ23" s="129"/>
      <c r="BA23" s="25"/>
      <c r="BB23" s="25"/>
      <c r="BC23" s="61"/>
      <c r="BD23" s="61"/>
      <c r="BE23" s="61"/>
      <c r="BF23" s="61"/>
      <c r="BG23" s="25"/>
      <c r="BH23" s="25"/>
      <c r="BI23" s="25"/>
      <c r="BJ23" s="25"/>
      <c r="BK23" s="25"/>
      <c r="BL23" s="25"/>
      <c r="BM23" s="25"/>
      <c r="BN23" s="25"/>
      <c r="BO23" s="25"/>
      <c r="BP23" s="25"/>
      <c r="BQ23" s="25"/>
      <c r="BR23" s="25"/>
      <c r="BS23" s="25"/>
      <c r="BT23" s="25"/>
      <c r="BU23" s="25"/>
      <c r="BV23" s="25"/>
      <c r="BW23" s="25"/>
      <c r="BX23" s="25"/>
      <c r="BY23" s="25"/>
      <c r="BZ23" s="25"/>
    </row>
    <row r="24" spans="1:78" x14ac:dyDescent="0.2">
      <c r="A24" s="98" t="s">
        <v>2066</v>
      </c>
      <c r="B24" s="99">
        <f>VLOOKUP(LEFT(A24,7),'Tariff Schedule Lookup Table'!A$8:D$142,3,FALSE)</f>
        <v>20</v>
      </c>
      <c r="C24" s="100">
        <v>1</v>
      </c>
      <c r="D24" s="100">
        <v>447</v>
      </c>
      <c r="E24" s="100" t="s">
        <v>16</v>
      </c>
      <c r="F24" s="169">
        <f>VLOOKUP(E24,'Lamp Stock'!A$14:H$49,4,FALSE)*(1+'Public Lighting Charges'!$R$11)</f>
        <v>5.083753999999999</v>
      </c>
      <c r="G24" s="169">
        <f>VLOOKUP(E24,'Lamp Stock'!A$14:G$49,6,FALSE)*(1+'Public Lighting Charges'!$R$11)</f>
        <v>31.381612092999998</v>
      </c>
      <c r="H24" s="169">
        <f>VLOOKUP(E24,'Lamp Stock'!A$14:H$49,8,FALSE)*(1+'Public Lighting Charges'!$R$11)</f>
        <v>0.58864519999999998</v>
      </c>
      <c r="I24" s="102">
        <v>0.35</v>
      </c>
      <c r="J24" s="102">
        <v>0.1</v>
      </c>
      <c r="K24" s="102">
        <v>0.2</v>
      </c>
      <c r="L24" s="101">
        <v>3</v>
      </c>
      <c r="M24" s="103">
        <f t="shared" si="0"/>
        <v>0.33333333333333331</v>
      </c>
      <c r="N24" s="451">
        <v>2.2700000000000001E-2</v>
      </c>
      <c r="O24" s="192">
        <f>'Maintenance Model'!B$110*I24</f>
        <v>83.95015415332</v>
      </c>
      <c r="P24" s="105">
        <f t="shared" si="1"/>
        <v>4.9174751092999998</v>
      </c>
      <c r="Q24" s="105">
        <f>H24*K24*'Maintenance Model'!B$85</f>
        <v>9.4183232000000006E-2</v>
      </c>
      <c r="R24" s="104">
        <f>'Maintenance Model'!B$104*I24</f>
        <v>2.6814666666666667</v>
      </c>
      <c r="S24" s="193">
        <f t="shared" si="2"/>
        <v>91.643279161286671</v>
      </c>
      <c r="T24" s="104">
        <f>'Maintenance Model'!B$110*N24</f>
        <v>5.4447671408010407</v>
      </c>
      <c r="U24" s="240">
        <f t="shared" si="10"/>
        <v>3.2562348743079998</v>
      </c>
      <c r="V24" s="104">
        <f>'Maintenance Model'!B$104*N24</f>
        <v>0.17391226666666668</v>
      </c>
      <c r="W24" s="104">
        <f>'Maintenance Model'!B$111*M24</f>
        <v>12.300388886933334</v>
      </c>
      <c r="X24" s="240">
        <f t="shared" si="6"/>
        <v>1.7338276799999996</v>
      </c>
      <c r="Y24" s="104">
        <f>M24*'Maintenance Model'!B$105</f>
        <v>0.3928888888888889</v>
      </c>
      <c r="Z24" s="104">
        <f t="shared" si="3"/>
        <v>23.302019737597934</v>
      </c>
      <c r="AA24" s="203">
        <f>'Other Maintenance'!B$94</f>
        <v>2.9107349228680333</v>
      </c>
      <c r="AB24" s="104">
        <f t="shared" si="7"/>
        <v>94.554014084154701</v>
      </c>
      <c r="AC24" s="142">
        <f t="shared" si="8"/>
        <v>26.212754660465968</v>
      </c>
      <c r="AD24" s="141">
        <f>'Maintenance Model'!B$114 + 'Maintenance Model'!B$115</f>
        <v>0.99616182311111112</v>
      </c>
      <c r="AE24" s="142" t="e">
        <f>AB24+#REF!+#REF!</f>
        <v>#REF!</v>
      </c>
      <c r="AF24" s="142">
        <f t="shared" si="4"/>
        <v>95.55017590726581</v>
      </c>
      <c r="AG24" s="143">
        <f t="shared" si="5"/>
        <v>26.876862542540042</v>
      </c>
      <c r="AH24" s="61" t="e">
        <f>S24+#REF!+AD24</f>
        <v>#REF!</v>
      </c>
      <c r="AI24" s="61"/>
      <c r="AJ24" s="61"/>
      <c r="AK24" s="61"/>
      <c r="AL24" s="61"/>
      <c r="AM24" s="61"/>
      <c r="AN24" s="61"/>
      <c r="AO24" s="61"/>
      <c r="AP24" s="61"/>
      <c r="AQ24" s="61"/>
      <c r="AR24" s="61"/>
      <c r="AS24" s="61" t="s">
        <v>1003</v>
      </c>
      <c r="AT24" s="61"/>
      <c r="AU24" s="61">
        <v>35.75341755896374</v>
      </c>
      <c r="AV24" s="61" t="s">
        <v>2041</v>
      </c>
      <c r="AW24" s="25"/>
      <c r="AX24" s="61" t="b">
        <f t="shared" si="9"/>
        <v>1</v>
      </c>
      <c r="AY24" s="61"/>
      <c r="AZ24" s="129"/>
      <c r="BA24" s="25"/>
      <c r="BB24" s="25"/>
      <c r="BC24" s="61"/>
      <c r="BD24" s="61"/>
      <c r="BE24" s="61"/>
      <c r="BF24" s="61"/>
      <c r="BG24" s="25"/>
      <c r="BH24" s="25"/>
      <c r="BI24" s="25"/>
      <c r="BJ24" s="25"/>
      <c r="BK24" s="25"/>
      <c r="BL24" s="25"/>
      <c r="BM24" s="25"/>
      <c r="BN24" s="25"/>
      <c r="BO24" s="25"/>
      <c r="BP24" s="25"/>
      <c r="BQ24" s="25"/>
      <c r="BR24" s="25"/>
      <c r="BS24" s="25"/>
      <c r="BT24" s="25"/>
      <c r="BU24" s="25"/>
      <c r="BV24" s="25"/>
      <c r="BW24" s="25"/>
      <c r="BX24" s="25"/>
      <c r="BY24" s="25"/>
      <c r="BZ24" s="25"/>
    </row>
    <row r="25" spans="1:78" x14ac:dyDescent="0.2">
      <c r="A25" s="98" t="s">
        <v>2067</v>
      </c>
      <c r="B25" s="99" t="str">
        <f>VLOOKUP(LEFT(A25,7),'Tariff Schedule Lookup Table'!A$8:D$142,3,FALSE)</f>
        <v>Twin 20</v>
      </c>
      <c r="C25" s="100">
        <v>2</v>
      </c>
      <c r="D25" s="100">
        <v>3296</v>
      </c>
      <c r="E25" s="100" t="s">
        <v>16</v>
      </c>
      <c r="F25" s="169">
        <f>VLOOKUP(E25,'Lamp Stock'!A$14:H$49,4,FALSE)*(1+'Public Lighting Charges'!$R$11)</f>
        <v>5.083753999999999</v>
      </c>
      <c r="G25" s="169">
        <f>VLOOKUP(E25,'Lamp Stock'!A$14:G$49,6,FALSE)*(1+'Public Lighting Charges'!$R$11)</f>
        <v>31.381612092999998</v>
      </c>
      <c r="H25" s="169">
        <f>VLOOKUP(E25,'Lamp Stock'!A$14:H$49,8,FALSE)*(1+'Public Lighting Charges'!$R$11)</f>
        <v>0.58864519999999998</v>
      </c>
      <c r="I25" s="102">
        <v>0.35</v>
      </c>
      <c r="J25" s="102">
        <v>0.1</v>
      </c>
      <c r="K25" s="102">
        <v>0.2</v>
      </c>
      <c r="L25" s="101">
        <v>3</v>
      </c>
      <c r="M25" s="103">
        <f t="shared" si="0"/>
        <v>0.33333333333333331</v>
      </c>
      <c r="N25" s="451">
        <v>2.2700000000000001E-2</v>
      </c>
      <c r="O25" s="192">
        <f>'Maintenance Model'!B$110*I25</f>
        <v>83.95015415332</v>
      </c>
      <c r="P25" s="105">
        <f t="shared" si="1"/>
        <v>9.8349502185999995</v>
      </c>
      <c r="Q25" s="105">
        <f>H25*K25*'Maintenance Model'!B$85</f>
        <v>9.4183232000000006E-2</v>
      </c>
      <c r="R25" s="104">
        <f>'Maintenance Model'!B$104*I25</f>
        <v>2.6814666666666667</v>
      </c>
      <c r="S25" s="193">
        <f t="shared" si="2"/>
        <v>96.560754270586671</v>
      </c>
      <c r="T25" s="104">
        <f>'Maintenance Model'!B$110*N25</f>
        <v>5.4447671408010407</v>
      </c>
      <c r="U25" s="240">
        <f t="shared" si="10"/>
        <v>6.5097972994079996</v>
      </c>
      <c r="V25" s="104">
        <f>'Maintenance Model'!B$104*N25</f>
        <v>0.17391226666666668</v>
      </c>
      <c r="W25" s="104">
        <f>'Maintenance Model'!B$111*M25</f>
        <v>12.300388886933334</v>
      </c>
      <c r="X25" s="240">
        <f t="shared" si="6"/>
        <v>3.4676553599999993</v>
      </c>
      <c r="Y25" s="104">
        <f>M25*'Maintenance Model'!B$105</f>
        <v>0.3928888888888889</v>
      </c>
      <c r="Z25" s="104">
        <f t="shared" si="3"/>
        <v>28.289409842697932</v>
      </c>
      <c r="AA25" s="203">
        <f>'Other Maintenance'!B$94</f>
        <v>2.9107349228680333</v>
      </c>
      <c r="AB25" s="104">
        <f t="shared" si="7"/>
        <v>99.471489193454701</v>
      </c>
      <c r="AC25" s="142">
        <f t="shared" si="8"/>
        <v>31.200144765565966</v>
      </c>
      <c r="AD25" s="127">
        <f>'Maintenance Model'!B$114 + 'Maintenance Model'!B$115</f>
        <v>0.99616182311111112</v>
      </c>
      <c r="AE25" s="104" t="e">
        <f>AB25+#REF!+#REF!</f>
        <v>#REF!</v>
      </c>
      <c r="AF25" s="142">
        <f t="shared" si="4"/>
        <v>100.46765101656581</v>
      </c>
      <c r="AG25" s="143">
        <f t="shared" si="5"/>
        <v>31.86425264764004</v>
      </c>
      <c r="AH25" s="61" t="e">
        <f>S25+#REF!+AD25</f>
        <v>#REF!</v>
      </c>
      <c r="AI25" s="61"/>
      <c r="AJ25" s="61"/>
      <c r="AK25" s="61"/>
      <c r="AL25" s="61"/>
      <c r="AM25" s="61"/>
      <c r="AN25" s="61"/>
      <c r="AO25" s="61"/>
      <c r="AP25" s="61"/>
      <c r="AQ25" s="61"/>
      <c r="AR25" s="61"/>
      <c r="AS25" s="61" t="s">
        <v>1005</v>
      </c>
      <c r="AT25" s="61"/>
      <c r="AU25" s="61">
        <v>36.330917558963741</v>
      </c>
      <c r="AV25" s="61" t="s">
        <v>2041</v>
      </c>
      <c r="AW25" s="25"/>
      <c r="AX25" s="61" t="b">
        <f t="shared" si="9"/>
        <v>1</v>
      </c>
      <c r="AY25" s="61"/>
      <c r="AZ25" s="129"/>
      <c r="BA25" s="25"/>
      <c r="BB25" s="25"/>
      <c r="BC25" s="61"/>
      <c r="BD25" s="61"/>
      <c r="BE25" s="61"/>
      <c r="BF25" s="61"/>
      <c r="BG25" s="25"/>
      <c r="BH25" s="25"/>
      <c r="BI25" s="25"/>
      <c r="BJ25" s="25"/>
      <c r="BK25" s="25"/>
      <c r="BL25" s="25"/>
      <c r="BM25" s="25"/>
      <c r="BN25" s="25"/>
      <c r="BO25" s="25"/>
      <c r="BP25" s="25"/>
      <c r="BQ25" s="25"/>
      <c r="BR25" s="25"/>
      <c r="BS25" s="25"/>
      <c r="BT25" s="25"/>
      <c r="BU25" s="25"/>
      <c r="BV25" s="25"/>
      <c r="BW25" s="25"/>
      <c r="BX25" s="25"/>
      <c r="BY25" s="25"/>
      <c r="BZ25" s="25"/>
    </row>
    <row r="26" spans="1:78" x14ac:dyDescent="0.2">
      <c r="A26" s="98" t="s">
        <v>2068</v>
      </c>
      <c r="B26" s="99" t="str">
        <f>VLOOKUP(LEFT(A26,7),'Tariff Schedule Lookup Table'!A$8:D$142,3,FALSE)</f>
        <v>3x20</v>
      </c>
      <c r="C26" s="100">
        <v>3</v>
      </c>
      <c r="D26" s="100">
        <v>44</v>
      </c>
      <c r="E26" s="100" t="s">
        <v>16</v>
      </c>
      <c r="F26" s="169">
        <f>VLOOKUP(E26,'Lamp Stock'!A$14:H$49,4,FALSE)*(1+'Public Lighting Charges'!$R$11)</f>
        <v>5.083753999999999</v>
      </c>
      <c r="G26" s="169">
        <f>VLOOKUP(E26,'Lamp Stock'!A$14:G$49,6,FALSE)*(1+'Public Lighting Charges'!$R$11)</f>
        <v>31.381612092999998</v>
      </c>
      <c r="H26" s="169">
        <f>VLOOKUP(E26,'Lamp Stock'!A$14:H$49,8,FALSE)*(1+'Public Lighting Charges'!$R$11)</f>
        <v>0.58864519999999998</v>
      </c>
      <c r="I26" s="102">
        <v>0.35</v>
      </c>
      <c r="J26" s="102">
        <v>0.1</v>
      </c>
      <c r="K26" s="102">
        <v>0.2</v>
      </c>
      <c r="L26" s="101">
        <v>3</v>
      </c>
      <c r="M26" s="103">
        <f t="shared" si="0"/>
        <v>0.33333333333333331</v>
      </c>
      <c r="N26" s="451">
        <v>2.2700000000000001E-2</v>
      </c>
      <c r="O26" s="192">
        <f>'Maintenance Model'!B$110*I26</f>
        <v>83.95015415332</v>
      </c>
      <c r="P26" s="105">
        <f t="shared" si="1"/>
        <v>14.752425327899999</v>
      </c>
      <c r="Q26" s="105">
        <f>H26*K26*'Maintenance Model'!B$85</f>
        <v>9.4183232000000006E-2</v>
      </c>
      <c r="R26" s="104">
        <f>'Maintenance Model'!B$104*I26</f>
        <v>2.6814666666666667</v>
      </c>
      <c r="S26" s="193">
        <f t="shared" si="2"/>
        <v>101.47822937988667</v>
      </c>
      <c r="T26" s="104">
        <f>'Maintenance Model'!B$110*N26</f>
        <v>5.4447671408010407</v>
      </c>
      <c r="U26" s="240">
        <f t="shared" si="10"/>
        <v>9.7633597245079997</v>
      </c>
      <c r="V26" s="104">
        <f>'Maintenance Model'!B$104*N26</f>
        <v>0.17391226666666668</v>
      </c>
      <c r="W26" s="104">
        <f>'Maintenance Model'!B$111*M26</f>
        <v>12.300388886933334</v>
      </c>
      <c r="X26" s="240">
        <f t="shared" si="6"/>
        <v>5.2014830399999994</v>
      </c>
      <c r="Y26" s="104">
        <f>M26*'Maintenance Model'!B$105</f>
        <v>0.3928888888888889</v>
      </c>
      <c r="Z26" s="104">
        <f t="shared" si="3"/>
        <v>33.276799947797933</v>
      </c>
      <c r="AA26" s="203">
        <f>'Other Maintenance'!B$94</f>
        <v>2.9107349228680333</v>
      </c>
      <c r="AB26" s="104">
        <f t="shared" si="7"/>
        <v>104.3889643027547</v>
      </c>
      <c r="AC26" s="142">
        <f t="shared" si="8"/>
        <v>36.187534870665964</v>
      </c>
      <c r="AD26" s="127">
        <f>'Maintenance Model'!B$114 + 'Maintenance Model'!B$115</f>
        <v>0.99616182311111112</v>
      </c>
      <c r="AE26" s="104" t="e">
        <f>AB26+#REF!+#REF!</f>
        <v>#REF!</v>
      </c>
      <c r="AF26" s="142">
        <f t="shared" si="4"/>
        <v>105.38512612586581</v>
      </c>
      <c r="AG26" s="143">
        <f t="shared" si="5"/>
        <v>36.851642752740041</v>
      </c>
      <c r="AH26" s="61" t="e">
        <f>S26+#REF!+AD26</f>
        <v>#REF!</v>
      </c>
      <c r="AI26" s="61"/>
      <c r="AJ26" s="61"/>
      <c r="AK26" s="61"/>
      <c r="AL26" s="61"/>
      <c r="AM26" s="61"/>
      <c r="AN26" s="61"/>
      <c r="AO26" s="61"/>
      <c r="AP26" s="61"/>
      <c r="AQ26" s="61"/>
      <c r="AR26" s="61"/>
      <c r="AS26" s="61" t="s">
        <v>1007</v>
      </c>
      <c r="AT26" s="61"/>
      <c r="AU26" s="61">
        <v>36.908417558963741</v>
      </c>
      <c r="AV26" s="61" t="s">
        <v>2041</v>
      </c>
      <c r="AW26" s="25"/>
      <c r="AX26" s="61" t="b">
        <f t="shared" si="9"/>
        <v>1</v>
      </c>
      <c r="AY26" s="61"/>
      <c r="AZ26" s="129"/>
      <c r="BA26" s="25"/>
      <c r="BB26" s="25"/>
      <c r="BC26" s="61"/>
      <c r="BD26" s="61"/>
      <c r="BE26" s="61"/>
      <c r="BF26" s="61"/>
      <c r="BG26" s="25"/>
      <c r="BH26" s="25"/>
      <c r="BI26" s="25"/>
      <c r="BJ26" s="25"/>
      <c r="BK26" s="25"/>
      <c r="BL26" s="25"/>
      <c r="BM26" s="25"/>
      <c r="BN26" s="25"/>
      <c r="BO26" s="25"/>
      <c r="BP26" s="25"/>
      <c r="BQ26" s="25"/>
      <c r="BR26" s="25"/>
      <c r="BS26" s="25"/>
      <c r="BT26" s="25"/>
      <c r="BU26" s="25"/>
      <c r="BV26" s="25"/>
      <c r="BW26" s="25"/>
      <c r="BX26" s="25"/>
      <c r="BY26" s="25"/>
      <c r="BZ26" s="25"/>
    </row>
    <row r="27" spans="1:78" x14ac:dyDescent="0.2">
      <c r="A27" s="98" t="s">
        <v>2069</v>
      </c>
      <c r="B27" s="99" t="str">
        <f>VLOOKUP(LEFT(A27,7),'Tariff Schedule Lookup Table'!A$8:D$142,3,FALSE)</f>
        <v>4x20</v>
      </c>
      <c r="C27" s="100">
        <v>4</v>
      </c>
      <c r="D27" s="100">
        <v>54</v>
      </c>
      <c r="E27" s="100" t="s">
        <v>16</v>
      </c>
      <c r="F27" s="169">
        <f>VLOOKUP(E27,'Lamp Stock'!A$14:H$49,4,FALSE)*(1+'Public Lighting Charges'!$R$11)</f>
        <v>5.083753999999999</v>
      </c>
      <c r="G27" s="169">
        <f>VLOOKUP(E27,'Lamp Stock'!A$14:G$49,6,FALSE)*(1+'Public Lighting Charges'!$R$11)</f>
        <v>31.381612092999998</v>
      </c>
      <c r="H27" s="169">
        <f>VLOOKUP(E27,'Lamp Stock'!A$14:H$49,8,FALSE)*(1+'Public Lighting Charges'!$R$11)</f>
        <v>0.58864519999999998</v>
      </c>
      <c r="I27" s="102">
        <v>0.35</v>
      </c>
      <c r="J27" s="102">
        <v>0.1</v>
      </c>
      <c r="K27" s="102">
        <v>0.2</v>
      </c>
      <c r="L27" s="101">
        <v>3</v>
      </c>
      <c r="M27" s="103">
        <f t="shared" si="0"/>
        <v>0.33333333333333331</v>
      </c>
      <c r="N27" s="451">
        <v>2.2700000000000001E-2</v>
      </c>
      <c r="O27" s="192">
        <f>'Maintenance Model'!B$110*I27</f>
        <v>83.95015415332</v>
      </c>
      <c r="P27" s="105">
        <f t="shared" si="1"/>
        <v>19.669900437199999</v>
      </c>
      <c r="Q27" s="105">
        <f>H27*K27*'Maintenance Model'!B$85</f>
        <v>9.4183232000000006E-2</v>
      </c>
      <c r="R27" s="104">
        <f>'Maintenance Model'!B$104*I27</f>
        <v>2.6814666666666667</v>
      </c>
      <c r="S27" s="193">
        <f t="shared" si="2"/>
        <v>106.39570448918667</v>
      </c>
      <c r="T27" s="104">
        <f>'Maintenance Model'!B$110*N27</f>
        <v>5.4447671408010407</v>
      </c>
      <c r="U27" s="240">
        <f t="shared" si="10"/>
        <v>13.016922149608</v>
      </c>
      <c r="V27" s="104">
        <f>'Maintenance Model'!B$104*N27</f>
        <v>0.17391226666666668</v>
      </c>
      <c r="W27" s="104">
        <f>'Maintenance Model'!B$111*M27</f>
        <v>12.300388886933334</v>
      </c>
      <c r="X27" s="240">
        <f t="shared" si="6"/>
        <v>6.9353107199999986</v>
      </c>
      <c r="Y27" s="104">
        <f>M27*'Maintenance Model'!B$105</f>
        <v>0.3928888888888889</v>
      </c>
      <c r="Z27" s="104">
        <f t="shared" si="3"/>
        <v>38.264190052897931</v>
      </c>
      <c r="AA27" s="203">
        <f>'Other Maintenance'!B$94</f>
        <v>2.9107349228680333</v>
      </c>
      <c r="AB27" s="104">
        <f t="shared" si="7"/>
        <v>109.3064394120547</v>
      </c>
      <c r="AC27" s="142">
        <f t="shared" si="8"/>
        <v>41.174924975765961</v>
      </c>
      <c r="AD27" s="127">
        <f>'Maintenance Model'!B$114 + 'Maintenance Model'!B$115</f>
        <v>0.99616182311111112</v>
      </c>
      <c r="AE27" s="104" t="e">
        <f>AB27+#REF!+#REF!</f>
        <v>#REF!</v>
      </c>
      <c r="AF27" s="142">
        <f t="shared" si="4"/>
        <v>110.30260123516581</v>
      </c>
      <c r="AG27" s="143">
        <f t="shared" si="5"/>
        <v>41.839032857840039</v>
      </c>
      <c r="AH27" s="61" t="e">
        <f>S27+#REF!+AD27</f>
        <v>#REF!</v>
      </c>
      <c r="AI27" s="61"/>
      <c r="AJ27" s="61"/>
      <c r="AK27" s="61"/>
      <c r="AL27" s="61"/>
      <c r="AM27" s="61"/>
      <c r="AN27" s="61"/>
      <c r="AO27" s="61"/>
      <c r="AP27" s="61"/>
      <c r="AQ27" s="61"/>
      <c r="AR27" s="61"/>
      <c r="AS27" s="61" t="s">
        <v>1009</v>
      </c>
      <c r="AT27" s="61"/>
      <c r="AU27" s="61">
        <v>37.485917558963742</v>
      </c>
      <c r="AV27" s="61" t="s">
        <v>2041</v>
      </c>
      <c r="AW27" s="25"/>
      <c r="AX27" s="61" t="b">
        <f t="shared" si="9"/>
        <v>1</v>
      </c>
      <c r="AY27" s="61"/>
      <c r="AZ27" s="129"/>
      <c r="BA27" s="25"/>
      <c r="BB27" s="25"/>
      <c r="BC27" s="61"/>
      <c r="BD27" s="61"/>
      <c r="BE27" s="61"/>
      <c r="BF27" s="61"/>
      <c r="BG27" s="25"/>
      <c r="BH27" s="25"/>
      <c r="BI27" s="25"/>
      <c r="BJ27" s="25"/>
      <c r="BK27" s="25"/>
      <c r="BL27" s="25"/>
      <c r="BM27" s="25"/>
      <c r="BN27" s="25"/>
      <c r="BO27" s="25"/>
      <c r="BP27" s="25"/>
      <c r="BQ27" s="25"/>
      <c r="BR27" s="25"/>
      <c r="BS27" s="25"/>
      <c r="BT27" s="25"/>
      <c r="BU27" s="25"/>
      <c r="BV27" s="25"/>
      <c r="BW27" s="25"/>
      <c r="BX27" s="25"/>
      <c r="BY27" s="25"/>
      <c r="BZ27" s="25"/>
    </row>
    <row r="28" spans="1:78" x14ac:dyDescent="0.2">
      <c r="A28" s="98" t="s">
        <v>147</v>
      </c>
      <c r="B28" s="99" t="str">
        <f>VLOOKUP(LEFT(A28,7),'Tariff Schedule Lookup Table'!A$8:D$142,3,FALSE)</f>
        <v>6x20</v>
      </c>
      <c r="C28" s="100">
        <v>6</v>
      </c>
      <c r="D28" s="100">
        <v>0</v>
      </c>
      <c r="E28" s="100" t="s">
        <v>16</v>
      </c>
      <c r="F28" s="169">
        <f>VLOOKUP(E28,'Lamp Stock'!A$14:H$49,4,FALSE)*(1+'Public Lighting Charges'!$R$11)</f>
        <v>5.083753999999999</v>
      </c>
      <c r="G28" s="169">
        <f>VLOOKUP(E28,'Lamp Stock'!A$14:G$49,6,FALSE)*(1+'Public Lighting Charges'!$R$11)</f>
        <v>31.381612092999998</v>
      </c>
      <c r="H28" s="169">
        <f>VLOOKUP(E28,'Lamp Stock'!A$14:H$49,8,FALSE)*(1+'Public Lighting Charges'!$R$11)</f>
        <v>0.58864519999999998</v>
      </c>
      <c r="I28" s="102">
        <v>0.35</v>
      </c>
      <c r="J28" s="102">
        <v>0.1</v>
      </c>
      <c r="K28" s="102">
        <v>0.2</v>
      </c>
      <c r="L28" s="101">
        <v>3</v>
      </c>
      <c r="M28" s="103">
        <f t="shared" si="0"/>
        <v>0.33333333333333331</v>
      </c>
      <c r="N28" s="451">
        <v>2.2700000000000001E-2</v>
      </c>
      <c r="O28" s="192">
        <f>'Maintenance Model'!B$110*I28</f>
        <v>83.95015415332</v>
      </c>
      <c r="P28" s="105">
        <f t="shared" si="1"/>
        <v>29.504850655799999</v>
      </c>
      <c r="Q28" s="105">
        <f>H28*K28*'Maintenance Model'!B$85</f>
        <v>9.4183232000000006E-2</v>
      </c>
      <c r="R28" s="104">
        <f>'Maintenance Model'!B$104*I28</f>
        <v>2.6814666666666667</v>
      </c>
      <c r="S28" s="193">
        <f t="shared" si="2"/>
        <v>116.23065470778667</v>
      </c>
      <c r="T28" s="104">
        <f>'Maintenance Model'!B$110*N28</f>
        <v>5.4447671408010407</v>
      </c>
      <c r="U28" s="240">
        <f t="shared" si="10"/>
        <v>19.524046999808</v>
      </c>
      <c r="V28" s="104">
        <f>'Maintenance Model'!B$104*N28</f>
        <v>0.17391226666666668</v>
      </c>
      <c r="W28" s="104">
        <f>'Maintenance Model'!B$111*M28</f>
        <v>12.300388886933334</v>
      </c>
      <c r="X28" s="240">
        <f t="shared" si="6"/>
        <v>10.402966079999999</v>
      </c>
      <c r="Y28" s="104">
        <f>M28*'Maintenance Model'!B$105</f>
        <v>0.3928888888888889</v>
      </c>
      <c r="Z28" s="104">
        <f t="shared" si="3"/>
        <v>48.238970263097926</v>
      </c>
      <c r="AA28" s="203">
        <f>'Other Maintenance'!B$94</f>
        <v>2.9107349228680333</v>
      </c>
      <c r="AB28" s="104">
        <f t="shared" si="7"/>
        <v>119.1413896306547</v>
      </c>
      <c r="AC28" s="142">
        <f t="shared" si="8"/>
        <v>51.149705185965956</v>
      </c>
      <c r="AD28" s="127">
        <f>'Maintenance Model'!B$114 + 'Maintenance Model'!B$115</f>
        <v>0.99616182311111112</v>
      </c>
      <c r="AE28" s="104" t="e">
        <f>AB28+#REF!+#REF!</f>
        <v>#REF!</v>
      </c>
      <c r="AF28" s="142">
        <f t="shared" si="4"/>
        <v>120.13755145376581</v>
      </c>
      <c r="AG28" s="143">
        <f t="shared" si="5"/>
        <v>51.813813068040034</v>
      </c>
      <c r="AH28" s="61" t="e">
        <f>S28+#REF!+AD28</f>
        <v>#REF!</v>
      </c>
      <c r="AI28" s="61"/>
      <c r="AJ28" s="61"/>
      <c r="AK28" s="61"/>
      <c r="AL28" s="61"/>
      <c r="AM28" s="61"/>
      <c r="AN28" s="61"/>
      <c r="AO28" s="61"/>
      <c r="AP28" s="61"/>
      <c r="AQ28" s="61"/>
      <c r="AR28" s="61"/>
      <c r="AS28" s="61"/>
      <c r="AT28" s="61"/>
      <c r="AU28" s="61">
        <v>36.330917558963741</v>
      </c>
      <c r="AV28" s="61" t="s">
        <v>2041</v>
      </c>
      <c r="AW28" s="25"/>
      <c r="AX28" s="61" t="b">
        <f t="shared" si="9"/>
        <v>1</v>
      </c>
      <c r="AY28" s="61"/>
      <c r="AZ28" s="129"/>
      <c r="BA28" s="25"/>
      <c r="BB28" s="25"/>
      <c r="BC28" s="61"/>
      <c r="BD28" s="61"/>
      <c r="BE28" s="61"/>
      <c r="BF28" s="61"/>
      <c r="BG28" s="25"/>
      <c r="BH28" s="25"/>
      <c r="BI28" s="25"/>
      <c r="BJ28" s="25"/>
      <c r="BK28" s="25"/>
      <c r="BL28" s="25"/>
      <c r="BM28" s="25"/>
      <c r="BN28" s="25"/>
      <c r="BO28" s="25"/>
      <c r="BP28" s="25"/>
      <c r="BQ28" s="25"/>
      <c r="BR28" s="25"/>
      <c r="BS28" s="25"/>
      <c r="BT28" s="25"/>
      <c r="BU28" s="25"/>
      <c r="BV28" s="25"/>
      <c r="BW28" s="25"/>
      <c r="BX28" s="25"/>
      <c r="BY28" s="25"/>
      <c r="BZ28" s="25"/>
    </row>
    <row r="29" spans="1:78" x14ac:dyDescent="0.2">
      <c r="A29" s="98" t="s">
        <v>2070</v>
      </c>
      <c r="B29" s="99">
        <f>VLOOKUP(LEFT(A29,7),'Tariff Schedule Lookup Table'!A$8:D$142,3,FALSE)</f>
        <v>26</v>
      </c>
      <c r="C29" s="100">
        <v>1</v>
      </c>
      <c r="D29" s="100">
        <v>75</v>
      </c>
      <c r="E29" s="100" t="s">
        <v>16</v>
      </c>
      <c r="F29" s="169">
        <f>VLOOKUP(E29,'Lamp Stock'!A$14:H$49,4,FALSE)*(1+'Public Lighting Charges'!$R$11)</f>
        <v>5.083753999999999</v>
      </c>
      <c r="G29" s="169">
        <f>VLOOKUP(E29,'Lamp Stock'!A$14:G$49,6,FALSE)*(1+'Public Lighting Charges'!$R$11)</f>
        <v>31.381612092999998</v>
      </c>
      <c r="H29" s="169">
        <f>VLOOKUP(E29,'Lamp Stock'!A$14:H$49,8,FALSE)*(1+'Public Lighting Charges'!$R$11)</f>
        <v>0.58864519999999998</v>
      </c>
      <c r="I29" s="102">
        <v>0.35</v>
      </c>
      <c r="J29" s="102">
        <v>0.1</v>
      </c>
      <c r="K29" s="102">
        <v>0.2</v>
      </c>
      <c r="L29" s="101">
        <v>3</v>
      </c>
      <c r="M29" s="103">
        <f t="shared" si="0"/>
        <v>0.33333333333333331</v>
      </c>
      <c r="N29" s="451">
        <v>2.2700000000000001E-2</v>
      </c>
      <c r="O29" s="192">
        <f>'Maintenance Model'!B$110*I29</f>
        <v>83.95015415332</v>
      </c>
      <c r="P29" s="105">
        <f t="shared" si="1"/>
        <v>4.9174751092999998</v>
      </c>
      <c r="Q29" s="105">
        <f>H29*K29*'Maintenance Model'!B$85</f>
        <v>9.4183232000000006E-2</v>
      </c>
      <c r="R29" s="104">
        <f>'Maintenance Model'!B$104*I29</f>
        <v>2.6814666666666667</v>
      </c>
      <c r="S29" s="193">
        <f t="shared" si="2"/>
        <v>91.643279161286671</v>
      </c>
      <c r="T29" s="104">
        <f>'Maintenance Model'!B$110*N29</f>
        <v>5.4447671408010407</v>
      </c>
      <c r="U29" s="240">
        <f t="shared" si="10"/>
        <v>3.2562348743079998</v>
      </c>
      <c r="V29" s="104">
        <f>'Maintenance Model'!B$104*N29</f>
        <v>0.17391226666666668</v>
      </c>
      <c r="W29" s="104">
        <f>'Maintenance Model'!B$111*M29</f>
        <v>12.300388886933334</v>
      </c>
      <c r="X29" s="240">
        <f t="shared" si="6"/>
        <v>1.7338276799999996</v>
      </c>
      <c r="Y29" s="104">
        <f>M29*'Maintenance Model'!B$105</f>
        <v>0.3928888888888889</v>
      </c>
      <c r="Z29" s="104">
        <f t="shared" si="3"/>
        <v>23.302019737597934</v>
      </c>
      <c r="AA29" s="203">
        <f>'Other Maintenance'!B$94</f>
        <v>2.9107349228680333</v>
      </c>
      <c r="AB29" s="104">
        <f t="shared" si="7"/>
        <v>94.554014084154701</v>
      </c>
      <c r="AC29" s="142">
        <f t="shared" si="8"/>
        <v>26.212754660465968</v>
      </c>
      <c r="AD29" s="127">
        <f>'Maintenance Model'!B$114 + 'Maintenance Model'!B$115</f>
        <v>0.99616182311111112</v>
      </c>
      <c r="AE29" s="104" t="e">
        <f>AB29+#REF!+#REF!</f>
        <v>#REF!</v>
      </c>
      <c r="AF29" s="142">
        <f t="shared" si="4"/>
        <v>95.55017590726581</v>
      </c>
      <c r="AG29" s="143">
        <f t="shared" si="5"/>
        <v>26.876862542540042</v>
      </c>
      <c r="AH29" s="61" t="e">
        <f>S29+#REF!+AD29</f>
        <v>#REF!</v>
      </c>
      <c r="AI29" s="61"/>
      <c r="AJ29" s="61"/>
      <c r="AK29" s="61"/>
      <c r="AL29" s="61"/>
      <c r="AM29" s="61"/>
      <c r="AN29" s="61"/>
      <c r="AO29" s="61"/>
      <c r="AP29" s="61"/>
      <c r="AQ29" s="61"/>
      <c r="AR29" s="61"/>
      <c r="AS29" s="61" t="s">
        <v>1011</v>
      </c>
      <c r="AT29" s="61"/>
      <c r="AU29" s="61">
        <v>36.330917558963741</v>
      </c>
      <c r="AV29" s="61" t="s">
        <v>2041</v>
      </c>
      <c r="AW29" s="25"/>
      <c r="AX29" s="61" t="b">
        <f t="shared" si="9"/>
        <v>1</v>
      </c>
      <c r="AY29" s="61"/>
      <c r="AZ29" s="129"/>
      <c r="BA29" s="25"/>
      <c r="BB29" s="25"/>
      <c r="BC29" s="61"/>
      <c r="BD29" s="61"/>
      <c r="BE29" s="61"/>
      <c r="BF29" s="61"/>
      <c r="BG29" s="25"/>
      <c r="BH29" s="25"/>
      <c r="BI29" s="25"/>
      <c r="BJ29" s="25"/>
      <c r="BK29" s="25"/>
      <c r="BL29" s="25"/>
      <c r="BM29" s="25"/>
      <c r="BN29" s="25"/>
      <c r="BO29" s="25"/>
      <c r="BP29" s="25"/>
      <c r="BQ29" s="25"/>
      <c r="BR29" s="25"/>
      <c r="BS29" s="25"/>
      <c r="BT29" s="25"/>
      <c r="BU29" s="25"/>
      <c r="BV29" s="25"/>
      <c r="BW29" s="25"/>
      <c r="BX29" s="25"/>
      <c r="BY29" s="25"/>
      <c r="BZ29" s="25"/>
    </row>
    <row r="30" spans="1:78" x14ac:dyDescent="0.2">
      <c r="A30" s="98" t="s">
        <v>2071</v>
      </c>
      <c r="B30" s="99" t="str">
        <f>VLOOKUP(LEFT(A30,7),'Tariff Schedule Lookup Table'!A$8:D$142,3,FALSE)</f>
        <v>2x26</v>
      </c>
      <c r="C30" s="100">
        <v>2</v>
      </c>
      <c r="D30" s="100">
        <v>0</v>
      </c>
      <c r="E30" s="100" t="s">
        <v>16</v>
      </c>
      <c r="F30" s="169">
        <f>VLOOKUP(E30,'Lamp Stock'!A$14:H$49,4,FALSE)*(1+'Public Lighting Charges'!$R$11)</f>
        <v>5.083753999999999</v>
      </c>
      <c r="G30" s="169">
        <f>VLOOKUP(E30,'Lamp Stock'!A$14:G$49,6,FALSE)*(1+'Public Lighting Charges'!$R$11)</f>
        <v>31.381612092999998</v>
      </c>
      <c r="H30" s="169">
        <f>VLOOKUP(E30,'Lamp Stock'!A$14:H$49,8,FALSE)*(1+'Public Lighting Charges'!$R$11)</f>
        <v>0.58864519999999998</v>
      </c>
      <c r="I30" s="102">
        <v>0.35</v>
      </c>
      <c r="J30" s="102">
        <v>0.1</v>
      </c>
      <c r="K30" s="102">
        <v>0.2</v>
      </c>
      <c r="L30" s="101">
        <v>3</v>
      </c>
      <c r="M30" s="103">
        <f t="shared" si="0"/>
        <v>0.33333333333333331</v>
      </c>
      <c r="N30" s="451">
        <v>2.2700000000000001E-2</v>
      </c>
      <c r="O30" s="192">
        <f>'Maintenance Model'!B$110*I30</f>
        <v>83.95015415332</v>
      </c>
      <c r="P30" s="105">
        <f t="shared" si="1"/>
        <v>9.8349502185999995</v>
      </c>
      <c r="Q30" s="105">
        <f>H30*K30*'Maintenance Model'!B$85</f>
        <v>9.4183232000000006E-2</v>
      </c>
      <c r="R30" s="104">
        <f>'Maintenance Model'!B$104*I30</f>
        <v>2.6814666666666667</v>
      </c>
      <c r="S30" s="193">
        <f t="shared" si="2"/>
        <v>96.560754270586671</v>
      </c>
      <c r="T30" s="104">
        <f>'Maintenance Model'!B$110*N30</f>
        <v>5.4447671408010407</v>
      </c>
      <c r="U30" s="240">
        <f t="shared" si="10"/>
        <v>6.5097972994079996</v>
      </c>
      <c r="V30" s="104">
        <f>'Maintenance Model'!B$104*N30</f>
        <v>0.17391226666666668</v>
      </c>
      <c r="W30" s="104">
        <f>'Maintenance Model'!B$111*M30</f>
        <v>12.300388886933334</v>
      </c>
      <c r="X30" s="240">
        <f t="shared" si="6"/>
        <v>3.4676553599999993</v>
      </c>
      <c r="Y30" s="104">
        <f>M30*'Maintenance Model'!B$105</f>
        <v>0.3928888888888889</v>
      </c>
      <c r="Z30" s="104">
        <f t="shared" si="3"/>
        <v>28.289409842697932</v>
      </c>
      <c r="AA30" s="203">
        <f>'Other Maintenance'!B$94</f>
        <v>2.9107349228680333</v>
      </c>
      <c r="AB30" s="104">
        <f t="shared" si="7"/>
        <v>99.471489193454701</v>
      </c>
      <c r="AC30" s="142">
        <f t="shared" si="8"/>
        <v>31.200144765565966</v>
      </c>
      <c r="AD30" s="127">
        <f>'Maintenance Model'!B$114 + 'Maintenance Model'!B$115</f>
        <v>0.99616182311111112</v>
      </c>
      <c r="AE30" s="104" t="e">
        <f>AB30+#REF!+#REF!</f>
        <v>#REF!</v>
      </c>
      <c r="AF30" s="142">
        <f t="shared" si="4"/>
        <v>100.46765101656581</v>
      </c>
      <c r="AG30" s="143">
        <f t="shared" si="5"/>
        <v>31.86425264764004</v>
      </c>
      <c r="AH30" s="61" t="e">
        <f>S30+#REF!+AD30</f>
        <v>#REF!</v>
      </c>
      <c r="AI30" s="61"/>
      <c r="AJ30" s="61"/>
      <c r="AK30" s="61"/>
      <c r="AL30" s="61"/>
      <c r="AM30" s="61"/>
      <c r="AN30" s="61"/>
      <c r="AO30" s="61"/>
      <c r="AP30" s="61"/>
      <c r="AQ30" s="61"/>
      <c r="AR30" s="61"/>
      <c r="AS30" s="61" t="s">
        <v>1013</v>
      </c>
      <c r="AT30" s="61"/>
      <c r="AU30" s="61">
        <v>37.485917558963742</v>
      </c>
      <c r="AV30" s="61" t="s">
        <v>2041</v>
      </c>
      <c r="AW30" s="25"/>
      <c r="AX30" s="61" t="b">
        <f t="shared" si="9"/>
        <v>1</v>
      </c>
      <c r="AY30" s="61"/>
      <c r="AZ30" s="129"/>
      <c r="BA30" s="25"/>
      <c r="BB30" s="25"/>
      <c r="BC30" s="61"/>
      <c r="BD30" s="61"/>
      <c r="BE30" s="61"/>
      <c r="BF30" s="61"/>
      <c r="BG30" s="25"/>
      <c r="BH30" s="25"/>
      <c r="BI30" s="25"/>
      <c r="BJ30" s="25"/>
      <c r="BK30" s="25"/>
      <c r="BL30" s="25"/>
      <c r="BM30" s="25"/>
      <c r="BN30" s="25"/>
      <c r="BO30" s="25"/>
      <c r="BP30" s="25"/>
      <c r="BQ30" s="25"/>
      <c r="BR30" s="25"/>
      <c r="BS30" s="25"/>
      <c r="BT30" s="25"/>
      <c r="BU30" s="25"/>
      <c r="BV30" s="25"/>
      <c r="BW30" s="25"/>
      <c r="BX30" s="25"/>
      <c r="BY30" s="25"/>
      <c r="BZ30" s="25"/>
    </row>
    <row r="31" spans="1:78" x14ac:dyDescent="0.2">
      <c r="A31" s="98" t="s">
        <v>210</v>
      </c>
      <c r="B31" s="99" t="str">
        <f>VLOOKUP(LEFT(A31,7),'Tariff Schedule Lookup Table'!A$8:D$142,3,FALSE)</f>
        <v>6x36</v>
      </c>
      <c r="C31" s="100">
        <v>2</v>
      </c>
      <c r="D31" s="100">
        <v>1</v>
      </c>
      <c r="E31" s="100" t="s">
        <v>16</v>
      </c>
      <c r="F31" s="169">
        <f>VLOOKUP(E31,'Lamp Stock'!A$14:H$49,4,FALSE)*(1+'Public Lighting Charges'!$R$11)</f>
        <v>5.083753999999999</v>
      </c>
      <c r="G31" s="169">
        <f>VLOOKUP(E31,'Lamp Stock'!A$14:G$49,6,FALSE)*(1+'Public Lighting Charges'!$R$11)</f>
        <v>31.381612092999998</v>
      </c>
      <c r="H31" s="169">
        <f>VLOOKUP(E31,'Lamp Stock'!A$14:H$49,8,FALSE)*(1+'Public Lighting Charges'!$R$11)</f>
        <v>0.58864519999999998</v>
      </c>
      <c r="I31" s="102">
        <v>0.35</v>
      </c>
      <c r="J31" s="102">
        <v>0.1</v>
      </c>
      <c r="K31" s="102">
        <v>0.2</v>
      </c>
      <c r="L31" s="101">
        <v>3</v>
      </c>
      <c r="M31" s="103">
        <f t="shared" si="0"/>
        <v>0.33333333333333331</v>
      </c>
      <c r="N31" s="451">
        <v>2.2700000000000001E-2</v>
      </c>
      <c r="O31" s="192">
        <f>'Maintenance Model'!B$110*I31</f>
        <v>83.95015415332</v>
      </c>
      <c r="P31" s="105">
        <f>C31*(F31*I31+G31*J31)</f>
        <v>9.8349502185999995</v>
      </c>
      <c r="Q31" s="105">
        <f>H31*K31*'Maintenance Model'!B$85</f>
        <v>9.4183232000000006E-2</v>
      </c>
      <c r="R31" s="104">
        <f>'Maintenance Model'!B$104*I31</f>
        <v>2.6814666666666667</v>
      </c>
      <c r="S31" s="193">
        <f>SUM(O31:R31)</f>
        <v>96.560754270586671</v>
      </c>
      <c r="T31" s="104">
        <f>'Maintenance Model'!B$110*N31</f>
        <v>5.4447671408010407</v>
      </c>
      <c r="U31" s="240">
        <f t="shared" si="10"/>
        <v>6.5097972994079996</v>
      </c>
      <c r="V31" s="104">
        <f>'Maintenance Model'!B$104*N31</f>
        <v>0.17391226666666668</v>
      </c>
      <c r="W31" s="104">
        <f>'Maintenance Model'!B$111*M31</f>
        <v>12.300388886933334</v>
      </c>
      <c r="X31" s="240">
        <f t="shared" si="6"/>
        <v>3.4676553599999993</v>
      </c>
      <c r="Y31" s="104">
        <f>M31*'Maintenance Model'!B$105</f>
        <v>0.3928888888888889</v>
      </c>
      <c r="Z31" s="104">
        <f>SUM(T31:Y31)</f>
        <v>28.289409842697932</v>
      </c>
      <c r="AA31" s="203">
        <f>'Other Maintenance'!B$94</f>
        <v>2.9107349228680333</v>
      </c>
      <c r="AB31" s="104">
        <f>(S31+AA31)</f>
        <v>99.471489193454701</v>
      </c>
      <c r="AC31" s="142">
        <f>(Z31+AA31)</f>
        <v>31.200144765565966</v>
      </c>
      <c r="AD31" s="127">
        <f>'Maintenance Model'!B$114 + 'Maintenance Model'!B$115</f>
        <v>0.99616182311111112</v>
      </c>
      <c r="AE31" s="104" t="e">
        <f>AB31+#REF!+#REF!</f>
        <v>#REF!</v>
      </c>
      <c r="AF31" s="142">
        <f t="shared" si="4"/>
        <v>100.46765101656581</v>
      </c>
      <c r="AG31" s="143">
        <f t="shared" si="5"/>
        <v>31.86425264764004</v>
      </c>
      <c r="AH31" s="61"/>
      <c r="AI31" s="61"/>
      <c r="AJ31" s="61"/>
      <c r="AK31" s="61"/>
      <c r="AL31" s="61"/>
      <c r="AM31" s="61"/>
      <c r="AN31" s="61"/>
      <c r="AO31" s="61"/>
      <c r="AP31" s="61"/>
      <c r="AQ31" s="61"/>
      <c r="AR31" s="61"/>
      <c r="AS31" s="61"/>
      <c r="AT31" s="61"/>
      <c r="AU31" s="61"/>
      <c r="AV31" s="61"/>
      <c r="AW31" s="25"/>
      <c r="AX31" s="61"/>
      <c r="AY31" s="61"/>
      <c r="AZ31" s="129"/>
      <c r="BA31" s="25"/>
      <c r="BB31" s="25"/>
      <c r="BC31" s="61"/>
      <c r="BD31" s="61"/>
      <c r="BE31" s="61"/>
      <c r="BF31" s="61"/>
      <c r="BG31" s="25"/>
      <c r="BH31" s="25"/>
      <c r="BI31" s="25"/>
      <c r="BJ31" s="25"/>
      <c r="BK31" s="25"/>
      <c r="BL31" s="25"/>
      <c r="BM31" s="25"/>
      <c r="BN31" s="25"/>
      <c r="BO31" s="25"/>
      <c r="BP31" s="25"/>
      <c r="BQ31" s="25"/>
      <c r="BR31" s="25"/>
      <c r="BS31" s="25"/>
      <c r="BT31" s="25"/>
      <c r="BU31" s="25"/>
      <c r="BV31" s="25"/>
      <c r="BW31" s="25"/>
      <c r="BX31" s="25"/>
      <c r="BY31" s="25"/>
      <c r="BZ31" s="25"/>
    </row>
    <row r="32" spans="1:78" x14ac:dyDescent="0.2">
      <c r="A32" s="98" t="s">
        <v>2072</v>
      </c>
      <c r="B32" s="99">
        <f>VLOOKUP(LEFT(A32,7),'Tariff Schedule Lookup Table'!A$8:D$142,3,FALSE)</f>
        <v>40</v>
      </c>
      <c r="C32" s="100">
        <v>1</v>
      </c>
      <c r="D32" s="100">
        <v>8713</v>
      </c>
      <c r="E32" s="100" t="s">
        <v>23</v>
      </c>
      <c r="F32" s="169">
        <f>VLOOKUP(E32,'Lamp Stock'!A$14:H$49,4,FALSE)*(1+'Public Lighting Charges'!$R$11)</f>
        <v>2.4749854999999998</v>
      </c>
      <c r="G32" s="169">
        <f>VLOOKUP(E32,'Lamp Stock'!A$14:G$49,6,FALSE)*(1+'Public Lighting Charges'!$R$11)</f>
        <v>31.381612092999998</v>
      </c>
      <c r="H32" s="169">
        <f>VLOOKUP(E32,'Lamp Stock'!A$14:H$49,8,FALSE)*(1+'Public Lighting Charges'!$R$11)</f>
        <v>0.4816187999999999</v>
      </c>
      <c r="I32" s="102">
        <v>0.35</v>
      </c>
      <c r="J32" s="102">
        <v>0.1</v>
      </c>
      <c r="K32" s="102">
        <v>0.2</v>
      </c>
      <c r="L32" s="101">
        <v>3</v>
      </c>
      <c r="M32" s="103">
        <f t="shared" si="0"/>
        <v>0.33333333333333331</v>
      </c>
      <c r="N32" s="451">
        <v>2.2700000000000001E-2</v>
      </c>
      <c r="O32" s="192">
        <f>'Maintenance Model'!B$110*I32</f>
        <v>83.95015415332</v>
      </c>
      <c r="P32" s="105">
        <f t="shared" si="1"/>
        <v>4.0044061342999999</v>
      </c>
      <c r="Q32" s="105">
        <f>H32*K32*'Maintenance Model'!B$85</f>
        <v>7.7059007999999984E-2</v>
      </c>
      <c r="R32" s="104">
        <f>'Maintenance Model'!B$104*I32</f>
        <v>2.6814666666666667</v>
      </c>
      <c r="S32" s="193">
        <f t="shared" si="2"/>
        <v>90.713085962286669</v>
      </c>
      <c r="T32" s="104">
        <f>'Maintenance Model'!B$110*N32</f>
        <v>5.4447671408010407</v>
      </c>
      <c r="U32" s="240">
        <f t="shared" si="10"/>
        <v>3.1965299295019998</v>
      </c>
      <c r="V32" s="104">
        <f>'Maintenance Model'!B$104*N32</f>
        <v>0.17391226666666668</v>
      </c>
      <c r="W32" s="104">
        <f>'Maintenance Model'!B$111*M32</f>
        <v>12.300388886933334</v>
      </c>
      <c r="X32" s="240">
        <f t="shared" si="6"/>
        <v>0.85710308666666646</v>
      </c>
      <c r="Y32" s="104">
        <f>M32*'Maintenance Model'!B$105</f>
        <v>0.3928888888888889</v>
      </c>
      <c r="Z32" s="104">
        <f t="shared" si="3"/>
        <v>22.365590199458598</v>
      </c>
      <c r="AA32" s="203">
        <f>'Other Maintenance'!B$94</f>
        <v>2.9107349228680333</v>
      </c>
      <c r="AB32" s="104">
        <f t="shared" si="7"/>
        <v>93.6238208851547</v>
      </c>
      <c r="AC32" s="142">
        <f t="shared" si="8"/>
        <v>25.276325122326632</v>
      </c>
      <c r="AD32" s="127">
        <f>'Maintenance Model'!B$114 + 'Maintenance Model'!B$115</f>
        <v>0.99616182311111112</v>
      </c>
      <c r="AE32" s="104" t="e">
        <f>AB32+#REF!+#REF!</f>
        <v>#REF!</v>
      </c>
      <c r="AF32" s="142">
        <f t="shared" si="4"/>
        <v>94.619982708265809</v>
      </c>
      <c r="AG32" s="143">
        <f t="shared" si="5"/>
        <v>25.940433004400706</v>
      </c>
      <c r="AH32" s="61" t="e">
        <f>S32+#REF!+AD32</f>
        <v>#REF!</v>
      </c>
      <c r="AI32" s="61"/>
      <c r="AJ32" s="61"/>
      <c r="AK32" s="61"/>
      <c r="AL32" s="61"/>
      <c r="AM32" s="61"/>
      <c r="AN32" s="61"/>
      <c r="AO32" s="61"/>
      <c r="AP32" s="61"/>
      <c r="AQ32" s="61"/>
      <c r="AR32" s="61"/>
      <c r="AS32" s="61" t="s">
        <v>1016</v>
      </c>
      <c r="AT32" s="61"/>
      <c r="AU32" s="61">
        <v>35.811167558963746</v>
      </c>
      <c r="AV32" s="61" t="s">
        <v>2041</v>
      </c>
      <c r="AW32" s="25"/>
      <c r="AX32" s="61" t="b">
        <f t="shared" si="9"/>
        <v>1</v>
      </c>
      <c r="AY32" s="61"/>
      <c r="AZ32" s="129"/>
      <c r="BA32" s="25"/>
      <c r="BB32" s="25"/>
      <c r="BC32" s="61"/>
      <c r="BD32" s="61"/>
      <c r="BE32" s="61"/>
      <c r="BF32" s="61"/>
      <c r="BG32" s="25"/>
      <c r="BH32" s="25"/>
      <c r="BI32" s="25"/>
      <c r="BJ32" s="25"/>
      <c r="BK32" s="25"/>
      <c r="BL32" s="25"/>
      <c r="BM32" s="25"/>
      <c r="BN32" s="25"/>
      <c r="BO32" s="25"/>
      <c r="BP32" s="25"/>
      <c r="BQ32" s="25"/>
      <c r="BR32" s="25"/>
      <c r="BS32" s="25"/>
      <c r="BT32" s="25"/>
      <c r="BU32" s="25"/>
      <c r="BV32" s="25"/>
      <c r="BW32" s="25"/>
      <c r="BX32" s="25"/>
      <c r="BY32" s="25"/>
      <c r="BZ32" s="25"/>
    </row>
    <row r="33" spans="1:78" x14ac:dyDescent="0.2">
      <c r="A33" s="98" t="s">
        <v>2073</v>
      </c>
      <c r="B33" s="99" t="str">
        <f>VLOOKUP(LEFT(A33,7),'Tariff Schedule Lookup Table'!A$8:D$142,3,FALSE)</f>
        <v>2x40</v>
      </c>
      <c r="C33" s="100">
        <v>2</v>
      </c>
      <c r="D33" s="100">
        <v>253</v>
      </c>
      <c r="E33" s="100" t="s">
        <v>23</v>
      </c>
      <c r="F33" s="169">
        <f>VLOOKUP(E33,'Lamp Stock'!A$14:H$49,4,FALSE)*(1+'Public Lighting Charges'!$R$11)</f>
        <v>2.4749854999999998</v>
      </c>
      <c r="G33" s="169">
        <f>VLOOKUP(E33,'Lamp Stock'!A$14:G$49,6,FALSE)*(1+'Public Lighting Charges'!$R$11)</f>
        <v>31.381612092999998</v>
      </c>
      <c r="H33" s="169">
        <f>VLOOKUP(E33,'Lamp Stock'!A$14:H$49,8,FALSE)*(1+'Public Lighting Charges'!$R$11)</f>
        <v>0.4816187999999999</v>
      </c>
      <c r="I33" s="102">
        <v>0.35</v>
      </c>
      <c r="J33" s="102">
        <v>0.1</v>
      </c>
      <c r="K33" s="102">
        <v>0.2</v>
      </c>
      <c r="L33" s="101">
        <v>3</v>
      </c>
      <c r="M33" s="103">
        <f t="shared" si="0"/>
        <v>0.33333333333333331</v>
      </c>
      <c r="N33" s="451">
        <v>2.2700000000000001E-2</v>
      </c>
      <c r="O33" s="192">
        <f>'Maintenance Model'!B$110*I33</f>
        <v>83.95015415332</v>
      </c>
      <c r="P33" s="105">
        <f t="shared" si="1"/>
        <v>8.0088122685999998</v>
      </c>
      <c r="Q33" s="105">
        <f>H33*K33*'Maintenance Model'!B$85</f>
        <v>7.7059007999999984E-2</v>
      </c>
      <c r="R33" s="104">
        <f>'Maintenance Model'!B$104*I33</f>
        <v>2.6814666666666667</v>
      </c>
      <c r="S33" s="193">
        <f t="shared" si="2"/>
        <v>94.717492096586668</v>
      </c>
      <c r="T33" s="104">
        <f>'Maintenance Model'!B$110*N33</f>
        <v>5.4447671408010407</v>
      </c>
      <c r="U33" s="240">
        <f t="shared" si="10"/>
        <v>6.3908733096519992</v>
      </c>
      <c r="V33" s="104">
        <f>'Maintenance Model'!B$104*N33</f>
        <v>0.17391226666666668</v>
      </c>
      <c r="W33" s="104">
        <f>'Maintenance Model'!B$111*M33</f>
        <v>12.300388886933334</v>
      </c>
      <c r="X33" s="240">
        <f t="shared" si="6"/>
        <v>1.7142061733333329</v>
      </c>
      <c r="Y33" s="104">
        <f>M33*'Maintenance Model'!B$105</f>
        <v>0.3928888888888889</v>
      </c>
      <c r="Z33" s="104">
        <f t="shared" si="3"/>
        <v>26.417036666275266</v>
      </c>
      <c r="AA33" s="203">
        <f>'Other Maintenance'!B$94</f>
        <v>2.9107349228680333</v>
      </c>
      <c r="AB33" s="104">
        <f t="shared" si="7"/>
        <v>97.628227019454698</v>
      </c>
      <c r="AC33" s="142">
        <f t="shared" si="8"/>
        <v>29.3277715891433</v>
      </c>
      <c r="AD33" s="127">
        <f>'Maintenance Model'!B$114 + 'Maintenance Model'!B$115</f>
        <v>0.99616182311111112</v>
      </c>
      <c r="AE33" s="104" t="e">
        <f>AB33+#REF!+#REF!</f>
        <v>#REF!</v>
      </c>
      <c r="AF33" s="142">
        <f t="shared" si="4"/>
        <v>98.624388842565807</v>
      </c>
      <c r="AG33" s="143">
        <f t="shared" si="5"/>
        <v>29.991879471217374</v>
      </c>
      <c r="AH33" s="61" t="e">
        <f>S33+#REF!+AD33</f>
        <v>#REF!</v>
      </c>
      <c r="AI33" s="61"/>
      <c r="AJ33" s="61"/>
      <c r="AK33" s="61"/>
      <c r="AL33" s="61"/>
      <c r="AM33" s="61"/>
      <c r="AN33" s="61"/>
      <c r="AO33" s="61"/>
      <c r="AP33" s="61"/>
      <c r="AQ33" s="61"/>
      <c r="AR33" s="61"/>
      <c r="AS33" s="61" t="s">
        <v>1018</v>
      </c>
      <c r="AT33" s="61"/>
      <c r="AU33" s="61">
        <v>36.446417558963745</v>
      </c>
      <c r="AV33" s="61" t="s">
        <v>2041</v>
      </c>
      <c r="AW33" s="25"/>
      <c r="AX33" s="61" t="b">
        <f t="shared" si="9"/>
        <v>1</v>
      </c>
      <c r="AY33" s="61"/>
      <c r="AZ33" s="129"/>
      <c r="BA33" s="25"/>
      <c r="BB33" s="25"/>
      <c r="BC33" s="61"/>
      <c r="BD33" s="61"/>
      <c r="BE33" s="61"/>
      <c r="BF33" s="61"/>
      <c r="BG33" s="25"/>
      <c r="BH33" s="25"/>
      <c r="BI33" s="25"/>
      <c r="BJ33" s="25"/>
      <c r="BK33" s="25"/>
      <c r="BL33" s="25"/>
      <c r="BM33" s="25"/>
      <c r="BN33" s="25"/>
      <c r="BO33" s="25"/>
      <c r="BP33" s="25"/>
      <c r="BQ33" s="25"/>
      <c r="BR33" s="25"/>
      <c r="BS33" s="25"/>
      <c r="BT33" s="25"/>
      <c r="BU33" s="25"/>
      <c r="BV33" s="25"/>
      <c r="BW33" s="25"/>
      <c r="BX33" s="25"/>
      <c r="BY33" s="25"/>
      <c r="BZ33" s="25"/>
    </row>
    <row r="34" spans="1:78" x14ac:dyDescent="0.2">
      <c r="A34" s="98" t="s">
        <v>2074</v>
      </c>
      <c r="B34" s="99" t="str">
        <f>VLOOKUP(LEFT(A34,7),'Tariff Schedule Lookup Table'!A$8:D$142,3,FALSE)</f>
        <v>3x40</v>
      </c>
      <c r="C34" s="100">
        <v>3</v>
      </c>
      <c r="D34" s="100">
        <v>13</v>
      </c>
      <c r="E34" s="100" t="s">
        <v>23</v>
      </c>
      <c r="F34" s="169">
        <f>VLOOKUP(E34,'Lamp Stock'!A$14:H$49,4,FALSE)*(1+'Public Lighting Charges'!$R$11)</f>
        <v>2.4749854999999998</v>
      </c>
      <c r="G34" s="169">
        <f>VLOOKUP(E34,'Lamp Stock'!A$14:G$49,6,FALSE)*(1+'Public Lighting Charges'!$R$11)</f>
        <v>31.381612092999998</v>
      </c>
      <c r="H34" s="169">
        <f>VLOOKUP(E34,'Lamp Stock'!A$14:H$49,8,FALSE)*(1+'Public Lighting Charges'!$R$11)</f>
        <v>0.4816187999999999</v>
      </c>
      <c r="I34" s="102">
        <v>0.35</v>
      </c>
      <c r="J34" s="102">
        <v>0.1</v>
      </c>
      <c r="K34" s="102">
        <v>0.2</v>
      </c>
      <c r="L34" s="101">
        <v>3</v>
      </c>
      <c r="M34" s="103">
        <f t="shared" si="0"/>
        <v>0.33333333333333331</v>
      </c>
      <c r="N34" s="451">
        <v>2.2700000000000001E-2</v>
      </c>
      <c r="O34" s="192">
        <f>'Maintenance Model'!B$110*I34</f>
        <v>83.95015415332</v>
      </c>
      <c r="P34" s="105">
        <f t="shared" si="1"/>
        <v>12.0132184029</v>
      </c>
      <c r="Q34" s="105">
        <f>H34*K34*'Maintenance Model'!B$85</f>
        <v>7.7059007999999984E-2</v>
      </c>
      <c r="R34" s="104">
        <f>'Maintenance Model'!B$104*I34</f>
        <v>2.6814666666666667</v>
      </c>
      <c r="S34" s="193">
        <f t="shared" si="2"/>
        <v>98.721898230886666</v>
      </c>
      <c r="T34" s="104">
        <f>'Maintenance Model'!B$110*N34</f>
        <v>5.4447671408010407</v>
      </c>
      <c r="U34" s="240">
        <f t="shared" si="10"/>
        <v>9.5852166898019995</v>
      </c>
      <c r="V34" s="104">
        <f>'Maintenance Model'!B$104*N34</f>
        <v>0.17391226666666668</v>
      </c>
      <c r="W34" s="104">
        <f>'Maintenance Model'!B$111*M34</f>
        <v>12.300388886933334</v>
      </c>
      <c r="X34" s="240">
        <f t="shared" si="6"/>
        <v>2.5713092599999996</v>
      </c>
      <c r="Y34" s="104">
        <f>M34*'Maintenance Model'!B$105</f>
        <v>0.3928888888888889</v>
      </c>
      <c r="Z34" s="104">
        <f t="shared" si="3"/>
        <v>30.468483133091929</v>
      </c>
      <c r="AA34" s="203">
        <f>'Other Maintenance'!B$94</f>
        <v>2.9107349228680333</v>
      </c>
      <c r="AB34" s="104">
        <f t="shared" si="7"/>
        <v>101.6326331537547</v>
      </c>
      <c r="AC34" s="142">
        <f t="shared" si="8"/>
        <v>33.37921805595996</v>
      </c>
      <c r="AD34" s="127">
        <f>'Maintenance Model'!B$114 + 'Maintenance Model'!B$115</f>
        <v>0.99616182311111112</v>
      </c>
      <c r="AE34" s="104" t="e">
        <f>AB34+#REF!+#REF!</f>
        <v>#REF!</v>
      </c>
      <c r="AF34" s="142">
        <f t="shared" si="4"/>
        <v>102.62879497686581</v>
      </c>
      <c r="AG34" s="143">
        <f t="shared" si="5"/>
        <v>34.043325938034037</v>
      </c>
      <c r="AH34" s="61" t="e">
        <f>S34+#REF!+AD34</f>
        <v>#REF!</v>
      </c>
      <c r="AI34" s="61"/>
      <c r="AJ34" s="61"/>
      <c r="AK34" s="61"/>
      <c r="AL34" s="61"/>
      <c r="AM34" s="61"/>
      <c r="AN34" s="61"/>
      <c r="AO34" s="61"/>
      <c r="AP34" s="61"/>
      <c r="AQ34" s="61"/>
      <c r="AR34" s="61"/>
      <c r="AS34" s="61" t="s">
        <v>1020</v>
      </c>
      <c r="AT34" s="61"/>
      <c r="AU34" s="61">
        <v>37.081667558963744</v>
      </c>
      <c r="AV34" s="61" t="s">
        <v>2041</v>
      </c>
      <c r="AW34" s="25"/>
      <c r="AX34" s="61" t="b">
        <f t="shared" si="9"/>
        <v>1</v>
      </c>
      <c r="AY34" s="61"/>
      <c r="AZ34" s="129"/>
      <c r="BA34" s="25"/>
      <c r="BB34" s="25"/>
      <c r="BC34" s="61"/>
      <c r="BD34" s="61"/>
      <c r="BE34" s="61"/>
      <c r="BF34" s="61"/>
      <c r="BG34" s="25"/>
      <c r="BH34" s="25"/>
      <c r="BI34" s="25"/>
      <c r="BJ34" s="25"/>
      <c r="BK34" s="25"/>
      <c r="BL34" s="25"/>
      <c r="BM34" s="25"/>
      <c r="BN34" s="25"/>
      <c r="BO34" s="25"/>
      <c r="BP34" s="25"/>
      <c r="BQ34" s="25"/>
      <c r="BR34" s="25"/>
      <c r="BS34" s="25"/>
      <c r="BT34" s="25"/>
      <c r="BU34" s="25"/>
      <c r="BV34" s="25"/>
      <c r="BW34" s="25"/>
      <c r="BX34" s="25"/>
      <c r="BY34" s="25"/>
      <c r="BZ34" s="25"/>
    </row>
    <row r="35" spans="1:78" x14ac:dyDescent="0.2">
      <c r="A35" s="98" t="s">
        <v>2075</v>
      </c>
      <c r="B35" s="99" t="str">
        <f>VLOOKUP(LEFT(A35,7),'Tariff Schedule Lookup Table'!A$8:D$142,3,FALSE)</f>
        <v>4x40</v>
      </c>
      <c r="C35" s="100">
        <v>4</v>
      </c>
      <c r="D35" s="100">
        <v>97</v>
      </c>
      <c r="E35" s="100" t="s">
        <v>23</v>
      </c>
      <c r="F35" s="169">
        <f>VLOOKUP(E35,'Lamp Stock'!A$14:H$49,4,FALSE)*(1+'Public Lighting Charges'!$R$11)</f>
        <v>2.4749854999999998</v>
      </c>
      <c r="G35" s="169">
        <f>VLOOKUP(E35,'Lamp Stock'!A$14:G$49,6,FALSE)*(1+'Public Lighting Charges'!$R$11)</f>
        <v>31.381612092999998</v>
      </c>
      <c r="H35" s="169">
        <f>VLOOKUP(E35,'Lamp Stock'!A$14:H$49,8,FALSE)*(1+'Public Lighting Charges'!$R$11)</f>
        <v>0.4816187999999999</v>
      </c>
      <c r="I35" s="102">
        <v>0.35</v>
      </c>
      <c r="J35" s="102">
        <v>0.1</v>
      </c>
      <c r="K35" s="102">
        <v>0.2</v>
      </c>
      <c r="L35" s="101">
        <v>3</v>
      </c>
      <c r="M35" s="103">
        <f t="shared" si="0"/>
        <v>0.33333333333333331</v>
      </c>
      <c r="N35" s="451">
        <v>2.2700000000000001E-2</v>
      </c>
      <c r="O35" s="192">
        <f>'Maintenance Model'!B$110*I35</f>
        <v>83.95015415332</v>
      </c>
      <c r="P35" s="105">
        <f t="shared" si="1"/>
        <v>16.0176245372</v>
      </c>
      <c r="Q35" s="105">
        <f>H35*K35*'Maintenance Model'!B$85</f>
        <v>7.7059007999999984E-2</v>
      </c>
      <c r="R35" s="104">
        <f>'Maintenance Model'!B$104*I35</f>
        <v>2.6814666666666667</v>
      </c>
      <c r="S35" s="193">
        <f t="shared" si="2"/>
        <v>102.72630436518666</v>
      </c>
      <c r="T35" s="104">
        <f>'Maintenance Model'!B$110*N35</f>
        <v>5.4447671408010407</v>
      </c>
      <c r="U35" s="240">
        <f t="shared" si="10"/>
        <v>12.779560069952</v>
      </c>
      <c r="V35" s="104">
        <f>'Maintenance Model'!B$104*N35</f>
        <v>0.17391226666666668</v>
      </c>
      <c r="W35" s="104">
        <f>'Maintenance Model'!B$111*M35</f>
        <v>12.300388886933334</v>
      </c>
      <c r="X35" s="240">
        <f t="shared" si="6"/>
        <v>3.4284123466666658</v>
      </c>
      <c r="Y35" s="104">
        <f>M35*'Maintenance Model'!B$105</f>
        <v>0.3928888888888889</v>
      </c>
      <c r="Z35" s="104">
        <f t="shared" si="3"/>
        <v>34.519929599908593</v>
      </c>
      <c r="AA35" s="203">
        <f>'Other Maintenance'!B$94</f>
        <v>2.9107349228680333</v>
      </c>
      <c r="AB35" s="104">
        <f t="shared" si="7"/>
        <v>105.63703928805469</v>
      </c>
      <c r="AC35" s="142">
        <f t="shared" si="8"/>
        <v>37.430664522776624</v>
      </c>
      <c r="AD35" s="127">
        <f>'Maintenance Model'!B$114 + 'Maintenance Model'!B$115</f>
        <v>0.99616182311111112</v>
      </c>
      <c r="AE35" s="104" t="e">
        <f>AB35+#REF!+#REF!</f>
        <v>#REF!</v>
      </c>
      <c r="AF35" s="142">
        <f t="shared" si="4"/>
        <v>106.6332011111658</v>
      </c>
      <c r="AG35" s="143">
        <f t="shared" si="5"/>
        <v>38.094772404850701</v>
      </c>
      <c r="AH35" s="61" t="e">
        <f>S35+#REF!+AD35</f>
        <v>#REF!</v>
      </c>
      <c r="AI35" s="61"/>
      <c r="AJ35" s="61"/>
      <c r="AK35" s="61"/>
      <c r="AL35" s="61"/>
      <c r="AM35" s="61"/>
      <c r="AN35" s="61"/>
      <c r="AO35" s="61"/>
      <c r="AP35" s="61"/>
      <c r="AQ35" s="61"/>
      <c r="AR35" s="61"/>
      <c r="AS35" s="61" t="s">
        <v>1022</v>
      </c>
      <c r="AT35" s="61"/>
      <c r="AU35" s="61">
        <v>37.716917558963743</v>
      </c>
      <c r="AV35" s="61" t="s">
        <v>2041</v>
      </c>
      <c r="AW35" s="25"/>
      <c r="AX35" s="61" t="b">
        <f t="shared" si="9"/>
        <v>1</v>
      </c>
      <c r="AY35" s="61"/>
      <c r="AZ35" s="129"/>
      <c r="BA35" s="25"/>
      <c r="BB35" s="25"/>
      <c r="BC35" s="61"/>
      <c r="BD35" s="61"/>
      <c r="BE35" s="61"/>
      <c r="BF35" s="61"/>
      <c r="BG35" s="25"/>
      <c r="BH35" s="25"/>
      <c r="BI35" s="25"/>
      <c r="BJ35" s="25"/>
      <c r="BK35" s="25"/>
      <c r="BL35" s="25"/>
      <c r="BM35" s="25"/>
      <c r="BN35" s="25"/>
      <c r="BO35" s="25"/>
      <c r="BP35" s="25"/>
      <c r="BQ35" s="25"/>
      <c r="BR35" s="25"/>
      <c r="BS35" s="25"/>
      <c r="BT35" s="25"/>
      <c r="BU35" s="25"/>
      <c r="BV35" s="25"/>
      <c r="BW35" s="25"/>
      <c r="BX35" s="25"/>
      <c r="BY35" s="25"/>
      <c r="BZ35" s="25"/>
    </row>
    <row r="36" spans="1:78" x14ac:dyDescent="0.2">
      <c r="A36" s="98" t="s">
        <v>2076</v>
      </c>
      <c r="B36" s="99" t="str">
        <f>VLOOKUP(LEFT(A36,7),'Tariff Schedule Lookup Table'!A$8:D$142,3,FALSE)</f>
        <v>6x40</v>
      </c>
      <c r="C36" s="100">
        <v>6</v>
      </c>
      <c r="D36" s="100">
        <v>0</v>
      </c>
      <c r="E36" s="100" t="s">
        <v>23</v>
      </c>
      <c r="F36" s="169">
        <f>VLOOKUP(E36,'Lamp Stock'!A$14:H$49,4,FALSE)*(1+'Public Lighting Charges'!$R$11)</f>
        <v>2.4749854999999998</v>
      </c>
      <c r="G36" s="169">
        <f>VLOOKUP(E36,'Lamp Stock'!A$14:G$49,6,FALSE)*(1+'Public Lighting Charges'!$R$11)</f>
        <v>31.381612092999998</v>
      </c>
      <c r="H36" s="169">
        <f>VLOOKUP(E36,'Lamp Stock'!A$14:H$49,8,FALSE)*(1+'Public Lighting Charges'!$R$11)</f>
        <v>0.4816187999999999</v>
      </c>
      <c r="I36" s="102">
        <v>0.35</v>
      </c>
      <c r="J36" s="102">
        <v>0.1</v>
      </c>
      <c r="K36" s="102">
        <v>0.2</v>
      </c>
      <c r="L36" s="101">
        <v>3</v>
      </c>
      <c r="M36" s="103">
        <f t="shared" si="0"/>
        <v>0.33333333333333331</v>
      </c>
      <c r="N36" s="451">
        <v>2.2700000000000001E-2</v>
      </c>
      <c r="O36" s="192">
        <f>'Maintenance Model'!B$110*I36</f>
        <v>83.95015415332</v>
      </c>
      <c r="P36" s="105">
        <f t="shared" si="1"/>
        <v>24.0264368058</v>
      </c>
      <c r="Q36" s="105">
        <f>H36*K36*'Maintenance Model'!B$85</f>
        <v>7.7059007999999984E-2</v>
      </c>
      <c r="R36" s="104">
        <f>'Maintenance Model'!B$104*I36</f>
        <v>2.6814666666666667</v>
      </c>
      <c r="S36" s="193">
        <f t="shared" si="2"/>
        <v>110.73511663378667</v>
      </c>
      <c r="T36" s="104">
        <f>'Maintenance Model'!B$110*N36</f>
        <v>5.4447671408010407</v>
      </c>
      <c r="U36" s="240">
        <f t="shared" si="10"/>
        <v>19.168246830251999</v>
      </c>
      <c r="V36" s="104">
        <f>'Maintenance Model'!B$104*N36</f>
        <v>0.17391226666666668</v>
      </c>
      <c r="W36" s="104">
        <f>'Maintenance Model'!B$111*M36</f>
        <v>12.300388886933334</v>
      </c>
      <c r="X36" s="240">
        <f t="shared" si="6"/>
        <v>5.1426185199999992</v>
      </c>
      <c r="Y36" s="104">
        <f>M36*'Maintenance Model'!B$105</f>
        <v>0.3928888888888889</v>
      </c>
      <c r="Z36" s="104">
        <f t="shared" si="3"/>
        <v>42.622822533541928</v>
      </c>
      <c r="AA36" s="203">
        <f>'Other Maintenance'!B$94</f>
        <v>2.9107349228680333</v>
      </c>
      <c r="AB36" s="104">
        <f t="shared" si="7"/>
        <v>113.6458515566547</v>
      </c>
      <c r="AC36" s="142">
        <f t="shared" si="8"/>
        <v>45.533557456409959</v>
      </c>
      <c r="AD36" s="127">
        <f>'Maintenance Model'!B$114 + 'Maintenance Model'!B$115</f>
        <v>0.99616182311111112</v>
      </c>
      <c r="AE36" s="104" t="e">
        <f>AB36+#REF!+#REF!</f>
        <v>#REF!</v>
      </c>
      <c r="AF36" s="142">
        <f t="shared" si="4"/>
        <v>114.64201337976581</v>
      </c>
      <c r="AG36" s="143">
        <f t="shared" si="5"/>
        <v>46.197665338484036</v>
      </c>
      <c r="AH36" s="61" t="e">
        <f>S36+#REF!+AD36</f>
        <v>#REF!</v>
      </c>
      <c r="AI36" s="61"/>
      <c r="AJ36" s="61"/>
      <c r="AK36" s="61"/>
      <c r="AL36" s="61"/>
      <c r="AM36" s="61"/>
      <c r="AN36" s="61"/>
      <c r="AO36" s="61"/>
      <c r="AP36" s="61"/>
      <c r="AQ36" s="61"/>
      <c r="AR36" s="61"/>
      <c r="AS36" s="61" t="s">
        <v>1024</v>
      </c>
      <c r="AT36" s="61"/>
      <c r="AU36" s="61">
        <v>38.987417558963742</v>
      </c>
      <c r="AV36" s="61" t="s">
        <v>2041</v>
      </c>
      <c r="AW36" s="25"/>
      <c r="AX36" s="61" t="b">
        <f t="shared" si="9"/>
        <v>1</v>
      </c>
      <c r="AY36" s="61"/>
      <c r="AZ36" s="129"/>
      <c r="BA36" s="25"/>
      <c r="BB36" s="25"/>
      <c r="BC36" s="61"/>
      <c r="BD36" s="61"/>
      <c r="BE36" s="61"/>
      <c r="BF36" s="61"/>
      <c r="BG36" s="25"/>
      <c r="BH36" s="25"/>
      <c r="BI36" s="25"/>
      <c r="BJ36" s="25"/>
      <c r="BK36" s="25"/>
      <c r="BL36" s="25"/>
      <c r="BM36" s="25"/>
      <c r="BN36" s="25"/>
      <c r="BO36" s="25"/>
      <c r="BP36" s="25"/>
      <c r="BQ36" s="25"/>
      <c r="BR36" s="25"/>
      <c r="BS36" s="25"/>
      <c r="BT36" s="25"/>
      <c r="BU36" s="25"/>
      <c r="BV36" s="25"/>
      <c r="BW36" s="25"/>
      <c r="BX36" s="25"/>
      <c r="BY36" s="25"/>
      <c r="BZ36" s="25"/>
    </row>
    <row r="37" spans="1:78" x14ac:dyDescent="0.2">
      <c r="A37" s="98" t="s">
        <v>2077</v>
      </c>
      <c r="B37" s="99">
        <f>VLOOKUP(LEFT(A37,7),'Tariff Schedule Lookup Table'!A$8:D$142,3,FALSE)</f>
        <v>58</v>
      </c>
      <c r="C37" s="100">
        <v>1</v>
      </c>
      <c r="D37" s="100">
        <v>0</v>
      </c>
      <c r="E37" s="100" t="s">
        <v>23</v>
      </c>
      <c r="F37" s="169">
        <f>VLOOKUP(E37,'Lamp Stock'!A$14:H$49,4,FALSE)*(1+'Public Lighting Charges'!$R$11)</f>
        <v>2.4749854999999998</v>
      </c>
      <c r="G37" s="169">
        <f>VLOOKUP(E37,'Lamp Stock'!A$14:G$49,6,FALSE)*(1+'Public Lighting Charges'!$R$11)</f>
        <v>31.381612092999998</v>
      </c>
      <c r="H37" s="169">
        <f>VLOOKUP(E37,'Lamp Stock'!A$14:H$49,8,FALSE)*(1+'Public Lighting Charges'!$R$11)</f>
        <v>0.4816187999999999</v>
      </c>
      <c r="I37" s="102">
        <v>0.35</v>
      </c>
      <c r="J37" s="102">
        <v>0.1</v>
      </c>
      <c r="K37" s="102">
        <v>0.2</v>
      </c>
      <c r="L37" s="101">
        <v>3</v>
      </c>
      <c r="M37" s="103">
        <f t="shared" si="0"/>
        <v>0.33333333333333331</v>
      </c>
      <c r="N37" s="451">
        <v>2.2700000000000001E-2</v>
      </c>
      <c r="O37" s="192">
        <f>'Maintenance Model'!B$110*I37</f>
        <v>83.95015415332</v>
      </c>
      <c r="P37" s="105">
        <f t="shared" si="1"/>
        <v>4.0044061342999999</v>
      </c>
      <c r="Q37" s="105">
        <f>H37*K37*'Maintenance Model'!B$85</f>
        <v>7.7059007999999984E-2</v>
      </c>
      <c r="R37" s="104">
        <f>'Maintenance Model'!B$104*I37</f>
        <v>2.6814666666666667</v>
      </c>
      <c r="S37" s="193">
        <f t="shared" si="2"/>
        <v>90.713085962286669</v>
      </c>
      <c r="T37" s="104">
        <f>'Maintenance Model'!B$110*N37</f>
        <v>5.4447671408010407</v>
      </c>
      <c r="U37" s="240">
        <f t="shared" si="10"/>
        <v>3.1965299295019998</v>
      </c>
      <c r="V37" s="104">
        <f>'Maintenance Model'!B$104*N37</f>
        <v>0.17391226666666668</v>
      </c>
      <c r="W37" s="104">
        <f>'Maintenance Model'!B$111*M37</f>
        <v>12.300388886933334</v>
      </c>
      <c r="X37" s="240">
        <f t="shared" si="6"/>
        <v>0.85710308666666646</v>
      </c>
      <c r="Y37" s="104">
        <f>M37*'Maintenance Model'!B$105</f>
        <v>0.3928888888888889</v>
      </c>
      <c r="Z37" s="104">
        <f t="shared" si="3"/>
        <v>22.365590199458598</v>
      </c>
      <c r="AA37" s="203">
        <f>'Other Maintenance'!B$94</f>
        <v>2.9107349228680333</v>
      </c>
      <c r="AB37" s="104">
        <f t="shared" si="7"/>
        <v>93.6238208851547</v>
      </c>
      <c r="AC37" s="142">
        <f t="shared" si="8"/>
        <v>25.276325122326632</v>
      </c>
      <c r="AD37" s="127">
        <f>'Maintenance Model'!B$114 + 'Maintenance Model'!B$115</f>
        <v>0.99616182311111112</v>
      </c>
      <c r="AE37" s="104" t="e">
        <f>AB37+#REF!+#REF!</f>
        <v>#REF!</v>
      </c>
      <c r="AF37" s="142">
        <f t="shared" si="4"/>
        <v>94.619982708265809</v>
      </c>
      <c r="AG37" s="143">
        <f t="shared" si="5"/>
        <v>25.940433004400706</v>
      </c>
      <c r="AH37" s="61" t="e">
        <f>S37+#REF!+AD37</f>
        <v>#REF!</v>
      </c>
      <c r="AI37" s="61"/>
      <c r="AJ37" s="61"/>
      <c r="AK37" s="61"/>
      <c r="AL37" s="61"/>
      <c r="AM37" s="61"/>
      <c r="AN37" s="61"/>
      <c r="AO37" s="61"/>
      <c r="AP37" s="61"/>
      <c r="AQ37" s="61"/>
      <c r="AR37" s="61"/>
      <c r="AS37" s="61" t="s">
        <v>1027</v>
      </c>
      <c r="AT37" s="61"/>
      <c r="AU37" s="61">
        <v>35.811167558963746</v>
      </c>
      <c r="AV37" s="61" t="s">
        <v>2041</v>
      </c>
      <c r="AW37" s="25"/>
      <c r="AX37" s="61" t="b">
        <f t="shared" si="9"/>
        <v>1</v>
      </c>
      <c r="AY37" s="61"/>
      <c r="AZ37" s="129"/>
      <c r="BA37" s="25"/>
      <c r="BB37" s="25"/>
      <c r="BC37" s="61"/>
      <c r="BD37" s="61"/>
      <c r="BE37" s="61"/>
      <c r="BF37" s="61"/>
      <c r="BG37" s="25"/>
      <c r="BH37" s="25"/>
      <c r="BI37" s="25"/>
      <c r="BJ37" s="25"/>
      <c r="BK37" s="25"/>
      <c r="BL37" s="25"/>
      <c r="BM37" s="25"/>
      <c r="BN37" s="25"/>
      <c r="BO37" s="25"/>
      <c r="BP37" s="25"/>
      <c r="BQ37" s="25"/>
      <c r="BR37" s="25"/>
      <c r="BS37" s="25"/>
      <c r="BT37" s="25"/>
      <c r="BU37" s="25"/>
      <c r="BV37" s="25"/>
      <c r="BW37" s="25"/>
      <c r="BX37" s="25"/>
      <c r="BY37" s="25"/>
      <c r="BZ37" s="25"/>
    </row>
    <row r="38" spans="1:78" x14ac:dyDescent="0.2">
      <c r="A38" s="98" t="s">
        <v>2078</v>
      </c>
      <c r="B38" s="99" t="str">
        <f>VLOOKUP(LEFT(A38,7),'Tariff Schedule Lookup Table'!A$8:D$142,3,FALSE)</f>
        <v>2x58</v>
      </c>
      <c r="C38" s="100">
        <v>2</v>
      </c>
      <c r="D38" s="100">
        <v>8</v>
      </c>
      <c r="E38" s="100" t="s">
        <v>23</v>
      </c>
      <c r="F38" s="169">
        <f>VLOOKUP(E38,'Lamp Stock'!A$14:H$49,4,FALSE)*(1+'Public Lighting Charges'!$R$11)</f>
        <v>2.4749854999999998</v>
      </c>
      <c r="G38" s="169">
        <f>VLOOKUP(E38,'Lamp Stock'!A$14:G$49,6,FALSE)*(1+'Public Lighting Charges'!$R$11)</f>
        <v>31.381612092999998</v>
      </c>
      <c r="H38" s="169">
        <f>VLOOKUP(E38,'Lamp Stock'!A$14:H$49,8,FALSE)*(1+'Public Lighting Charges'!$R$11)</f>
        <v>0.4816187999999999</v>
      </c>
      <c r="I38" s="102">
        <v>0.35</v>
      </c>
      <c r="J38" s="102">
        <v>0.1</v>
      </c>
      <c r="K38" s="102">
        <v>0.2</v>
      </c>
      <c r="L38" s="101">
        <v>3</v>
      </c>
      <c r="M38" s="103">
        <f t="shared" si="0"/>
        <v>0.33333333333333331</v>
      </c>
      <c r="N38" s="451">
        <v>2.2700000000000001E-2</v>
      </c>
      <c r="O38" s="192">
        <f>'Maintenance Model'!B$110*I38</f>
        <v>83.95015415332</v>
      </c>
      <c r="P38" s="105">
        <f t="shared" si="1"/>
        <v>8.0088122685999998</v>
      </c>
      <c r="Q38" s="105">
        <f>H38*K38*'Maintenance Model'!B$85</f>
        <v>7.7059007999999984E-2</v>
      </c>
      <c r="R38" s="104">
        <f>'Maintenance Model'!B$104*I38</f>
        <v>2.6814666666666667</v>
      </c>
      <c r="S38" s="193">
        <f t="shared" si="2"/>
        <v>94.717492096586668</v>
      </c>
      <c r="T38" s="104">
        <f>'Maintenance Model'!B$110*N38</f>
        <v>5.4447671408010407</v>
      </c>
      <c r="U38" s="240">
        <f t="shared" si="10"/>
        <v>6.3908733096519992</v>
      </c>
      <c r="V38" s="104">
        <f>'Maintenance Model'!B$104*N38</f>
        <v>0.17391226666666668</v>
      </c>
      <c r="W38" s="104">
        <f>'Maintenance Model'!B$111*M38</f>
        <v>12.300388886933334</v>
      </c>
      <c r="X38" s="240">
        <f t="shared" si="6"/>
        <v>1.7142061733333329</v>
      </c>
      <c r="Y38" s="104">
        <f>M38*'Maintenance Model'!B$105</f>
        <v>0.3928888888888889</v>
      </c>
      <c r="Z38" s="104">
        <f t="shared" si="3"/>
        <v>26.417036666275266</v>
      </c>
      <c r="AA38" s="203">
        <f>'Other Maintenance'!B$94</f>
        <v>2.9107349228680333</v>
      </c>
      <c r="AB38" s="104">
        <f t="shared" si="7"/>
        <v>97.628227019454698</v>
      </c>
      <c r="AC38" s="142">
        <f t="shared" si="8"/>
        <v>29.3277715891433</v>
      </c>
      <c r="AD38" s="127">
        <f>'Maintenance Model'!B$114 + 'Maintenance Model'!B$115</f>
        <v>0.99616182311111112</v>
      </c>
      <c r="AE38" s="104" t="e">
        <f>AB38+#REF!+#REF!</f>
        <v>#REF!</v>
      </c>
      <c r="AF38" s="142">
        <f t="shared" si="4"/>
        <v>98.624388842565807</v>
      </c>
      <c r="AG38" s="143">
        <f t="shared" si="5"/>
        <v>29.991879471217374</v>
      </c>
      <c r="AH38" s="61" t="e">
        <f>S38+#REF!+AD38</f>
        <v>#REF!</v>
      </c>
      <c r="AI38" s="61"/>
      <c r="AJ38" s="61"/>
      <c r="AK38" s="61"/>
      <c r="AL38" s="61"/>
      <c r="AM38" s="61"/>
      <c r="AN38" s="61"/>
      <c r="AO38" s="61"/>
      <c r="AP38" s="61"/>
      <c r="AQ38" s="61"/>
      <c r="AR38" s="61"/>
      <c r="AS38" s="61" t="s">
        <v>1029</v>
      </c>
      <c r="AT38" s="61"/>
      <c r="AU38" s="61">
        <v>35.834365062603695</v>
      </c>
      <c r="AV38" s="61" t="s">
        <v>2041</v>
      </c>
      <c r="AW38" s="25"/>
      <c r="AX38" s="61" t="b">
        <f t="shared" si="9"/>
        <v>1</v>
      </c>
      <c r="AY38" s="61"/>
      <c r="AZ38" s="129"/>
      <c r="BA38" s="25"/>
      <c r="BB38" s="25"/>
      <c r="BC38" s="61"/>
      <c r="BD38" s="61"/>
      <c r="BE38" s="61"/>
      <c r="BF38" s="61"/>
      <c r="BG38" s="25"/>
      <c r="BH38" s="25"/>
      <c r="BI38" s="25"/>
      <c r="BJ38" s="25"/>
      <c r="BK38" s="25"/>
      <c r="BL38" s="25"/>
      <c r="BM38" s="25"/>
      <c r="BN38" s="25"/>
      <c r="BO38" s="25"/>
      <c r="BP38" s="25"/>
      <c r="BQ38" s="25"/>
      <c r="BR38" s="25"/>
      <c r="BS38" s="25"/>
      <c r="BT38" s="25"/>
      <c r="BU38" s="25"/>
      <c r="BV38" s="25"/>
      <c r="BW38" s="25"/>
      <c r="BX38" s="25"/>
      <c r="BY38" s="25"/>
      <c r="BZ38" s="25"/>
    </row>
    <row r="39" spans="1:78" x14ac:dyDescent="0.2">
      <c r="A39" s="98" t="s">
        <v>2079</v>
      </c>
      <c r="B39" s="99" t="str">
        <f>VLOOKUP(LEFT(A39,7),'Tariff Schedule Lookup Table'!A$8:D$142,3,FALSE)</f>
        <v>4x58</v>
      </c>
      <c r="C39" s="100">
        <v>4</v>
      </c>
      <c r="D39" s="100">
        <v>0</v>
      </c>
      <c r="E39" s="100" t="s">
        <v>23</v>
      </c>
      <c r="F39" s="169">
        <f>VLOOKUP(E39,'Lamp Stock'!A$14:H$49,4,FALSE)*(1+'Public Lighting Charges'!$R$11)</f>
        <v>2.4749854999999998</v>
      </c>
      <c r="G39" s="169">
        <f>VLOOKUP(E39,'Lamp Stock'!A$14:G$49,6,FALSE)*(1+'Public Lighting Charges'!$R$11)</f>
        <v>31.381612092999998</v>
      </c>
      <c r="H39" s="169">
        <f>VLOOKUP(E39,'Lamp Stock'!A$14:H$49,8,FALSE)*(1+'Public Lighting Charges'!$R$11)</f>
        <v>0.4816187999999999</v>
      </c>
      <c r="I39" s="102">
        <v>0.35</v>
      </c>
      <c r="J39" s="102">
        <v>0.1</v>
      </c>
      <c r="K39" s="102">
        <v>0.2</v>
      </c>
      <c r="L39" s="101">
        <v>3</v>
      </c>
      <c r="M39" s="103">
        <f t="shared" si="0"/>
        <v>0.33333333333333331</v>
      </c>
      <c r="N39" s="451">
        <v>2.2700000000000001E-2</v>
      </c>
      <c r="O39" s="192">
        <f>'Maintenance Model'!B$110*I39</f>
        <v>83.95015415332</v>
      </c>
      <c r="P39" s="105">
        <f t="shared" si="1"/>
        <v>16.0176245372</v>
      </c>
      <c r="Q39" s="105">
        <f>H39*K39*'Maintenance Model'!B$85</f>
        <v>7.7059007999999984E-2</v>
      </c>
      <c r="R39" s="104">
        <f>'Maintenance Model'!B$104*I39</f>
        <v>2.6814666666666667</v>
      </c>
      <c r="S39" s="193">
        <f t="shared" si="2"/>
        <v>102.72630436518666</v>
      </c>
      <c r="T39" s="104">
        <f>'Maintenance Model'!B$110*N39</f>
        <v>5.4447671408010407</v>
      </c>
      <c r="U39" s="240">
        <f t="shared" si="10"/>
        <v>12.779560069952</v>
      </c>
      <c r="V39" s="104">
        <f>'Maintenance Model'!B$104*N39</f>
        <v>0.17391226666666668</v>
      </c>
      <c r="W39" s="104">
        <f>'Maintenance Model'!B$111*M39</f>
        <v>12.300388886933334</v>
      </c>
      <c r="X39" s="240">
        <f t="shared" si="6"/>
        <v>3.4284123466666658</v>
      </c>
      <c r="Y39" s="104">
        <f>M39*'Maintenance Model'!B$105</f>
        <v>0.3928888888888889</v>
      </c>
      <c r="Z39" s="104">
        <f t="shared" si="3"/>
        <v>34.519929599908593</v>
      </c>
      <c r="AA39" s="203">
        <f>'Other Maintenance'!B$94</f>
        <v>2.9107349228680333</v>
      </c>
      <c r="AB39" s="104">
        <f t="shared" si="7"/>
        <v>105.63703928805469</v>
      </c>
      <c r="AC39" s="142">
        <f t="shared" si="8"/>
        <v>37.430664522776624</v>
      </c>
      <c r="AD39" s="127">
        <f>'Maintenance Model'!B$114 + 'Maintenance Model'!B$115</f>
        <v>0.99616182311111112</v>
      </c>
      <c r="AE39" s="104" t="e">
        <f>AB39+#REF!+#REF!</f>
        <v>#REF!</v>
      </c>
      <c r="AF39" s="142">
        <f t="shared" si="4"/>
        <v>106.6332011111658</v>
      </c>
      <c r="AG39" s="143">
        <f t="shared" si="5"/>
        <v>38.094772404850701</v>
      </c>
      <c r="AH39" s="61" t="e">
        <f>S39+#REF!+AD39</f>
        <v>#REF!</v>
      </c>
      <c r="AI39" s="61"/>
      <c r="AJ39" s="61"/>
      <c r="AK39" s="61"/>
      <c r="AL39" s="61"/>
      <c r="AM39" s="61"/>
      <c r="AN39" s="61"/>
      <c r="AO39" s="61"/>
      <c r="AP39" s="61"/>
      <c r="AQ39" s="61"/>
      <c r="AR39" s="61"/>
      <c r="AS39" s="61" t="s">
        <v>1032</v>
      </c>
      <c r="AT39" s="61"/>
      <c r="AU39" s="61">
        <v>37.104865062603686</v>
      </c>
      <c r="AV39" s="61" t="s">
        <v>2041</v>
      </c>
      <c r="AW39" s="25"/>
      <c r="AX39" s="61" t="b">
        <f t="shared" si="9"/>
        <v>1</v>
      </c>
      <c r="AY39" s="61"/>
      <c r="AZ39" s="129"/>
      <c r="BA39" s="25"/>
      <c r="BB39" s="25"/>
      <c r="BC39" s="61"/>
      <c r="BD39" s="61"/>
      <c r="BE39" s="61"/>
      <c r="BF39" s="61"/>
      <c r="BG39" s="25"/>
      <c r="BH39" s="25"/>
      <c r="BI39" s="25"/>
      <c r="BJ39" s="25"/>
      <c r="BK39" s="25"/>
      <c r="BL39" s="25"/>
      <c r="BM39" s="25"/>
      <c r="BN39" s="25"/>
      <c r="BO39" s="25"/>
      <c r="BP39" s="25"/>
      <c r="BQ39" s="25"/>
      <c r="BR39" s="25"/>
      <c r="BS39" s="25"/>
      <c r="BT39" s="25"/>
      <c r="BU39" s="25"/>
      <c r="BV39" s="25"/>
      <c r="BW39" s="25"/>
      <c r="BX39" s="25"/>
      <c r="BY39" s="25"/>
      <c r="BZ39" s="25"/>
    </row>
    <row r="40" spans="1:78" x14ac:dyDescent="0.2">
      <c r="A40" s="98" t="s">
        <v>211</v>
      </c>
      <c r="B40" s="99" t="str">
        <f>VLOOKUP(LEFT(A40,7),'Tariff Schedule Lookup Table'!A$8:D$142,3,FALSE)</f>
        <v>5x58</v>
      </c>
      <c r="C40" s="100">
        <v>4</v>
      </c>
      <c r="D40" s="100">
        <v>0</v>
      </c>
      <c r="E40" s="100" t="s">
        <v>23</v>
      </c>
      <c r="F40" s="169">
        <f>VLOOKUP(E40,'Lamp Stock'!A$14:H$49,4,FALSE)*(1+'Public Lighting Charges'!$R$11)</f>
        <v>2.4749854999999998</v>
      </c>
      <c r="G40" s="169">
        <f>VLOOKUP(E40,'Lamp Stock'!A$14:G$49,6,FALSE)*(1+'Public Lighting Charges'!$R$11)</f>
        <v>31.381612092999998</v>
      </c>
      <c r="H40" s="169">
        <f>VLOOKUP(E40,'Lamp Stock'!A$14:H$49,8,FALSE)*(1+'Public Lighting Charges'!$R$11)</f>
        <v>0.4816187999999999</v>
      </c>
      <c r="I40" s="102">
        <v>0.35</v>
      </c>
      <c r="J40" s="102">
        <v>0.1</v>
      </c>
      <c r="K40" s="102">
        <v>0.2</v>
      </c>
      <c r="L40" s="101">
        <v>3</v>
      </c>
      <c r="M40" s="103">
        <f t="shared" si="0"/>
        <v>0.33333333333333331</v>
      </c>
      <c r="N40" s="451">
        <v>2.2700000000000001E-2</v>
      </c>
      <c r="O40" s="192">
        <f>'Maintenance Model'!B$110*I40</f>
        <v>83.95015415332</v>
      </c>
      <c r="P40" s="105">
        <f>C40*(F40*I40+G40*J40)</f>
        <v>16.0176245372</v>
      </c>
      <c r="Q40" s="105">
        <f>H40*K40*'Maintenance Model'!B$85</f>
        <v>7.7059007999999984E-2</v>
      </c>
      <c r="R40" s="104">
        <f>'Maintenance Model'!B$104*I40</f>
        <v>2.6814666666666667</v>
      </c>
      <c r="S40" s="193">
        <f>SUM(O40:R40)</f>
        <v>102.72630436518666</v>
      </c>
      <c r="T40" s="104">
        <f>'Maintenance Model'!B$110*N40</f>
        <v>5.4447671408010407</v>
      </c>
      <c r="U40" s="240">
        <f t="shared" si="10"/>
        <v>12.779560069952</v>
      </c>
      <c r="V40" s="104">
        <f>'Maintenance Model'!B$104*N40</f>
        <v>0.17391226666666668</v>
      </c>
      <c r="W40" s="104">
        <f>'Maintenance Model'!B$111*M40</f>
        <v>12.300388886933334</v>
      </c>
      <c r="X40" s="240">
        <f t="shared" si="6"/>
        <v>3.4284123466666658</v>
      </c>
      <c r="Y40" s="104">
        <f>M40*'Maintenance Model'!B$105</f>
        <v>0.3928888888888889</v>
      </c>
      <c r="Z40" s="104">
        <f>SUM(T40:Y40)</f>
        <v>34.519929599908593</v>
      </c>
      <c r="AA40" s="203">
        <f>'Other Maintenance'!B$94</f>
        <v>2.9107349228680333</v>
      </c>
      <c r="AB40" s="104">
        <f>(S40+AA40)</f>
        <v>105.63703928805469</v>
      </c>
      <c r="AC40" s="142">
        <f>(Z40+AA40)</f>
        <v>37.430664522776624</v>
      </c>
      <c r="AD40" s="127">
        <f>'Maintenance Model'!B$114 + 'Maintenance Model'!B$115</f>
        <v>0.99616182311111112</v>
      </c>
      <c r="AE40" s="104" t="e">
        <f>AB40+#REF!+#REF!</f>
        <v>#REF!</v>
      </c>
      <c r="AF40" s="142">
        <f t="shared" si="4"/>
        <v>106.6332011111658</v>
      </c>
      <c r="AG40" s="143">
        <f t="shared" si="5"/>
        <v>38.094772404850701</v>
      </c>
      <c r="AH40" s="61"/>
      <c r="AI40" s="61"/>
      <c r="AJ40" s="61"/>
      <c r="AK40" s="61"/>
      <c r="AL40" s="61"/>
      <c r="AM40" s="61"/>
      <c r="AN40" s="61"/>
      <c r="AO40" s="61"/>
      <c r="AP40" s="61"/>
      <c r="AQ40" s="61"/>
      <c r="AR40" s="61"/>
      <c r="AS40" s="61"/>
      <c r="AT40" s="61"/>
      <c r="AU40" s="61"/>
      <c r="AV40" s="61"/>
      <c r="AW40" s="25"/>
      <c r="AX40" s="61"/>
      <c r="AY40" s="61"/>
      <c r="AZ40" s="129"/>
      <c r="BA40" s="25"/>
      <c r="BB40" s="25"/>
      <c r="BC40" s="61"/>
      <c r="BD40" s="61"/>
      <c r="BE40" s="61"/>
      <c r="BF40" s="61"/>
      <c r="BG40" s="25"/>
      <c r="BH40" s="25"/>
      <c r="BI40" s="25"/>
      <c r="BJ40" s="25"/>
      <c r="BK40" s="25"/>
      <c r="BL40" s="25"/>
      <c r="BM40" s="25"/>
      <c r="BN40" s="25"/>
      <c r="BO40" s="25"/>
      <c r="BP40" s="25"/>
      <c r="BQ40" s="25"/>
      <c r="BR40" s="25"/>
      <c r="BS40" s="25"/>
      <c r="BT40" s="25"/>
      <c r="BU40" s="25"/>
      <c r="BV40" s="25"/>
      <c r="BW40" s="25"/>
      <c r="BX40" s="25"/>
      <c r="BY40" s="25"/>
      <c r="BZ40" s="25"/>
    </row>
    <row r="41" spans="1:78" x14ac:dyDescent="0.2">
      <c r="A41" s="98" t="s">
        <v>212</v>
      </c>
      <c r="B41" s="99">
        <f>VLOOKUP(LEFT(A41,7),'Tariff Schedule Lookup Table'!A$8:D$142,3,FALSE)</f>
        <v>65</v>
      </c>
      <c r="C41" s="100">
        <v>1</v>
      </c>
      <c r="D41" s="100">
        <v>4</v>
      </c>
      <c r="E41" s="100" t="s">
        <v>23</v>
      </c>
      <c r="F41" s="169">
        <f>VLOOKUP(E41,'Lamp Stock'!A$14:H$49,4,FALSE)*(1+'Public Lighting Charges'!$R$11)</f>
        <v>2.4749854999999998</v>
      </c>
      <c r="G41" s="169">
        <f>VLOOKUP(E41,'Lamp Stock'!A$14:G$49,6,FALSE)*(1+'Public Lighting Charges'!$R$11)</f>
        <v>31.381612092999998</v>
      </c>
      <c r="H41" s="169">
        <f>VLOOKUP(E41,'Lamp Stock'!A$14:H$49,8,FALSE)*(1+'Public Lighting Charges'!$R$11)</f>
        <v>0.4816187999999999</v>
      </c>
      <c r="I41" s="102">
        <v>0.35</v>
      </c>
      <c r="J41" s="102">
        <v>0.1</v>
      </c>
      <c r="K41" s="102">
        <v>0.2</v>
      </c>
      <c r="L41" s="101">
        <v>3</v>
      </c>
      <c r="M41" s="103">
        <f t="shared" si="0"/>
        <v>0.33333333333333331</v>
      </c>
      <c r="N41" s="451">
        <v>2.2700000000000001E-2</v>
      </c>
      <c r="O41" s="192">
        <f>'Maintenance Model'!B$110*I41</f>
        <v>83.95015415332</v>
      </c>
      <c r="P41" s="105">
        <f>C41*(F41*I41+G41*J41)</f>
        <v>4.0044061342999999</v>
      </c>
      <c r="Q41" s="105">
        <f>H41*K41*'Maintenance Model'!B$85</f>
        <v>7.7059007999999984E-2</v>
      </c>
      <c r="R41" s="104">
        <f>'Maintenance Model'!B$104*I41</f>
        <v>2.6814666666666667</v>
      </c>
      <c r="S41" s="193">
        <f>SUM(O41:R41)</f>
        <v>90.713085962286669</v>
      </c>
      <c r="T41" s="104">
        <f>'Maintenance Model'!B$110*N41</f>
        <v>5.4447671408010407</v>
      </c>
      <c r="U41" s="240">
        <f t="shared" si="10"/>
        <v>3.1965299295019998</v>
      </c>
      <c r="V41" s="104">
        <f>'Maintenance Model'!B$104*N41</f>
        <v>0.17391226666666668</v>
      </c>
      <c r="W41" s="104">
        <f>'Maintenance Model'!B$111*M41</f>
        <v>12.300388886933334</v>
      </c>
      <c r="X41" s="240">
        <f t="shared" si="6"/>
        <v>0.85710308666666646</v>
      </c>
      <c r="Y41" s="104">
        <f>M41*'Maintenance Model'!B$105</f>
        <v>0.3928888888888889</v>
      </c>
      <c r="Z41" s="104">
        <f>SUM(T41:Y41)</f>
        <v>22.365590199458598</v>
      </c>
      <c r="AA41" s="203">
        <f>'Other Maintenance'!B$94</f>
        <v>2.9107349228680333</v>
      </c>
      <c r="AB41" s="104">
        <f>(S41+AA41)</f>
        <v>93.6238208851547</v>
      </c>
      <c r="AC41" s="142">
        <f>(Z41+AA41)</f>
        <v>25.276325122326632</v>
      </c>
      <c r="AD41" s="127">
        <f>'Maintenance Model'!B$114 + 'Maintenance Model'!B$115</f>
        <v>0.99616182311111112</v>
      </c>
      <c r="AE41" s="104" t="e">
        <f>AB41+#REF!+#REF!</f>
        <v>#REF!</v>
      </c>
      <c r="AF41" s="142">
        <f t="shared" si="4"/>
        <v>94.619982708265809</v>
      </c>
      <c r="AG41" s="143">
        <f t="shared" si="5"/>
        <v>25.940433004400706</v>
      </c>
      <c r="AH41" s="61"/>
      <c r="AI41" s="61"/>
      <c r="AJ41" s="61"/>
      <c r="AK41" s="61"/>
      <c r="AL41" s="61"/>
      <c r="AM41" s="61"/>
      <c r="AN41" s="61"/>
      <c r="AO41" s="61"/>
      <c r="AP41" s="61"/>
      <c r="AQ41" s="61"/>
      <c r="AR41" s="61"/>
      <c r="AS41" s="61"/>
      <c r="AT41" s="61"/>
      <c r="AU41" s="61"/>
      <c r="AV41" s="61"/>
      <c r="AW41" s="25"/>
      <c r="AX41" s="61"/>
      <c r="AY41" s="61"/>
      <c r="AZ41" s="129"/>
      <c r="BA41" s="25"/>
      <c r="BB41" s="25"/>
      <c r="BC41" s="61"/>
      <c r="BD41" s="61"/>
      <c r="BE41" s="61"/>
      <c r="BF41" s="61"/>
      <c r="BG41" s="25"/>
      <c r="BH41" s="25"/>
      <c r="BI41" s="25"/>
      <c r="BJ41" s="25"/>
      <c r="BK41" s="25"/>
      <c r="BL41" s="25"/>
      <c r="BM41" s="25"/>
      <c r="BN41" s="25"/>
      <c r="BO41" s="25"/>
      <c r="BP41" s="25"/>
      <c r="BQ41" s="25"/>
      <c r="BR41" s="25"/>
      <c r="BS41" s="25"/>
      <c r="BT41" s="25"/>
      <c r="BU41" s="25"/>
      <c r="BV41" s="25"/>
      <c r="BW41" s="25"/>
      <c r="BX41" s="25"/>
      <c r="BY41" s="25"/>
      <c r="BZ41" s="25"/>
    </row>
    <row r="42" spans="1:78" x14ac:dyDescent="0.2">
      <c r="A42" s="98" t="s">
        <v>213</v>
      </c>
      <c r="B42" s="99" t="str">
        <f>VLOOKUP(LEFT(A42,7),'Tariff Schedule Lookup Table'!A$8:D$142,3,FALSE)</f>
        <v>5x65</v>
      </c>
      <c r="C42" s="100">
        <v>5</v>
      </c>
      <c r="D42" s="100">
        <v>0</v>
      </c>
      <c r="E42" s="100" t="s">
        <v>23</v>
      </c>
      <c r="F42" s="169">
        <f>VLOOKUP(E42,'Lamp Stock'!A$14:H$49,4,FALSE)*(1+'Public Lighting Charges'!$R$11)</f>
        <v>2.4749854999999998</v>
      </c>
      <c r="G42" s="169">
        <f>VLOOKUP(E42,'Lamp Stock'!A$14:G$49,6,FALSE)*(1+'Public Lighting Charges'!$R$11)</f>
        <v>31.381612092999998</v>
      </c>
      <c r="H42" s="169">
        <f>VLOOKUP(E42,'Lamp Stock'!A$14:H$49,8,FALSE)*(1+'Public Lighting Charges'!$R$11)</f>
        <v>0.4816187999999999</v>
      </c>
      <c r="I42" s="102">
        <v>0.35</v>
      </c>
      <c r="J42" s="102">
        <v>0.1</v>
      </c>
      <c r="K42" s="102">
        <v>0.2</v>
      </c>
      <c r="L42" s="101">
        <v>3</v>
      </c>
      <c r="M42" s="103">
        <f t="shared" si="0"/>
        <v>0.33333333333333331</v>
      </c>
      <c r="N42" s="451">
        <v>2.2700000000000001E-2</v>
      </c>
      <c r="O42" s="192">
        <f>'Maintenance Model'!B$110*I42</f>
        <v>83.95015415332</v>
      </c>
      <c r="P42" s="105">
        <f>C42*(F42*I42+G42*J42)</f>
        <v>20.022030671499998</v>
      </c>
      <c r="Q42" s="105">
        <f>H42*K42*'Maintenance Model'!B$85</f>
        <v>7.7059007999999984E-2</v>
      </c>
      <c r="R42" s="104">
        <f>'Maintenance Model'!B$104*I42</f>
        <v>2.6814666666666667</v>
      </c>
      <c r="S42" s="193">
        <f>SUM(O42:R42)</f>
        <v>106.73071049948668</v>
      </c>
      <c r="T42" s="104">
        <f>'Maintenance Model'!B$110*N42</f>
        <v>5.4447671408010407</v>
      </c>
      <c r="U42" s="240">
        <f t="shared" si="10"/>
        <v>15.973903450101998</v>
      </c>
      <c r="V42" s="104">
        <f>'Maintenance Model'!B$104*N42</f>
        <v>0.17391226666666668</v>
      </c>
      <c r="W42" s="104">
        <f>'Maintenance Model'!B$111*M42</f>
        <v>12.300388886933334</v>
      </c>
      <c r="X42" s="240">
        <f t="shared" si="6"/>
        <v>4.2855154333333321</v>
      </c>
      <c r="Y42" s="104">
        <f>M42*'Maintenance Model'!B$105</f>
        <v>0.3928888888888889</v>
      </c>
      <c r="Z42" s="104">
        <f>SUM(T42:Y42)</f>
        <v>38.571376066725264</v>
      </c>
      <c r="AA42" s="203">
        <f>'Other Maintenance'!B$94</f>
        <v>2.9107349228680333</v>
      </c>
      <c r="AB42" s="104">
        <f>(S42+AA42)</f>
        <v>109.64144542235471</v>
      </c>
      <c r="AC42" s="142">
        <f>(Z42+AA42)</f>
        <v>41.482110989593295</v>
      </c>
      <c r="AD42" s="127">
        <f>'Maintenance Model'!B$114 + 'Maintenance Model'!B$115</f>
        <v>0.99616182311111112</v>
      </c>
      <c r="AE42" s="104" t="e">
        <f>AB42+#REF!+#REF!</f>
        <v>#REF!</v>
      </c>
      <c r="AF42" s="142">
        <f t="shared" si="4"/>
        <v>110.63760724546582</v>
      </c>
      <c r="AG42" s="143">
        <f t="shared" si="5"/>
        <v>42.146218871667372</v>
      </c>
      <c r="AH42" s="61"/>
      <c r="AI42" s="61"/>
      <c r="AJ42" s="61"/>
      <c r="AK42" s="61"/>
      <c r="AL42" s="61"/>
      <c r="AM42" s="61"/>
      <c r="AN42" s="61"/>
      <c r="AO42" s="61"/>
      <c r="AP42" s="61"/>
      <c r="AQ42" s="61"/>
      <c r="AR42" s="61"/>
      <c r="AS42" s="61"/>
      <c r="AT42" s="61"/>
      <c r="AU42" s="61"/>
      <c r="AV42" s="61"/>
      <c r="AW42" s="25"/>
      <c r="AX42" s="61"/>
      <c r="AY42" s="61"/>
      <c r="AZ42" s="129"/>
      <c r="BA42" s="25"/>
      <c r="BB42" s="25"/>
      <c r="BC42" s="61"/>
      <c r="BD42" s="61"/>
      <c r="BE42" s="61"/>
      <c r="BF42" s="61"/>
      <c r="BG42" s="25"/>
      <c r="BH42" s="25"/>
      <c r="BI42" s="25"/>
      <c r="BJ42" s="25"/>
      <c r="BK42" s="25"/>
      <c r="BL42" s="25"/>
      <c r="BM42" s="25"/>
      <c r="BN42" s="25"/>
      <c r="BO42" s="25"/>
      <c r="BP42" s="25"/>
      <c r="BQ42" s="25"/>
      <c r="BR42" s="25"/>
      <c r="BS42" s="25"/>
      <c r="BT42" s="25"/>
      <c r="BU42" s="25"/>
      <c r="BV42" s="25"/>
      <c r="BW42" s="25"/>
      <c r="BX42" s="25"/>
      <c r="BY42" s="25"/>
      <c r="BZ42" s="25"/>
    </row>
    <row r="43" spans="1:78" x14ac:dyDescent="0.2">
      <c r="A43" s="98" t="s">
        <v>2080</v>
      </c>
      <c r="B43" s="99">
        <f>VLOOKUP(LEFT(A43,7),'Tariff Schedule Lookup Table'!A$8:D$142,3,FALSE)</f>
        <v>80</v>
      </c>
      <c r="C43" s="100">
        <v>1</v>
      </c>
      <c r="D43" s="100">
        <v>230</v>
      </c>
      <c r="E43" s="100" t="s">
        <v>23</v>
      </c>
      <c r="F43" s="169">
        <f>VLOOKUP(E43,'Lamp Stock'!A$14:H$49,4,FALSE)*(1+'Public Lighting Charges'!$R$11)</f>
        <v>2.4749854999999998</v>
      </c>
      <c r="G43" s="169">
        <f>VLOOKUP(E43,'Lamp Stock'!A$14:G$49,6,FALSE)*(1+'Public Lighting Charges'!$R$11)</f>
        <v>31.381612092999998</v>
      </c>
      <c r="H43" s="169">
        <f>VLOOKUP(E43,'Lamp Stock'!A$14:H$49,8,FALSE)*(1+'Public Lighting Charges'!$R$11)</f>
        <v>0.4816187999999999</v>
      </c>
      <c r="I43" s="102">
        <v>0.35</v>
      </c>
      <c r="J43" s="102">
        <v>0.1</v>
      </c>
      <c r="K43" s="102">
        <v>0.2</v>
      </c>
      <c r="L43" s="101">
        <v>3</v>
      </c>
      <c r="M43" s="103">
        <f t="shared" si="0"/>
        <v>0.33333333333333331</v>
      </c>
      <c r="N43" s="451">
        <v>2.2700000000000001E-2</v>
      </c>
      <c r="O43" s="192">
        <f>'Maintenance Model'!B$110*I43</f>
        <v>83.95015415332</v>
      </c>
      <c r="P43" s="105">
        <f t="shared" si="1"/>
        <v>4.0044061342999999</v>
      </c>
      <c r="Q43" s="105">
        <f>H43*K43*'Maintenance Model'!B$85</f>
        <v>7.7059007999999984E-2</v>
      </c>
      <c r="R43" s="104">
        <f>'Maintenance Model'!B$104*I43</f>
        <v>2.6814666666666667</v>
      </c>
      <c r="S43" s="193">
        <f t="shared" si="2"/>
        <v>90.713085962286669</v>
      </c>
      <c r="T43" s="104">
        <f>'Maintenance Model'!B$110*N43</f>
        <v>5.4447671408010407</v>
      </c>
      <c r="U43" s="240">
        <f t="shared" si="10"/>
        <v>3.1965299295019998</v>
      </c>
      <c r="V43" s="104">
        <f>'Maintenance Model'!B$104*N43</f>
        <v>0.17391226666666668</v>
      </c>
      <c r="W43" s="104">
        <f>'Maintenance Model'!B$111*M43</f>
        <v>12.300388886933334</v>
      </c>
      <c r="X43" s="240">
        <f t="shared" si="6"/>
        <v>0.85710308666666646</v>
      </c>
      <c r="Y43" s="104">
        <f>M43*'Maintenance Model'!B$105</f>
        <v>0.3928888888888889</v>
      </c>
      <c r="Z43" s="104">
        <f t="shared" si="3"/>
        <v>22.365590199458598</v>
      </c>
      <c r="AA43" s="203">
        <f>'Other Maintenance'!B$94</f>
        <v>2.9107349228680333</v>
      </c>
      <c r="AB43" s="104">
        <f t="shared" si="7"/>
        <v>93.6238208851547</v>
      </c>
      <c r="AC43" s="142">
        <f t="shared" si="8"/>
        <v>25.276325122326632</v>
      </c>
      <c r="AD43" s="127">
        <f>'Maintenance Model'!B$114 + 'Maintenance Model'!B$115</f>
        <v>0.99616182311111112</v>
      </c>
      <c r="AE43" s="104" t="e">
        <f>AB43+#REF!+#REF!</f>
        <v>#REF!</v>
      </c>
      <c r="AF43" s="142">
        <f t="shared" si="4"/>
        <v>94.619982708265809</v>
      </c>
      <c r="AG43" s="143">
        <f t="shared" si="5"/>
        <v>25.940433004400706</v>
      </c>
      <c r="AH43" s="61" t="e">
        <f>S43+#REF!+AD43</f>
        <v>#REF!</v>
      </c>
      <c r="AI43" s="61"/>
      <c r="AJ43" s="61"/>
      <c r="AK43" s="61"/>
      <c r="AL43" s="61"/>
      <c r="AM43" s="61"/>
      <c r="AN43" s="61"/>
      <c r="AO43" s="61"/>
      <c r="AP43" s="61"/>
      <c r="AQ43" s="61"/>
      <c r="AR43" s="61"/>
      <c r="AS43" s="61" t="s">
        <v>1035</v>
      </c>
      <c r="AT43" s="61"/>
      <c r="AU43" s="61">
        <v>35.811167558963746</v>
      </c>
      <c r="AV43" s="61" t="s">
        <v>2041</v>
      </c>
      <c r="AW43" s="25"/>
      <c r="AX43" s="61" t="b">
        <f t="shared" si="9"/>
        <v>1</v>
      </c>
      <c r="AY43" s="61"/>
      <c r="AZ43" s="129"/>
      <c r="BA43" s="25"/>
      <c r="BB43" s="25"/>
      <c r="BC43" s="61"/>
      <c r="BD43" s="61"/>
      <c r="BE43" s="61"/>
      <c r="BF43" s="61"/>
      <c r="BG43" s="25"/>
      <c r="BH43" s="25"/>
      <c r="BI43" s="25"/>
      <c r="BJ43" s="25"/>
      <c r="BK43" s="25"/>
      <c r="BL43" s="25"/>
      <c r="BM43" s="25"/>
      <c r="BN43" s="25"/>
      <c r="BO43" s="25"/>
      <c r="BP43" s="25"/>
      <c r="BQ43" s="25"/>
      <c r="BR43" s="25"/>
      <c r="BS43" s="25"/>
      <c r="BT43" s="25"/>
      <c r="BU43" s="25"/>
      <c r="BV43" s="25"/>
      <c r="BW43" s="25"/>
      <c r="BX43" s="25"/>
      <c r="BY43" s="25"/>
      <c r="BZ43" s="25"/>
    </row>
    <row r="44" spans="1:78" x14ac:dyDescent="0.2">
      <c r="A44" s="98" t="s">
        <v>2081</v>
      </c>
      <c r="B44" s="99" t="str">
        <f>VLOOKUP(LEFT(A44,7),'Tariff Schedule Lookup Table'!A$8:D$142,3,FALSE)</f>
        <v>2x80</v>
      </c>
      <c r="C44" s="100">
        <v>2</v>
      </c>
      <c r="D44" s="100">
        <v>1</v>
      </c>
      <c r="E44" s="100" t="s">
        <v>23</v>
      </c>
      <c r="F44" s="169">
        <f>VLOOKUP(E44,'Lamp Stock'!A$14:H$49,4,FALSE)*(1+'Public Lighting Charges'!$R$11)</f>
        <v>2.4749854999999998</v>
      </c>
      <c r="G44" s="169">
        <f>VLOOKUP(E44,'Lamp Stock'!A$14:G$49,6,FALSE)*(1+'Public Lighting Charges'!$R$11)</f>
        <v>31.381612092999998</v>
      </c>
      <c r="H44" s="169">
        <f>VLOOKUP(E44,'Lamp Stock'!A$14:H$49,8,FALSE)*(1+'Public Lighting Charges'!$R$11)</f>
        <v>0.4816187999999999</v>
      </c>
      <c r="I44" s="102">
        <v>0.35</v>
      </c>
      <c r="J44" s="102">
        <v>0.1</v>
      </c>
      <c r="K44" s="102">
        <v>0.2</v>
      </c>
      <c r="L44" s="101">
        <v>3</v>
      </c>
      <c r="M44" s="103">
        <f t="shared" si="0"/>
        <v>0.33333333333333331</v>
      </c>
      <c r="N44" s="451">
        <v>2.2700000000000001E-2</v>
      </c>
      <c r="O44" s="192">
        <f>'Maintenance Model'!B$110*I44</f>
        <v>83.95015415332</v>
      </c>
      <c r="P44" s="105">
        <f t="shared" si="1"/>
        <v>8.0088122685999998</v>
      </c>
      <c r="Q44" s="105">
        <f>H44*K44*'Maintenance Model'!B$85</f>
        <v>7.7059007999999984E-2</v>
      </c>
      <c r="R44" s="104">
        <f>'Maintenance Model'!B$104*I44</f>
        <v>2.6814666666666667</v>
      </c>
      <c r="S44" s="193">
        <f t="shared" si="2"/>
        <v>94.717492096586668</v>
      </c>
      <c r="T44" s="104">
        <f>'Maintenance Model'!B$110*N44</f>
        <v>5.4447671408010407</v>
      </c>
      <c r="U44" s="240">
        <f t="shared" si="10"/>
        <v>6.3908733096519992</v>
      </c>
      <c r="V44" s="104">
        <f>'Maintenance Model'!B$104*N44</f>
        <v>0.17391226666666668</v>
      </c>
      <c r="W44" s="104">
        <f>'Maintenance Model'!B$111*M44</f>
        <v>12.300388886933334</v>
      </c>
      <c r="X44" s="240">
        <f t="shared" si="6"/>
        <v>1.7142061733333329</v>
      </c>
      <c r="Y44" s="104">
        <f>M44*'Maintenance Model'!B$105</f>
        <v>0.3928888888888889</v>
      </c>
      <c r="Z44" s="104">
        <f t="shared" si="3"/>
        <v>26.417036666275266</v>
      </c>
      <c r="AA44" s="203">
        <f>'Other Maintenance'!B$94</f>
        <v>2.9107349228680333</v>
      </c>
      <c r="AB44" s="104">
        <f t="shared" si="7"/>
        <v>97.628227019454698</v>
      </c>
      <c r="AC44" s="142">
        <f t="shared" si="8"/>
        <v>29.3277715891433</v>
      </c>
      <c r="AD44" s="127">
        <f>'Maintenance Model'!B$114 + 'Maintenance Model'!B$115</f>
        <v>0.99616182311111112</v>
      </c>
      <c r="AE44" s="104" t="e">
        <f>AB44+#REF!+#REF!</f>
        <v>#REF!</v>
      </c>
      <c r="AF44" s="142">
        <f t="shared" si="4"/>
        <v>98.624388842565807</v>
      </c>
      <c r="AG44" s="143">
        <f t="shared" si="5"/>
        <v>29.991879471217374</v>
      </c>
      <c r="AH44" s="61" t="e">
        <f>S44+#REF!+AD44</f>
        <v>#REF!</v>
      </c>
      <c r="AI44" s="61"/>
      <c r="AJ44" s="61"/>
      <c r="AK44" s="61"/>
      <c r="AL44" s="61"/>
      <c r="AM44" s="61"/>
      <c r="AN44" s="61"/>
      <c r="AO44" s="61"/>
      <c r="AP44" s="61"/>
      <c r="AQ44" s="61"/>
      <c r="AR44" s="61"/>
      <c r="AS44" s="61" t="s">
        <v>1037</v>
      </c>
      <c r="AT44" s="61"/>
      <c r="AU44" s="61">
        <v>36.446417558963745</v>
      </c>
      <c r="AV44" s="61" t="s">
        <v>2041</v>
      </c>
      <c r="AW44" s="25"/>
      <c r="AX44" s="61" t="b">
        <f t="shared" si="9"/>
        <v>1</v>
      </c>
      <c r="AY44" s="61"/>
      <c r="AZ44" s="129"/>
      <c r="BA44" s="25"/>
      <c r="BB44" s="25"/>
      <c r="BC44" s="61"/>
      <c r="BD44" s="61"/>
      <c r="BE44" s="61"/>
      <c r="BF44" s="61"/>
      <c r="BG44" s="25"/>
      <c r="BH44" s="25"/>
      <c r="BI44" s="25"/>
      <c r="BJ44" s="25"/>
      <c r="BK44" s="25"/>
      <c r="BL44" s="25"/>
      <c r="BM44" s="25"/>
      <c r="BN44" s="25"/>
      <c r="BO44" s="25"/>
      <c r="BP44" s="25"/>
      <c r="BQ44" s="25"/>
      <c r="BR44" s="25"/>
      <c r="BS44" s="25"/>
      <c r="BT44" s="25"/>
      <c r="BU44" s="25"/>
      <c r="BV44" s="25"/>
      <c r="BW44" s="25"/>
      <c r="BX44" s="25"/>
      <c r="BY44" s="25"/>
      <c r="BZ44" s="25"/>
    </row>
    <row r="45" spans="1:78" x14ac:dyDescent="0.2">
      <c r="A45" s="98" t="s">
        <v>2082</v>
      </c>
      <c r="B45" s="99" t="str">
        <f>VLOOKUP(LEFT(A45,7),'Tariff Schedule Lookup Table'!A$8:D$142,3,FALSE)</f>
        <v>3x80</v>
      </c>
      <c r="C45" s="100">
        <v>3</v>
      </c>
      <c r="D45" s="100">
        <v>0</v>
      </c>
      <c r="E45" s="100" t="s">
        <v>23</v>
      </c>
      <c r="F45" s="169">
        <f>VLOOKUP(E45,'Lamp Stock'!A$14:H$49,4,FALSE)*(1+'Public Lighting Charges'!$R$11)</f>
        <v>2.4749854999999998</v>
      </c>
      <c r="G45" s="169">
        <f>VLOOKUP(E45,'Lamp Stock'!A$14:G$49,6,FALSE)*(1+'Public Lighting Charges'!$R$11)</f>
        <v>31.381612092999998</v>
      </c>
      <c r="H45" s="169">
        <f>VLOOKUP(E45,'Lamp Stock'!A$14:H$49,8,FALSE)*(1+'Public Lighting Charges'!$R$11)</f>
        <v>0.4816187999999999</v>
      </c>
      <c r="I45" s="102">
        <v>0.35</v>
      </c>
      <c r="J45" s="102">
        <v>0.1</v>
      </c>
      <c r="K45" s="102">
        <v>0.2</v>
      </c>
      <c r="L45" s="101">
        <v>3</v>
      </c>
      <c r="M45" s="103">
        <f t="shared" si="0"/>
        <v>0.33333333333333331</v>
      </c>
      <c r="N45" s="451">
        <v>2.2700000000000001E-2</v>
      </c>
      <c r="O45" s="192">
        <f>'Maintenance Model'!B$110*I45</f>
        <v>83.95015415332</v>
      </c>
      <c r="P45" s="105">
        <f t="shared" si="1"/>
        <v>12.0132184029</v>
      </c>
      <c r="Q45" s="105">
        <f>H45*K45*'Maintenance Model'!B$85</f>
        <v>7.7059007999999984E-2</v>
      </c>
      <c r="R45" s="104">
        <f>'Maintenance Model'!B$104*I45</f>
        <v>2.6814666666666667</v>
      </c>
      <c r="S45" s="193">
        <f t="shared" si="2"/>
        <v>98.721898230886666</v>
      </c>
      <c r="T45" s="104">
        <f>'Maintenance Model'!B$110*N45</f>
        <v>5.4447671408010407</v>
      </c>
      <c r="U45" s="240">
        <f t="shared" si="10"/>
        <v>9.5852166898019995</v>
      </c>
      <c r="V45" s="104">
        <f>'Maintenance Model'!B$104*N45</f>
        <v>0.17391226666666668</v>
      </c>
      <c r="W45" s="104">
        <f>'Maintenance Model'!B$111*M45</f>
        <v>12.300388886933334</v>
      </c>
      <c r="X45" s="240">
        <f t="shared" si="6"/>
        <v>2.5713092599999996</v>
      </c>
      <c r="Y45" s="104">
        <f>M45*'Maintenance Model'!B$105</f>
        <v>0.3928888888888889</v>
      </c>
      <c r="Z45" s="104">
        <f t="shared" si="3"/>
        <v>30.468483133091929</v>
      </c>
      <c r="AA45" s="203">
        <f>'Other Maintenance'!B$94</f>
        <v>2.9107349228680333</v>
      </c>
      <c r="AB45" s="104">
        <f t="shared" si="7"/>
        <v>101.6326331537547</v>
      </c>
      <c r="AC45" s="142">
        <f t="shared" si="8"/>
        <v>33.37921805595996</v>
      </c>
      <c r="AD45" s="127">
        <f>'Maintenance Model'!B$114 + 'Maintenance Model'!B$115</f>
        <v>0.99616182311111112</v>
      </c>
      <c r="AE45" s="104" t="e">
        <f>AB45+#REF!+#REF!</f>
        <v>#REF!</v>
      </c>
      <c r="AF45" s="142">
        <f t="shared" si="4"/>
        <v>102.62879497686581</v>
      </c>
      <c r="AG45" s="143">
        <f t="shared" si="5"/>
        <v>34.043325938034037</v>
      </c>
      <c r="AH45" s="61" t="e">
        <f>S45+#REF!+AD45</f>
        <v>#REF!</v>
      </c>
      <c r="AI45" s="61"/>
      <c r="AJ45" s="61"/>
      <c r="AK45" s="61"/>
      <c r="AL45" s="61"/>
      <c r="AM45" s="61"/>
      <c r="AN45" s="61"/>
      <c r="AO45" s="61"/>
      <c r="AP45" s="61"/>
      <c r="AQ45" s="61"/>
      <c r="AR45" s="61"/>
      <c r="AS45" s="61" t="s">
        <v>1039</v>
      </c>
      <c r="AT45" s="61"/>
      <c r="AU45" s="61">
        <v>37.081667558963744</v>
      </c>
      <c r="AV45" s="61" t="s">
        <v>2041</v>
      </c>
      <c r="AW45" s="25"/>
      <c r="AX45" s="61" t="b">
        <f t="shared" si="9"/>
        <v>1</v>
      </c>
      <c r="AY45" s="61"/>
      <c r="AZ45" s="129"/>
      <c r="BA45" s="25"/>
      <c r="BB45" s="25"/>
      <c r="BC45" s="61"/>
      <c r="BD45" s="61"/>
      <c r="BE45" s="61"/>
      <c r="BF45" s="61"/>
      <c r="BG45" s="25"/>
      <c r="BH45" s="25"/>
      <c r="BI45" s="25"/>
      <c r="BJ45" s="25"/>
      <c r="BK45" s="25"/>
      <c r="BL45" s="25"/>
      <c r="BM45" s="25"/>
      <c r="BN45" s="25"/>
      <c r="BO45" s="25"/>
      <c r="BP45" s="25"/>
      <c r="BQ45" s="25"/>
      <c r="BR45" s="25"/>
      <c r="BS45" s="25"/>
      <c r="BT45" s="25"/>
      <c r="BU45" s="25"/>
      <c r="BV45" s="25"/>
      <c r="BW45" s="25"/>
      <c r="BX45" s="25"/>
      <c r="BY45" s="25"/>
      <c r="BZ45" s="25"/>
    </row>
    <row r="46" spans="1:78" x14ac:dyDescent="0.2">
      <c r="A46" s="98" t="s">
        <v>148</v>
      </c>
      <c r="B46" s="99" t="str">
        <f>VLOOKUP(LEFT(A46,7),'Tariff Schedule Lookup Table'!A$8:D$142,3,FALSE)</f>
        <v>4x80</v>
      </c>
      <c r="C46" s="100">
        <v>4</v>
      </c>
      <c r="D46" s="100">
        <v>3</v>
      </c>
      <c r="E46" s="100" t="s">
        <v>23</v>
      </c>
      <c r="F46" s="169">
        <f>VLOOKUP(E46,'Lamp Stock'!A$14:H$49,4,FALSE)*(1+'Public Lighting Charges'!$R$11)</f>
        <v>2.4749854999999998</v>
      </c>
      <c r="G46" s="169">
        <f>VLOOKUP(E46,'Lamp Stock'!A$14:G$49,6,FALSE)*(1+'Public Lighting Charges'!$R$11)</f>
        <v>31.381612092999998</v>
      </c>
      <c r="H46" s="169">
        <f>VLOOKUP(E46,'Lamp Stock'!A$14:H$49,8,FALSE)*(1+'Public Lighting Charges'!$R$11)</f>
        <v>0.4816187999999999</v>
      </c>
      <c r="I46" s="102">
        <v>0.35</v>
      </c>
      <c r="J46" s="102">
        <v>0.1</v>
      </c>
      <c r="K46" s="102">
        <v>0.2</v>
      </c>
      <c r="L46" s="101">
        <v>3</v>
      </c>
      <c r="M46" s="103">
        <f t="shared" si="0"/>
        <v>0.33333333333333331</v>
      </c>
      <c r="N46" s="451">
        <v>2.2700000000000001E-2</v>
      </c>
      <c r="O46" s="192">
        <f>'Maintenance Model'!B$110*I46</f>
        <v>83.95015415332</v>
      </c>
      <c r="P46" s="105">
        <f t="shared" si="1"/>
        <v>16.0176245372</v>
      </c>
      <c r="Q46" s="105">
        <f>H46*K46*'Maintenance Model'!B$85</f>
        <v>7.7059007999999984E-2</v>
      </c>
      <c r="R46" s="104">
        <f>'Maintenance Model'!B$104*I46</f>
        <v>2.6814666666666667</v>
      </c>
      <c r="S46" s="193">
        <f t="shared" si="2"/>
        <v>102.72630436518666</v>
      </c>
      <c r="T46" s="104">
        <f>'Maintenance Model'!B$110*N46</f>
        <v>5.4447671408010407</v>
      </c>
      <c r="U46" s="240">
        <f t="shared" si="10"/>
        <v>12.779560069952</v>
      </c>
      <c r="V46" s="104">
        <f>'Maintenance Model'!B$104*N46</f>
        <v>0.17391226666666668</v>
      </c>
      <c r="W46" s="104">
        <f>'Maintenance Model'!B$111*M46</f>
        <v>12.300388886933334</v>
      </c>
      <c r="X46" s="240">
        <f t="shared" si="6"/>
        <v>3.4284123466666658</v>
      </c>
      <c r="Y46" s="104">
        <f>M46*'Maintenance Model'!B$105</f>
        <v>0.3928888888888889</v>
      </c>
      <c r="Z46" s="104">
        <f t="shared" si="3"/>
        <v>34.519929599908593</v>
      </c>
      <c r="AA46" s="203">
        <f>'Other Maintenance'!B$94</f>
        <v>2.9107349228680333</v>
      </c>
      <c r="AB46" s="104">
        <f t="shared" si="7"/>
        <v>105.63703928805469</v>
      </c>
      <c r="AC46" s="142">
        <f t="shared" si="8"/>
        <v>37.430664522776624</v>
      </c>
      <c r="AD46" s="127">
        <f>'Maintenance Model'!B$114 + 'Maintenance Model'!B$115</f>
        <v>0.99616182311111112</v>
      </c>
      <c r="AE46" s="104" t="e">
        <f>AB46+#REF!+#REF!</f>
        <v>#REF!</v>
      </c>
      <c r="AF46" s="142">
        <f t="shared" si="4"/>
        <v>106.6332011111658</v>
      </c>
      <c r="AG46" s="143">
        <f t="shared" si="5"/>
        <v>38.094772404850701</v>
      </c>
      <c r="AH46" s="61" t="e">
        <f>S46+#REF!+AD46</f>
        <v>#REF!</v>
      </c>
      <c r="AI46" s="61"/>
      <c r="AJ46" s="61"/>
      <c r="AK46" s="61"/>
      <c r="AL46" s="61"/>
      <c r="AM46" s="61"/>
      <c r="AN46" s="61"/>
      <c r="AO46" s="61"/>
      <c r="AP46" s="61"/>
      <c r="AQ46" s="61"/>
      <c r="AR46" s="61"/>
      <c r="AS46" s="61"/>
      <c r="AT46" s="61"/>
      <c r="AU46" s="61">
        <v>37.716917558963743</v>
      </c>
      <c r="AV46" s="61" t="s">
        <v>2041</v>
      </c>
      <c r="AW46" s="25"/>
      <c r="AX46" s="61" t="b">
        <f t="shared" si="9"/>
        <v>1</v>
      </c>
      <c r="AY46" s="61"/>
      <c r="AZ46" s="129"/>
      <c r="BA46" s="25"/>
      <c r="BB46" s="25"/>
      <c r="BC46" s="61"/>
      <c r="BD46" s="61"/>
      <c r="BE46" s="61"/>
      <c r="BF46" s="61"/>
      <c r="BG46" s="25"/>
      <c r="BH46" s="25"/>
      <c r="BI46" s="25"/>
      <c r="BJ46" s="25"/>
      <c r="BK46" s="25"/>
      <c r="BL46" s="25"/>
      <c r="BM46" s="25"/>
      <c r="BN46" s="25"/>
      <c r="BO46" s="25"/>
      <c r="BP46" s="25"/>
      <c r="BQ46" s="25"/>
      <c r="BR46" s="25"/>
      <c r="BS46" s="25"/>
      <c r="BT46" s="25"/>
      <c r="BU46" s="25"/>
      <c r="BV46" s="25"/>
      <c r="BW46" s="25"/>
      <c r="BX46" s="25"/>
      <c r="BY46" s="25"/>
      <c r="BZ46" s="25"/>
    </row>
    <row r="47" spans="1:78" x14ac:dyDescent="0.2">
      <c r="A47" s="98" t="s">
        <v>214</v>
      </c>
      <c r="B47" s="99" t="str">
        <f>VLOOKUP(LEFT(A47,7),'Tariff Schedule Lookup Table'!A$8:D$142,3,FALSE)</f>
        <v>5x80</v>
      </c>
      <c r="C47" s="100">
        <v>5</v>
      </c>
      <c r="D47" s="100">
        <v>0</v>
      </c>
      <c r="E47" s="100" t="s">
        <v>23</v>
      </c>
      <c r="F47" s="169">
        <f>VLOOKUP(E47,'Lamp Stock'!A$14:H$49,4,FALSE)*(1+'Public Lighting Charges'!$R$11)</f>
        <v>2.4749854999999998</v>
      </c>
      <c r="G47" s="169">
        <f>VLOOKUP(E47,'Lamp Stock'!A$14:G$49,6,FALSE)*(1+'Public Lighting Charges'!$R$11)</f>
        <v>31.381612092999998</v>
      </c>
      <c r="H47" s="169">
        <f>VLOOKUP(E47,'Lamp Stock'!A$14:H$49,8,FALSE)*(1+'Public Lighting Charges'!$R$11)</f>
        <v>0.4816187999999999</v>
      </c>
      <c r="I47" s="102">
        <v>0.35</v>
      </c>
      <c r="J47" s="102">
        <v>0.1</v>
      </c>
      <c r="K47" s="102">
        <v>0.2</v>
      </c>
      <c r="L47" s="101">
        <v>3</v>
      </c>
      <c r="M47" s="103">
        <f t="shared" si="0"/>
        <v>0.33333333333333331</v>
      </c>
      <c r="N47" s="451">
        <v>2.2700000000000001E-2</v>
      </c>
      <c r="O47" s="192">
        <f>'Maintenance Model'!B$110*I47</f>
        <v>83.95015415332</v>
      </c>
      <c r="P47" s="105">
        <f>C47*(F47*I47+G47*J47)</f>
        <v>20.022030671499998</v>
      </c>
      <c r="Q47" s="105">
        <f>H47*K47*'Maintenance Model'!B$85</f>
        <v>7.7059007999999984E-2</v>
      </c>
      <c r="R47" s="104">
        <f>'Maintenance Model'!B$104*I47</f>
        <v>2.6814666666666667</v>
      </c>
      <c r="S47" s="193">
        <f>SUM(O47:R47)</f>
        <v>106.73071049948668</v>
      </c>
      <c r="T47" s="104">
        <f>'Maintenance Model'!B$110*N47</f>
        <v>5.4447671408010407</v>
      </c>
      <c r="U47" s="240">
        <f t="shared" si="10"/>
        <v>15.973903450101998</v>
      </c>
      <c r="V47" s="104">
        <f>'Maintenance Model'!B$104*N47</f>
        <v>0.17391226666666668</v>
      </c>
      <c r="W47" s="104">
        <f>'Maintenance Model'!B$111*M47</f>
        <v>12.300388886933334</v>
      </c>
      <c r="X47" s="240">
        <f t="shared" si="6"/>
        <v>4.2855154333333321</v>
      </c>
      <c r="Y47" s="104">
        <f>M47*'Maintenance Model'!B$105</f>
        <v>0.3928888888888889</v>
      </c>
      <c r="Z47" s="104">
        <f>SUM(T47:Y47)</f>
        <v>38.571376066725264</v>
      </c>
      <c r="AA47" s="203">
        <f>'Other Maintenance'!B$94</f>
        <v>2.9107349228680333</v>
      </c>
      <c r="AB47" s="104">
        <f>(S47+AA47)</f>
        <v>109.64144542235471</v>
      </c>
      <c r="AC47" s="142">
        <f>(Z47+AA47)</f>
        <v>41.482110989593295</v>
      </c>
      <c r="AD47" s="127">
        <f>'Maintenance Model'!B$114 + 'Maintenance Model'!B$115</f>
        <v>0.99616182311111112</v>
      </c>
      <c r="AE47" s="104" t="e">
        <f>AB47+#REF!+#REF!</f>
        <v>#REF!</v>
      </c>
      <c r="AF47" s="142">
        <f t="shared" si="4"/>
        <v>110.63760724546582</v>
      </c>
      <c r="AG47" s="143">
        <f t="shared" si="5"/>
        <v>42.146218871667372</v>
      </c>
      <c r="AH47" s="61"/>
      <c r="AI47" s="61"/>
      <c r="AJ47" s="61"/>
      <c r="AK47" s="61"/>
      <c r="AL47" s="61"/>
      <c r="AM47" s="61"/>
      <c r="AN47" s="61"/>
      <c r="AO47" s="61"/>
      <c r="AP47" s="61"/>
      <c r="AQ47" s="61"/>
      <c r="AR47" s="61"/>
      <c r="AS47" s="61"/>
      <c r="AT47" s="61"/>
      <c r="AU47" s="61"/>
      <c r="AV47" s="61"/>
      <c r="AW47" s="25"/>
      <c r="AX47" s="61"/>
      <c r="AY47" s="61"/>
      <c r="AZ47" s="129"/>
      <c r="BA47" s="25"/>
      <c r="BB47" s="25"/>
      <c r="BC47" s="61"/>
      <c r="BD47" s="61"/>
      <c r="BE47" s="61"/>
      <c r="BF47" s="61"/>
      <c r="BG47" s="25"/>
      <c r="BH47" s="25"/>
      <c r="BI47" s="25"/>
      <c r="BJ47" s="25"/>
      <c r="BK47" s="25"/>
      <c r="BL47" s="25"/>
      <c r="BM47" s="25"/>
      <c r="BN47" s="25"/>
      <c r="BO47" s="25"/>
      <c r="BP47" s="25"/>
      <c r="BQ47" s="25"/>
      <c r="BR47" s="25"/>
      <c r="BS47" s="25"/>
      <c r="BT47" s="25"/>
      <c r="BU47" s="25"/>
      <c r="BV47" s="25"/>
      <c r="BW47" s="25"/>
      <c r="BX47" s="25"/>
      <c r="BY47" s="25"/>
      <c r="BZ47" s="25"/>
    </row>
    <row r="48" spans="1:78" x14ac:dyDescent="0.2">
      <c r="A48" s="98" t="s">
        <v>215</v>
      </c>
      <c r="B48" s="99" t="str">
        <f>VLOOKUP(LEFT(A48,7),'Tariff Schedule Lookup Table'!A$8:D$142,3,FALSE)</f>
        <v>6x80</v>
      </c>
      <c r="C48" s="100">
        <v>6</v>
      </c>
      <c r="D48" s="100">
        <v>0</v>
      </c>
      <c r="E48" s="100" t="s">
        <v>23</v>
      </c>
      <c r="F48" s="169">
        <f>VLOOKUP(E48,'Lamp Stock'!A$14:H$49,4,FALSE)*(1+'Public Lighting Charges'!$R$11)</f>
        <v>2.4749854999999998</v>
      </c>
      <c r="G48" s="169">
        <f>VLOOKUP(E48,'Lamp Stock'!A$14:G$49,6,FALSE)*(1+'Public Lighting Charges'!$R$11)</f>
        <v>31.381612092999998</v>
      </c>
      <c r="H48" s="169">
        <f>VLOOKUP(E48,'Lamp Stock'!A$14:H$49,8,FALSE)*(1+'Public Lighting Charges'!$R$11)</f>
        <v>0.4816187999999999</v>
      </c>
      <c r="I48" s="102">
        <v>0.35</v>
      </c>
      <c r="J48" s="102">
        <v>0.1</v>
      </c>
      <c r="K48" s="102">
        <v>0.2</v>
      </c>
      <c r="L48" s="101">
        <v>3</v>
      </c>
      <c r="M48" s="103">
        <f t="shared" si="0"/>
        <v>0.33333333333333331</v>
      </c>
      <c r="N48" s="451">
        <v>2.2700000000000001E-2</v>
      </c>
      <c r="O48" s="192">
        <f>'Maintenance Model'!B$110*I48</f>
        <v>83.95015415332</v>
      </c>
      <c r="P48" s="105">
        <f>C48*(F48*I48+G48*J48)</f>
        <v>24.0264368058</v>
      </c>
      <c r="Q48" s="105">
        <f>H48*K48*'Maintenance Model'!B$85</f>
        <v>7.7059007999999984E-2</v>
      </c>
      <c r="R48" s="104">
        <f>'Maintenance Model'!B$104*I48</f>
        <v>2.6814666666666667</v>
      </c>
      <c r="S48" s="193">
        <f>SUM(O48:R48)</f>
        <v>110.73511663378667</v>
      </c>
      <c r="T48" s="104">
        <f>'Maintenance Model'!B$110*N48</f>
        <v>5.4447671408010407</v>
      </c>
      <c r="U48" s="240">
        <f t="shared" si="10"/>
        <v>19.168246830251999</v>
      </c>
      <c r="V48" s="104">
        <f>'Maintenance Model'!B$104*N48</f>
        <v>0.17391226666666668</v>
      </c>
      <c r="W48" s="104">
        <f>'Maintenance Model'!B$111*M48</f>
        <v>12.300388886933334</v>
      </c>
      <c r="X48" s="240">
        <f t="shared" si="6"/>
        <v>5.1426185199999992</v>
      </c>
      <c r="Y48" s="104">
        <f>M48*'Maintenance Model'!B$105</f>
        <v>0.3928888888888889</v>
      </c>
      <c r="Z48" s="104">
        <f>SUM(T48:Y48)</f>
        <v>42.622822533541928</v>
      </c>
      <c r="AA48" s="203">
        <f>'Other Maintenance'!B$94</f>
        <v>2.9107349228680333</v>
      </c>
      <c r="AB48" s="104">
        <f>(S48+AA48)</f>
        <v>113.6458515566547</v>
      </c>
      <c r="AC48" s="142">
        <f>(Z48+AA48)</f>
        <v>45.533557456409959</v>
      </c>
      <c r="AD48" s="127">
        <f>'Maintenance Model'!B$114 + 'Maintenance Model'!B$115</f>
        <v>0.99616182311111112</v>
      </c>
      <c r="AE48" s="104" t="e">
        <f>AB48+#REF!+#REF!</f>
        <v>#REF!</v>
      </c>
      <c r="AF48" s="142">
        <f t="shared" si="4"/>
        <v>114.64201337976581</v>
      </c>
      <c r="AG48" s="143">
        <f t="shared" si="5"/>
        <v>46.197665338484036</v>
      </c>
      <c r="AH48" s="61"/>
      <c r="AI48" s="61"/>
      <c r="AJ48" s="61"/>
      <c r="AK48" s="61"/>
      <c r="AL48" s="61"/>
      <c r="AM48" s="61"/>
      <c r="AN48" s="61"/>
      <c r="AO48" s="61"/>
      <c r="AP48" s="61"/>
      <c r="AQ48" s="61"/>
      <c r="AR48" s="61"/>
      <c r="AS48" s="61"/>
      <c r="AT48" s="61"/>
      <c r="AU48" s="61"/>
      <c r="AV48" s="61"/>
      <c r="AW48" s="25"/>
      <c r="AX48" s="61"/>
      <c r="AY48" s="61"/>
      <c r="AZ48" s="129"/>
      <c r="BA48" s="25"/>
      <c r="BB48" s="25"/>
      <c r="BC48" s="61"/>
      <c r="BD48" s="61"/>
      <c r="BE48" s="61"/>
      <c r="BF48" s="61"/>
      <c r="BG48" s="25"/>
      <c r="BH48" s="25"/>
      <c r="BI48" s="25"/>
      <c r="BJ48" s="25"/>
      <c r="BK48" s="25"/>
      <c r="BL48" s="25"/>
      <c r="BM48" s="25"/>
      <c r="BN48" s="25"/>
      <c r="BO48" s="25"/>
      <c r="BP48" s="25"/>
      <c r="BQ48" s="25"/>
      <c r="BR48" s="25"/>
      <c r="BS48" s="25"/>
      <c r="BT48" s="25"/>
      <c r="BU48" s="25"/>
      <c r="BV48" s="25"/>
      <c r="BW48" s="25"/>
      <c r="BX48" s="25"/>
      <c r="BY48" s="25"/>
      <c r="BZ48" s="25"/>
    </row>
    <row r="49" spans="1:78" ht="13.7" customHeight="1" x14ac:dyDescent="0.2">
      <c r="A49" s="98" t="s">
        <v>2083</v>
      </c>
      <c r="B49" s="99" t="str">
        <f>VLOOKUP(LEFT(A49,7),'Tariff Schedule Lookup Table'!A$8:D$142,3,FALSE)</f>
        <v>2x125</v>
      </c>
      <c r="C49" s="100">
        <v>2</v>
      </c>
      <c r="D49" s="100">
        <v>0</v>
      </c>
      <c r="E49" s="100" t="s">
        <v>23</v>
      </c>
      <c r="F49" s="169">
        <f>VLOOKUP(E49,'Lamp Stock'!A$14:H$49,4,FALSE)*(1+'Public Lighting Charges'!$R$11)</f>
        <v>2.4749854999999998</v>
      </c>
      <c r="G49" s="169">
        <f>VLOOKUP(E49,'Lamp Stock'!A$14:G$49,6,FALSE)*(1+'Public Lighting Charges'!$R$11)</f>
        <v>31.381612092999998</v>
      </c>
      <c r="H49" s="169">
        <f>VLOOKUP(E49,'Lamp Stock'!A$14:H$49,8,FALSE)*(1+'Public Lighting Charges'!$R$11)</f>
        <v>0.4816187999999999</v>
      </c>
      <c r="I49" s="102">
        <v>0.35</v>
      </c>
      <c r="J49" s="102">
        <v>0.1</v>
      </c>
      <c r="K49" s="102">
        <v>0.2</v>
      </c>
      <c r="L49" s="101">
        <v>3</v>
      </c>
      <c r="M49" s="103">
        <f t="shared" si="0"/>
        <v>0.33333333333333331</v>
      </c>
      <c r="N49" s="451">
        <v>2.2700000000000001E-2</v>
      </c>
      <c r="O49" s="104">
        <f>'Maintenance Model'!B$110*I49</f>
        <v>83.95015415332</v>
      </c>
      <c r="P49" s="105">
        <f t="shared" si="1"/>
        <v>8.0088122685999998</v>
      </c>
      <c r="Q49" s="105">
        <f>H49*K49*'Maintenance Model'!B$85</f>
        <v>7.7059007999999984E-2</v>
      </c>
      <c r="R49" s="104">
        <f>'Maintenance Model'!B$104*I49</f>
        <v>2.6814666666666667</v>
      </c>
      <c r="S49" s="105">
        <f t="shared" si="2"/>
        <v>94.717492096586668</v>
      </c>
      <c r="T49" s="104">
        <f>'Maintenance Model'!B$110*N49</f>
        <v>5.4447671408010407</v>
      </c>
      <c r="U49" s="240">
        <f t="shared" si="10"/>
        <v>6.3908733096519992</v>
      </c>
      <c r="V49" s="104">
        <f>'Maintenance Model'!B$104*N49</f>
        <v>0.17391226666666668</v>
      </c>
      <c r="W49" s="104">
        <f>'Maintenance Model'!B$111*M49</f>
        <v>12.300388886933334</v>
      </c>
      <c r="X49" s="240">
        <f t="shared" si="6"/>
        <v>1.7142061733333329</v>
      </c>
      <c r="Y49" s="104">
        <f>M49*'Maintenance Model'!B$105</f>
        <v>0.3928888888888889</v>
      </c>
      <c r="Z49" s="104">
        <f t="shared" si="3"/>
        <v>26.417036666275266</v>
      </c>
      <c r="AA49" s="235">
        <f>'Other Maintenance'!B$94</f>
        <v>2.9107349228680333</v>
      </c>
      <c r="AB49" s="104">
        <f t="shared" si="7"/>
        <v>97.628227019454698</v>
      </c>
      <c r="AC49" s="142">
        <f t="shared" si="8"/>
        <v>29.3277715891433</v>
      </c>
      <c r="AD49" s="127">
        <f>'Maintenance Model'!B$114 + 'Maintenance Model'!B$115</f>
        <v>0.99616182311111112</v>
      </c>
      <c r="AE49" s="104" t="e">
        <f>AB49+#REF!+#REF!</f>
        <v>#REF!</v>
      </c>
      <c r="AF49" s="142">
        <f t="shared" si="4"/>
        <v>98.624388842565807</v>
      </c>
      <c r="AG49" s="143">
        <f t="shared" si="5"/>
        <v>29.991879471217374</v>
      </c>
      <c r="AH49" s="61" t="e">
        <f>S49+#REF!+AD49</f>
        <v>#REF!</v>
      </c>
      <c r="AI49" s="61"/>
      <c r="AJ49" s="61"/>
      <c r="AK49" s="61"/>
      <c r="AL49" s="61"/>
      <c r="AM49" s="61"/>
      <c r="AN49" s="61"/>
      <c r="AO49" s="61"/>
      <c r="AP49" s="61"/>
      <c r="AQ49" s="61"/>
      <c r="AR49" s="61"/>
      <c r="AS49" s="61" t="s">
        <v>1041</v>
      </c>
      <c r="AT49" s="61"/>
      <c r="AU49" s="61">
        <v>42.924961514805169</v>
      </c>
      <c r="AV49" s="61" t="s">
        <v>2041</v>
      </c>
      <c r="AW49" s="25"/>
      <c r="AX49" s="61" t="b">
        <f t="shared" si="9"/>
        <v>1</v>
      </c>
      <c r="AY49" s="61"/>
      <c r="AZ49" s="129"/>
      <c r="BA49" s="25"/>
      <c r="BB49" s="25"/>
      <c r="BC49" s="61"/>
      <c r="BD49" s="61"/>
      <c r="BE49" s="61"/>
      <c r="BF49" s="61"/>
      <c r="BG49" s="25"/>
      <c r="BH49" s="25"/>
      <c r="BI49" s="25"/>
      <c r="BJ49" s="25"/>
      <c r="BK49" s="25"/>
      <c r="BL49" s="25"/>
      <c r="BM49" s="25"/>
      <c r="BN49" s="25"/>
      <c r="BO49" s="25"/>
      <c r="BP49" s="25"/>
      <c r="BQ49" s="25"/>
      <c r="BR49" s="25"/>
      <c r="BS49" s="25"/>
      <c r="BT49" s="25"/>
      <c r="BU49" s="25"/>
      <c r="BV49" s="25"/>
      <c r="BW49" s="25"/>
      <c r="BX49" s="25"/>
      <c r="BY49" s="25"/>
      <c r="BZ49" s="25"/>
    </row>
    <row r="50" spans="1:78" ht="13.7" customHeight="1" x14ac:dyDescent="0.2">
      <c r="A50" s="98" t="s">
        <v>216</v>
      </c>
      <c r="B50" s="99">
        <f>VLOOKUP(LEFT(A50,7),'Tariff Schedule Lookup Table'!A$8:D$142,3,FALSE)</f>
        <v>176</v>
      </c>
      <c r="C50" s="100">
        <v>1</v>
      </c>
      <c r="D50" s="100">
        <v>0</v>
      </c>
      <c r="E50" s="100" t="s">
        <v>23</v>
      </c>
      <c r="F50" s="169">
        <f>VLOOKUP(E50,'Lamp Stock'!A$14:H$49,4,FALSE)*(1+'Public Lighting Charges'!$R$11)</f>
        <v>2.4749854999999998</v>
      </c>
      <c r="G50" s="169">
        <f>VLOOKUP(E50,'Lamp Stock'!A$14:G$49,6,FALSE)*(1+'Public Lighting Charges'!$R$11)</f>
        <v>31.381612092999998</v>
      </c>
      <c r="H50" s="169">
        <f>VLOOKUP(E50,'Lamp Stock'!A$14:H$49,8,FALSE)*(1+'Public Lighting Charges'!$R$11)</f>
        <v>0.4816187999999999</v>
      </c>
      <c r="I50" s="102">
        <v>0.35</v>
      </c>
      <c r="J50" s="102">
        <v>0.1</v>
      </c>
      <c r="K50" s="102">
        <v>0.2</v>
      </c>
      <c r="L50" s="101">
        <v>3</v>
      </c>
      <c r="M50" s="103">
        <f t="shared" si="0"/>
        <v>0.33333333333333331</v>
      </c>
      <c r="N50" s="451">
        <v>2.2700000000000001E-2</v>
      </c>
      <c r="O50" s="104">
        <f>'Maintenance Model'!B$110*I50</f>
        <v>83.95015415332</v>
      </c>
      <c r="P50" s="105">
        <f>C50*(F50*I50+G50*J50)</f>
        <v>4.0044061342999999</v>
      </c>
      <c r="Q50" s="105">
        <f>H50*K50*'Maintenance Model'!B$86</f>
        <v>2.8897127999999994E-2</v>
      </c>
      <c r="R50" s="104">
        <f>'Maintenance Model'!B$104*I50</f>
        <v>2.6814666666666667</v>
      </c>
      <c r="S50" s="105">
        <f>SUM(O50:R50)</f>
        <v>90.66492408228666</v>
      </c>
      <c r="T50" s="104">
        <f>'Maintenance Model'!B$110*N50</f>
        <v>5.4447671408010407</v>
      </c>
      <c r="U50" s="240">
        <f t="shared" si="10"/>
        <v>3.1965299295019998</v>
      </c>
      <c r="V50" s="104">
        <f>'Maintenance Model'!B$104*N50</f>
        <v>0.17391226666666668</v>
      </c>
      <c r="W50" s="104">
        <f>'Maintenance Model'!B$111*M50</f>
        <v>12.300388886933334</v>
      </c>
      <c r="X50" s="240">
        <f t="shared" si="6"/>
        <v>0.85710308666666646</v>
      </c>
      <c r="Y50" s="104">
        <f>M50*'Maintenance Model'!B$105</f>
        <v>0.3928888888888889</v>
      </c>
      <c r="Z50" s="104">
        <f>SUM(T50:Y50)</f>
        <v>22.365590199458598</v>
      </c>
      <c r="AA50" s="235">
        <f>'Other Maintenance'!B$94</f>
        <v>2.9107349228680333</v>
      </c>
      <c r="AB50" s="104">
        <f>(S50+AA50)</f>
        <v>93.575659005154691</v>
      </c>
      <c r="AC50" s="142">
        <f>(Z50+AA50)</f>
        <v>25.276325122326632</v>
      </c>
      <c r="AD50" s="127">
        <f>'Maintenance Model'!B$114 + 'Maintenance Model'!B$115</f>
        <v>0.99616182311111112</v>
      </c>
      <c r="AE50" s="104" t="e">
        <f>AB50+#REF!+#REF!</f>
        <v>#REF!</v>
      </c>
      <c r="AF50" s="142">
        <f t="shared" si="4"/>
        <v>94.5718208282658</v>
      </c>
      <c r="AG50" s="143">
        <f t="shared" si="5"/>
        <v>25.940433004400706</v>
      </c>
      <c r="AH50" s="61" t="e">
        <f>S50+#REF!+AD50</f>
        <v>#REF!</v>
      </c>
      <c r="AI50" s="61"/>
      <c r="AJ50" s="61"/>
      <c r="AK50" s="61"/>
      <c r="AL50" s="61"/>
      <c r="AM50" s="61"/>
      <c r="AN50" s="61"/>
      <c r="AO50" s="61"/>
      <c r="AP50" s="61"/>
      <c r="AQ50" s="61"/>
      <c r="AR50" s="61"/>
      <c r="AS50" s="61" t="s">
        <v>1041</v>
      </c>
      <c r="AT50" s="61"/>
      <c r="AU50" s="61">
        <v>42.924961514805169</v>
      </c>
      <c r="AV50" s="61" t="s">
        <v>2041</v>
      </c>
      <c r="AW50" s="25"/>
      <c r="AX50" s="61"/>
      <c r="AY50" s="61"/>
      <c r="AZ50" s="129"/>
      <c r="BA50" s="25"/>
      <c r="BB50" s="25"/>
      <c r="BC50" s="61"/>
      <c r="BD50" s="61"/>
      <c r="BE50" s="61"/>
      <c r="BF50" s="61"/>
      <c r="BG50" s="25"/>
      <c r="BH50" s="25"/>
      <c r="BI50" s="25"/>
      <c r="BJ50" s="25"/>
      <c r="BK50" s="25"/>
      <c r="BL50" s="25"/>
      <c r="BM50" s="25"/>
      <c r="BN50" s="25"/>
      <c r="BO50" s="25"/>
      <c r="BP50" s="25"/>
      <c r="BQ50" s="25"/>
      <c r="BR50" s="25"/>
      <c r="BS50" s="25"/>
      <c r="BT50" s="25"/>
      <c r="BU50" s="25"/>
      <c r="BV50" s="25"/>
      <c r="BW50" s="25"/>
      <c r="BX50" s="25"/>
      <c r="BY50" s="25"/>
      <c r="BZ50" s="25"/>
    </row>
    <row r="51" spans="1:78" ht="13.7" customHeight="1" x14ac:dyDescent="0.2">
      <c r="A51" s="106" t="s">
        <v>217</v>
      </c>
      <c r="B51" s="107">
        <f>VLOOKUP(LEFT(A51,7),'Tariff Schedule Lookup Table'!A$8:D$142,3,FALSE)</f>
        <v>236</v>
      </c>
      <c r="C51" s="108">
        <v>1</v>
      </c>
      <c r="D51" s="108">
        <v>0</v>
      </c>
      <c r="E51" s="108" t="s">
        <v>23</v>
      </c>
      <c r="F51" s="169">
        <f>VLOOKUP(E51,'Lamp Stock'!A$14:H$49,4,FALSE)*(1+'Public Lighting Charges'!$R$11)</f>
        <v>2.4749854999999998</v>
      </c>
      <c r="G51" s="169">
        <f>VLOOKUP(E51,'Lamp Stock'!A$14:G$49,6,FALSE)*(1+'Public Lighting Charges'!$R$11)</f>
        <v>31.381612092999998</v>
      </c>
      <c r="H51" s="169">
        <f>VLOOKUP(E51,'Lamp Stock'!A$14:H$49,8,FALSE)*(1+'Public Lighting Charges'!$R$11)</f>
        <v>0.4816187999999999</v>
      </c>
      <c r="I51" s="110">
        <v>0.35</v>
      </c>
      <c r="J51" s="110">
        <v>0.1</v>
      </c>
      <c r="K51" s="110">
        <v>0.2</v>
      </c>
      <c r="L51" s="109">
        <v>3</v>
      </c>
      <c r="M51" s="111">
        <f t="shared" si="0"/>
        <v>0.33333333333333331</v>
      </c>
      <c r="N51" s="451">
        <v>2.2700000000000001E-2</v>
      </c>
      <c r="O51" s="112">
        <f>'Maintenance Model'!B$110*I51</f>
        <v>83.95015415332</v>
      </c>
      <c r="P51" s="113">
        <f>C51*(F51*I51+G51*J51)</f>
        <v>4.0044061342999999</v>
      </c>
      <c r="Q51" s="113">
        <f>H51*K51*'Maintenance Model'!B$86</f>
        <v>2.8897127999999994E-2</v>
      </c>
      <c r="R51" s="112">
        <f>'Maintenance Model'!B$104*I51</f>
        <v>2.6814666666666667</v>
      </c>
      <c r="S51" s="113">
        <f>SUM(O51:R51)</f>
        <v>90.66492408228666</v>
      </c>
      <c r="T51" s="112">
        <f>'Maintenance Model'!B$110*N51</f>
        <v>5.4447671408010407</v>
      </c>
      <c r="U51" s="240">
        <f t="shared" si="10"/>
        <v>3.1965299295019998</v>
      </c>
      <c r="V51" s="112">
        <f>'Maintenance Model'!B$104*N51</f>
        <v>0.17391226666666668</v>
      </c>
      <c r="W51" s="112">
        <f>'Maintenance Model'!B$111*M51</f>
        <v>12.300388886933334</v>
      </c>
      <c r="X51" s="240">
        <f t="shared" si="6"/>
        <v>0.85710308666666646</v>
      </c>
      <c r="Y51" s="112">
        <f>M51*'Maintenance Model'!B$105</f>
        <v>0.3928888888888889</v>
      </c>
      <c r="Z51" s="112">
        <f>SUM(T51:Y51)</f>
        <v>22.365590199458598</v>
      </c>
      <c r="AA51" s="236">
        <f>'Other Maintenance'!B$94</f>
        <v>2.9107349228680333</v>
      </c>
      <c r="AB51" s="112">
        <f>(S51+AA51)</f>
        <v>93.575659005154691</v>
      </c>
      <c r="AC51" s="162">
        <f>(Z51+AA51)</f>
        <v>25.276325122326632</v>
      </c>
      <c r="AD51" s="130">
        <f>'Maintenance Model'!B$114 + 'Maintenance Model'!B$115</f>
        <v>0.99616182311111112</v>
      </c>
      <c r="AE51" s="112" t="e">
        <f>AB51+#REF!+#REF!</f>
        <v>#REF!</v>
      </c>
      <c r="AF51" s="162">
        <f t="shared" si="4"/>
        <v>94.5718208282658</v>
      </c>
      <c r="AG51" s="163">
        <f t="shared" si="5"/>
        <v>25.940433004400706</v>
      </c>
      <c r="AH51" s="61" t="e">
        <f>S51+#REF!+AD51</f>
        <v>#REF!</v>
      </c>
      <c r="AI51" s="61"/>
      <c r="AJ51" s="61"/>
      <c r="AK51" s="61"/>
      <c r="AL51" s="61"/>
      <c r="AM51" s="61"/>
      <c r="AN51" s="61"/>
      <c r="AO51" s="61"/>
      <c r="AP51" s="61"/>
      <c r="AQ51" s="61"/>
      <c r="AR51" s="61"/>
      <c r="AS51" s="61" t="s">
        <v>1041</v>
      </c>
      <c r="AT51" s="61"/>
      <c r="AU51" s="61">
        <v>42.924961514805169</v>
      </c>
      <c r="AV51" s="61" t="s">
        <v>2041</v>
      </c>
      <c r="AW51" s="25"/>
      <c r="AX51" s="61"/>
      <c r="AY51" s="61"/>
      <c r="AZ51" s="129"/>
      <c r="BA51" s="25"/>
      <c r="BB51" s="25"/>
      <c r="BC51" s="61"/>
      <c r="BD51" s="61"/>
      <c r="BE51" s="61"/>
      <c r="BF51" s="61"/>
      <c r="BG51" s="25"/>
      <c r="BH51" s="25"/>
      <c r="BI51" s="25"/>
      <c r="BJ51" s="25"/>
      <c r="BK51" s="25"/>
      <c r="BL51" s="25"/>
      <c r="BM51" s="25"/>
      <c r="BN51" s="25"/>
      <c r="BO51" s="25"/>
      <c r="BP51" s="25"/>
      <c r="BQ51" s="25"/>
      <c r="BR51" s="25"/>
      <c r="BS51" s="25"/>
      <c r="BT51" s="25"/>
      <c r="BU51" s="25"/>
      <c r="BV51" s="25"/>
      <c r="BW51" s="25"/>
      <c r="BX51" s="25"/>
      <c r="BY51" s="25"/>
      <c r="BZ51" s="25"/>
    </row>
    <row r="52" spans="1:78" ht="13.7" customHeight="1" x14ac:dyDescent="0.2">
      <c r="A52" s="98" t="s">
        <v>2084</v>
      </c>
      <c r="B52" s="99">
        <f>VLOOKUP(LEFT(A52,7),'Tariff Schedule Lookup Table'!A$8:D$142,3,FALSE)</f>
        <v>50</v>
      </c>
      <c r="C52" s="100">
        <v>1</v>
      </c>
      <c r="D52" s="100">
        <v>4147</v>
      </c>
      <c r="E52" s="100" t="s">
        <v>43</v>
      </c>
      <c r="F52" s="169">
        <f>VLOOKUP(E52,'Lamp Stock'!A$14:H$49,4,FALSE)*(1+'Public Lighting Charges'!$R$11)</f>
        <v>17.2446287</v>
      </c>
      <c r="G52" s="169">
        <f>VLOOKUP(E52,'Lamp Stock'!A$14:G$49,6,FALSE)*(1+'Public Lighting Charges'!$R$11)</f>
        <v>23.893643799999996</v>
      </c>
      <c r="H52" s="169">
        <f>VLOOKUP(E52,'Lamp Stock'!A$14:H$49,8,FALSE)*(1+'Public Lighting Charges'!$R$11)</f>
        <v>31.974136999999999</v>
      </c>
      <c r="I52" s="102">
        <v>0.2</v>
      </c>
      <c r="J52" s="102">
        <v>0.1</v>
      </c>
      <c r="K52" s="102">
        <v>0.2</v>
      </c>
      <c r="L52" s="101">
        <v>3</v>
      </c>
      <c r="M52" s="103">
        <f t="shared" si="0"/>
        <v>0.33333333333333331</v>
      </c>
      <c r="N52" s="451">
        <v>9.5500000000000002E-2</v>
      </c>
      <c r="O52" s="192">
        <f>'Maintenance Model'!B$110*I52</f>
        <v>47.971516659040006</v>
      </c>
      <c r="P52" s="105">
        <f t="shared" si="1"/>
        <v>5.8382901199999999</v>
      </c>
      <c r="Q52" s="105">
        <f>H52*K52*'Maintenance Model'!B$85</f>
        <v>5.1158619200000004</v>
      </c>
      <c r="R52" s="104">
        <f>'Maintenance Model'!B$104*I52</f>
        <v>1.5322666666666667</v>
      </c>
      <c r="S52" s="193">
        <f t="shared" si="2"/>
        <v>60.457935365706668</v>
      </c>
      <c r="T52" s="104">
        <f>'Maintenance Model'!B$110*N52</f>
        <v>22.906399204691603</v>
      </c>
      <c r="U52" s="240">
        <f t="shared" si="10"/>
        <v>4.6469324375499994</v>
      </c>
      <c r="V52" s="104">
        <f>'Maintenance Model'!B$104*N52</f>
        <v>0.73165733333333338</v>
      </c>
      <c r="W52" s="104">
        <f>'Maintenance Model'!B$111*M52</f>
        <v>12.300388886933334</v>
      </c>
      <c r="X52" s="240">
        <f t="shared" si="6"/>
        <v>7.8798186999999995</v>
      </c>
      <c r="Y52" s="104">
        <f>M52*'Maintenance Model'!B$105</f>
        <v>0.3928888888888889</v>
      </c>
      <c r="Z52" s="105">
        <f t="shared" si="3"/>
        <v>48.858085451397159</v>
      </c>
      <c r="AA52" s="203">
        <f>'Other Maintenance'!B$94</f>
        <v>2.9107349228680333</v>
      </c>
      <c r="AB52" s="104">
        <f t="shared" si="7"/>
        <v>63.368670288574698</v>
      </c>
      <c r="AC52" s="142">
        <f t="shared" si="8"/>
        <v>51.768820374265189</v>
      </c>
      <c r="AD52" s="127">
        <f>'Maintenance Model'!B$114 + 'Maintenance Model'!B$115</f>
        <v>0.99616182311111112</v>
      </c>
      <c r="AE52" s="131" t="e">
        <f>AB52+#REF!+#REF!</f>
        <v>#REF!</v>
      </c>
      <c r="AF52" s="142">
        <f t="shared" ref="AF52:AF83" si="11">(AB52+AD52)</f>
        <v>64.364832111685814</v>
      </c>
      <c r="AG52" s="143">
        <f t="shared" ref="AG52:AG83" si="12">(AC52+ (2/3*AD52))</f>
        <v>52.432928256339267</v>
      </c>
      <c r="AH52" s="61" t="e">
        <f>S52+#REF!+AD52</f>
        <v>#REF!</v>
      </c>
      <c r="AI52" s="61">
        <f>AG52-AF52</f>
        <v>-11.931903855346548</v>
      </c>
      <c r="AJ52" s="61"/>
      <c r="AK52" s="61"/>
      <c r="AL52" s="61"/>
      <c r="AM52" s="61"/>
      <c r="AN52" s="61"/>
      <c r="AO52" s="61"/>
      <c r="AP52" s="61"/>
      <c r="AQ52" s="61"/>
      <c r="AR52" s="61"/>
      <c r="AS52" s="61" t="s">
        <v>1045</v>
      </c>
      <c r="AT52" s="61"/>
      <c r="AU52" s="61">
        <v>37.832380775405092</v>
      </c>
      <c r="AV52" s="61">
        <v>35.423417211671755</v>
      </c>
      <c r="AW52" s="25"/>
      <c r="AX52" s="61" t="b">
        <f t="shared" si="9"/>
        <v>1</v>
      </c>
      <c r="AY52" s="61"/>
      <c r="AZ52" s="129"/>
      <c r="BA52" s="25"/>
      <c r="BB52" s="25"/>
      <c r="BC52" s="61"/>
      <c r="BD52" s="61"/>
      <c r="BE52" s="61"/>
      <c r="BF52" s="61"/>
      <c r="BG52" s="25"/>
      <c r="BH52" s="25"/>
      <c r="BI52" s="25"/>
      <c r="BJ52" s="25"/>
      <c r="BK52" s="25"/>
      <c r="BL52" s="25"/>
      <c r="BM52" s="25"/>
      <c r="BN52" s="25"/>
      <c r="BO52" s="25"/>
      <c r="BP52" s="25"/>
      <c r="BQ52" s="25"/>
      <c r="BR52" s="25"/>
      <c r="BS52" s="25"/>
      <c r="BT52" s="25"/>
      <c r="BU52" s="25"/>
      <c r="BV52" s="25"/>
      <c r="BW52" s="25"/>
      <c r="BX52" s="25"/>
      <c r="BY52" s="25"/>
      <c r="BZ52" s="25"/>
    </row>
    <row r="53" spans="1:78" x14ac:dyDescent="0.2">
      <c r="A53" s="98" t="s">
        <v>149</v>
      </c>
      <c r="B53" s="99">
        <f>VLOOKUP(LEFT(A53,7),'Tariff Schedule Lookup Table'!A$8:D$142,3,FALSE)</f>
        <v>50</v>
      </c>
      <c r="C53" s="100">
        <v>1</v>
      </c>
      <c r="D53" s="100">
        <v>4147</v>
      </c>
      <c r="E53" s="100" t="s">
        <v>43</v>
      </c>
      <c r="F53" s="169">
        <f>VLOOKUP(E53,'Lamp Stock'!A$14:H$49,4,FALSE)*(1+'Public Lighting Charges'!$R$11)</f>
        <v>17.2446287</v>
      </c>
      <c r="G53" s="169">
        <f>VLOOKUP(E53,'Lamp Stock'!A$14:G$49,6,FALSE)*(1+'Public Lighting Charges'!$R$11)</f>
        <v>23.893643799999996</v>
      </c>
      <c r="H53" s="169">
        <f>VLOOKUP(E53,'Lamp Stock'!A$14:H$49,8,FALSE)*(1+'Public Lighting Charges'!$R$11)</f>
        <v>31.974136999999999</v>
      </c>
      <c r="I53" s="102">
        <v>0.25</v>
      </c>
      <c r="J53" s="102">
        <v>0.1</v>
      </c>
      <c r="K53" s="102">
        <v>0.2</v>
      </c>
      <c r="L53" s="101">
        <v>3</v>
      </c>
      <c r="M53" s="103">
        <f t="shared" si="0"/>
        <v>0.33333333333333331</v>
      </c>
      <c r="N53" s="451">
        <v>9.5500000000000002E-2</v>
      </c>
      <c r="O53" s="192">
        <f>'Maintenance Model'!B$110*I53</f>
        <v>59.964395823800004</v>
      </c>
      <c r="P53" s="105">
        <f t="shared" si="1"/>
        <v>6.7005215549999999</v>
      </c>
      <c r="Q53" s="105">
        <f>H53*K53*'Maintenance Model'!B$85</f>
        <v>5.1158619200000004</v>
      </c>
      <c r="R53" s="104">
        <f>'Maintenance Model'!B$104*I53</f>
        <v>1.9153333333333333</v>
      </c>
      <c r="S53" s="193">
        <f t="shared" si="2"/>
        <v>73.696112632133335</v>
      </c>
      <c r="T53" s="104">
        <f>'Maintenance Model'!B$110*N53</f>
        <v>22.906399204691603</v>
      </c>
      <c r="U53" s="240">
        <f t="shared" si="10"/>
        <v>4.6469324375499994</v>
      </c>
      <c r="V53" s="104">
        <f>'Maintenance Model'!B$104*N53</f>
        <v>0.73165733333333338</v>
      </c>
      <c r="W53" s="104">
        <f>'Maintenance Model'!B$111*M53</f>
        <v>12.300388886933334</v>
      </c>
      <c r="X53" s="240">
        <f t="shared" si="6"/>
        <v>7.8798186999999995</v>
      </c>
      <c r="Y53" s="104">
        <f>M53*'Maintenance Model'!B$105</f>
        <v>0.3928888888888889</v>
      </c>
      <c r="Z53" s="105">
        <f t="shared" ref="Z53:Z71" si="13">SUM(T53:Y53)</f>
        <v>48.858085451397159</v>
      </c>
      <c r="AA53" s="203">
        <f>'Other Maintenance'!B$94</f>
        <v>2.9107349228680333</v>
      </c>
      <c r="AB53" s="104">
        <f t="shared" si="7"/>
        <v>76.606847555001366</v>
      </c>
      <c r="AC53" s="142">
        <f t="shared" si="8"/>
        <v>51.768820374265189</v>
      </c>
      <c r="AD53" s="127">
        <f>'Maintenance Model'!B$114 + 'Maintenance Model'!B$115</f>
        <v>0.99616182311111112</v>
      </c>
      <c r="AE53" s="131" t="e">
        <f>AB53+#REF!+#REF!</f>
        <v>#REF!</v>
      </c>
      <c r="AF53" s="142">
        <f t="shared" si="11"/>
        <v>77.603009378112475</v>
      </c>
      <c r="AG53" s="143">
        <f t="shared" si="12"/>
        <v>52.432928256339267</v>
      </c>
      <c r="AH53" s="61" t="e">
        <f>S53+#REF!+AD53</f>
        <v>#REF!</v>
      </c>
      <c r="AI53" s="61"/>
      <c r="AJ53" s="61"/>
      <c r="AK53" s="61"/>
      <c r="AL53" s="61"/>
      <c r="AM53" s="61"/>
      <c r="AN53" s="61"/>
      <c r="AO53" s="61"/>
      <c r="AP53" s="61"/>
      <c r="AQ53" s="61"/>
      <c r="AR53" s="61"/>
      <c r="AS53" s="61"/>
      <c r="AT53" s="61"/>
      <c r="AU53" s="61" t="s">
        <v>2041</v>
      </c>
      <c r="AV53" s="61" t="s">
        <v>2041</v>
      </c>
      <c r="AW53" s="25"/>
      <c r="AX53" s="61" t="b">
        <f t="shared" si="9"/>
        <v>1</v>
      </c>
      <c r="AY53" s="61"/>
      <c r="AZ53" s="129"/>
      <c r="BA53" s="25"/>
      <c r="BB53" s="25"/>
      <c r="BC53" s="61"/>
      <c r="BD53" s="61"/>
      <c r="BE53" s="61"/>
      <c r="BF53" s="61"/>
      <c r="BG53" s="25"/>
      <c r="BH53" s="25"/>
      <c r="BI53" s="25"/>
      <c r="BJ53" s="25"/>
      <c r="BK53" s="25"/>
      <c r="BL53" s="25"/>
      <c r="BM53" s="25"/>
      <c r="BN53" s="25"/>
      <c r="BO53" s="25"/>
      <c r="BP53" s="25"/>
      <c r="BQ53" s="25"/>
      <c r="BR53" s="25"/>
      <c r="BS53" s="25"/>
      <c r="BT53" s="25"/>
      <c r="BU53" s="25"/>
      <c r="BV53" s="25"/>
      <c r="BW53" s="25"/>
      <c r="BX53" s="25"/>
      <c r="BY53" s="25"/>
      <c r="BZ53" s="25"/>
    </row>
    <row r="54" spans="1:78" ht="13.7" customHeight="1" x14ac:dyDescent="0.2">
      <c r="A54" s="98" t="s">
        <v>2085</v>
      </c>
      <c r="B54" s="99">
        <f>VLOOKUP(LEFT(A54,7),'Tariff Schedule Lookup Table'!A$8:D$142,3,FALSE)</f>
        <v>50</v>
      </c>
      <c r="C54" s="100">
        <v>1</v>
      </c>
      <c r="D54" s="100">
        <v>4147</v>
      </c>
      <c r="E54" s="100" t="s">
        <v>2085</v>
      </c>
      <c r="F54" s="169">
        <f>VLOOKUP(E54,'Lamp Stock'!A$14:H$49,4,FALSE)*(1+'Public Lighting Charges'!$R$11)</f>
        <v>32.509269000000003</v>
      </c>
      <c r="G54" s="169">
        <f>VLOOKUP(E54,'Lamp Stock'!A$14:G$49,6,FALSE)*(1+'Public Lighting Charges'!$R$11)</f>
        <v>23.893643799999996</v>
      </c>
      <c r="H54" s="169">
        <f>VLOOKUP(E54,'Lamp Stock'!A$14:H$49,8,FALSE)*(1+'Public Lighting Charges'!$R$11)</f>
        <v>31.974136999999999</v>
      </c>
      <c r="I54" s="102">
        <v>0.12</v>
      </c>
      <c r="J54" s="102">
        <v>0.1</v>
      </c>
      <c r="K54" s="102">
        <v>0.2</v>
      </c>
      <c r="L54" s="101">
        <v>3</v>
      </c>
      <c r="M54" s="103">
        <f t="shared" si="0"/>
        <v>0.33333333333333331</v>
      </c>
      <c r="N54" s="451">
        <v>7.2499999999999995E-2</v>
      </c>
      <c r="O54" s="192">
        <f>'Maintenance Model'!B$110*I54</f>
        <v>28.782909995423999</v>
      </c>
      <c r="P54" s="105">
        <f t="shared" si="1"/>
        <v>6.2904766599999995</v>
      </c>
      <c r="Q54" s="105">
        <f>H54*K54*'Maintenance Model'!B$85</f>
        <v>5.1158619200000004</v>
      </c>
      <c r="R54" s="104">
        <f>'Maintenance Model'!B$104*I54</f>
        <v>0.91935999999999996</v>
      </c>
      <c r="S54" s="193">
        <f t="shared" si="2"/>
        <v>41.108608575424</v>
      </c>
      <c r="T54" s="104">
        <f>'Maintenance Model'!B$110*N54</f>
        <v>17.389674788901999</v>
      </c>
      <c r="U54" s="240">
        <f t="shared" si="10"/>
        <v>5.2099113689999994</v>
      </c>
      <c r="V54" s="104">
        <f>'Maintenance Model'!B$104*N54</f>
        <v>0.55544666666666664</v>
      </c>
      <c r="W54" s="104">
        <f>'Maintenance Model'!B$111*M54</f>
        <v>12.300388886933334</v>
      </c>
      <c r="X54" s="240">
        <f t="shared" si="6"/>
        <v>12.968032133333333</v>
      </c>
      <c r="Y54" s="104">
        <f>M54*'Maintenance Model'!B$105</f>
        <v>0.3928888888888889</v>
      </c>
      <c r="Z54" s="105">
        <f t="shared" si="13"/>
        <v>48.81634273372422</v>
      </c>
      <c r="AA54" s="203">
        <f>'Other Maintenance'!B$94</f>
        <v>2.9107349228680333</v>
      </c>
      <c r="AB54" s="104">
        <f t="shared" si="7"/>
        <v>44.019343498292031</v>
      </c>
      <c r="AC54" s="142">
        <f t="shared" si="8"/>
        <v>51.72707765659225</v>
      </c>
      <c r="AD54" s="127">
        <f>'Maintenance Model'!B$114 + 'Maintenance Model'!B$115</f>
        <v>0.99616182311111112</v>
      </c>
      <c r="AE54" s="131" t="e">
        <f>AB54+#REF!+#REF!</f>
        <v>#REF!</v>
      </c>
      <c r="AF54" s="142">
        <f t="shared" si="11"/>
        <v>45.01550532140314</v>
      </c>
      <c r="AG54" s="143">
        <f t="shared" si="12"/>
        <v>52.391185538666328</v>
      </c>
      <c r="AH54" s="61" t="e">
        <f>S54+#REF!+AD54</f>
        <v>#REF!</v>
      </c>
      <c r="AI54" s="61"/>
      <c r="AJ54" s="61"/>
      <c r="AK54" s="61"/>
      <c r="AL54" s="61"/>
      <c r="AM54" s="61"/>
      <c r="AN54" s="61"/>
      <c r="AO54" s="61"/>
      <c r="AP54" s="61"/>
      <c r="AQ54" s="61"/>
      <c r="AR54" s="61"/>
      <c r="AS54" s="61" t="s">
        <v>1060</v>
      </c>
      <c r="AT54" s="61"/>
      <c r="AU54" s="61">
        <v>27.449749228205086</v>
      </c>
      <c r="AV54" s="61">
        <v>29.87274172576064</v>
      </c>
      <c r="AW54" s="25"/>
      <c r="AX54" s="61" t="b">
        <f t="shared" si="9"/>
        <v>0</v>
      </c>
      <c r="AY54" s="61"/>
      <c r="AZ54" s="129"/>
      <c r="BA54" s="25"/>
      <c r="BB54" s="25"/>
      <c r="BC54" s="61"/>
      <c r="BD54" s="61"/>
      <c r="BE54" s="61"/>
      <c r="BF54" s="61"/>
      <c r="BG54" s="25"/>
      <c r="BH54" s="25"/>
      <c r="BI54" s="25"/>
      <c r="BJ54" s="25"/>
      <c r="BK54" s="25"/>
      <c r="BL54" s="25"/>
      <c r="BM54" s="25"/>
      <c r="BN54" s="25"/>
      <c r="BO54" s="25"/>
      <c r="BP54" s="25"/>
      <c r="BQ54" s="25"/>
      <c r="BR54" s="25"/>
      <c r="BS54" s="25"/>
      <c r="BT54" s="25"/>
      <c r="BU54" s="25"/>
      <c r="BV54" s="25"/>
      <c r="BW54" s="25"/>
      <c r="BX54" s="25"/>
      <c r="BY54" s="25"/>
      <c r="BZ54" s="25"/>
    </row>
    <row r="55" spans="1:78" ht="13.7" customHeight="1" x14ac:dyDescent="0.2">
      <c r="A55" s="98" t="s">
        <v>2086</v>
      </c>
      <c r="B55" s="99">
        <f>VLOOKUP(LEFT(A55,7),'Tariff Schedule Lookup Table'!A$8:D$142,3,FALSE)</f>
        <v>70</v>
      </c>
      <c r="C55" s="100">
        <v>1</v>
      </c>
      <c r="D55" s="100">
        <v>20752</v>
      </c>
      <c r="E55" s="100" t="s">
        <v>44</v>
      </c>
      <c r="F55" s="169">
        <f>VLOOKUP(E55,'Lamp Stock'!A$14:H$49,4,FALSE)*(1+'Public Lighting Charges'!$R$11)</f>
        <v>14.261267799999999</v>
      </c>
      <c r="G55" s="169">
        <f>VLOOKUP(E55,'Lamp Stock'!A$14:G$49,6,FALSE)*(1+'Public Lighting Charges'!$R$11)</f>
        <v>33.713315999999992</v>
      </c>
      <c r="H55" s="169">
        <f>VLOOKUP(E55,'Lamp Stock'!A$14:H$49,8,FALSE)*(1+'Public Lighting Charges'!$R$11)</f>
        <v>31.974136999999999</v>
      </c>
      <c r="I55" s="102">
        <v>0.2</v>
      </c>
      <c r="J55" s="102">
        <v>0.1</v>
      </c>
      <c r="K55" s="102">
        <v>0.2</v>
      </c>
      <c r="L55" s="101">
        <v>3</v>
      </c>
      <c r="M55" s="103">
        <f t="shared" si="0"/>
        <v>0.33333333333333331</v>
      </c>
      <c r="N55" s="451">
        <v>9.5500000000000002E-2</v>
      </c>
      <c r="O55" s="192">
        <f>'Maintenance Model'!B$110*I55</f>
        <v>47.971516659040006</v>
      </c>
      <c r="P55" s="105">
        <f t="shared" si="1"/>
        <v>6.223585159999999</v>
      </c>
      <c r="Q55" s="105">
        <f>H55*K55*'Maintenance Model'!B$85</f>
        <v>5.1158619200000004</v>
      </c>
      <c r="R55" s="104">
        <f>'Maintenance Model'!B$104*I55</f>
        <v>1.5322666666666667</v>
      </c>
      <c r="S55" s="193">
        <f t="shared" si="2"/>
        <v>60.84323040570667</v>
      </c>
      <c r="T55" s="104">
        <f>'Maintenance Model'!B$110*N55</f>
        <v>22.906399204691603</v>
      </c>
      <c r="U55" s="240">
        <f t="shared" si="10"/>
        <v>5.3439886915999999</v>
      </c>
      <c r="V55" s="104">
        <f>'Maintenance Model'!B$104*N55</f>
        <v>0.73165733333333338</v>
      </c>
      <c r="W55" s="104">
        <f>'Maintenance Model'!B$111*M55</f>
        <v>12.300388886933334</v>
      </c>
      <c r="X55" s="240">
        <f t="shared" si="6"/>
        <v>6.8853650666666661</v>
      </c>
      <c r="Y55" s="104">
        <f>M55*'Maintenance Model'!B$105</f>
        <v>0.3928888888888889</v>
      </c>
      <c r="Z55" s="105">
        <f t="shared" si="13"/>
        <v>48.560688072113827</v>
      </c>
      <c r="AA55" s="203">
        <f>'Other Maintenance'!B$94</f>
        <v>2.9107349228680333</v>
      </c>
      <c r="AB55" s="104">
        <f t="shared" si="7"/>
        <v>63.753965328574701</v>
      </c>
      <c r="AC55" s="142">
        <f t="shared" si="8"/>
        <v>51.471422994981857</v>
      </c>
      <c r="AD55" s="127">
        <f>'Maintenance Model'!B$114 + 'Maintenance Model'!B$115</f>
        <v>0.99616182311111112</v>
      </c>
      <c r="AE55" s="131" t="e">
        <f>AB55+#REF!+#REF!</f>
        <v>#REF!</v>
      </c>
      <c r="AF55" s="142">
        <f t="shared" si="11"/>
        <v>64.750127151685817</v>
      </c>
      <c r="AG55" s="143">
        <f t="shared" si="12"/>
        <v>52.135530877055935</v>
      </c>
      <c r="AH55" s="61" t="e">
        <f>S55+#REF!+AD55</f>
        <v>#REF!</v>
      </c>
      <c r="AI55" s="61">
        <f>AG55-AF55</f>
        <v>-12.614596274629882</v>
      </c>
      <c r="AJ55" s="61"/>
      <c r="AK55" s="61"/>
      <c r="AL55" s="61"/>
      <c r="AM55" s="61"/>
      <c r="AN55" s="61"/>
      <c r="AO55" s="61"/>
      <c r="AP55" s="61"/>
      <c r="AQ55" s="61"/>
      <c r="AR55" s="61"/>
      <c r="AS55" s="61" t="s">
        <v>1061</v>
      </c>
      <c r="AT55" s="61"/>
      <c r="AU55" s="61">
        <v>39.440580775405095</v>
      </c>
      <c r="AV55" s="61">
        <v>38.425390545005087</v>
      </c>
      <c r="AW55" s="25"/>
      <c r="AX55" s="61" t="b">
        <f t="shared" si="9"/>
        <v>1</v>
      </c>
      <c r="AY55" s="61"/>
      <c r="AZ55" s="129"/>
      <c r="BA55" s="25"/>
      <c r="BB55" s="25"/>
      <c r="BC55" s="61"/>
      <c r="BD55" s="61"/>
      <c r="BE55" s="61"/>
      <c r="BF55" s="61"/>
      <c r="BG55" s="25"/>
      <c r="BH55" s="25"/>
      <c r="BI55" s="25"/>
      <c r="BJ55" s="25"/>
      <c r="BK55" s="25"/>
      <c r="BL55" s="25"/>
      <c r="BM55" s="25"/>
      <c r="BN55" s="25"/>
      <c r="BO55" s="25"/>
      <c r="BP55" s="25"/>
      <c r="BQ55" s="25"/>
      <c r="BR55" s="25"/>
      <c r="BS55" s="25"/>
      <c r="BT55" s="25"/>
      <c r="BU55" s="25"/>
      <c r="BV55" s="25"/>
      <c r="BW55" s="25"/>
      <c r="BX55" s="25"/>
      <c r="BY55" s="25"/>
      <c r="BZ55" s="25"/>
    </row>
    <row r="56" spans="1:78" ht="12.75" customHeight="1" x14ac:dyDescent="0.2">
      <c r="A56" s="98" t="s">
        <v>2087</v>
      </c>
      <c r="B56" s="99">
        <f>VLOOKUP(LEFT(A56,7),'Tariff Schedule Lookup Table'!A$8:D$142,3,FALSE)</f>
        <v>70</v>
      </c>
      <c r="C56" s="100">
        <v>1</v>
      </c>
      <c r="D56" s="100">
        <v>20752</v>
      </c>
      <c r="E56" s="100" t="s">
        <v>2087</v>
      </c>
      <c r="F56" s="169">
        <f>VLOOKUP(E56,'Lamp Stock'!A$14:H$49,4,FALSE)*(1+'Public Lighting Charges'!$R$11)</f>
        <v>34.516013999999998</v>
      </c>
      <c r="G56" s="169">
        <f>VLOOKUP(E56,'Lamp Stock'!A$14:G$49,6,FALSE)*(1+'Public Lighting Charges'!$R$11)</f>
        <v>63.814490999999997</v>
      </c>
      <c r="H56" s="169">
        <f>VLOOKUP(E56,'Lamp Stock'!A$14:H$49,8,FALSE)*(1+'Public Lighting Charges'!$R$11)</f>
        <v>31.974136999999999</v>
      </c>
      <c r="I56" s="102">
        <v>0.12</v>
      </c>
      <c r="J56" s="102">
        <v>0.1</v>
      </c>
      <c r="K56" s="102">
        <v>0.2</v>
      </c>
      <c r="L56" s="101">
        <v>3</v>
      </c>
      <c r="M56" s="103">
        <f t="shared" si="0"/>
        <v>0.33333333333333331</v>
      </c>
      <c r="N56" s="451">
        <v>7.2499999999999995E-2</v>
      </c>
      <c r="O56" s="192">
        <f>'Maintenance Model'!B$110*I56</f>
        <v>28.782909995423999</v>
      </c>
      <c r="P56" s="105">
        <f t="shared" si="1"/>
        <v>10.52337078</v>
      </c>
      <c r="Q56" s="105">
        <f>H56*K56*'Maintenance Model'!B$85</f>
        <v>5.1158619200000004</v>
      </c>
      <c r="R56" s="104">
        <f>'Maintenance Model'!B$104*I56</f>
        <v>0.91935999999999996</v>
      </c>
      <c r="S56" s="193">
        <f t="shared" si="2"/>
        <v>45.341502695423998</v>
      </c>
      <c r="T56" s="104">
        <f>'Maintenance Model'!B$110*N56</f>
        <v>17.389674788901999</v>
      </c>
      <c r="U56" s="240">
        <f t="shared" si="10"/>
        <v>9.3474851015000002</v>
      </c>
      <c r="V56" s="104">
        <f>'Maintenance Model'!B$104*N56</f>
        <v>0.55544666666666664</v>
      </c>
      <c r="W56" s="104">
        <f>'Maintenance Model'!B$111*M56</f>
        <v>12.300388886933334</v>
      </c>
      <c r="X56" s="240">
        <f t="shared" si="6"/>
        <v>13.636947133333331</v>
      </c>
      <c r="Y56" s="104">
        <f>M56*'Maintenance Model'!B$105</f>
        <v>0.3928888888888889</v>
      </c>
      <c r="Z56" s="105">
        <f t="shared" si="13"/>
        <v>53.62283146622422</v>
      </c>
      <c r="AA56" s="203">
        <f>'Other Maintenance'!B$94</f>
        <v>2.9107349228680333</v>
      </c>
      <c r="AB56" s="104">
        <f t="shared" si="7"/>
        <v>48.252237618292028</v>
      </c>
      <c r="AC56" s="142">
        <f t="shared" si="8"/>
        <v>56.53356638909225</v>
      </c>
      <c r="AD56" s="127">
        <f>'Maintenance Model'!B$114 + 'Maintenance Model'!B$115</f>
        <v>0.99616182311111112</v>
      </c>
      <c r="AE56" s="131" t="e">
        <f>AB56+#REF!+#REF!</f>
        <v>#REF!</v>
      </c>
      <c r="AF56" s="142">
        <f t="shared" si="11"/>
        <v>49.248399441403137</v>
      </c>
      <c r="AG56" s="143">
        <f t="shared" si="12"/>
        <v>57.197674271166328</v>
      </c>
      <c r="AH56" s="61" t="e">
        <f>S56+#REF!+AD56</f>
        <v>#REF!</v>
      </c>
      <c r="AI56" s="61"/>
      <c r="AJ56" s="61"/>
      <c r="AK56" s="61"/>
      <c r="AL56" s="61"/>
      <c r="AM56" s="61"/>
      <c r="AN56" s="61"/>
      <c r="AO56" s="61"/>
      <c r="AP56" s="61"/>
      <c r="AQ56" s="61"/>
      <c r="AR56" s="61"/>
      <c r="AS56" s="61" t="s">
        <v>1063</v>
      </c>
      <c r="AT56" s="61"/>
      <c r="AU56" s="61">
        <v>27.647749228205086</v>
      </c>
      <c r="AV56" s="61">
        <v>30.272408392427312</v>
      </c>
      <c r="AW56" s="25"/>
      <c r="AX56" s="61" t="b">
        <f t="shared" si="9"/>
        <v>0</v>
      </c>
      <c r="AY56" s="61"/>
      <c r="AZ56" s="129"/>
      <c r="BA56" s="25"/>
      <c r="BB56" s="25"/>
      <c r="BC56" s="61"/>
      <c r="BD56" s="61"/>
      <c r="BE56" s="61"/>
      <c r="BF56" s="61"/>
      <c r="BG56" s="25"/>
      <c r="BH56" s="25"/>
      <c r="BI56" s="25"/>
      <c r="BJ56" s="25"/>
      <c r="BK56" s="25"/>
      <c r="BL56" s="25"/>
      <c r="BM56" s="25"/>
      <c r="BN56" s="25"/>
      <c r="BO56" s="25"/>
      <c r="BP56" s="25"/>
      <c r="BQ56" s="25"/>
      <c r="BR56" s="25"/>
      <c r="BS56" s="25"/>
      <c r="BT56" s="25"/>
      <c r="BU56" s="25"/>
      <c r="BV56" s="25"/>
      <c r="BW56" s="25"/>
      <c r="BX56" s="25"/>
      <c r="BY56" s="25"/>
      <c r="BZ56" s="25"/>
    </row>
    <row r="57" spans="1:78" x14ac:dyDescent="0.2">
      <c r="A57" s="98" t="s">
        <v>150</v>
      </c>
      <c r="B57" s="99" t="str">
        <f>VLOOKUP(LEFT(A57,7),'Tariff Schedule Lookup Table'!A$8:D$142,3,FALSE)</f>
        <v>2x70</v>
      </c>
      <c r="C57" s="100">
        <v>2</v>
      </c>
      <c r="D57" s="100">
        <v>1</v>
      </c>
      <c r="E57" s="100" t="s">
        <v>44</v>
      </c>
      <c r="F57" s="169">
        <f>VLOOKUP(E57,'Lamp Stock'!A$14:H$49,4,FALSE)*(1+'Public Lighting Charges'!$R$11)</f>
        <v>14.261267799999999</v>
      </c>
      <c r="G57" s="169">
        <f>VLOOKUP(E57,'Lamp Stock'!A$14:G$49,6,FALSE)*(1+'Public Lighting Charges'!$R$11)</f>
        <v>33.713315999999992</v>
      </c>
      <c r="H57" s="169">
        <f>VLOOKUP(E57,'Lamp Stock'!A$14:H$49,8,FALSE)*(1+'Public Lighting Charges'!$R$11)</f>
        <v>31.974136999999999</v>
      </c>
      <c r="I57" s="102">
        <v>0.2</v>
      </c>
      <c r="J57" s="102">
        <v>0.1</v>
      </c>
      <c r="K57" s="102">
        <v>0.2</v>
      </c>
      <c r="L57" s="101">
        <v>3</v>
      </c>
      <c r="M57" s="103">
        <f t="shared" si="0"/>
        <v>0.33333333333333331</v>
      </c>
      <c r="N57" s="451">
        <v>9.5500000000000002E-2</v>
      </c>
      <c r="O57" s="192">
        <f>'Maintenance Model'!B$110*I57</f>
        <v>47.971516659040006</v>
      </c>
      <c r="P57" s="105">
        <f t="shared" si="1"/>
        <v>12.447170319999998</v>
      </c>
      <c r="Q57" s="105">
        <f>H57*K57*'Maintenance Model'!B$85</f>
        <v>5.1158619200000004</v>
      </c>
      <c r="R57" s="104">
        <f>'Maintenance Model'!B$104*I57</f>
        <v>1.5322666666666667</v>
      </c>
      <c r="S57" s="193">
        <f t="shared" si="2"/>
        <v>67.066815565706676</v>
      </c>
      <c r="T57" s="104">
        <f>'Maintenance Model'!B$110*N57</f>
        <v>22.906399204691603</v>
      </c>
      <c r="U57" s="240">
        <f t="shared" si="10"/>
        <v>10.077271366499998</v>
      </c>
      <c r="V57" s="104">
        <f>'Maintenance Model'!B$104*N57</f>
        <v>0.73165733333333338</v>
      </c>
      <c r="W57" s="104">
        <f>'Maintenance Model'!B$111*M57</f>
        <v>12.300388886933334</v>
      </c>
      <c r="X57" s="240">
        <f t="shared" si="6"/>
        <v>13.770730133333332</v>
      </c>
      <c r="Y57" s="104">
        <f>M57*'Maintenance Model'!B$105</f>
        <v>0.3928888888888889</v>
      </c>
      <c r="Z57" s="105">
        <f t="shared" si="13"/>
        <v>60.179335813680488</v>
      </c>
      <c r="AA57" s="203">
        <f>'Other Maintenance'!B$94</f>
        <v>2.9107349228680333</v>
      </c>
      <c r="AB57" s="104">
        <f t="shared" si="7"/>
        <v>69.977550488574707</v>
      </c>
      <c r="AC57" s="142">
        <f t="shared" si="8"/>
        <v>63.090070736548519</v>
      </c>
      <c r="AD57" s="127">
        <f>'Maintenance Model'!B$114 + 'Maintenance Model'!B$115</f>
        <v>0.99616182311111112</v>
      </c>
      <c r="AE57" s="131" t="e">
        <f>AB57+#REF!+#REF!</f>
        <v>#REF!</v>
      </c>
      <c r="AF57" s="142">
        <f t="shared" si="11"/>
        <v>70.973712311685816</v>
      </c>
      <c r="AG57" s="143">
        <f t="shared" si="12"/>
        <v>63.754178618622596</v>
      </c>
      <c r="AH57" s="61" t="e">
        <f>S57+#REF!+AD57</f>
        <v>#REF!</v>
      </c>
      <c r="AI57" s="61">
        <f t="shared" ref="AI57:AI62" si="14">AG57-AF57</f>
        <v>-7.2195336930632195</v>
      </c>
      <c r="AJ57" s="61"/>
      <c r="AK57" s="61"/>
      <c r="AL57" s="61"/>
      <c r="AM57" s="61"/>
      <c r="AN57" s="61"/>
      <c r="AO57" s="61"/>
      <c r="AP57" s="61"/>
      <c r="AQ57" s="61"/>
      <c r="AR57" s="61"/>
      <c r="AS57" s="61"/>
      <c r="AT57" s="61"/>
      <c r="AU57" s="61" t="s">
        <v>2041</v>
      </c>
      <c r="AV57" s="61" t="s">
        <v>2041</v>
      </c>
      <c r="AW57" s="25"/>
      <c r="AX57" s="61" t="b">
        <f t="shared" si="9"/>
        <v>1</v>
      </c>
      <c r="AY57" s="61"/>
      <c r="AZ57" s="129"/>
      <c r="BA57" s="25"/>
      <c r="BB57" s="25"/>
      <c r="BC57" s="61"/>
      <c r="BD57" s="61"/>
      <c r="BE57" s="61"/>
      <c r="BF57" s="61"/>
      <c r="BG57" s="25"/>
      <c r="BH57" s="25"/>
      <c r="BI57" s="25"/>
      <c r="BJ57" s="25"/>
      <c r="BK57" s="25"/>
      <c r="BL57" s="25"/>
      <c r="BM57" s="25"/>
      <c r="BN57" s="25"/>
      <c r="BO57" s="25"/>
      <c r="BP57" s="25"/>
      <c r="BQ57" s="25"/>
      <c r="BR57" s="25"/>
      <c r="BS57" s="25"/>
      <c r="BT57" s="25"/>
      <c r="BU57" s="25"/>
      <c r="BV57" s="25"/>
      <c r="BW57" s="25"/>
      <c r="BX57" s="25"/>
      <c r="BY57" s="25"/>
      <c r="BZ57" s="25"/>
    </row>
    <row r="58" spans="1:78" x14ac:dyDescent="0.2">
      <c r="A58" s="98" t="s">
        <v>151</v>
      </c>
      <c r="B58" s="99" t="str">
        <f>VLOOKUP(LEFT(A58,7),'Tariff Schedule Lookup Table'!A$8:D$142,3,FALSE)</f>
        <v>2x70</v>
      </c>
      <c r="C58" s="100">
        <v>2</v>
      </c>
      <c r="D58" s="100">
        <v>1</v>
      </c>
      <c r="E58" s="100" t="s">
        <v>2087</v>
      </c>
      <c r="F58" s="169">
        <f>VLOOKUP(E58,'Lamp Stock'!A$14:H$49,4,FALSE)*(1+'Public Lighting Charges'!$R$11)</f>
        <v>34.516013999999998</v>
      </c>
      <c r="G58" s="169">
        <f>VLOOKUP(E58,'Lamp Stock'!A$14:G$49,6,FALSE)*(1+'Public Lighting Charges'!$R$11)</f>
        <v>63.814490999999997</v>
      </c>
      <c r="H58" s="169">
        <f>VLOOKUP(E58,'Lamp Stock'!A$14:H$49,8,FALSE)*(1+'Public Lighting Charges'!$R$11)</f>
        <v>31.974136999999999</v>
      </c>
      <c r="I58" s="102">
        <v>0.12</v>
      </c>
      <c r="J58" s="102">
        <v>0.1</v>
      </c>
      <c r="K58" s="102">
        <v>0.2</v>
      </c>
      <c r="L58" s="101">
        <v>3</v>
      </c>
      <c r="M58" s="103">
        <f t="shared" si="0"/>
        <v>0.33333333333333331</v>
      </c>
      <c r="N58" s="451">
        <v>7.2499999999999995E-2</v>
      </c>
      <c r="O58" s="192">
        <f>'Maintenance Model'!B$110*I58</f>
        <v>28.782909995423999</v>
      </c>
      <c r="P58" s="105">
        <f t="shared" si="1"/>
        <v>21.046741560000001</v>
      </c>
      <c r="Q58" s="105">
        <f>H58*K58*'Maintenance Model'!B$85</f>
        <v>5.1158619200000004</v>
      </c>
      <c r="R58" s="104">
        <f>'Maintenance Model'!B$104*I58</f>
        <v>0.91935999999999996</v>
      </c>
      <c r="S58" s="193">
        <f t="shared" si="2"/>
        <v>55.864873475423998</v>
      </c>
      <c r="T58" s="104">
        <f>'Maintenance Model'!B$110*N58</f>
        <v>17.389674788901999</v>
      </c>
      <c r="U58" s="240">
        <f t="shared" si="10"/>
        <v>18.231345216499999</v>
      </c>
      <c r="V58" s="104">
        <f>'Maintenance Model'!B$104*N58</f>
        <v>0.55544666666666664</v>
      </c>
      <c r="W58" s="104">
        <f>'Maintenance Model'!B$111*M58</f>
        <v>12.300388886933334</v>
      </c>
      <c r="X58" s="240">
        <f t="shared" si="6"/>
        <v>27.273894266666662</v>
      </c>
      <c r="Y58" s="104">
        <f>M58*'Maintenance Model'!B$105</f>
        <v>0.3928888888888889</v>
      </c>
      <c r="Z58" s="105">
        <f t="shared" si="13"/>
        <v>76.143638714557554</v>
      </c>
      <c r="AA58" s="203">
        <f>'Other Maintenance'!B$94</f>
        <v>2.9107349228680333</v>
      </c>
      <c r="AB58" s="104">
        <f t="shared" si="7"/>
        <v>58.775608398292029</v>
      </c>
      <c r="AC58" s="142">
        <f t="shared" si="8"/>
        <v>79.054373637425584</v>
      </c>
      <c r="AD58" s="127">
        <f>'Maintenance Model'!B$114 + 'Maintenance Model'!B$115</f>
        <v>0.99616182311111112</v>
      </c>
      <c r="AE58" s="131" t="e">
        <f>AB58+#REF!+#REF!</f>
        <v>#REF!</v>
      </c>
      <c r="AF58" s="142">
        <f t="shared" si="11"/>
        <v>59.771770221403138</v>
      </c>
      <c r="AG58" s="143">
        <f t="shared" si="12"/>
        <v>79.718481519499662</v>
      </c>
      <c r="AH58" s="61" t="e">
        <f>S58+#REF!+AD58</f>
        <v>#REF!</v>
      </c>
      <c r="AI58" s="61">
        <f t="shared" si="14"/>
        <v>19.946711298096524</v>
      </c>
      <c r="AJ58" s="61"/>
      <c r="AK58" s="61"/>
      <c r="AL58" s="61"/>
      <c r="AM58" s="61"/>
      <c r="AN58" s="61"/>
      <c r="AO58" s="61"/>
      <c r="AP58" s="61"/>
      <c r="AQ58" s="61"/>
      <c r="AR58" s="61"/>
      <c r="AS58" s="61"/>
      <c r="AT58" s="61"/>
      <c r="AU58" s="61" t="s">
        <v>2041</v>
      </c>
      <c r="AV58" s="61" t="s">
        <v>2041</v>
      </c>
      <c r="AW58" s="25"/>
      <c r="AX58" s="61" t="b">
        <f t="shared" si="9"/>
        <v>0</v>
      </c>
      <c r="AY58" s="61"/>
      <c r="AZ58" s="129"/>
      <c r="BA58" s="25"/>
      <c r="BB58" s="25"/>
      <c r="BC58" s="61"/>
      <c r="BD58" s="61"/>
      <c r="BE58" s="61"/>
      <c r="BF58" s="61"/>
      <c r="BG58" s="25"/>
      <c r="BH58" s="25"/>
      <c r="BI58" s="25"/>
      <c r="BJ58" s="25"/>
      <c r="BK58" s="25"/>
      <c r="BL58" s="25"/>
      <c r="BM58" s="25"/>
      <c r="BN58" s="25"/>
      <c r="BO58" s="25"/>
      <c r="BP58" s="25"/>
      <c r="BQ58" s="25"/>
      <c r="BR58" s="25"/>
      <c r="BS58" s="25"/>
      <c r="BT58" s="25"/>
      <c r="BU58" s="25"/>
      <c r="BV58" s="25"/>
      <c r="BW58" s="25"/>
      <c r="BX58" s="25"/>
      <c r="BY58" s="25"/>
      <c r="BZ58" s="25"/>
    </row>
    <row r="59" spans="1:78" x14ac:dyDescent="0.2">
      <c r="A59" s="98" t="s">
        <v>152</v>
      </c>
      <c r="B59" s="99" t="str">
        <f>VLOOKUP(LEFT(A59,7),'Tariff Schedule Lookup Table'!A$8:D$142,3,FALSE)</f>
        <v>3x70</v>
      </c>
      <c r="C59" s="100">
        <v>3</v>
      </c>
      <c r="D59" s="100">
        <v>0</v>
      </c>
      <c r="E59" s="100" t="s">
        <v>44</v>
      </c>
      <c r="F59" s="169">
        <f>VLOOKUP(E59,'Lamp Stock'!A$14:H$49,4,FALSE)*(1+'Public Lighting Charges'!$R$11)</f>
        <v>14.261267799999999</v>
      </c>
      <c r="G59" s="169">
        <f>VLOOKUP(E59,'Lamp Stock'!A$14:G$49,6,FALSE)*(1+'Public Lighting Charges'!$R$11)</f>
        <v>33.713315999999992</v>
      </c>
      <c r="H59" s="169">
        <f>VLOOKUP(E59,'Lamp Stock'!A$14:H$49,8,FALSE)*(1+'Public Lighting Charges'!$R$11)</f>
        <v>31.974136999999999</v>
      </c>
      <c r="I59" s="102">
        <v>0.2</v>
      </c>
      <c r="J59" s="102">
        <v>0.1</v>
      </c>
      <c r="K59" s="102">
        <v>0.2</v>
      </c>
      <c r="L59" s="101">
        <v>3</v>
      </c>
      <c r="M59" s="103">
        <f t="shared" si="0"/>
        <v>0.33333333333333331</v>
      </c>
      <c r="N59" s="451">
        <v>9.5500000000000002E-2</v>
      </c>
      <c r="O59" s="192">
        <f>'Maintenance Model'!B$110*I59</f>
        <v>47.971516659040006</v>
      </c>
      <c r="P59" s="105">
        <f t="shared" si="1"/>
        <v>18.670755479999997</v>
      </c>
      <c r="Q59" s="105">
        <f>H59*K59*'Maintenance Model'!B$85</f>
        <v>5.1158619200000004</v>
      </c>
      <c r="R59" s="104">
        <f>'Maintenance Model'!B$104*I59</f>
        <v>1.5322666666666667</v>
      </c>
      <c r="S59" s="193">
        <f t="shared" si="2"/>
        <v>73.290400725706675</v>
      </c>
      <c r="T59" s="104">
        <f>'Maintenance Model'!B$110*N59</f>
        <v>22.906399204691603</v>
      </c>
      <c r="U59" s="240">
        <f t="shared" si="10"/>
        <v>14.810554041399998</v>
      </c>
      <c r="V59" s="104">
        <f>'Maintenance Model'!B$104*N59</f>
        <v>0.73165733333333338</v>
      </c>
      <c r="W59" s="104">
        <f>'Maintenance Model'!B$111*M59</f>
        <v>12.300388886933334</v>
      </c>
      <c r="X59" s="240">
        <f t="shared" si="6"/>
        <v>20.656095199999999</v>
      </c>
      <c r="Y59" s="104">
        <f>M59*'Maintenance Model'!B$105</f>
        <v>0.3928888888888889</v>
      </c>
      <c r="Z59" s="105">
        <f t="shared" si="13"/>
        <v>71.797983555247157</v>
      </c>
      <c r="AA59" s="203">
        <f>'Other Maintenance'!B$94</f>
        <v>2.9107349228680333</v>
      </c>
      <c r="AB59" s="104">
        <f t="shared" si="7"/>
        <v>76.201135648574706</v>
      </c>
      <c r="AC59" s="142">
        <f t="shared" si="8"/>
        <v>74.708718478115188</v>
      </c>
      <c r="AD59" s="127">
        <f>'Maintenance Model'!B$114 + 'Maintenance Model'!B$115</f>
        <v>0.99616182311111112</v>
      </c>
      <c r="AE59" s="131" t="e">
        <f>AB59+#REF!+#REF!</f>
        <v>#REF!</v>
      </c>
      <c r="AF59" s="142">
        <f t="shared" si="11"/>
        <v>77.197297471685815</v>
      </c>
      <c r="AG59" s="143">
        <f t="shared" si="12"/>
        <v>75.372826360189265</v>
      </c>
      <c r="AH59" s="61" t="e">
        <f>S59+#REF!+AD59</f>
        <v>#REF!</v>
      </c>
      <c r="AI59" s="61">
        <f t="shared" si="14"/>
        <v>-1.8244711114965497</v>
      </c>
      <c r="AJ59" s="61"/>
      <c r="AK59" s="61"/>
      <c r="AL59" s="61"/>
      <c r="AM59" s="61"/>
      <c r="AN59" s="61"/>
      <c r="AO59" s="61"/>
      <c r="AP59" s="61"/>
      <c r="AQ59" s="61"/>
      <c r="AR59" s="61"/>
      <c r="AS59" s="61"/>
      <c r="AT59" s="61"/>
      <c r="AU59" s="61" t="s">
        <v>2041</v>
      </c>
      <c r="AV59" s="61" t="s">
        <v>2041</v>
      </c>
      <c r="AW59" s="25"/>
      <c r="AX59" s="61" t="b">
        <f t="shared" si="9"/>
        <v>1</v>
      </c>
      <c r="AY59" s="61"/>
      <c r="AZ59" s="129"/>
      <c r="BA59" s="25"/>
      <c r="BB59" s="25"/>
      <c r="BC59" s="61"/>
      <c r="BD59" s="61"/>
      <c r="BE59" s="61"/>
      <c r="BF59" s="61"/>
      <c r="BG59" s="25"/>
      <c r="BH59" s="25"/>
      <c r="BI59" s="25"/>
      <c r="BJ59" s="25"/>
      <c r="BK59" s="25"/>
      <c r="BL59" s="25"/>
      <c r="BM59" s="25"/>
      <c r="BN59" s="25"/>
      <c r="BO59" s="25"/>
      <c r="BP59" s="25"/>
      <c r="BQ59" s="25"/>
      <c r="BR59" s="25"/>
      <c r="BS59" s="25"/>
      <c r="BT59" s="25"/>
      <c r="BU59" s="25"/>
      <c r="BV59" s="25"/>
      <c r="BW59" s="25"/>
      <c r="BX59" s="25"/>
      <c r="BY59" s="25"/>
      <c r="BZ59" s="25"/>
    </row>
    <row r="60" spans="1:78" x14ac:dyDescent="0.2">
      <c r="A60" s="98" t="s">
        <v>153</v>
      </c>
      <c r="B60" s="99" t="str">
        <f>VLOOKUP(LEFT(A60,7),'Tariff Schedule Lookup Table'!A$8:D$142,3,FALSE)</f>
        <v>3x70</v>
      </c>
      <c r="C60" s="100">
        <v>3</v>
      </c>
      <c r="D60" s="100">
        <v>0</v>
      </c>
      <c r="E60" s="100" t="s">
        <v>2087</v>
      </c>
      <c r="F60" s="169">
        <f>VLOOKUP(E60,'Lamp Stock'!A$14:H$49,4,FALSE)*(1+'Public Lighting Charges'!$R$11)</f>
        <v>34.516013999999998</v>
      </c>
      <c r="G60" s="169">
        <f>VLOOKUP(E60,'Lamp Stock'!A$14:G$49,6,FALSE)*(1+'Public Lighting Charges'!$R$11)</f>
        <v>63.814490999999997</v>
      </c>
      <c r="H60" s="169">
        <f>VLOOKUP(E60,'Lamp Stock'!A$14:H$49,8,FALSE)*(1+'Public Lighting Charges'!$R$11)</f>
        <v>31.974136999999999</v>
      </c>
      <c r="I60" s="102">
        <v>0.12</v>
      </c>
      <c r="J60" s="102">
        <v>0.1</v>
      </c>
      <c r="K60" s="102">
        <v>0.2</v>
      </c>
      <c r="L60" s="101">
        <v>3</v>
      </c>
      <c r="M60" s="103">
        <f t="shared" si="0"/>
        <v>0.33333333333333331</v>
      </c>
      <c r="N60" s="451">
        <v>7.2499999999999995E-2</v>
      </c>
      <c r="O60" s="192">
        <f>'Maintenance Model'!B$110*I60</f>
        <v>28.782909995423999</v>
      </c>
      <c r="P60" s="105">
        <f t="shared" si="1"/>
        <v>31.570112340000001</v>
      </c>
      <c r="Q60" s="105">
        <f>H60*K60*'Maintenance Model'!B$85</f>
        <v>5.1158619200000004</v>
      </c>
      <c r="R60" s="104">
        <f>'Maintenance Model'!B$104*I60</f>
        <v>0.91935999999999996</v>
      </c>
      <c r="S60" s="193">
        <f t="shared" si="2"/>
        <v>66.388244255423999</v>
      </c>
      <c r="T60" s="104">
        <f>'Maintenance Model'!B$110*N60</f>
        <v>17.389674788901999</v>
      </c>
      <c r="U60" s="240">
        <f t="shared" si="10"/>
        <v>27.1152053315</v>
      </c>
      <c r="V60" s="104">
        <f>'Maintenance Model'!B$104*N60</f>
        <v>0.55544666666666664</v>
      </c>
      <c r="W60" s="104">
        <f>'Maintenance Model'!B$111*M60</f>
        <v>12.300388886933334</v>
      </c>
      <c r="X60" s="240">
        <f t="shared" si="6"/>
        <v>40.910841399999995</v>
      </c>
      <c r="Y60" s="104">
        <f>M60*'Maintenance Model'!B$105</f>
        <v>0.3928888888888889</v>
      </c>
      <c r="Z60" s="105">
        <f t="shared" si="13"/>
        <v>98.664445962890895</v>
      </c>
      <c r="AA60" s="203">
        <f>'Other Maintenance'!B$94</f>
        <v>2.9107349228680333</v>
      </c>
      <c r="AB60" s="104">
        <f t="shared" si="7"/>
        <v>69.298979178292029</v>
      </c>
      <c r="AC60" s="142">
        <f t="shared" si="8"/>
        <v>101.57518088575893</v>
      </c>
      <c r="AD60" s="127">
        <f>'Maintenance Model'!B$114 + 'Maintenance Model'!B$115</f>
        <v>0.99616182311111112</v>
      </c>
      <c r="AE60" s="131" t="e">
        <f>AB60+#REF!+#REF!</f>
        <v>#REF!</v>
      </c>
      <c r="AF60" s="142">
        <f t="shared" si="11"/>
        <v>70.295141001403138</v>
      </c>
      <c r="AG60" s="143">
        <f t="shared" si="12"/>
        <v>102.239288767833</v>
      </c>
      <c r="AH60" s="61" t="e">
        <f>S60+#REF!+AD60</f>
        <v>#REF!</v>
      </c>
      <c r="AI60" s="61">
        <f t="shared" si="14"/>
        <v>31.944147766429865</v>
      </c>
      <c r="AJ60" s="61"/>
      <c r="AK60" s="61"/>
      <c r="AL60" s="61"/>
      <c r="AM60" s="61"/>
      <c r="AN60" s="61"/>
      <c r="AO60" s="61"/>
      <c r="AP60" s="61"/>
      <c r="AQ60" s="61"/>
      <c r="AR60" s="61"/>
      <c r="AS60" s="61"/>
      <c r="AT60" s="61"/>
      <c r="AU60" s="61" t="s">
        <v>2041</v>
      </c>
      <c r="AV60" s="61" t="s">
        <v>2041</v>
      </c>
      <c r="AW60" s="25"/>
      <c r="AX60" s="61" t="b">
        <f t="shared" si="9"/>
        <v>0</v>
      </c>
      <c r="AY60" s="61"/>
      <c r="AZ60" s="129"/>
      <c r="BA60" s="25"/>
      <c r="BB60" s="25"/>
      <c r="BC60" s="61"/>
      <c r="BD60" s="61"/>
      <c r="BE60" s="61"/>
      <c r="BF60" s="61"/>
      <c r="BG60" s="25"/>
      <c r="BH60" s="25"/>
      <c r="BI60" s="25"/>
      <c r="BJ60" s="25"/>
      <c r="BK60" s="25"/>
      <c r="BL60" s="25"/>
      <c r="BM60" s="25"/>
      <c r="BN60" s="25"/>
      <c r="BO60" s="25"/>
      <c r="BP60" s="25"/>
      <c r="BQ60" s="25"/>
      <c r="BR60" s="25"/>
      <c r="BS60" s="25"/>
      <c r="BT60" s="25"/>
      <c r="BU60" s="25"/>
      <c r="BV60" s="25"/>
      <c r="BW60" s="25"/>
      <c r="BX60" s="25"/>
      <c r="BY60" s="25"/>
      <c r="BZ60" s="25"/>
    </row>
    <row r="61" spans="1:78" x14ac:dyDescent="0.2">
      <c r="A61" s="98" t="s">
        <v>154</v>
      </c>
      <c r="B61" s="99" t="str">
        <f>VLOOKUP(LEFT(A61,7),'Tariff Schedule Lookup Table'!A$8:D$142,3,FALSE)</f>
        <v>4x70</v>
      </c>
      <c r="C61" s="100">
        <v>4</v>
      </c>
      <c r="D61" s="100">
        <v>0</v>
      </c>
      <c r="E61" s="100" t="s">
        <v>44</v>
      </c>
      <c r="F61" s="169">
        <f>VLOOKUP(E61,'Lamp Stock'!A$14:H$49,4,FALSE)*(1+'Public Lighting Charges'!$R$11)</f>
        <v>14.261267799999999</v>
      </c>
      <c r="G61" s="169">
        <f>VLOOKUP(E61,'Lamp Stock'!A$14:G$49,6,FALSE)*(1+'Public Lighting Charges'!$R$11)</f>
        <v>33.713315999999992</v>
      </c>
      <c r="H61" s="169">
        <f>VLOOKUP(E61,'Lamp Stock'!A$14:H$49,8,FALSE)*(1+'Public Lighting Charges'!$R$11)</f>
        <v>31.974136999999999</v>
      </c>
      <c r="I61" s="102">
        <v>0.2</v>
      </c>
      <c r="J61" s="102">
        <v>0.1</v>
      </c>
      <c r="K61" s="102">
        <v>0.2</v>
      </c>
      <c r="L61" s="101">
        <v>3</v>
      </c>
      <c r="M61" s="103">
        <f t="shared" si="0"/>
        <v>0.33333333333333331</v>
      </c>
      <c r="N61" s="451">
        <v>9.5500000000000002E-2</v>
      </c>
      <c r="O61" s="192">
        <f>'Maintenance Model'!B$110*I61</f>
        <v>47.971516659040006</v>
      </c>
      <c r="P61" s="105">
        <f t="shared" si="1"/>
        <v>24.894340639999996</v>
      </c>
      <c r="Q61" s="105">
        <f>H61*K61*'Maintenance Model'!B$85</f>
        <v>5.1158619200000004</v>
      </c>
      <c r="R61" s="104">
        <f>'Maintenance Model'!B$104*I61</f>
        <v>1.5322666666666667</v>
      </c>
      <c r="S61" s="193">
        <f t="shared" si="2"/>
        <v>79.513985885706674</v>
      </c>
      <c r="T61" s="104">
        <f>'Maintenance Model'!B$110*N61</f>
        <v>22.906399204691603</v>
      </c>
      <c r="U61" s="240">
        <f t="shared" si="10"/>
        <v>19.5438367163</v>
      </c>
      <c r="V61" s="104">
        <f>'Maintenance Model'!B$104*N61</f>
        <v>0.73165733333333338</v>
      </c>
      <c r="W61" s="104">
        <f>'Maintenance Model'!B$111*M61</f>
        <v>12.300388886933334</v>
      </c>
      <c r="X61" s="240">
        <f t="shared" si="6"/>
        <v>27.541460266666665</v>
      </c>
      <c r="Y61" s="104">
        <f>M61*'Maintenance Model'!B$105</f>
        <v>0.3928888888888889</v>
      </c>
      <c r="Z61" s="105">
        <f t="shared" si="13"/>
        <v>83.416631296813819</v>
      </c>
      <c r="AA61" s="203">
        <f>'Other Maintenance'!B$94</f>
        <v>2.9107349228680333</v>
      </c>
      <c r="AB61" s="104">
        <f t="shared" si="7"/>
        <v>82.424720808574705</v>
      </c>
      <c r="AC61" s="142">
        <f t="shared" si="8"/>
        <v>86.327366219681849</v>
      </c>
      <c r="AD61" s="127">
        <f>'Maintenance Model'!B$114 + 'Maintenance Model'!B$115</f>
        <v>0.99616182311111112</v>
      </c>
      <c r="AE61" s="131" t="e">
        <f>AB61+#REF!+#REF!</f>
        <v>#REF!</v>
      </c>
      <c r="AF61" s="142">
        <f t="shared" si="11"/>
        <v>83.420882631685814</v>
      </c>
      <c r="AG61" s="143">
        <f t="shared" si="12"/>
        <v>86.991474101755927</v>
      </c>
      <c r="AH61" s="61" t="e">
        <f>S61+#REF!+AD61</f>
        <v>#REF!</v>
      </c>
      <c r="AI61" s="61">
        <f t="shared" si="14"/>
        <v>3.5705914700701129</v>
      </c>
      <c r="AJ61" s="61"/>
      <c r="AK61" s="61"/>
      <c r="AL61" s="61"/>
      <c r="AM61" s="61"/>
      <c r="AN61" s="61"/>
      <c r="AO61" s="61"/>
      <c r="AP61" s="61"/>
      <c r="AQ61" s="61"/>
      <c r="AR61" s="61"/>
      <c r="AS61" s="61"/>
      <c r="AT61" s="61"/>
      <c r="AU61" s="61" t="s">
        <v>2041</v>
      </c>
      <c r="AV61" s="61" t="s">
        <v>2041</v>
      </c>
      <c r="AW61" s="25"/>
      <c r="AX61" s="61" t="b">
        <f t="shared" si="9"/>
        <v>0</v>
      </c>
      <c r="AY61" s="61"/>
      <c r="AZ61" s="129"/>
      <c r="BA61" s="25"/>
      <c r="BB61" s="25"/>
      <c r="BC61" s="61"/>
      <c r="BD61" s="61"/>
      <c r="BE61" s="61"/>
      <c r="BF61" s="61"/>
      <c r="BG61" s="25"/>
      <c r="BH61" s="25"/>
      <c r="BI61" s="25"/>
      <c r="BJ61" s="25"/>
      <c r="BK61" s="25"/>
      <c r="BL61" s="25"/>
      <c r="BM61" s="25"/>
      <c r="BN61" s="25"/>
      <c r="BO61" s="25"/>
      <c r="BP61" s="25"/>
      <c r="BQ61" s="25"/>
      <c r="BR61" s="25"/>
      <c r="BS61" s="25"/>
      <c r="BT61" s="25"/>
      <c r="BU61" s="25"/>
      <c r="BV61" s="25"/>
      <c r="BW61" s="25"/>
      <c r="BX61" s="25"/>
      <c r="BY61" s="25"/>
      <c r="BZ61" s="25"/>
    </row>
    <row r="62" spans="1:78" x14ac:dyDescent="0.2">
      <c r="A62" s="98" t="s">
        <v>155</v>
      </c>
      <c r="B62" s="99" t="str">
        <f>VLOOKUP(LEFT(A62,7),'Tariff Schedule Lookup Table'!A$8:D$142,3,FALSE)</f>
        <v>4x70</v>
      </c>
      <c r="C62" s="100">
        <v>4</v>
      </c>
      <c r="D62" s="100">
        <v>0</v>
      </c>
      <c r="E62" s="100" t="s">
        <v>2087</v>
      </c>
      <c r="F62" s="169">
        <f>VLOOKUP(E62,'Lamp Stock'!A$14:H$49,4,FALSE)*(1+'Public Lighting Charges'!$R$11)</f>
        <v>34.516013999999998</v>
      </c>
      <c r="G62" s="169">
        <f>VLOOKUP(E62,'Lamp Stock'!A$14:G$49,6,FALSE)*(1+'Public Lighting Charges'!$R$11)</f>
        <v>63.814490999999997</v>
      </c>
      <c r="H62" s="169">
        <f>VLOOKUP(E62,'Lamp Stock'!A$14:H$49,8,FALSE)*(1+'Public Lighting Charges'!$R$11)</f>
        <v>31.974136999999999</v>
      </c>
      <c r="I62" s="102">
        <v>0.12</v>
      </c>
      <c r="J62" s="102">
        <v>0.1</v>
      </c>
      <c r="K62" s="102">
        <v>0.2</v>
      </c>
      <c r="L62" s="101">
        <v>3</v>
      </c>
      <c r="M62" s="103">
        <f t="shared" si="0"/>
        <v>0.33333333333333331</v>
      </c>
      <c r="N62" s="451">
        <v>7.2499999999999995E-2</v>
      </c>
      <c r="O62" s="192">
        <f>'Maintenance Model'!B$110*I62</f>
        <v>28.782909995423999</v>
      </c>
      <c r="P62" s="105">
        <f t="shared" si="1"/>
        <v>42.093483120000002</v>
      </c>
      <c r="Q62" s="105">
        <f>H62*K62*'Maintenance Model'!B$85</f>
        <v>5.1158619200000004</v>
      </c>
      <c r="R62" s="104">
        <f>'Maintenance Model'!B$104*I62</f>
        <v>0.91935999999999996</v>
      </c>
      <c r="S62" s="193">
        <f t="shared" si="2"/>
        <v>76.911615035424006</v>
      </c>
      <c r="T62" s="104">
        <f>'Maintenance Model'!B$110*N62</f>
        <v>17.389674788901999</v>
      </c>
      <c r="U62" s="240">
        <f t="shared" si="10"/>
        <v>35.999065446499998</v>
      </c>
      <c r="V62" s="104">
        <f>'Maintenance Model'!B$104*N62</f>
        <v>0.55544666666666664</v>
      </c>
      <c r="W62" s="104">
        <f>'Maintenance Model'!B$111*M62</f>
        <v>12.300388886933334</v>
      </c>
      <c r="X62" s="240">
        <f t="shared" si="6"/>
        <v>54.547788533333325</v>
      </c>
      <c r="Y62" s="104">
        <f>M62*'Maintenance Model'!B$105</f>
        <v>0.3928888888888889</v>
      </c>
      <c r="Z62" s="105">
        <f t="shared" si="13"/>
        <v>121.18525321122421</v>
      </c>
      <c r="AA62" s="203">
        <f>'Other Maintenance'!B$94</f>
        <v>2.9107349228680333</v>
      </c>
      <c r="AB62" s="104">
        <f t="shared" si="7"/>
        <v>79.822349958292037</v>
      </c>
      <c r="AC62" s="142">
        <f t="shared" si="8"/>
        <v>124.09598813409224</v>
      </c>
      <c r="AD62" s="127">
        <f>'Maintenance Model'!B$114 + 'Maintenance Model'!B$115</f>
        <v>0.99616182311111112</v>
      </c>
      <c r="AE62" s="131" t="e">
        <f>AB62+#REF!+#REF!</f>
        <v>#REF!</v>
      </c>
      <c r="AF62" s="142">
        <f t="shared" si="11"/>
        <v>80.818511781403146</v>
      </c>
      <c r="AG62" s="143">
        <f t="shared" si="12"/>
        <v>124.76009601616632</v>
      </c>
      <c r="AH62" s="61" t="e">
        <f>S62+#REF!+AD62</f>
        <v>#REF!</v>
      </c>
      <c r="AI62" s="61">
        <f t="shared" si="14"/>
        <v>43.94158423476317</v>
      </c>
      <c r="AJ62" s="61"/>
      <c r="AK62" s="61"/>
      <c r="AL62" s="61"/>
      <c r="AM62" s="61"/>
      <c r="AN62" s="61"/>
      <c r="AO62" s="61"/>
      <c r="AP62" s="61"/>
      <c r="AQ62" s="61"/>
      <c r="AR62" s="61"/>
      <c r="AS62" s="61"/>
      <c r="AT62" s="61"/>
      <c r="AU62" s="61" t="s">
        <v>2041</v>
      </c>
      <c r="AV62" s="61" t="s">
        <v>2041</v>
      </c>
      <c r="AW62" s="25"/>
      <c r="AX62" s="61" t="b">
        <f t="shared" si="9"/>
        <v>0</v>
      </c>
      <c r="AY62" s="61"/>
      <c r="AZ62" s="129"/>
      <c r="BA62" s="25"/>
      <c r="BB62" s="25"/>
      <c r="BC62" s="61"/>
      <c r="BD62" s="61"/>
      <c r="BE62" s="61"/>
      <c r="BF62" s="61"/>
      <c r="BG62" s="25"/>
      <c r="BH62" s="25"/>
      <c r="BI62" s="25"/>
      <c r="BJ62" s="25"/>
      <c r="BK62" s="25"/>
      <c r="BL62" s="25"/>
      <c r="BM62" s="25"/>
      <c r="BN62" s="25"/>
      <c r="BO62" s="25"/>
      <c r="BP62" s="25"/>
      <c r="BQ62" s="25"/>
      <c r="BR62" s="25"/>
      <c r="BS62" s="25"/>
      <c r="BT62" s="25"/>
      <c r="BU62" s="25"/>
      <c r="BV62" s="25"/>
      <c r="BW62" s="25"/>
      <c r="BX62" s="25"/>
      <c r="BY62" s="25"/>
      <c r="BZ62" s="25"/>
    </row>
    <row r="63" spans="1:78" x14ac:dyDescent="0.2">
      <c r="A63" s="98" t="s">
        <v>218</v>
      </c>
      <c r="B63" s="99" t="str">
        <f>VLOOKUP(LEFT(A63,7),'Tariff Schedule Lookup Table'!A$8:D$142,3,FALSE)</f>
        <v>8x70</v>
      </c>
      <c r="C63" s="100">
        <v>8</v>
      </c>
      <c r="D63" s="100">
        <v>0</v>
      </c>
      <c r="E63" s="100" t="s">
        <v>44</v>
      </c>
      <c r="F63" s="169">
        <f>VLOOKUP(E63,'Lamp Stock'!A$14:H$49,4,FALSE)*(1+'Public Lighting Charges'!$R$11)</f>
        <v>14.261267799999999</v>
      </c>
      <c r="G63" s="169">
        <f>VLOOKUP(E63,'Lamp Stock'!A$14:G$49,6,FALSE)*(1+'Public Lighting Charges'!$R$11)</f>
        <v>33.713315999999992</v>
      </c>
      <c r="H63" s="169">
        <f>VLOOKUP(E63,'Lamp Stock'!A$14:H$49,8,FALSE)*(1+'Public Lighting Charges'!$R$11)</f>
        <v>31.974136999999999</v>
      </c>
      <c r="I63" s="102">
        <v>0.12</v>
      </c>
      <c r="J63" s="102">
        <v>0.1</v>
      </c>
      <c r="K63" s="102">
        <v>0.2</v>
      </c>
      <c r="L63" s="101">
        <v>3</v>
      </c>
      <c r="M63" s="103">
        <f t="shared" si="0"/>
        <v>0.33333333333333331</v>
      </c>
      <c r="N63" s="451">
        <v>9.5500000000000002E-2</v>
      </c>
      <c r="O63" s="192">
        <f>'Maintenance Model'!B$110*I63</f>
        <v>28.782909995423999</v>
      </c>
      <c r="P63" s="105">
        <f>C63*(F63*I63+G63*J63)</f>
        <v>40.661469887999992</v>
      </c>
      <c r="Q63" s="105">
        <f>H63*K63*'Maintenance Model'!B$85</f>
        <v>5.1158619200000004</v>
      </c>
      <c r="R63" s="104">
        <f>'Maintenance Model'!B$104*I63</f>
        <v>0.91935999999999996</v>
      </c>
      <c r="S63" s="193">
        <f>SUM(O63:R63)</f>
        <v>75.479601803423989</v>
      </c>
      <c r="T63" s="104">
        <f>'Maintenance Model'!B$110*N63</f>
        <v>22.906399204691603</v>
      </c>
      <c r="U63" s="240">
        <f t="shared" si="10"/>
        <v>38.476967415899992</v>
      </c>
      <c r="V63" s="104">
        <f>'Maintenance Model'!B$104*N63</f>
        <v>0.73165733333333338</v>
      </c>
      <c r="W63" s="104">
        <f>'Maintenance Model'!B$111*M63</f>
        <v>12.300388886933334</v>
      </c>
      <c r="X63" s="240">
        <f t="shared" si="6"/>
        <v>55.082920533333329</v>
      </c>
      <c r="Y63" s="104">
        <f>M63*'Maintenance Model'!B$105</f>
        <v>0.3928888888888889</v>
      </c>
      <c r="Z63" s="105">
        <f>SUM(T63:Y63)</f>
        <v>129.89122226308046</v>
      </c>
      <c r="AA63" s="203">
        <f>'Other Maintenance'!B$94</f>
        <v>2.9107349228680333</v>
      </c>
      <c r="AB63" s="104">
        <f>(S63+AA63)</f>
        <v>78.39033672629202</v>
      </c>
      <c r="AC63" s="142">
        <f>(Z63+AA63)</f>
        <v>132.80195718594851</v>
      </c>
      <c r="AD63" s="127">
        <f>'Maintenance Model'!B$114 + 'Maintenance Model'!B$115</f>
        <v>0.99616182311111112</v>
      </c>
      <c r="AE63" s="131" t="e">
        <f>AB63+#REF!+#REF!</f>
        <v>#REF!</v>
      </c>
      <c r="AF63" s="142">
        <f t="shared" si="11"/>
        <v>79.386498549403129</v>
      </c>
      <c r="AG63" s="143">
        <f t="shared" si="12"/>
        <v>133.46606506802257</v>
      </c>
      <c r="AH63" s="61" t="e">
        <f>S63+#REF!+AD63</f>
        <v>#REF!</v>
      </c>
      <c r="AI63" s="61">
        <f>AG63-AF63</f>
        <v>54.079566518619444</v>
      </c>
      <c r="AJ63" s="61"/>
      <c r="AK63" s="61"/>
      <c r="AL63" s="61"/>
      <c r="AM63" s="61"/>
      <c r="AN63" s="61"/>
      <c r="AO63" s="61"/>
      <c r="AP63" s="61"/>
      <c r="AQ63" s="61"/>
      <c r="AR63" s="61"/>
      <c r="AS63" s="61"/>
      <c r="AT63" s="61"/>
      <c r="AU63" s="61" t="s">
        <v>2041</v>
      </c>
      <c r="AV63" s="61" t="s">
        <v>2041</v>
      </c>
      <c r="AW63" s="25"/>
      <c r="AX63" s="61"/>
      <c r="AY63" s="61"/>
      <c r="AZ63" s="129"/>
      <c r="BA63" s="25"/>
      <c r="BB63" s="25"/>
      <c r="BC63" s="61"/>
      <c r="BD63" s="61"/>
      <c r="BE63" s="61"/>
      <c r="BF63" s="61"/>
      <c r="BG63" s="25"/>
      <c r="BH63" s="25"/>
      <c r="BI63" s="25"/>
      <c r="BJ63" s="25"/>
      <c r="BK63" s="25"/>
      <c r="BL63" s="25"/>
      <c r="BM63" s="25"/>
      <c r="BN63" s="25"/>
      <c r="BO63" s="25"/>
      <c r="BP63" s="25"/>
      <c r="BQ63" s="25"/>
      <c r="BR63" s="25"/>
      <c r="BS63" s="25"/>
      <c r="BT63" s="25"/>
      <c r="BU63" s="25"/>
      <c r="BV63" s="25"/>
      <c r="BW63" s="25"/>
      <c r="BX63" s="25"/>
      <c r="BY63" s="25"/>
      <c r="BZ63" s="25"/>
    </row>
    <row r="64" spans="1:78" x14ac:dyDescent="0.2">
      <c r="A64" s="98" t="s">
        <v>219</v>
      </c>
      <c r="B64" s="99" t="str">
        <f>VLOOKUP(LEFT(A64,7),'Tariff Schedule Lookup Table'!A$8:D$142,3,FALSE)</f>
        <v>8x70</v>
      </c>
      <c r="C64" s="100">
        <v>8</v>
      </c>
      <c r="D64" s="100">
        <v>0</v>
      </c>
      <c r="E64" s="100" t="s">
        <v>2087</v>
      </c>
      <c r="F64" s="169">
        <f>VLOOKUP(E64,'Lamp Stock'!A$14:H$49,4,FALSE)*(1+'Public Lighting Charges'!$R$11)</f>
        <v>34.516013999999998</v>
      </c>
      <c r="G64" s="169">
        <f>VLOOKUP(E64,'Lamp Stock'!A$14:G$49,6,FALSE)*(1+'Public Lighting Charges'!$R$11)</f>
        <v>63.814490999999997</v>
      </c>
      <c r="H64" s="169">
        <f>VLOOKUP(E64,'Lamp Stock'!A$14:H$49,8,FALSE)*(1+'Public Lighting Charges'!$R$11)</f>
        <v>31.974136999999999</v>
      </c>
      <c r="I64" s="102">
        <v>0.12</v>
      </c>
      <c r="J64" s="102">
        <v>0.1</v>
      </c>
      <c r="K64" s="102">
        <v>0.2</v>
      </c>
      <c r="L64" s="101">
        <v>3</v>
      </c>
      <c r="M64" s="103">
        <f t="shared" si="0"/>
        <v>0.33333333333333331</v>
      </c>
      <c r="N64" s="451">
        <v>7.2499999999999995E-2</v>
      </c>
      <c r="O64" s="192">
        <f>'Maintenance Model'!B$110*I64</f>
        <v>28.782909995423999</v>
      </c>
      <c r="P64" s="105">
        <f>C64*(F64*I64+G64*J64)</f>
        <v>84.186966240000004</v>
      </c>
      <c r="Q64" s="105">
        <f>H64*K64*'Maintenance Model'!B$85</f>
        <v>5.1158619200000004</v>
      </c>
      <c r="R64" s="104">
        <f>'Maintenance Model'!B$104*I64</f>
        <v>0.91935999999999996</v>
      </c>
      <c r="S64" s="193">
        <f>SUM(O64:R64)</f>
        <v>119.00509815542401</v>
      </c>
      <c r="T64" s="104">
        <f>'Maintenance Model'!B$110*N64</f>
        <v>17.389674788901999</v>
      </c>
      <c r="U64" s="240">
        <f t="shared" si="10"/>
        <v>71.534505906500002</v>
      </c>
      <c r="V64" s="104">
        <f>'Maintenance Model'!B$104*N64</f>
        <v>0.55544666666666664</v>
      </c>
      <c r="W64" s="104">
        <f>'Maintenance Model'!B$111*M64</f>
        <v>12.300388886933334</v>
      </c>
      <c r="X64" s="240">
        <f t="shared" si="6"/>
        <v>109.09557706666665</v>
      </c>
      <c r="Y64" s="104">
        <f>M64*'Maintenance Model'!B$105</f>
        <v>0.3928888888888889</v>
      </c>
      <c r="Z64" s="105">
        <f>SUM(T64:Y64)</f>
        <v>211.26848220455753</v>
      </c>
      <c r="AA64" s="203">
        <f>'Other Maintenance'!B$94</f>
        <v>2.9107349228680333</v>
      </c>
      <c r="AB64" s="104">
        <f>(S64+AA64)</f>
        <v>121.91583307829204</v>
      </c>
      <c r="AC64" s="142">
        <f>(Z64+AA64)</f>
        <v>214.17921712742557</v>
      </c>
      <c r="AD64" s="127">
        <f>'Maintenance Model'!B$114 + 'Maintenance Model'!B$115</f>
        <v>0.99616182311111112</v>
      </c>
      <c r="AE64" s="131" t="e">
        <f>AB64+#REF!+#REF!</f>
        <v>#REF!</v>
      </c>
      <c r="AF64" s="142">
        <f t="shared" si="11"/>
        <v>122.91199490140315</v>
      </c>
      <c r="AG64" s="143">
        <f t="shared" si="12"/>
        <v>214.84332500949964</v>
      </c>
      <c r="AH64" s="61" t="e">
        <f>S64+#REF!+AD64</f>
        <v>#REF!</v>
      </c>
      <c r="AI64" s="61">
        <f>AG64-AF64</f>
        <v>91.931330108096489</v>
      </c>
      <c r="AJ64" s="61"/>
      <c r="AK64" s="61"/>
      <c r="AL64" s="61"/>
      <c r="AM64" s="61"/>
      <c r="AN64" s="61"/>
      <c r="AO64" s="61"/>
      <c r="AP64" s="61"/>
      <c r="AQ64" s="61"/>
      <c r="AR64" s="61"/>
      <c r="AS64" s="61"/>
      <c r="AT64" s="61"/>
      <c r="AU64" s="61" t="s">
        <v>2041</v>
      </c>
      <c r="AV64" s="61" t="s">
        <v>2041</v>
      </c>
      <c r="AW64" s="25"/>
      <c r="AX64" s="61"/>
      <c r="AY64" s="61"/>
      <c r="AZ64" s="129"/>
      <c r="BA64" s="25"/>
      <c r="BB64" s="25"/>
      <c r="BC64" s="61"/>
      <c r="BD64" s="61"/>
      <c r="BE64" s="61"/>
      <c r="BF64" s="61"/>
      <c r="BG64" s="25"/>
      <c r="BH64" s="25"/>
      <c r="BI64" s="25"/>
      <c r="BJ64" s="25"/>
      <c r="BK64" s="25"/>
      <c r="BL64" s="25"/>
      <c r="BM64" s="25"/>
      <c r="BN64" s="25"/>
      <c r="BO64" s="25"/>
      <c r="BP64" s="25"/>
      <c r="BQ64" s="25"/>
      <c r="BR64" s="25"/>
      <c r="BS64" s="25"/>
      <c r="BT64" s="25"/>
      <c r="BU64" s="25"/>
      <c r="BV64" s="25"/>
      <c r="BW64" s="25"/>
      <c r="BX64" s="25"/>
      <c r="BY64" s="25"/>
      <c r="BZ64" s="25"/>
    </row>
    <row r="65" spans="1:78" x14ac:dyDescent="0.2">
      <c r="A65" s="98" t="s">
        <v>2088</v>
      </c>
      <c r="B65" s="99">
        <f>VLOOKUP(LEFT(A65,7),'Tariff Schedule Lookup Table'!A$8:D$142,3,FALSE)</f>
        <v>100</v>
      </c>
      <c r="C65" s="100">
        <v>1</v>
      </c>
      <c r="D65" s="100">
        <v>221</v>
      </c>
      <c r="E65" s="100" t="s">
        <v>44</v>
      </c>
      <c r="F65" s="169">
        <f>VLOOKUP(E65,'Lamp Stock'!A$14:H$49,4,FALSE)*(1+'Public Lighting Charges'!$R$11)</f>
        <v>14.261267799999999</v>
      </c>
      <c r="G65" s="169">
        <f>VLOOKUP(E65,'Lamp Stock'!A$14:G$49,6,FALSE)*(1+'Public Lighting Charges'!$R$11)</f>
        <v>33.713315999999992</v>
      </c>
      <c r="H65" s="169">
        <f>VLOOKUP(E65,'Lamp Stock'!A$14:H$49,8,FALSE)*(1+'Public Lighting Charges'!$R$11)</f>
        <v>31.974136999999999</v>
      </c>
      <c r="I65" s="102">
        <v>0.2</v>
      </c>
      <c r="J65" s="102">
        <v>0.1</v>
      </c>
      <c r="K65" s="102">
        <v>0.2</v>
      </c>
      <c r="L65" s="101">
        <v>3</v>
      </c>
      <c r="M65" s="103">
        <f t="shared" si="0"/>
        <v>0.33333333333333331</v>
      </c>
      <c r="N65" s="451">
        <v>9.5500000000000002E-2</v>
      </c>
      <c r="O65" s="192">
        <f>'Maintenance Model'!B$110*I65</f>
        <v>47.971516659040006</v>
      </c>
      <c r="P65" s="105">
        <f t="shared" si="1"/>
        <v>6.223585159999999</v>
      </c>
      <c r="Q65" s="105">
        <f>H65*K65*'Maintenance Model'!B$85</f>
        <v>5.1158619200000004</v>
      </c>
      <c r="R65" s="104">
        <f>'Maintenance Model'!B$104*I65</f>
        <v>1.5322666666666667</v>
      </c>
      <c r="S65" s="193">
        <f t="shared" si="2"/>
        <v>60.84323040570667</v>
      </c>
      <c r="T65" s="104">
        <f>'Maintenance Model'!B$110*N65</f>
        <v>22.906399204691603</v>
      </c>
      <c r="U65" s="240">
        <f t="shared" si="10"/>
        <v>5.3439886915999999</v>
      </c>
      <c r="V65" s="104">
        <f>'Maintenance Model'!B$104*N65</f>
        <v>0.73165733333333338</v>
      </c>
      <c r="W65" s="104">
        <f>'Maintenance Model'!B$111*M65</f>
        <v>12.300388886933334</v>
      </c>
      <c r="X65" s="240">
        <f t="shared" si="6"/>
        <v>6.8853650666666661</v>
      </c>
      <c r="Y65" s="104">
        <f>M65*'Maintenance Model'!B$105</f>
        <v>0.3928888888888889</v>
      </c>
      <c r="Z65" s="105">
        <f t="shared" si="13"/>
        <v>48.560688072113827</v>
      </c>
      <c r="AA65" s="203">
        <f>'Other Maintenance'!B$94</f>
        <v>2.9107349228680333</v>
      </c>
      <c r="AB65" s="104">
        <f t="shared" si="7"/>
        <v>63.753965328574701</v>
      </c>
      <c r="AC65" s="142">
        <f t="shared" si="8"/>
        <v>51.471422994981857</v>
      </c>
      <c r="AD65" s="127">
        <f>'Maintenance Model'!B$114 + 'Maintenance Model'!B$115</f>
        <v>0.99616182311111112</v>
      </c>
      <c r="AE65" s="131" t="e">
        <f>AB65+#REF!+#REF!</f>
        <v>#REF!</v>
      </c>
      <c r="AF65" s="142">
        <f t="shared" si="11"/>
        <v>64.750127151685817</v>
      </c>
      <c r="AG65" s="143">
        <f t="shared" si="12"/>
        <v>52.135530877055935</v>
      </c>
      <c r="AH65" s="61" t="e">
        <f>S65+#REF!+AD65</f>
        <v>#REF!</v>
      </c>
      <c r="AI65" s="61"/>
      <c r="AJ65" s="61"/>
      <c r="AK65" s="61"/>
      <c r="AL65" s="61"/>
      <c r="AM65" s="61"/>
      <c r="AN65" s="61"/>
      <c r="AO65" s="61"/>
      <c r="AP65" s="61"/>
      <c r="AQ65" s="61"/>
      <c r="AR65" s="61"/>
      <c r="AS65" s="61" t="s">
        <v>1064</v>
      </c>
      <c r="AT65" s="61"/>
      <c r="AU65" s="61">
        <v>39.812380775405096</v>
      </c>
      <c r="AV65" s="61" t="s">
        <v>2041</v>
      </c>
      <c r="AW65" s="25"/>
      <c r="AX65" s="61" t="b">
        <f t="shared" si="9"/>
        <v>1</v>
      </c>
      <c r="AY65" s="61"/>
      <c r="AZ65" s="129"/>
      <c r="BA65" s="25"/>
      <c r="BB65" s="25"/>
      <c r="BC65" s="61"/>
      <c r="BD65" s="61"/>
      <c r="BE65" s="61"/>
      <c r="BF65" s="61"/>
      <c r="BG65" s="25"/>
      <c r="BH65" s="25"/>
      <c r="BI65" s="25"/>
      <c r="BJ65" s="25"/>
      <c r="BK65" s="25"/>
      <c r="BL65" s="25"/>
      <c r="BM65" s="25"/>
      <c r="BN65" s="25"/>
      <c r="BO65" s="25"/>
      <c r="BP65" s="25"/>
      <c r="BQ65" s="25"/>
      <c r="BR65" s="25"/>
      <c r="BS65" s="25"/>
      <c r="BT65" s="25"/>
      <c r="BU65" s="25"/>
      <c r="BV65" s="25"/>
      <c r="BW65" s="25"/>
      <c r="BX65" s="25"/>
      <c r="BY65" s="25"/>
      <c r="BZ65" s="25"/>
    </row>
    <row r="66" spans="1:78" ht="14.25" customHeight="1" x14ac:dyDescent="0.2">
      <c r="A66" s="98" t="s">
        <v>2089</v>
      </c>
      <c r="B66" s="99">
        <f>VLOOKUP(LEFT(A66,7),'Tariff Schedule Lookup Table'!A$8:D$142,3,FALSE)</f>
        <v>100</v>
      </c>
      <c r="C66" s="100">
        <v>1</v>
      </c>
      <c r="D66" s="100">
        <v>221</v>
      </c>
      <c r="E66" s="100" t="s">
        <v>2087</v>
      </c>
      <c r="F66" s="169">
        <f>VLOOKUP(E66,'Lamp Stock'!A$14:H$49,4,FALSE)*(1+'Public Lighting Charges'!$R$11)</f>
        <v>34.516013999999998</v>
      </c>
      <c r="G66" s="169">
        <f>VLOOKUP(E66,'Lamp Stock'!A$14:G$49,6,FALSE)*(1+'Public Lighting Charges'!$R$11)</f>
        <v>63.814490999999997</v>
      </c>
      <c r="H66" s="169">
        <f>VLOOKUP(E66,'Lamp Stock'!A$14:H$49,8,FALSE)*(1+'Public Lighting Charges'!$R$11)</f>
        <v>31.974136999999999</v>
      </c>
      <c r="I66" s="102">
        <v>0.12</v>
      </c>
      <c r="J66" s="102">
        <v>0.1</v>
      </c>
      <c r="K66" s="102">
        <v>0.2</v>
      </c>
      <c r="L66" s="101">
        <v>3</v>
      </c>
      <c r="M66" s="103">
        <f t="shared" si="0"/>
        <v>0.33333333333333331</v>
      </c>
      <c r="N66" s="451">
        <v>7.2499999999999995E-2</v>
      </c>
      <c r="O66" s="192">
        <f>'Maintenance Model'!B$110*I66</f>
        <v>28.782909995423999</v>
      </c>
      <c r="P66" s="105">
        <f t="shared" si="1"/>
        <v>10.52337078</v>
      </c>
      <c r="Q66" s="105">
        <f>H66*K66*'Maintenance Model'!B$85</f>
        <v>5.1158619200000004</v>
      </c>
      <c r="R66" s="104">
        <f>'Maintenance Model'!B$104*I66</f>
        <v>0.91935999999999996</v>
      </c>
      <c r="S66" s="193">
        <f t="shared" si="2"/>
        <v>45.341502695423998</v>
      </c>
      <c r="T66" s="104">
        <f>'Maintenance Model'!B$110*N66</f>
        <v>17.389674788901999</v>
      </c>
      <c r="U66" s="240">
        <f t="shared" si="10"/>
        <v>9.3474851015000002</v>
      </c>
      <c r="V66" s="104">
        <f>'Maintenance Model'!B$104*N66</f>
        <v>0.55544666666666664</v>
      </c>
      <c r="W66" s="104">
        <f>'Maintenance Model'!B$111*M66</f>
        <v>12.300388886933334</v>
      </c>
      <c r="X66" s="240">
        <f t="shared" si="6"/>
        <v>13.636947133333331</v>
      </c>
      <c r="Y66" s="104">
        <f>M66*'Maintenance Model'!B$105</f>
        <v>0.3928888888888889</v>
      </c>
      <c r="Z66" s="105">
        <f t="shared" si="13"/>
        <v>53.62283146622422</v>
      </c>
      <c r="AA66" s="203">
        <f>'Other Maintenance'!B$94</f>
        <v>2.9107349228680333</v>
      </c>
      <c r="AB66" s="104">
        <f t="shared" si="7"/>
        <v>48.252237618292028</v>
      </c>
      <c r="AC66" s="142">
        <f t="shared" si="8"/>
        <v>56.53356638909225</v>
      </c>
      <c r="AD66" s="127">
        <f>'Maintenance Model'!B$114 + 'Maintenance Model'!B$115</f>
        <v>0.99616182311111112</v>
      </c>
      <c r="AE66" s="131" t="e">
        <f>AB66+#REF!+#REF!</f>
        <v>#REF!</v>
      </c>
      <c r="AF66" s="142">
        <f t="shared" si="11"/>
        <v>49.248399441403137</v>
      </c>
      <c r="AG66" s="143">
        <f t="shared" si="12"/>
        <v>57.197674271166328</v>
      </c>
      <c r="AH66" s="61" t="e">
        <f>S66+#REF!+AD66</f>
        <v>#REF!</v>
      </c>
      <c r="AI66" s="61"/>
      <c r="AJ66" s="61"/>
      <c r="AK66" s="61"/>
      <c r="AL66" s="61"/>
      <c r="AM66" s="61"/>
      <c r="AN66" s="61"/>
      <c r="AO66" s="61"/>
      <c r="AP66" s="61"/>
      <c r="AQ66" s="61"/>
      <c r="AR66" s="61"/>
      <c r="AS66" s="61" t="s">
        <v>1066</v>
      </c>
      <c r="AT66" s="61"/>
      <c r="AU66" s="61">
        <v>31.873069228205086</v>
      </c>
      <c r="AV66" s="61" t="s">
        <v>2041</v>
      </c>
      <c r="AW66" s="25"/>
      <c r="AX66" s="61" t="b">
        <f t="shared" si="9"/>
        <v>0</v>
      </c>
      <c r="AY66" s="61"/>
      <c r="AZ66" s="129"/>
      <c r="BA66" s="25"/>
      <c r="BB66" s="25"/>
      <c r="BC66" s="61"/>
      <c r="BD66" s="61"/>
      <c r="BE66" s="61"/>
      <c r="BF66" s="61"/>
      <c r="BG66" s="25"/>
      <c r="BH66" s="25"/>
      <c r="BI66" s="25"/>
      <c r="BJ66" s="25"/>
      <c r="BK66" s="25"/>
      <c r="BL66" s="25"/>
      <c r="BM66" s="25"/>
      <c r="BN66" s="25"/>
      <c r="BO66" s="25"/>
      <c r="BP66" s="25"/>
      <c r="BQ66" s="25"/>
      <c r="BR66" s="25"/>
      <c r="BS66" s="25"/>
      <c r="BT66" s="25"/>
      <c r="BU66" s="25"/>
      <c r="BV66" s="25"/>
      <c r="BW66" s="25"/>
      <c r="BX66" s="25"/>
      <c r="BY66" s="25"/>
      <c r="BZ66" s="25"/>
    </row>
    <row r="67" spans="1:78" ht="15.75" customHeight="1" x14ac:dyDescent="0.2">
      <c r="A67" s="98" t="s">
        <v>2090</v>
      </c>
      <c r="B67" s="99">
        <f>VLOOKUP(LEFT(A67,7),'Tariff Schedule Lookup Table'!A$8:D$142,3,FALSE)</f>
        <v>120</v>
      </c>
      <c r="C67" s="100">
        <v>1</v>
      </c>
      <c r="D67" s="100">
        <v>104</v>
      </c>
      <c r="E67" s="100" t="s">
        <v>51</v>
      </c>
      <c r="F67" s="169">
        <f>VLOOKUP(E67,'Lamp Stock'!A$14:H$49,4,FALSE)*(1+'Public Lighting Charges'!$R$11)</f>
        <v>20.468798999999997</v>
      </c>
      <c r="G67" s="169">
        <f>VLOOKUP(E67,'Lamp Stock'!A$14:G$49,6,FALSE)*(1+'Public Lighting Charges'!$R$11)</f>
        <v>59.065194499999997</v>
      </c>
      <c r="H67" s="169">
        <f>VLOOKUP(E67,'Lamp Stock'!A$14:H$49,8,FALSE)*(1+'Public Lighting Charges'!$R$11)</f>
        <v>26.034171799999999</v>
      </c>
      <c r="I67" s="102">
        <v>0.2</v>
      </c>
      <c r="J67" s="102">
        <v>0.1</v>
      </c>
      <c r="K67" s="102">
        <v>0.2</v>
      </c>
      <c r="L67" s="101">
        <v>3</v>
      </c>
      <c r="M67" s="103">
        <f t="shared" si="0"/>
        <v>0.33333333333333331</v>
      </c>
      <c r="N67" s="451">
        <v>9.5500000000000002E-2</v>
      </c>
      <c r="O67" s="192">
        <f>'Maintenance Model'!B$110*I67</f>
        <v>47.971516659040006</v>
      </c>
      <c r="P67" s="105">
        <f t="shared" si="1"/>
        <v>10.00027925</v>
      </c>
      <c r="Q67" s="105">
        <f>H67*K67*'Maintenance Model'!B$85</f>
        <v>4.165467488</v>
      </c>
      <c r="R67" s="104">
        <f>'Maintenance Model'!B$104*I67</f>
        <v>1.5322666666666667</v>
      </c>
      <c r="S67" s="193">
        <f t="shared" si="2"/>
        <v>63.669530063706667</v>
      </c>
      <c r="T67" s="104">
        <f>'Maintenance Model'!B$110*N67</f>
        <v>22.906399204691603</v>
      </c>
      <c r="U67" s="240">
        <f t="shared" si="10"/>
        <v>8.3585424358800005</v>
      </c>
      <c r="V67" s="104">
        <f>'Maintenance Model'!B$104*N67</f>
        <v>0.73165733333333338</v>
      </c>
      <c r="W67" s="104">
        <f>'Maintenance Model'!B$111*M67</f>
        <v>12.300388886933334</v>
      </c>
      <c r="X67" s="240">
        <f t="shared" si="6"/>
        <v>8.558544453333333</v>
      </c>
      <c r="Y67" s="104">
        <f>M67*'Maintenance Model'!B$105</f>
        <v>0.3928888888888889</v>
      </c>
      <c r="Z67" s="105">
        <f t="shared" si="13"/>
        <v>53.248421203060495</v>
      </c>
      <c r="AA67" s="203">
        <f>'Other Maintenance'!B$94</f>
        <v>2.9107349228680333</v>
      </c>
      <c r="AB67" s="104">
        <f t="shared" si="7"/>
        <v>66.580264986574704</v>
      </c>
      <c r="AC67" s="142">
        <f t="shared" si="8"/>
        <v>56.159156125928526</v>
      </c>
      <c r="AD67" s="127">
        <f>'Maintenance Model'!B$114 + 'Maintenance Model'!B$115</f>
        <v>0.99616182311111112</v>
      </c>
      <c r="AE67" s="131" t="e">
        <f>AB67+#REF!+#REF!</f>
        <v>#REF!</v>
      </c>
      <c r="AF67" s="142">
        <f t="shared" si="11"/>
        <v>67.576426809685813</v>
      </c>
      <c r="AG67" s="143">
        <f t="shared" si="12"/>
        <v>56.823264008002603</v>
      </c>
      <c r="AH67" s="61" t="e">
        <f>S67+#REF!+AD67</f>
        <v>#REF!</v>
      </c>
      <c r="AI67" s="61"/>
      <c r="AJ67" s="61"/>
      <c r="AK67" s="61"/>
      <c r="AL67" s="61"/>
      <c r="AM67" s="61"/>
      <c r="AN67" s="61"/>
      <c r="AO67" s="61"/>
      <c r="AP67" s="61"/>
      <c r="AQ67" s="61"/>
      <c r="AR67" s="61"/>
      <c r="AS67" s="61" t="s">
        <v>1068</v>
      </c>
      <c r="AT67" s="61"/>
      <c r="AU67" s="61">
        <v>40.856667363805172</v>
      </c>
      <c r="AV67" s="61" t="s">
        <v>2041</v>
      </c>
      <c r="AW67" s="25"/>
      <c r="AX67" s="61" t="b">
        <f t="shared" si="9"/>
        <v>1</v>
      </c>
      <c r="AY67" s="61"/>
      <c r="AZ67" s="129"/>
      <c r="BA67" s="25"/>
      <c r="BB67" s="25"/>
      <c r="BC67" s="61"/>
      <c r="BD67" s="61"/>
      <c r="BE67" s="61"/>
      <c r="BF67" s="61"/>
      <c r="BG67" s="25"/>
      <c r="BH67" s="25"/>
      <c r="BI67" s="25"/>
      <c r="BJ67" s="25"/>
      <c r="BK67" s="25"/>
      <c r="BL67" s="25"/>
      <c r="BM67" s="25"/>
      <c r="BN67" s="25"/>
      <c r="BO67" s="25"/>
      <c r="BP67" s="25"/>
      <c r="BQ67" s="25"/>
      <c r="BR67" s="25"/>
      <c r="BS67" s="25"/>
      <c r="BT67" s="25"/>
      <c r="BU67" s="25"/>
      <c r="BV67" s="25"/>
      <c r="BW67" s="25"/>
      <c r="BX67" s="25"/>
      <c r="BY67" s="25"/>
      <c r="BZ67" s="25"/>
    </row>
    <row r="68" spans="1:78" x14ac:dyDescent="0.2">
      <c r="A68" s="98" t="s">
        <v>156</v>
      </c>
      <c r="B68" s="99">
        <f>VLOOKUP(LEFT(A68,7),'Tariff Schedule Lookup Table'!A$8:D$142,3,FALSE)</f>
        <v>120</v>
      </c>
      <c r="C68" s="100">
        <v>1</v>
      </c>
      <c r="D68" s="100">
        <v>104</v>
      </c>
      <c r="E68" s="100" t="s">
        <v>2092</v>
      </c>
      <c r="F68" s="169">
        <f>VLOOKUP(E68,'Lamp Stock'!A$14:H$49,4,FALSE)*(1+'Public Lighting Charges'!$R$11)</f>
        <v>47.894313999999994</v>
      </c>
      <c r="G68" s="169">
        <f>VLOOKUP(E68,'Lamp Stock'!A$14:G$49,6,FALSE)*(1+'Public Lighting Charges'!$R$11)</f>
        <v>85.085988</v>
      </c>
      <c r="H68" s="169">
        <f>VLOOKUP(E68,'Lamp Stock'!A$14:H$49,8,FALSE)*(1+'Public Lighting Charges'!$R$11)</f>
        <v>26.034171799999999</v>
      </c>
      <c r="I68" s="102">
        <v>0.12</v>
      </c>
      <c r="J68" s="102">
        <v>0.1</v>
      </c>
      <c r="K68" s="102">
        <v>0.2</v>
      </c>
      <c r="L68" s="101">
        <v>3</v>
      </c>
      <c r="M68" s="103">
        <f t="shared" si="0"/>
        <v>0.33333333333333331</v>
      </c>
      <c r="N68" s="451">
        <v>7.2499999999999995E-2</v>
      </c>
      <c r="O68" s="192">
        <f>'Maintenance Model'!B$110*I68</f>
        <v>28.782909995423999</v>
      </c>
      <c r="P68" s="105">
        <f t="shared" si="1"/>
        <v>14.25591648</v>
      </c>
      <c r="Q68" s="105">
        <f>H68*K68*'Maintenance Model'!B$85</f>
        <v>4.165467488</v>
      </c>
      <c r="R68" s="104">
        <f>'Maintenance Model'!B$104*I68</f>
        <v>0.91935999999999996</v>
      </c>
      <c r="S68" s="193">
        <f t="shared" si="2"/>
        <v>48.123653963423997</v>
      </c>
      <c r="T68" s="104">
        <f>'Maintenance Model'!B$110*N68</f>
        <v>17.389674788901999</v>
      </c>
      <c r="U68" s="240">
        <f t="shared" si="10"/>
        <v>12.3584320561</v>
      </c>
      <c r="V68" s="104">
        <f>'Maintenance Model'!B$104*N68</f>
        <v>0.55544666666666664</v>
      </c>
      <c r="W68" s="104">
        <f>'Maintenance Model'!B$111*M68</f>
        <v>12.300388886933334</v>
      </c>
      <c r="X68" s="240">
        <f t="shared" si="6"/>
        <v>17.700382786666665</v>
      </c>
      <c r="Y68" s="104">
        <f>M68*'Maintenance Model'!B$105</f>
        <v>0.3928888888888889</v>
      </c>
      <c r="Z68" s="105">
        <f t="shared" si="13"/>
        <v>60.697214074157557</v>
      </c>
      <c r="AA68" s="203">
        <f>'Other Maintenance'!B$94</f>
        <v>2.9107349228680333</v>
      </c>
      <c r="AB68" s="104">
        <f t="shared" si="7"/>
        <v>51.034388886292028</v>
      </c>
      <c r="AC68" s="142">
        <f t="shared" si="8"/>
        <v>63.607948997025588</v>
      </c>
      <c r="AD68" s="127">
        <f>'Maintenance Model'!B$114 + 'Maintenance Model'!B$115</f>
        <v>0.99616182311111112</v>
      </c>
      <c r="AE68" s="131" t="e">
        <f>AB68+#REF!+#REF!</f>
        <v>#REF!</v>
      </c>
      <c r="AF68" s="142">
        <f t="shared" si="11"/>
        <v>52.030550709403137</v>
      </c>
      <c r="AG68" s="143">
        <f t="shared" si="12"/>
        <v>64.272056879099665</v>
      </c>
      <c r="AH68" s="61" t="e">
        <f>S68+#REF!+AD68</f>
        <v>#REF!</v>
      </c>
      <c r="AI68" s="61"/>
      <c r="AJ68" s="61"/>
      <c r="AK68" s="61"/>
      <c r="AL68" s="61"/>
      <c r="AM68" s="61"/>
      <c r="AN68" s="61"/>
      <c r="AO68" s="61"/>
      <c r="AP68" s="61"/>
      <c r="AQ68" s="61"/>
      <c r="AR68" s="61"/>
      <c r="AS68" s="61"/>
      <c r="AT68" s="61"/>
      <c r="AU68" s="61">
        <v>31.886875816605169</v>
      </c>
      <c r="AV68" s="61" t="s">
        <v>2041</v>
      </c>
      <c r="AW68" s="25"/>
      <c r="AX68" s="61" t="b">
        <f t="shared" si="9"/>
        <v>0</v>
      </c>
      <c r="AY68" s="61"/>
      <c r="AZ68" s="129"/>
      <c r="BA68" s="25"/>
      <c r="BB68" s="25"/>
      <c r="BC68" s="61"/>
      <c r="BD68" s="61"/>
      <c r="BE68" s="61"/>
      <c r="BF68" s="61"/>
      <c r="BG68" s="25"/>
      <c r="BH68" s="25"/>
      <c r="BI68" s="25"/>
      <c r="BJ68" s="25"/>
      <c r="BK68" s="25"/>
      <c r="BL68" s="25"/>
      <c r="BM68" s="25"/>
      <c r="BN68" s="25"/>
      <c r="BO68" s="25"/>
      <c r="BP68" s="25"/>
      <c r="BQ68" s="25"/>
      <c r="BR68" s="25"/>
      <c r="BS68" s="25"/>
      <c r="BT68" s="25"/>
      <c r="BU68" s="25"/>
      <c r="BV68" s="25"/>
      <c r="BW68" s="25"/>
      <c r="BX68" s="25"/>
      <c r="BY68" s="25"/>
      <c r="BZ68" s="25"/>
    </row>
    <row r="69" spans="1:78" ht="12.75" customHeight="1" x14ac:dyDescent="0.2">
      <c r="A69" s="98" t="s">
        <v>2091</v>
      </c>
      <c r="B69" s="99">
        <f>VLOOKUP(LEFT(A69,7),'Tariff Schedule Lookup Table'!A$8:D$142,3,FALSE)</f>
        <v>150</v>
      </c>
      <c r="C69" s="100">
        <v>1</v>
      </c>
      <c r="D69" s="100">
        <v>5672</v>
      </c>
      <c r="E69" s="100" t="s">
        <v>51</v>
      </c>
      <c r="F69" s="169">
        <f>VLOOKUP(E69,'Lamp Stock'!A$14:H$49,4,FALSE)*(1+'Public Lighting Charges'!$R$11)</f>
        <v>20.468798999999997</v>
      </c>
      <c r="G69" s="169">
        <f>VLOOKUP(E69,'Lamp Stock'!A$14:G$49,6,FALSE)*(1+'Public Lighting Charges'!$R$11)</f>
        <v>59.065194499999997</v>
      </c>
      <c r="H69" s="169">
        <f>VLOOKUP(E69,'Lamp Stock'!A$14:H$49,8,FALSE)*(1+'Public Lighting Charges'!$R$11)</f>
        <v>26.034171799999999</v>
      </c>
      <c r="I69" s="102">
        <v>0.2</v>
      </c>
      <c r="J69" s="102">
        <v>0.1</v>
      </c>
      <c r="K69" s="102">
        <v>0.2</v>
      </c>
      <c r="L69" s="101">
        <v>3</v>
      </c>
      <c r="M69" s="103">
        <f t="shared" si="0"/>
        <v>0.33333333333333331</v>
      </c>
      <c r="N69" s="451">
        <v>9.5500000000000002E-2</v>
      </c>
      <c r="O69" s="192">
        <f>'Maintenance Model'!B$110*I69</f>
        <v>47.971516659040006</v>
      </c>
      <c r="P69" s="105">
        <f t="shared" si="1"/>
        <v>10.00027925</v>
      </c>
      <c r="Q69" s="105">
        <f>H69*K69*'Maintenance Model'!B$86</f>
        <v>1.5620503080000001</v>
      </c>
      <c r="R69" s="105">
        <f>'Maintenance Model'!B$106*I69</f>
        <v>12.258133333333333</v>
      </c>
      <c r="S69" s="193">
        <f t="shared" si="2"/>
        <v>71.791979550373341</v>
      </c>
      <c r="T69" s="104">
        <f>'Maintenance Model'!B$110*N69</f>
        <v>22.906399204691603</v>
      </c>
      <c r="U69" s="240">
        <f t="shared" si="10"/>
        <v>8.3585424358800005</v>
      </c>
      <c r="V69" s="104">
        <f>'Maintenance Model'!B$106*N69</f>
        <v>5.8532586666666671</v>
      </c>
      <c r="W69" s="104">
        <f>'Maintenance Model'!B$111*M69</f>
        <v>12.300388886933334</v>
      </c>
      <c r="X69" s="240">
        <f t="shared" si="6"/>
        <v>8.558544453333333</v>
      </c>
      <c r="Y69" s="105">
        <f>M69*'Maintenance Model'!B$107</f>
        <v>3.1431111111111112</v>
      </c>
      <c r="Z69" s="105">
        <f t="shared" si="13"/>
        <v>61.120244758616046</v>
      </c>
      <c r="AA69" s="203">
        <f>'Other Maintenance'!B$94</f>
        <v>2.9107349228680333</v>
      </c>
      <c r="AB69" s="104">
        <f t="shared" si="7"/>
        <v>74.702714473241372</v>
      </c>
      <c r="AC69" s="142">
        <f t="shared" si="8"/>
        <v>64.030979681484084</v>
      </c>
      <c r="AD69" s="127">
        <f>'Maintenance Model'!B$114 + 'Maintenance Model'!B$115</f>
        <v>0.99616182311111112</v>
      </c>
      <c r="AE69" s="131" t="e">
        <f>AB69+#REF!+#REF!</f>
        <v>#REF!</v>
      </c>
      <c r="AF69" s="142">
        <f t="shared" si="11"/>
        <v>75.698876296352481</v>
      </c>
      <c r="AG69" s="143">
        <f t="shared" si="12"/>
        <v>64.695087563558161</v>
      </c>
      <c r="AH69" s="61" t="e">
        <f>S69+#REF!+AD69</f>
        <v>#REF!</v>
      </c>
      <c r="AI69" s="61">
        <f>AG69-AF69</f>
        <v>-11.00378873279432</v>
      </c>
      <c r="AJ69" s="61"/>
      <c r="AK69" s="61"/>
      <c r="AL69" s="61"/>
      <c r="AM69" s="61"/>
      <c r="AN69" s="61"/>
      <c r="AO69" s="61"/>
      <c r="AP69" s="61"/>
      <c r="AQ69" s="61"/>
      <c r="AR69" s="61"/>
      <c r="AS69" s="61" t="s">
        <v>1070</v>
      </c>
      <c r="AT69" s="61"/>
      <c r="AU69" s="61">
        <v>42.078987363805176</v>
      </c>
      <c r="AV69" s="61">
        <v>40.502266457052791</v>
      </c>
      <c r="AW69" s="25"/>
      <c r="AX69" s="61" t="b">
        <f t="shared" si="9"/>
        <v>1</v>
      </c>
      <c r="AY69" s="61"/>
      <c r="AZ69" s="129"/>
      <c r="BA69" s="25"/>
      <c r="BB69" s="25"/>
      <c r="BC69" s="61"/>
      <c r="BD69" s="61"/>
      <c r="BE69" s="61"/>
      <c r="BF69" s="61"/>
      <c r="BG69" s="25"/>
      <c r="BH69" s="25"/>
      <c r="BI69" s="25"/>
      <c r="BJ69" s="25"/>
      <c r="BK69" s="25"/>
      <c r="BL69" s="25"/>
      <c r="BM69" s="25"/>
      <c r="BN69" s="25"/>
      <c r="BO69" s="25"/>
      <c r="BP69" s="25"/>
      <c r="BQ69" s="25"/>
      <c r="BR69" s="25"/>
      <c r="BS69" s="25"/>
      <c r="BT69" s="25"/>
      <c r="BU69" s="25"/>
      <c r="BV69" s="25"/>
      <c r="BW69" s="25"/>
      <c r="BX69" s="25"/>
      <c r="BY69" s="25"/>
      <c r="BZ69" s="25"/>
    </row>
    <row r="70" spans="1:78" ht="15.75" customHeight="1" x14ac:dyDescent="0.2">
      <c r="A70" s="98" t="s">
        <v>2092</v>
      </c>
      <c r="B70" s="99">
        <f>VLOOKUP(LEFT(A70,7),'Tariff Schedule Lookup Table'!A$8:D$142,3,FALSE)</f>
        <v>150</v>
      </c>
      <c r="C70" s="100">
        <v>1</v>
      </c>
      <c r="D70" s="100">
        <v>5672</v>
      </c>
      <c r="E70" s="100" t="s">
        <v>2092</v>
      </c>
      <c r="F70" s="169">
        <f>VLOOKUP(E70,'Lamp Stock'!A$14:H$49,4,FALSE)*(1+'Public Lighting Charges'!$R$11)</f>
        <v>47.894313999999994</v>
      </c>
      <c r="G70" s="169">
        <f>VLOOKUP(E70,'Lamp Stock'!A$14:G$49,6,FALSE)*(1+'Public Lighting Charges'!$R$11)</f>
        <v>85.085988</v>
      </c>
      <c r="H70" s="169">
        <f>VLOOKUP(E70,'Lamp Stock'!A$14:H$49,8,FALSE)*(1+'Public Lighting Charges'!$R$11)</f>
        <v>26.034171799999999</v>
      </c>
      <c r="I70" s="102">
        <v>0.12</v>
      </c>
      <c r="J70" s="102">
        <v>0.1</v>
      </c>
      <c r="K70" s="102">
        <v>0.2</v>
      </c>
      <c r="L70" s="101">
        <v>3</v>
      </c>
      <c r="M70" s="103">
        <f t="shared" si="0"/>
        <v>0.33333333333333331</v>
      </c>
      <c r="N70" s="451">
        <v>7.2499999999999995E-2</v>
      </c>
      <c r="O70" s="192">
        <f>'Maintenance Model'!B$110*I70</f>
        <v>28.782909995423999</v>
      </c>
      <c r="P70" s="105">
        <f t="shared" si="1"/>
        <v>14.25591648</v>
      </c>
      <c r="Q70" s="105">
        <f>H70*K70*'Maintenance Model'!B$86</f>
        <v>1.5620503080000001</v>
      </c>
      <c r="R70" s="105">
        <f>'Maintenance Model'!B$106*I70</f>
        <v>7.3548799999999996</v>
      </c>
      <c r="S70" s="193">
        <f t="shared" si="2"/>
        <v>51.955756783424007</v>
      </c>
      <c r="T70" s="104">
        <f>'Maintenance Model'!B$110*N70</f>
        <v>17.389674788901999</v>
      </c>
      <c r="U70" s="240">
        <f t="shared" si="10"/>
        <v>12.3584320561</v>
      </c>
      <c r="V70" s="104">
        <f>'Maintenance Model'!B$106*N70</f>
        <v>4.4435733333333332</v>
      </c>
      <c r="W70" s="104">
        <f>'Maintenance Model'!B$111*M70</f>
        <v>12.300388886933334</v>
      </c>
      <c r="X70" s="240">
        <f t="shared" si="6"/>
        <v>17.700382786666665</v>
      </c>
      <c r="Y70" s="105">
        <f>M70*'Maintenance Model'!B$107</f>
        <v>3.1431111111111112</v>
      </c>
      <c r="Z70" s="105">
        <f t="shared" si="13"/>
        <v>67.335562963046442</v>
      </c>
      <c r="AA70" s="203">
        <f>'Other Maintenance'!B$94</f>
        <v>2.9107349228680333</v>
      </c>
      <c r="AB70" s="104">
        <f t="shared" si="7"/>
        <v>54.866491706292038</v>
      </c>
      <c r="AC70" s="142">
        <f t="shared" si="8"/>
        <v>70.246297885914473</v>
      </c>
      <c r="AD70" s="127">
        <f>'Maintenance Model'!B$114 + 'Maintenance Model'!B$115</f>
        <v>0.99616182311111112</v>
      </c>
      <c r="AE70" s="131" t="e">
        <f>AB70+#REF!+#REF!</f>
        <v>#REF!</v>
      </c>
      <c r="AF70" s="142">
        <f t="shared" si="11"/>
        <v>55.862653529403147</v>
      </c>
      <c r="AG70" s="143">
        <f t="shared" si="12"/>
        <v>70.91040576798855</v>
      </c>
      <c r="AH70" s="61" t="e">
        <f>S70+#REF!+AD70</f>
        <v>#REF!</v>
      </c>
      <c r="AI70" s="61"/>
      <c r="AJ70" s="61"/>
      <c r="AK70" s="61"/>
      <c r="AL70" s="61"/>
      <c r="AM70" s="61"/>
      <c r="AN70" s="61"/>
      <c r="AO70" s="61"/>
      <c r="AP70" s="61"/>
      <c r="AQ70" s="61"/>
      <c r="AR70" s="61"/>
      <c r="AS70" s="61" t="s">
        <v>1072</v>
      </c>
      <c r="AT70" s="61"/>
      <c r="AU70" s="61">
        <v>32.620267816605171</v>
      </c>
      <c r="AV70" s="61">
        <v>38.93337519433851</v>
      </c>
      <c r="AW70" s="25"/>
      <c r="AX70" s="61" t="b">
        <f t="shared" si="9"/>
        <v>0</v>
      </c>
      <c r="AY70" s="61"/>
      <c r="AZ70" s="129"/>
      <c r="BA70" s="25"/>
      <c r="BB70" s="25"/>
      <c r="BC70" s="61"/>
      <c r="BD70" s="61"/>
      <c r="BE70" s="61"/>
      <c r="BF70" s="61"/>
      <c r="BG70" s="25"/>
      <c r="BH70" s="25"/>
      <c r="BI70" s="25"/>
      <c r="BJ70" s="25"/>
      <c r="BK70" s="25"/>
      <c r="BL70" s="25"/>
      <c r="BM70" s="25"/>
      <c r="BN70" s="25"/>
      <c r="BO70" s="25"/>
      <c r="BP70" s="25"/>
      <c r="BQ70" s="25"/>
      <c r="BR70" s="25"/>
      <c r="BS70" s="25"/>
      <c r="BT70" s="25"/>
      <c r="BU70" s="25"/>
      <c r="BV70" s="25"/>
      <c r="BW70" s="25"/>
      <c r="BX70" s="25"/>
      <c r="BY70" s="25"/>
      <c r="BZ70" s="25"/>
    </row>
    <row r="71" spans="1:78" x14ac:dyDescent="0.2">
      <c r="A71" s="98" t="s">
        <v>2093</v>
      </c>
      <c r="B71" s="99">
        <f>VLOOKUP(LEFT(A71,7),'Tariff Schedule Lookup Table'!A$8:D$142,3,FALSE)</f>
        <v>220</v>
      </c>
      <c r="C71" s="100">
        <v>1</v>
      </c>
      <c r="D71" s="100">
        <v>161</v>
      </c>
      <c r="E71" s="100" t="s">
        <v>53</v>
      </c>
      <c r="F71" s="169">
        <f>VLOOKUP(E71,'Lamp Stock'!A$14:H$49,4,FALSE)*(1+'Public Lighting Charges'!$R$11)</f>
        <v>21.030687599999997</v>
      </c>
      <c r="G71" s="169">
        <f>VLOOKUP(E71,'Lamp Stock'!A$14:G$49,6,FALSE)*(1+'Public Lighting Charges'!$R$11)</f>
        <v>67.961763999999988</v>
      </c>
      <c r="H71" s="169">
        <f>VLOOKUP(E71,'Lamp Stock'!A$14:H$49,8,FALSE)*(1+'Public Lighting Charges'!$R$11)</f>
        <v>26.034171799999999</v>
      </c>
      <c r="I71" s="102">
        <v>0.2</v>
      </c>
      <c r="J71" s="102">
        <v>0.1</v>
      </c>
      <c r="K71" s="102">
        <v>0.2</v>
      </c>
      <c r="L71" s="101">
        <v>3</v>
      </c>
      <c r="M71" s="103">
        <f t="shared" si="0"/>
        <v>0.33333333333333331</v>
      </c>
      <c r="N71" s="451">
        <v>9.5500000000000002E-2</v>
      </c>
      <c r="O71" s="192">
        <f>'Maintenance Model'!B$110*I71</f>
        <v>47.971516659040006</v>
      </c>
      <c r="P71" s="105">
        <f t="shared" si="1"/>
        <v>11.002313919999999</v>
      </c>
      <c r="Q71" s="105">
        <f>H71*K71*'Maintenance Model'!B$86</f>
        <v>1.5620503080000001</v>
      </c>
      <c r="R71" s="105">
        <f>'Maintenance Model'!B$106*I71</f>
        <v>12.258133333333333</v>
      </c>
      <c r="S71" s="193">
        <f t="shared" si="2"/>
        <v>72.794014220373342</v>
      </c>
      <c r="T71" s="104">
        <f>'Maintenance Model'!B$110*N71</f>
        <v>22.906399204691603</v>
      </c>
      <c r="U71" s="240">
        <f t="shared" si="10"/>
        <v>9.30185974718</v>
      </c>
      <c r="V71" s="104">
        <f>'Maintenance Model'!B$106*N71</f>
        <v>5.8532586666666671</v>
      </c>
      <c r="W71" s="104">
        <f>'Maintenance Model'!B$111*M71</f>
        <v>12.300388886933334</v>
      </c>
      <c r="X71" s="240">
        <f t="shared" si="6"/>
        <v>8.7458406533333317</v>
      </c>
      <c r="Y71" s="105">
        <f>M71*'Maintenance Model'!B$107</f>
        <v>3.1431111111111112</v>
      </c>
      <c r="Z71" s="105">
        <f t="shared" si="13"/>
        <v>62.250858269916044</v>
      </c>
      <c r="AA71" s="203">
        <f>'Other Maintenance'!B$94</f>
        <v>2.9107349228680333</v>
      </c>
      <c r="AB71" s="104">
        <f t="shared" si="7"/>
        <v>75.704749143241372</v>
      </c>
      <c r="AC71" s="142">
        <f t="shared" si="8"/>
        <v>65.161593192784082</v>
      </c>
      <c r="AD71" s="127">
        <f>'Maintenance Model'!B$114 + 'Maintenance Model'!B$115</f>
        <v>0.99616182311111112</v>
      </c>
      <c r="AE71" s="131" t="e">
        <f>AB71+#REF!+#REF!</f>
        <v>#REF!</v>
      </c>
      <c r="AF71" s="142">
        <f t="shared" si="11"/>
        <v>76.700910966352481</v>
      </c>
      <c r="AG71" s="143">
        <f t="shared" si="12"/>
        <v>65.825701074858159</v>
      </c>
      <c r="AH71" s="61" t="e">
        <f>S71+#REF!+AD71</f>
        <v>#REF!</v>
      </c>
      <c r="AI71" s="61">
        <f>AG71-AF71</f>
        <v>-10.875209891494322</v>
      </c>
      <c r="AJ71" s="61"/>
      <c r="AK71" s="61"/>
      <c r="AL71" s="61"/>
      <c r="AM71" s="61"/>
      <c r="AN71" s="61"/>
      <c r="AO71" s="61"/>
      <c r="AP71" s="61"/>
      <c r="AQ71" s="61"/>
      <c r="AR71" s="61"/>
      <c r="AS71" s="61" t="s">
        <v>1074</v>
      </c>
      <c r="AT71" s="61"/>
      <c r="AU71" s="61">
        <v>41.388900775405091</v>
      </c>
      <c r="AV71" s="61">
        <v>41.053882186175564</v>
      </c>
      <c r="AW71" s="25"/>
      <c r="AX71" s="61" t="b">
        <f t="shared" si="9"/>
        <v>1</v>
      </c>
      <c r="AY71" s="61"/>
      <c r="AZ71" s="129"/>
      <c r="BA71" s="25"/>
      <c r="BB71" s="25"/>
      <c r="BC71" s="61"/>
      <c r="BD71" s="61"/>
      <c r="BE71" s="61"/>
      <c r="BF71" s="61"/>
      <c r="BG71" s="25"/>
      <c r="BH71" s="25"/>
      <c r="BI71" s="25"/>
      <c r="BJ71" s="25"/>
      <c r="BK71" s="25"/>
      <c r="BL71" s="25"/>
      <c r="BM71" s="25"/>
      <c r="BN71" s="25"/>
      <c r="BO71" s="25"/>
      <c r="BP71" s="25"/>
      <c r="BQ71" s="25"/>
      <c r="BR71" s="25"/>
      <c r="BS71" s="25"/>
      <c r="BT71" s="25"/>
      <c r="BU71" s="25"/>
      <c r="BV71" s="25"/>
      <c r="BW71" s="25"/>
      <c r="BX71" s="25"/>
      <c r="BY71" s="25"/>
      <c r="BZ71" s="25"/>
    </row>
    <row r="72" spans="1:78" x14ac:dyDescent="0.2">
      <c r="A72" s="98" t="s">
        <v>157</v>
      </c>
      <c r="B72" s="99">
        <f>VLOOKUP(LEFT(A72,7),'Tariff Schedule Lookup Table'!A$8:D$142,3,FALSE)</f>
        <v>220</v>
      </c>
      <c r="C72" s="100">
        <v>1</v>
      </c>
      <c r="D72" s="100">
        <v>161</v>
      </c>
      <c r="E72" s="100" t="s">
        <v>2095</v>
      </c>
      <c r="F72" s="169">
        <f>VLOOKUP(E72,'Lamp Stock'!A$14:H$49,4,FALSE)*(1+'Public Lighting Charges'!$R$11)</f>
        <v>50.436191000000001</v>
      </c>
      <c r="G72" s="169">
        <f>VLOOKUP(E72,'Lamp Stock'!A$14:G$49,6,FALSE)*(1+'Public Lighting Charges'!$R$11)</f>
        <v>54.315897999999997</v>
      </c>
      <c r="H72" s="169">
        <f>VLOOKUP(E72,'Lamp Stock'!A$14:H$49,8,FALSE)*(1+'Public Lighting Charges'!$R$11)</f>
        <v>26.034171799999999</v>
      </c>
      <c r="I72" s="102">
        <v>0.12</v>
      </c>
      <c r="J72" s="102">
        <v>0.1</v>
      </c>
      <c r="K72" s="102">
        <v>0.2</v>
      </c>
      <c r="L72" s="101">
        <v>3</v>
      </c>
      <c r="M72" s="103">
        <f t="shared" si="0"/>
        <v>0.33333333333333331</v>
      </c>
      <c r="N72" s="451">
        <v>7.2499999999999995E-2</v>
      </c>
      <c r="O72" s="192">
        <f>'Maintenance Model'!B$110*I72</f>
        <v>28.782909995423999</v>
      </c>
      <c r="P72" s="105">
        <f t="shared" si="1"/>
        <v>11.48393272</v>
      </c>
      <c r="Q72" s="105">
        <f>H72*K72*'Maintenance Model'!B$86</f>
        <v>1.5620503080000001</v>
      </c>
      <c r="R72" s="105">
        <f>'Maintenance Model'!B$106*I72</f>
        <v>7.3548799999999996</v>
      </c>
      <c r="S72" s="193">
        <f t="shared" si="2"/>
        <v>49.183773023424003</v>
      </c>
      <c r="T72" s="104">
        <f>'Maintenance Model'!B$110*N72</f>
        <v>17.389674788901999</v>
      </c>
      <c r="U72" s="240">
        <f t="shared" si="10"/>
        <v>9.4657091386000012</v>
      </c>
      <c r="V72" s="104">
        <f>'Maintenance Model'!B$106*N72</f>
        <v>4.4435733333333332</v>
      </c>
      <c r="W72" s="104">
        <f>'Maintenance Model'!B$111*M72</f>
        <v>12.300388886933334</v>
      </c>
      <c r="X72" s="240">
        <f t="shared" si="6"/>
        <v>18.547675120000001</v>
      </c>
      <c r="Y72" s="105">
        <f>M72*'Maintenance Model'!B$107</f>
        <v>3.1431111111111112</v>
      </c>
      <c r="Z72" s="105"/>
      <c r="AA72" s="203">
        <f>'Other Maintenance'!B$94</f>
        <v>2.9107349228680333</v>
      </c>
      <c r="AB72" s="104">
        <f t="shared" si="7"/>
        <v>52.094507946292033</v>
      </c>
      <c r="AC72" s="142">
        <f t="shared" si="8"/>
        <v>2.9107349228680333</v>
      </c>
      <c r="AD72" s="127">
        <f>'Maintenance Model'!B$114 + 'Maintenance Model'!B$115</f>
        <v>0.99616182311111112</v>
      </c>
      <c r="AE72" s="131"/>
      <c r="AF72" s="142">
        <f t="shared" si="11"/>
        <v>53.090669769403142</v>
      </c>
      <c r="AG72" s="143">
        <f t="shared" si="12"/>
        <v>3.574842804942107</v>
      </c>
      <c r="AH72" s="61" t="e">
        <f>S72+#REF!+AD72</f>
        <v>#REF!</v>
      </c>
      <c r="AI72" s="61">
        <f>AG72-AF72</f>
        <v>-49.515826964461034</v>
      </c>
      <c r="AJ72" s="61"/>
      <c r="AK72" s="61"/>
      <c r="AL72" s="61"/>
      <c r="AM72" s="61"/>
      <c r="AN72" s="61"/>
      <c r="AO72" s="61"/>
      <c r="AP72" s="61"/>
      <c r="AQ72" s="61"/>
      <c r="AR72" s="61"/>
      <c r="AS72" s="61" t="s">
        <v>2042</v>
      </c>
      <c r="AT72" s="61"/>
      <c r="AU72" s="61" t="s">
        <v>2041</v>
      </c>
      <c r="AV72" s="61" t="s">
        <v>2041</v>
      </c>
      <c r="AW72" s="25"/>
      <c r="AX72" s="61" t="b">
        <f t="shared" si="9"/>
        <v>1</v>
      </c>
      <c r="AY72" s="61"/>
      <c r="AZ72" s="129"/>
      <c r="BA72" s="25"/>
      <c r="BB72" s="25"/>
      <c r="BC72" s="61"/>
      <c r="BD72" s="61"/>
      <c r="BE72" s="61"/>
      <c r="BF72" s="61"/>
      <c r="BG72" s="25"/>
      <c r="BH72" s="25"/>
      <c r="BI72" s="25"/>
      <c r="BJ72" s="25"/>
      <c r="BK72" s="25"/>
      <c r="BL72" s="25"/>
      <c r="BM72" s="25"/>
      <c r="BN72" s="25"/>
      <c r="BO72" s="25"/>
      <c r="BP72" s="25"/>
      <c r="BQ72" s="25"/>
      <c r="BR72" s="25"/>
      <c r="BS72" s="25"/>
      <c r="BT72" s="25"/>
      <c r="BU72" s="25"/>
      <c r="BV72" s="25"/>
      <c r="BW72" s="25"/>
      <c r="BX72" s="25"/>
      <c r="BY72" s="25"/>
      <c r="BZ72" s="25"/>
    </row>
    <row r="73" spans="1:78" x14ac:dyDescent="0.2">
      <c r="A73" s="98" t="s">
        <v>2094</v>
      </c>
      <c r="B73" s="99">
        <f>VLOOKUP(LEFT(A73,7),'Tariff Schedule Lookup Table'!A$8:D$142,3,FALSE)</f>
        <v>250</v>
      </c>
      <c r="C73" s="100">
        <v>1</v>
      </c>
      <c r="D73" s="100">
        <v>15900</v>
      </c>
      <c r="E73" s="100" t="s">
        <v>53</v>
      </c>
      <c r="F73" s="169">
        <f>VLOOKUP(E73,'Lamp Stock'!A$14:H$49,4,FALSE)*(1+'Public Lighting Charges'!$R$11)</f>
        <v>21.030687599999997</v>
      </c>
      <c r="G73" s="169">
        <f>VLOOKUP(E73,'Lamp Stock'!A$14:G$49,6,FALSE)*(1+'Public Lighting Charges'!$R$11)</f>
        <v>67.961763999999988</v>
      </c>
      <c r="H73" s="169">
        <f>VLOOKUP(E73,'Lamp Stock'!A$14:H$49,8,FALSE)*(1+'Public Lighting Charges'!$R$11)</f>
        <v>26.034171799999999</v>
      </c>
      <c r="I73" s="102">
        <v>0.2</v>
      </c>
      <c r="J73" s="102">
        <v>0.1</v>
      </c>
      <c r="K73" s="102">
        <v>0.2</v>
      </c>
      <c r="L73" s="101">
        <v>3</v>
      </c>
      <c r="M73" s="103">
        <f t="shared" ref="M73:M81" si="15">1/L73</f>
        <v>0.33333333333333331</v>
      </c>
      <c r="N73" s="451">
        <v>9.5500000000000002E-2</v>
      </c>
      <c r="O73" s="192">
        <f>'Maintenance Model'!B$110*I73</f>
        <v>47.971516659040006</v>
      </c>
      <c r="P73" s="105">
        <f t="shared" si="1"/>
        <v>11.002313919999999</v>
      </c>
      <c r="Q73" s="105">
        <f>H73*K73*'Maintenance Model'!B$86</f>
        <v>1.5620503080000001</v>
      </c>
      <c r="R73" s="105">
        <f>'Maintenance Model'!B$106*I73</f>
        <v>12.258133333333333</v>
      </c>
      <c r="S73" s="193">
        <f t="shared" ref="S73:S83" si="16">SUM(O73:R73)</f>
        <v>72.794014220373342</v>
      </c>
      <c r="T73" s="104">
        <f>'Maintenance Model'!B$110*N73</f>
        <v>22.906399204691603</v>
      </c>
      <c r="U73" s="240">
        <f t="shared" si="10"/>
        <v>9.30185974718</v>
      </c>
      <c r="V73" s="104">
        <f>'Maintenance Model'!B$106*N73</f>
        <v>5.8532586666666671</v>
      </c>
      <c r="W73" s="104">
        <f>'Maintenance Model'!B$111*M73</f>
        <v>12.300388886933334</v>
      </c>
      <c r="X73" s="240">
        <f t="shared" si="6"/>
        <v>8.7458406533333317</v>
      </c>
      <c r="Y73" s="105">
        <f>M73*'Maintenance Model'!B$107</f>
        <v>3.1431111111111112</v>
      </c>
      <c r="Z73" s="105">
        <f t="shared" ref="Z73:Z83" si="17">SUM(T73:Y73)</f>
        <v>62.250858269916044</v>
      </c>
      <c r="AA73" s="203">
        <f>'Other Maintenance'!B$94</f>
        <v>2.9107349228680333</v>
      </c>
      <c r="AB73" s="104">
        <f t="shared" si="7"/>
        <v>75.704749143241372</v>
      </c>
      <c r="AC73" s="142">
        <f t="shared" si="8"/>
        <v>65.161593192784082</v>
      </c>
      <c r="AD73" s="127">
        <f>'Maintenance Model'!B$114 + 'Maintenance Model'!B$115</f>
        <v>0.99616182311111112</v>
      </c>
      <c r="AE73" s="131" t="e">
        <f>AB73+#REF!+#REF!</f>
        <v>#REF!</v>
      </c>
      <c r="AF73" s="142">
        <f t="shared" si="11"/>
        <v>76.700910966352481</v>
      </c>
      <c r="AG73" s="143">
        <f t="shared" si="12"/>
        <v>65.825701074858159</v>
      </c>
      <c r="AH73" s="61" t="e">
        <f>S73+#REF!+AD73</f>
        <v>#REF!</v>
      </c>
      <c r="AI73" s="61">
        <f>AG73-AF73</f>
        <v>-10.875209891494322</v>
      </c>
      <c r="AJ73" s="61"/>
      <c r="AK73" s="61"/>
      <c r="AL73" s="61"/>
      <c r="AM73" s="61"/>
      <c r="AN73" s="61"/>
      <c r="AO73" s="61"/>
      <c r="AP73" s="61"/>
      <c r="AQ73" s="61"/>
      <c r="AR73" s="61"/>
      <c r="AS73" s="61" t="s">
        <v>1078</v>
      </c>
      <c r="AT73" s="61"/>
      <c r="AU73" s="61">
        <v>42.543187363805174</v>
      </c>
      <c r="AV73" s="61">
        <v>42.20816877457564</v>
      </c>
      <c r="AW73" s="25"/>
      <c r="AX73" s="61" t="b">
        <f t="shared" si="9"/>
        <v>1</v>
      </c>
      <c r="AY73" s="61"/>
      <c r="AZ73" s="129"/>
      <c r="BA73" s="25"/>
      <c r="BB73" s="25"/>
      <c r="BC73" s="61"/>
      <c r="BD73" s="61"/>
      <c r="BE73" s="61"/>
      <c r="BF73" s="61"/>
      <c r="BG73" s="25"/>
      <c r="BH73" s="25"/>
      <c r="BI73" s="25"/>
      <c r="BJ73" s="25"/>
      <c r="BK73" s="25"/>
      <c r="BL73" s="25"/>
      <c r="BM73" s="25"/>
      <c r="BN73" s="25"/>
      <c r="BO73" s="25"/>
      <c r="BP73" s="25"/>
      <c r="BQ73" s="25"/>
      <c r="BR73" s="25"/>
      <c r="BS73" s="25"/>
      <c r="BT73" s="25"/>
      <c r="BU73" s="25"/>
      <c r="BV73" s="25"/>
      <c r="BW73" s="25"/>
      <c r="BX73" s="25"/>
      <c r="BY73" s="25"/>
      <c r="BZ73" s="25"/>
    </row>
    <row r="74" spans="1:78" x14ac:dyDescent="0.2">
      <c r="A74" s="98" t="s">
        <v>2095</v>
      </c>
      <c r="B74" s="99">
        <f>VLOOKUP(LEFT(A74,7),'Tariff Schedule Lookup Table'!A$8:D$142,3,FALSE)</f>
        <v>250</v>
      </c>
      <c r="C74" s="100">
        <v>1</v>
      </c>
      <c r="D74" s="100">
        <v>15900</v>
      </c>
      <c r="E74" s="100" t="s">
        <v>2095</v>
      </c>
      <c r="F74" s="169">
        <f>VLOOKUP(E74,'Lamp Stock'!A$14:H$49,4,FALSE)*(1+'Public Lighting Charges'!$R$11)</f>
        <v>50.436191000000001</v>
      </c>
      <c r="G74" s="169">
        <f>VLOOKUP(E74,'Lamp Stock'!A$14:G$49,6,FALSE)*(1+'Public Lighting Charges'!$R$11)</f>
        <v>54.315897999999997</v>
      </c>
      <c r="H74" s="169">
        <f>VLOOKUP(E74,'Lamp Stock'!A$14:H$49,8,FALSE)*(1+'Public Lighting Charges'!$R$11)</f>
        <v>26.034171799999999</v>
      </c>
      <c r="I74" s="102">
        <v>0.12</v>
      </c>
      <c r="J74" s="102">
        <v>0.1</v>
      </c>
      <c r="K74" s="102">
        <v>0.2</v>
      </c>
      <c r="L74" s="101">
        <v>3</v>
      </c>
      <c r="M74" s="103">
        <f t="shared" si="15"/>
        <v>0.33333333333333331</v>
      </c>
      <c r="N74" s="451">
        <v>7.2499999999999995E-2</v>
      </c>
      <c r="O74" s="192">
        <f>'Maintenance Model'!B$110*I74</f>
        <v>28.782909995423999</v>
      </c>
      <c r="P74" s="105">
        <f t="shared" si="1"/>
        <v>11.48393272</v>
      </c>
      <c r="Q74" s="105">
        <f>H74*K74*'Maintenance Model'!B$86</f>
        <v>1.5620503080000001</v>
      </c>
      <c r="R74" s="105">
        <f>'Maintenance Model'!B$106*I74</f>
        <v>7.3548799999999996</v>
      </c>
      <c r="S74" s="193">
        <f t="shared" si="16"/>
        <v>49.183773023424003</v>
      </c>
      <c r="T74" s="104">
        <f>'Maintenance Model'!B$110*N74</f>
        <v>17.389674788901999</v>
      </c>
      <c r="U74" s="240">
        <f t="shared" si="10"/>
        <v>9.4657091386000012</v>
      </c>
      <c r="V74" s="104">
        <f>'Maintenance Model'!B$106*N74</f>
        <v>4.4435733333333332</v>
      </c>
      <c r="W74" s="104">
        <f>'Maintenance Model'!B$111*M74</f>
        <v>12.300388886933334</v>
      </c>
      <c r="X74" s="240">
        <f t="shared" si="6"/>
        <v>18.547675120000001</v>
      </c>
      <c r="Y74" s="105">
        <f>M74*'Maintenance Model'!B$107</f>
        <v>3.1431111111111112</v>
      </c>
      <c r="Z74" s="105">
        <f t="shared" si="17"/>
        <v>65.29013237887979</v>
      </c>
      <c r="AA74" s="203">
        <f>'Other Maintenance'!B$94</f>
        <v>2.9107349228680333</v>
      </c>
      <c r="AB74" s="104">
        <f t="shared" si="7"/>
        <v>52.094507946292033</v>
      </c>
      <c r="AC74" s="142">
        <f t="shared" si="8"/>
        <v>68.20086730174782</v>
      </c>
      <c r="AD74" s="127">
        <f>'Maintenance Model'!B$114 + 'Maintenance Model'!B$115</f>
        <v>0.99616182311111112</v>
      </c>
      <c r="AE74" s="131" t="e">
        <f>AB74+#REF!+#REF!</f>
        <v>#REF!</v>
      </c>
      <c r="AF74" s="142">
        <f t="shared" si="11"/>
        <v>53.090669769403142</v>
      </c>
      <c r="AG74" s="143">
        <f t="shared" si="12"/>
        <v>68.864975183821898</v>
      </c>
      <c r="AH74" s="61" t="e">
        <f>S74+#REF!+AD74</f>
        <v>#REF!</v>
      </c>
      <c r="AI74" s="61">
        <f>AG74-AF74</f>
        <v>15.774305414418755</v>
      </c>
      <c r="AJ74" s="61"/>
      <c r="AK74" s="61"/>
      <c r="AL74" s="61"/>
      <c r="AM74" s="61"/>
      <c r="AN74" s="61"/>
      <c r="AO74" s="61"/>
      <c r="AP74" s="61"/>
      <c r="AQ74" s="61"/>
      <c r="AR74" s="61"/>
      <c r="AS74" s="61" t="s">
        <v>1080</v>
      </c>
      <c r="AT74" s="61"/>
      <c r="AU74" s="61">
        <v>32.765467816605174</v>
      </c>
      <c r="AV74" s="61">
        <v>38.368852722638515</v>
      </c>
      <c r="AW74" s="25"/>
      <c r="AX74" s="61" t="b">
        <f t="shared" si="9"/>
        <v>0</v>
      </c>
      <c r="AY74" s="61"/>
      <c r="AZ74" s="129"/>
      <c r="BA74" s="25"/>
      <c r="BB74" s="25"/>
      <c r="BC74" s="61"/>
      <c r="BD74" s="61"/>
      <c r="BE74" s="61"/>
      <c r="BF74" s="61"/>
      <c r="BG74" s="25"/>
      <c r="BH74" s="25"/>
      <c r="BI74" s="25"/>
      <c r="BJ74" s="25"/>
      <c r="BK74" s="25"/>
      <c r="BL74" s="25"/>
      <c r="BM74" s="25"/>
      <c r="BN74" s="25"/>
      <c r="BO74" s="25"/>
      <c r="BP74" s="25"/>
      <c r="BQ74" s="25"/>
      <c r="BR74" s="25"/>
      <c r="BS74" s="25"/>
      <c r="BT74" s="25"/>
      <c r="BU74" s="25"/>
      <c r="BV74" s="25"/>
      <c r="BW74" s="25"/>
      <c r="BX74" s="25"/>
      <c r="BY74" s="25"/>
      <c r="BZ74" s="25"/>
    </row>
    <row r="75" spans="1:78" x14ac:dyDescent="0.2">
      <c r="A75" s="98" t="s">
        <v>2096</v>
      </c>
      <c r="B75" s="99" t="str">
        <f>VLOOKUP(LEFT(A75,7),'Tariff Schedule Lookup Table'!A$8:D$142,3,FALSE)</f>
        <v>2x250</v>
      </c>
      <c r="C75" s="100">
        <v>2</v>
      </c>
      <c r="D75" s="100">
        <v>13</v>
      </c>
      <c r="E75" s="100" t="s">
        <v>53</v>
      </c>
      <c r="F75" s="169">
        <f>VLOOKUP(E75,'Lamp Stock'!A$14:H$49,4,FALSE)*(1+'Public Lighting Charges'!$R$11)</f>
        <v>21.030687599999997</v>
      </c>
      <c r="G75" s="169">
        <f>VLOOKUP(E75,'Lamp Stock'!A$14:G$49,6,FALSE)*(1+'Public Lighting Charges'!$R$11)</f>
        <v>67.961763999999988</v>
      </c>
      <c r="H75" s="169">
        <f>VLOOKUP(E75,'Lamp Stock'!A$14:H$49,8,FALSE)*(1+'Public Lighting Charges'!$R$11)</f>
        <v>26.034171799999999</v>
      </c>
      <c r="I75" s="102">
        <v>0.2</v>
      </c>
      <c r="J75" s="102">
        <v>0.1</v>
      </c>
      <c r="K75" s="102">
        <v>0.2</v>
      </c>
      <c r="L75" s="101">
        <v>3</v>
      </c>
      <c r="M75" s="103">
        <f t="shared" si="15"/>
        <v>0.33333333333333331</v>
      </c>
      <c r="N75" s="451">
        <v>9.5500000000000002E-2</v>
      </c>
      <c r="O75" s="192">
        <f>'Maintenance Model'!B$110*I75</f>
        <v>47.971516659040006</v>
      </c>
      <c r="P75" s="105">
        <f t="shared" si="1"/>
        <v>22.004627839999998</v>
      </c>
      <c r="Q75" s="105">
        <f>H75*K75*'Maintenance Model'!B$86</f>
        <v>1.5620503080000001</v>
      </c>
      <c r="R75" s="105">
        <f>'Maintenance Model'!B$106*I75</f>
        <v>12.258133333333333</v>
      </c>
      <c r="S75" s="193">
        <f t="shared" si="16"/>
        <v>83.796328140373333</v>
      </c>
      <c r="T75" s="104">
        <f>'Maintenance Model'!B$110*N75</f>
        <v>22.906399204691603</v>
      </c>
      <c r="U75" s="240">
        <f t="shared" si="10"/>
        <v>18.106466812979999</v>
      </c>
      <c r="V75" s="104">
        <f>'Maintenance Model'!B$106*N75</f>
        <v>5.8532586666666671</v>
      </c>
      <c r="W75" s="104">
        <f>'Maintenance Model'!B$111*M75</f>
        <v>12.300388886933334</v>
      </c>
      <c r="X75" s="240">
        <f t="shared" si="6"/>
        <v>17.491681306666663</v>
      </c>
      <c r="Y75" s="105">
        <f>M75*'Maintenance Model'!B$107</f>
        <v>3.1431111111111112</v>
      </c>
      <c r="Z75" s="105">
        <f t="shared" si="17"/>
        <v>79.801305989049368</v>
      </c>
      <c r="AA75" s="203">
        <f>'Other Maintenance'!B$94</f>
        <v>2.9107349228680333</v>
      </c>
      <c r="AB75" s="104">
        <f t="shared" si="7"/>
        <v>86.707063063241364</v>
      </c>
      <c r="AC75" s="142">
        <f t="shared" si="8"/>
        <v>82.712040911917398</v>
      </c>
      <c r="AD75" s="127">
        <f>'Maintenance Model'!B$114 + 'Maintenance Model'!B$115</f>
        <v>0.99616182311111112</v>
      </c>
      <c r="AE75" s="131" t="e">
        <f>AB75+#REF!+#REF!</f>
        <v>#REF!</v>
      </c>
      <c r="AF75" s="142">
        <f t="shared" si="11"/>
        <v>87.703224886352473</v>
      </c>
      <c r="AG75" s="143">
        <f t="shared" si="12"/>
        <v>83.376148793991476</v>
      </c>
      <c r="AH75" s="61" t="e">
        <f>S75+#REF!+AD75</f>
        <v>#REF!</v>
      </c>
      <c r="AI75" s="61"/>
      <c r="AJ75" s="61"/>
      <c r="AK75" s="61"/>
      <c r="AL75" s="61"/>
      <c r="AM75" s="61"/>
      <c r="AN75" s="61"/>
      <c r="AO75" s="61"/>
      <c r="AP75" s="61"/>
      <c r="AQ75" s="61"/>
      <c r="AR75" s="61"/>
      <c r="AS75" s="61" t="s">
        <v>1082</v>
      </c>
      <c r="AT75" s="61"/>
      <c r="AU75" s="61">
        <v>54.061743407963739</v>
      </c>
      <c r="AV75" s="61">
        <v>52.460308961591366</v>
      </c>
      <c r="AW75" s="25"/>
      <c r="AX75" s="61" t="b">
        <f t="shared" si="9"/>
        <v>1</v>
      </c>
      <c r="AY75" s="61"/>
      <c r="AZ75" s="129"/>
      <c r="BA75" s="25"/>
      <c r="BB75" s="25"/>
      <c r="BC75" s="61"/>
      <c r="BD75" s="61"/>
      <c r="BE75" s="61"/>
      <c r="BF75" s="61"/>
      <c r="BG75" s="25"/>
      <c r="BH75" s="25"/>
      <c r="BI75" s="25"/>
      <c r="BJ75" s="25"/>
      <c r="BK75" s="25"/>
      <c r="BL75" s="25"/>
      <c r="BM75" s="25"/>
      <c r="BN75" s="25"/>
      <c r="BO75" s="25"/>
      <c r="BP75" s="25"/>
      <c r="BQ75" s="25"/>
      <c r="BR75" s="25"/>
      <c r="BS75" s="25"/>
      <c r="BT75" s="25"/>
      <c r="BU75" s="25"/>
      <c r="BV75" s="25"/>
      <c r="BW75" s="25"/>
      <c r="BX75" s="25"/>
      <c r="BY75" s="25"/>
      <c r="BZ75" s="25"/>
    </row>
    <row r="76" spans="1:78" x14ac:dyDescent="0.2">
      <c r="A76" s="98" t="s">
        <v>2097</v>
      </c>
      <c r="B76" s="99" t="str">
        <f>VLOOKUP(LEFT(A76,7),'Tariff Schedule Lookup Table'!A$8:D$142,3,FALSE)</f>
        <v>2x250</v>
      </c>
      <c r="C76" s="100">
        <v>2</v>
      </c>
      <c r="D76" s="100">
        <v>13</v>
      </c>
      <c r="E76" s="100" t="s">
        <v>2095</v>
      </c>
      <c r="F76" s="169">
        <f>VLOOKUP(E76,'Lamp Stock'!A$14:H$49,4,FALSE)*(1+'Public Lighting Charges'!$R$11)</f>
        <v>50.436191000000001</v>
      </c>
      <c r="G76" s="169">
        <f>VLOOKUP(E76,'Lamp Stock'!A$14:G$49,6,FALSE)*(1+'Public Lighting Charges'!$R$11)</f>
        <v>54.315897999999997</v>
      </c>
      <c r="H76" s="169">
        <f>VLOOKUP(E76,'Lamp Stock'!A$14:H$49,8,FALSE)*(1+'Public Lighting Charges'!$R$11)</f>
        <v>26.034171799999999</v>
      </c>
      <c r="I76" s="102">
        <v>0.12</v>
      </c>
      <c r="J76" s="102">
        <v>0.1</v>
      </c>
      <c r="K76" s="102">
        <v>0.2</v>
      </c>
      <c r="L76" s="101">
        <v>3</v>
      </c>
      <c r="M76" s="103">
        <f t="shared" si="15"/>
        <v>0.33333333333333331</v>
      </c>
      <c r="N76" s="451">
        <v>7.2499999999999995E-2</v>
      </c>
      <c r="O76" s="192">
        <f>'Maintenance Model'!B$110*I76</f>
        <v>28.782909995423999</v>
      </c>
      <c r="P76" s="105">
        <f t="shared" si="1"/>
        <v>22.967865440000001</v>
      </c>
      <c r="Q76" s="105">
        <f>H76*K76*'Maintenance Model'!B$86</f>
        <v>1.5620503080000001</v>
      </c>
      <c r="R76" s="105">
        <f>'Maintenance Model'!B$106*I76</f>
        <v>7.3548799999999996</v>
      </c>
      <c r="S76" s="193">
        <f t="shared" si="16"/>
        <v>60.667705743424008</v>
      </c>
      <c r="T76" s="104">
        <f>'Maintenance Model'!B$110*N76</f>
        <v>17.389674788901999</v>
      </c>
      <c r="U76" s="240">
        <f t="shared" si="10"/>
        <v>18.553922786099999</v>
      </c>
      <c r="V76" s="104">
        <f>'Maintenance Model'!B$106*N76</f>
        <v>4.4435733333333332</v>
      </c>
      <c r="W76" s="104">
        <f>'Maintenance Model'!B$111*M76</f>
        <v>12.300388886933334</v>
      </c>
      <c r="X76" s="240">
        <f t="shared" si="6"/>
        <v>37.095350240000002</v>
      </c>
      <c r="Y76" s="105">
        <f>M76*'Maintenance Model'!B$107</f>
        <v>3.1431111111111112</v>
      </c>
      <c r="Z76" s="105">
        <f t="shared" si="17"/>
        <v>92.926021146379782</v>
      </c>
      <c r="AA76" s="203">
        <f>'Other Maintenance'!B$94</f>
        <v>2.9107349228680333</v>
      </c>
      <c r="AB76" s="104">
        <f t="shared" si="7"/>
        <v>63.578440666292039</v>
      </c>
      <c r="AC76" s="142">
        <f t="shared" si="8"/>
        <v>95.836756069247812</v>
      </c>
      <c r="AD76" s="127">
        <f>'Maintenance Model'!B$114 + 'Maintenance Model'!B$115</f>
        <v>0.99616182311111112</v>
      </c>
      <c r="AE76" s="131" t="e">
        <f>AB76+#REF!+#REF!</f>
        <v>#REF!</v>
      </c>
      <c r="AF76" s="142">
        <f t="shared" si="11"/>
        <v>64.574602489403148</v>
      </c>
      <c r="AG76" s="143">
        <f t="shared" si="12"/>
        <v>96.50086395132189</v>
      </c>
      <c r="AH76" s="61" t="e">
        <f>S76+#REF!+AD76</f>
        <v>#REF!</v>
      </c>
      <c r="AI76" s="61">
        <f t="shared" ref="AI76:AI84" si="18">AG76-AF76</f>
        <v>31.926261461918742</v>
      </c>
      <c r="AJ76" s="61"/>
      <c r="AK76" s="61"/>
      <c r="AL76" s="61"/>
      <c r="AM76" s="61"/>
      <c r="AN76" s="61"/>
      <c r="AO76" s="61"/>
      <c r="AP76" s="61"/>
      <c r="AQ76" s="61"/>
      <c r="AR76" s="61"/>
      <c r="AS76" s="61" t="s">
        <v>1085</v>
      </c>
      <c r="AT76" s="61"/>
      <c r="AU76" s="61">
        <v>43.885147816605169</v>
      </c>
      <c r="AV76" s="61">
        <v>54.107707722638516</v>
      </c>
      <c r="AW76" s="25"/>
      <c r="AX76" s="61" t="b">
        <f t="shared" si="9"/>
        <v>0</v>
      </c>
      <c r="AY76" s="61"/>
      <c r="AZ76" s="129"/>
      <c r="BA76" s="25"/>
      <c r="BB76" s="25"/>
      <c r="BC76" s="61"/>
      <c r="BD76" s="61"/>
      <c r="BE76" s="61"/>
      <c r="BF76" s="61"/>
      <c r="BG76" s="25"/>
      <c r="BH76" s="25"/>
      <c r="BI76" s="25"/>
      <c r="BJ76" s="25"/>
      <c r="BK76" s="25"/>
      <c r="BL76" s="25"/>
      <c r="BM76" s="25"/>
      <c r="BN76" s="25"/>
      <c r="BO76" s="25"/>
      <c r="BP76" s="25"/>
      <c r="BQ76" s="25"/>
      <c r="BR76" s="25"/>
      <c r="BS76" s="25"/>
      <c r="BT76" s="25"/>
      <c r="BU76" s="25"/>
      <c r="BV76" s="25"/>
      <c r="BW76" s="25"/>
      <c r="BX76" s="25"/>
      <c r="BY76" s="25"/>
      <c r="BZ76" s="25"/>
    </row>
    <row r="77" spans="1:78" x14ac:dyDescent="0.2">
      <c r="A77" s="98" t="s">
        <v>158</v>
      </c>
      <c r="B77" s="99" t="str">
        <f>VLOOKUP(LEFT(A77,7),'Tariff Schedule Lookup Table'!A$8:D$142,3,FALSE)</f>
        <v>4x250</v>
      </c>
      <c r="C77" s="100">
        <v>4</v>
      </c>
      <c r="D77" s="100">
        <v>0</v>
      </c>
      <c r="E77" s="100" t="s">
        <v>53</v>
      </c>
      <c r="F77" s="169">
        <f>VLOOKUP(E77,'Lamp Stock'!A$14:H$49,4,FALSE)*(1+'Public Lighting Charges'!$R$11)</f>
        <v>21.030687599999997</v>
      </c>
      <c r="G77" s="169">
        <f>VLOOKUP(E77,'Lamp Stock'!A$14:G$49,6,FALSE)*(1+'Public Lighting Charges'!$R$11)</f>
        <v>67.961763999999988</v>
      </c>
      <c r="H77" s="169">
        <f>VLOOKUP(E77,'Lamp Stock'!A$14:H$49,8,FALSE)*(1+'Public Lighting Charges'!$R$11)</f>
        <v>26.034171799999999</v>
      </c>
      <c r="I77" s="102">
        <v>0.2</v>
      </c>
      <c r="J77" s="102">
        <v>0.1</v>
      </c>
      <c r="K77" s="102">
        <v>0.2</v>
      </c>
      <c r="L77" s="101">
        <v>3</v>
      </c>
      <c r="M77" s="103">
        <f t="shared" si="15"/>
        <v>0.33333333333333331</v>
      </c>
      <c r="N77" s="451">
        <v>9.5500000000000002E-2</v>
      </c>
      <c r="O77" s="192">
        <f>'Maintenance Model'!B$110*I77</f>
        <v>47.971516659040006</v>
      </c>
      <c r="P77" s="105">
        <f t="shared" si="1"/>
        <v>44.009255679999995</v>
      </c>
      <c r="Q77" s="105">
        <f>H77*K77*'Maintenance Model'!B$86</f>
        <v>1.5620503080000001</v>
      </c>
      <c r="R77" s="105">
        <f>'Maintenance Model'!B$106*I77</f>
        <v>12.258133333333333</v>
      </c>
      <c r="S77" s="193">
        <f t="shared" si="16"/>
        <v>105.80095598037333</v>
      </c>
      <c r="T77" s="104">
        <f>'Maintenance Model'!B$110*N77</f>
        <v>22.906399204691603</v>
      </c>
      <c r="U77" s="240">
        <f t="shared" si="10"/>
        <v>35.715680944580001</v>
      </c>
      <c r="V77" s="104">
        <f>'Maintenance Model'!B$106*N77</f>
        <v>5.8532586666666671</v>
      </c>
      <c r="W77" s="104">
        <f>'Maintenance Model'!B$111*M77</f>
        <v>12.300388886933334</v>
      </c>
      <c r="X77" s="240">
        <f t="shared" si="6"/>
        <v>34.983362613333327</v>
      </c>
      <c r="Y77" s="105">
        <f>M77*'Maintenance Model'!B$107</f>
        <v>3.1431111111111112</v>
      </c>
      <c r="Z77" s="105">
        <f t="shared" si="17"/>
        <v>114.90220142731604</v>
      </c>
      <c r="AA77" s="203">
        <f>'Other Maintenance'!B$94</f>
        <v>2.9107349228680333</v>
      </c>
      <c r="AB77" s="104">
        <f t="shared" si="7"/>
        <v>108.71169090324136</v>
      </c>
      <c r="AC77" s="142">
        <f t="shared" si="8"/>
        <v>117.81293635018407</v>
      </c>
      <c r="AD77" s="127">
        <f>'Maintenance Model'!B$114 + 'Maintenance Model'!B$115</f>
        <v>0.99616182311111112</v>
      </c>
      <c r="AE77" s="131" t="e">
        <f>AB77+#REF!+#REF!</f>
        <v>#REF!</v>
      </c>
      <c r="AF77" s="142">
        <f t="shared" si="11"/>
        <v>109.70785272635247</v>
      </c>
      <c r="AG77" s="143">
        <f t="shared" si="12"/>
        <v>118.47704423225815</v>
      </c>
      <c r="AH77" s="61" t="e">
        <f>S77+#REF!+AD77</f>
        <v>#REF!</v>
      </c>
      <c r="AI77" s="61">
        <f t="shared" si="18"/>
        <v>8.7691915059056811</v>
      </c>
      <c r="AJ77" s="61"/>
      <c r="AK77" s="61"/>
      <c r="AL77" s="61"/>
      <c r="AM77" s="61"/>
      <c r="AN77" s="61"/>
      <c r="AO77" s="61"/>
      <c r="AP77" s="61"/>
      <c r="AQ77" s="61"/>
      <c r="AR77" s="61"/>
      <c r="AS77" s="61"/>
      <c r="AT77" s="61"/>
      <c r="AU77" s="61" t="s">
        <v>2041</v>
      </c>
      <c r="AV77" s="61" t="s">
        <v>2041</v>
      </c>
      <c r="AW77" s="25"/>
      <c r="AX77" s="61" t="b">
        <f t="shared" si="9"/>
        <v>0</v>
      </c>
      <c r="AY77" s="61"/>
      <c r="AZ77" s="129"/>
      <c r="BA77" s="25"/>
      <c r="BB77" s="25"/>
      <c r="BC77" s="61"/>
      <c r="BD77" s="61"/>
      <c r="BE77" s="61"/>
      <c r="BF77" s="61"/>
      <c r="BG77" s="25"/>
      <c r="BH77" s="25"/>
      <c r="BI77" s="25"/>
      <c r="BJ77" s="25"/>
      <c r="BK77" s="25"/>
      <c r="BL77" s="25"/>
      <c r="BM77" s="25"/>
      <c r="BN77" s="25"/>
      <c r="BO77" s="25"/>
      <c r="BP77" s="25"/>
      <c r="BQ77" s="25"/>
      <c r="BR77" s="25"/>
      <c r="BS77" s="25"/>
      <c r="BT77" s="25"/>
      <c r="BU77" s="25"/>
      <c r="BV77" s="25"/>
      <c r="BW77" s="25"/>
      <c r="BX77" s="25"/>
      <c r="BY77" s="25"/>
      <c r="BZ77" s="25"/>
    </row>
    <row r="78" spans="1:78" x14ac:dyDescent="0.2">
      <c r="A78" s="98" t="s">
        <v>159</v>
      </c>
      <c r="B78" s="99" t="str">
        <f>VLOOKUP(LEFT(A78,7),'Tariff Schedule Lookup Table'!A$8:D$142,3,FALSE)</f>
        <v>4x250</v>
      </c>
      <c r="C78" s="100">
        <v>4</v>
      </c>
      <c r="D78" s="100">
        <v>0</v>
      </c>
      <c r="E78" s="100" t="s">
        <v>2095</v>
      </c>
      <c r="F78" s="169">
        <f>VLOOKUP(E78,'Lamp Stock'!A$14:H$49,4,FALSE)*(1+'Public Lighting Charges'!$R$11)</f>
        <v>50.436191000000001</v>
      </c>
      <c r="G78" s="169">
        <f>VLOOKUP(E78,'Lamp Stock'!A$14:G$49,6,FALSE)*(1+'Public Lighting Charges'!$R$11)</f>
        <v>54.315897999999997</v>
      </c>
      <c r="H78" s="169">
        <f>VLOOKUP(E78,'Lamp Stock'!A$14:H$49,8,FALSE)*(1+'Public Lighting Charges'!$R$11)</f>
        <v>26.034171799999999</v>
      </c>
      <c r="I78" s="102">
        <v>0.12</v>
      </c>
      <c r="J78" s="102">
        <v>0.1</v>
      </c>
      <c r="K78" s="102">
        <v>0.2</v>
      </c>
      <c r="L78" s="101">
        <v>3</v>
      </c>
      <c r="M78" s="103">
        <f t="shared" si="15"/>
        <v>0.33333333333333331</v>
      </c>
      <c r="N78" s="451">
        <v>7.2499999999999995E-2</v>
      </c>
      <c r="O78" s="192">
        <f>'Maintenance Model'!B$110*I78</f>
        <v>28.782909995423999</v>
      </c>
      <c r="P78" s="105">
        <f t="shared" si="1"/>
        <v>45.935730880000001</v>
      </c>
      <c r="Q78" s="105">
        <f>H78*K78*'Maintenance Model'!B$86</f>
        <v>1.5620503080000001</v>
      </c>
      <c r="R78" s="105">
        <f>'Maintenance Model'!B$106*I78</f>
        <v>7.3548799999999996</v>
      </c>
      <c r="S78" s="193">
        <f t="shared" si="16"/>
        <v>83.635571183423991</v>
      </c>
      <c r="T78" s="104">
        <f>'Maintenance Model'!B$110*N78</f>
        <v>17.389674788901999</v>
      </c>
      <c r="U78" s="240">
        <f t="shared" si="10"/>
        <v>36.730350081099999</v>
      </c>
      <c r="V78" s="104">
        <f>'Maintenance Model'!B$106*N78</f>
        <v>4.4435733333333332</v>
      </c>
      <c r="W78" s="104">
        <f>'Maintenance Model'!B$111*M78</f>
        <v>12.300388886933334</v>
      </c>
      <c r="X78" s="240">
        <f t="shared" si="6"/>
        <v>74.190700480000004</v>
      </c>
      <c r="Y78" s="105">
        <f>M78*'Maintenance Model'!B$107</f>
        <v>3.1431111111111112</v>
      </c>
      <c r="Z78" s="105">
        <f t="shared" si="17"/>
        <v>148.19779868137979</v>
      </c>
      <c r="AA78" s="203">
        <f>'Other Maintenance'!B$94</f>
        <v>2.9107349228680333</v>
      </c>
      <c r="AB78" s="104">
        <f t="shared" si="7"/>
        <v>86.546306106292022</v>
      </c>
      <c r="AC78" s="142">
        <f t="shared" si="8"/>
        <v>151.10853360424784</v>
      </c>
      <c r="AD78" s="127">
        <f>'Maintenance Model'!B$114 + 'Maintenance Model'!B$115</f>
        <v>0.99616182311111112</v>
      </c>
      <c r="AE78" s="131" t="e">
        <f>AB78+#REF!+#REF!</f>
        <v>#REF!</v>
      </c>
      <c r="AF78" s="142">
        <f t="shared" si="11"/>
        <v>87.542467929403131</v>
      </c>
      <c r="AG78" s="143">
        <f t="shared" si="12"/>
        <v>151.7726414863219</v>
      </c>
      <c r="AH78" s="61" t="e">
        <f>S78+#REF!+AD78</f>
        <v>#REF!</v>
      </c>
      <c r="AI78" s="61">
        <f t="shared" si="18"/>
        <v>64.230173556918771</v>
      </c>
      <c r="AJ78" s="61"/>
      <c r="AK78" s="61"/>
      <c r="AL78" s="61"/>
      <c r="AM78" s="61"/>
      <c r="AN78" s="61"/>
      <c r="AO78" s="61"/>
      <c r="AP78" s="61"/>
      <c r="AQ78" s="61"/>
      <c r="AR78" s="61"/>
      <c r="AS78" s="61"/>
      <c r="AT78" s="61"/>
      <c r="AU78" s="61" t="s">
        <v>2041</v>
      </c>
      <c r="AV78" s="61" t="s">
        <v>2041</v>
      </c>
      <c r="AW78" s="25"/>
      <c r="AX78" s="61" t="b">
        <f t="shared" si="9"/>
        <v>0</v>
      </c>
      <c r="AY78" s="61"/>
      <c r="AZ78" s="129"/>
      <c r="BA78" s="25"/>
      <c r="BB78" s="25"/>
      <c r="BC78" s="61"/>
      <c r="BD78" s="61"/>
      <c r="BE78" s="61"/>
      <c r="BF78" s="61"/>
      <c r="BG78" s="25"/>
      <c r="BH78" s="25"/>
      <c r="BI78" s="25"/>
      <c r="BJ78" s="25"/>
      <c r="BK78" s="25"/>
      <c r="BL78" s="25"/>
      <c r="BM78" s="25"/>
      <c r="BN78" s="25"/>
      <c r="BO78" s="25"/>
      <c r="BP78" s="25"/>
      <c r="BQ78" s="25"/>
      <c r="BR78" s="25"/>
      <c r="BS78" s="25"/>
      <c r="BT78" s="25"/>
      <c r="BU78" s="25"/>
      <c r="BV78" s="25"/>
      <c r="BW78" s="25"/>
      <c r="BX78" s="25"/>
      <c r="BY78" s="25"/>
      <c r="BZ78" s="25"/>
    </row>
    <row r="79" spans="1:78" x14ac:dyDescent="0.2">
      <c r="A79" s="98" t="s">
        <v>2098</v>
      </c>
      <c r="B79" s="99" t="str">
        <f>VLOOKUP(LEFT(A79,7),'Tariff Schedule Lookup Table'!A$8:D$142,3,FALSE)</f>
        <v>310 (Retrofit)</v>
      </c>
      <c r="C79" s="100">
        <v>1</v>
      </c>
      <c r="D79" s="100">
        <v>186</v>
      </c>
      <c r="E79" s="100" t="s">
        <v>53</v>
      </c>
      <c r="F79" s="169">
        <f>VLOOKUP(E79,'Lamp Stock'!A$14:H$49,4,FALSE)*(1+'Public Lighting Charges'!$R$11)</f>
        <v>21.030687599999997</v>
      </c>
      <c r="G79" s="169">
        <f>VLOOKUP(E79,'Lamp Stock'!A$14:G$49,6,FALSE)*(1+'Public Lighting Charges'!$R$11)</f>
        <v>67.961763999999988</v>
      </c>
      <c r="H79" s="169">
        <f>VLOOKUP(E79,'Lamp Stock'!A$14:H$49,8,FALSE)*(1+'Public Lighting Charges'!$R$11)</f>
        <v>26.034171799999999</v>
      </c>
      <c r="I79" s="102">
        <v>0.2</v>
      </c>
      <c r="J79" s="102">
        <v>0.1</v>
      </c>
      <c r="K79" s="102">
        <v>0.2</v>
      </c>
      <c r="L79" s="101">
        <v>3</v>
      </c>
      <c r="M79" s="103">
        <f t="shared" si="15"/>
        <v>0.33333333333333331</v>
      </c>
      <c r="N79" s="451">
        <v>9.5500000000000002E-2</v>
      </c>
      <c r="O79" s="192">
        <f>'Maintenance Model'!B$110*I79</f>
        <v>47.971516659040006</v>
      </c>
      <c r="P79" s="105">
        <f t="shared" si="1"/>
        <v>11.002313919999999</v>
      </c>
      <c r="Q79" s="105">
        <f>H79*K79*'Maintenance Model'!B$86</f>
        <v>1.5620503080000001</v>
      </c>
      <c r="R79" s="105">
        <f>'Maintenance Model'!B$106*I79</f>
        <v>12.258133333333333</v>
      </c>
      <c r="S79" s="193">
        <f t="shared" si="16"/>
        <v>72.794014220373342</v>
      </c>
      <c r="T79" s="104">
        <f>'Maintenance Model'!B$110*N79</f>
        <v>22.906399204691603</v>
      </c>
      <c r="U79" s="240">
        <f t="shared" si="10"/>
        <v>9.30185974718</v>
      </c>
      <c r="V79" s="104">
        <f>'Maintenance Model'!B$106*N79</f>
        <v>5.8532586666666671</v>
      </c>
      <c r="W79" s="104">
        <f>'Maintenance Model'!B$111*M79</f>
        <v>12.300388886933334</v>
      </c>
      <c r="X79" s="240">
        <f t="shared" si="6"/>
        <v>8.7458406533333317</v>
      </c>
      <c r="Y79" s="105">
        <f>M79*'Maintenance Model'!B$107</f>
        <v>3.1431111111111112</v>
      </c>
      <c r="Z79" s="105">
        <f t="shared" si="17"/>
        <v>62.250858269916044</v>
      </c>
      <c r="AA79" s="203">
        <f>'Other Maintenance'!B$94</f>
        <v>2.9107349228680333</v>
      </c>
      <c r="AB79" s="104">
        <f t="shared" si="7"/>
        <v>75.704749143241372</v>
      </c>
      <c r="AC79" s="142">
        <f t="shared" si="8"/>
        <v>65.161593192784082</v>
      </c>
      <c r="AD79" s="127">
        <f>'Maintenance Model'!B$114 + 'Maintenance Model'!B$115</f>
        <v>0.99616182311111112</v>
      </c>
      <c r="AE79" s="131" t="e">
        <f>AB79+#REF!+#REF!</f>
        <v>#REF!</v>
      </c>
      <c r="AF79" s="142">
        <f t="shared" si="11"/>
        <v>76.700910966352481</v>
      </c>
      <c r="AG79" s="143">
        <f t="shared" si="12"/>
        <v>65.825701074858159</v>
      </c>
      <c r="AH79" s="61" t="e">
        <f>S79+#REF!+AD79</f>
        <v>#REF!</v>
      </c>
      <c r="AI79" s="61">
        <f t="shared" si="18"/>
        <v>-10.875209891494322</v>
      </c>
      <c r="AJ79" s="61"/>
      <c r="AK79" s="61"/>
      <c r="AL79" s="61"/>
      <c r="AM79" s="61"/>
      <c r="AN79" s="61"/>
      <c r="AO79" s="61"/>
      <c r="AP79" s="61"/>
      <c r="AQ79" s="61"/>
      <c r="AR79" s="61"/>
      <c r="AS79" s="61" t="s">
        <v>1087</v>
      </c>
      <c r="AT79" s="61"/>
      <c r="AU79" s="61">
        <v>43.454700775405094</v>
      </c>
      <c r="AV79" s="61">
        <v>44.387198043318428</v>
      </c>
      <c r="AW79" s="25"/>
      <c r="AX79" s="61" t="b">
        <f t="shared" si="9"/>
        <v>1</v>
      </c>
      <c r="AY79" s="61"/>
      <c r="AZ79" s="129"/>
      <c r="BA79" s="25"/>
      <c r="BB79" s="25"/>
      <c r="BC79" s="61"/>
      <c r="BD79" s="61"/>
      <c r="BE79" s="61"/>
      <c r="BF79" s="61"/>
      <c r="BG79" s="25"/>
      <c r="BH79" s="25"/>
      <c r="BI79" s="25"/>
      <c r="BJ79" s="25"/>
      <c r="BK79" s="25"/>
      <c r="BL79" s="25"/>
      <c r="BM79" s="25"/>
      <c r="BN79" s="25"/>
      <c r="BO79" s="25"/>
      <c r="BP79" s="25"/>
      <c r="BQ79" s="25"/>
      <c r="BR79" s="25"/>
      <c r="BS79" s="25"/>
      <c r="BT79" s="25"/>
      <c r="BU79" s="25"/>
      <c r="BV79" s="25"/>
      <c r="BW79" s="25"/>
      <c r="BX79" s="25"/>
      <c r="BY79" s="25"/>
      <c r="BZ79" s="25"/>
    </row>
    <row r="80" spans="1:78" x14ac:dyDescent="0.2">
      <c r="A80" s="98" t="s">
        <v>160</v>
      </c>
      <c r="B80" s="99" t="str">
        <f>VLOOKUP(LEFT(A80,7),'Tariff Schedule Lookup Table'!A$8:D$142,3,FALSE)</f>
        <v>2x310</v>
      </c>
      <c r="C80" s="100">
        <v>2</v>
      </c>
      <c r="D80" s="100">
        <v>1</v>
      </c>
      <c r="E80" s="100" t="s">
        <v>53</v>
      </c>
      <c r="F80" s="169">
        <f>VLOOKUP(E80,'Lamp Stock'!A$14:H$49,4,FALSE)*(1+'Public Lighting Charges'!$R$11)</f>
        <v>21.030687599999997</v>
      </c>
      <c r="G80" s="169">
        <f>VLOOKUP(E80,'Lamp Stock'!A$14:G$49,6,FALSE)*(1+'Public Lighting Charges'!$R$11)</f>
        <v>67.961763999999988</v>
      </c>
      <c r="H80" s="169">
        <f>VLOOKUP(E80,'Lamp Stock'!A$14:H$49,8,FALSE)*(1+'Public Lighting Charges'!$R$11)</f>
        <v>26.034171799999999</v>
      </c>
      <c r="I80" s="102">
        <v>0.2</v>
      </c>
      <c r="J80" s="102">
        <v>0.1</v>
      </c>
      <c r="K80" s="102">
        <v>0.2</v>
      </c>
      <c r="L80" s="101">
        <v>3</v>
      </c>
      <c r="M80" s="103">
        <f t="shared" si="15"/>
        <v>0.33333333333333331</v>
      </c>
      <c r="N80" s="451">
        <v>9.5500000000000002E-2</v>
      </c>
      <c r="O80" s="192">
        <f>'Maintenance Model'!B$110*I80</f>
        <v>47.971516659040006</v>
      </c>
      <c r="P80" s="105">
        <f t="shared" si="1"/>
        <v>22.004627839999998</v>
      </c>
      <c r="Q80" s="105">
        <f>H80*K80*'Maintenance Model'!B$86</f>
        <v>1.5620503080000001</v>
      </c>
      <c r="R80" s="105">
        <f>'Maintenance Model'!B$106*I80</f>
        <v>12.258133333333333</v>
      </c>
      <c r="S80" s="193">
        <f t="shared" si="16"/>
        <v>83.796328140373333</v>
      </c>
      <c r="T80" s="104">
        <f>'Maintenance Model'!B$110*N80</f>
        <v>22.906399204691603</v>
      </c>
      <c r="U80" s="240">
        <f t="shared" si="10"/>
        <v>18.106466812979999</v>
      </c>
      <c r="V80" s="104">
        <f>'Maintenance Model'!B$106*N80</f>
        <v>5.8532586666666671</v>
      </c>
      <c r="W80" s="104">
        <f>'Maintenance Model'!B$111*M80</f>
        <v>12.300388886933334</v>
      </c>
      <c r="X80" s="240">
        <f t="shared" si="6"/>
        <v>17.491681306666663</v>
      </c>
      <c r="Y80" s="105">
        <f>M80*'Maintenance Model'!B$107</f>
        <v>3.1431111111111112</v>
      </c>
      <c r="Z80" s="105">
        <f t="shared" si="17"/>
        <v>79.801305989049368</v>
      </c>
      <c r="AA80" s="203">
        <f>'Other Maintenance'!B$94</f>
        <v>2.9107349228680333</v>
      </c>
      <c r="AB80" s="104">
        <f t="shared" si="7"/>
        <v>86.707063063241364</v>
      </c>
      <c r="AC80" s="142">
        <f t="shared" si="8"/>
        <v>82.712040911917398</v>
      </c>
      <c r="AD80" s="127">
        <f>'Maintenance Model'!B$114 + 'Maintenance Model'!B$115</f>
        <v>0.99616182311111112</v>
      </c>
      <c r="AE80" s="131" t="e">
        <f>AB80+#REF!+#REF!</f>
        <v>#REF!</v>
      </c>
      <c r="AF80" s="142">
        <f t="shared" si="11"/>
        <v>87.703224886352473</v>
      </c>
      <c r="AG80" s="143">
        <f t="shared" si="12"/>
        <v>83.376148793991476</v>
      </c>
      <c r="AH80" s="61" t="e">
        <f>S80+#REF!+AD80</f>
        <v>#REF!</v>
      </c>
      <c r="AI80" s="61">
        <f t="shared" si="18"/>
        <v>-4.327076092360997</v>
      </c>
      <c r="AJ80" s="61"/>
      <c r="AK80" s="61"/>
      <c r="AL80" s="61"/>
      <c r="AM80" s="61"/>
      <c r="AN80" s="61"/>
      <c r="AO80" s="61"/>
      <c r="AP80" s="61"/>
      <c r="AQ80" s="61"/>
      <c r="AR80" s="61"/>
      <c r="AS80" s="61"/>
      <c r="AT80" s="61"/>
      <c r="AU80" s="61" t="s">
        <v>2041</v>
      </c>
      <c r="AV80" s="61" t="s">
        <v>2041</v>
      </c>
      <c r="AW80" s="25"/>
      <c r="AX80" s="61" t="b">
        <f t="shared" si="9"/>
        <v>1</v>
      </c>
      <c r="AY80" s="61"/>
      <c r="AZ80" s="129"/>
      <c r="BA80" s="25"/>
      <c r="BB80" s="25"/>
      <c r="BC80" s="61"/>
      <c r="BD80" s="61"/>
      <c r="BE80" s="61"/>
      <c r="BF80" s="61"/>
      <c r="BG80" s="25"/>
      <c r="BH80" s="25"/>
      <c r="BI80" s="25"/>
      <c r="BJ80" s="25"/>
      <c r="BK80" s="25"/>
      <c r="BL80" s="25"/>
      <c r="BM80" s="25"/>
      <c r="BN80" s="25"/>
      <c r="BO80" s="25"/>
      <c r="BP80" s="25"/>
      <c r="BQ80" s="25"/>
      <c r="BR80" s="25"/>
      <c r="BS80" s="25"/>
      <c r="BT80" s="25"/>
      <c r="BU80" s="25"/>
      <c r="BV80" s="25"/>
      <c r="BW80" s="25"/>
      <c r="BX80" s="25"/>
      <c r="BY80" s="25"/>
      <c r="BZ80" s="25"/>
    </row>
    <row r="81" spans="1:78" x14ac:dyDescent="0.2">
      <c r="A81" s="98" t="s">
        <v>161</v>
      </c>
      <c r="B81" s="99" t="str">
        <f>VLOOKUP(LEFT(A81,7),'Tariff Schedule Lookup Table'!A$8:D$142,3,FALSE)</f>
        <v>2x310</v>
      </c>
      <c r="C81" s="100">
        <v>2</v>
      </c>
      <c r="D81" s="100">
        <v>1</v>
      </c>
      <c r="E81" s="100" t="s">
        <v>2095</v>
      </c>
      <c r="F81" s="169">
        <f>VLOOKUP(E81,'Lamp Stock'!A$14:H$49,4,FALSE)*(1+'Public Lighting Charges'!$R$11)</f>
        <v>50.436191000000001</v>
      </c>
      <c r="G81" s="169">
        <f>VLOOKUP(E81,'Lamp Stock'!A$14:G$49,6,FALSE)*(1+'Public Lighting Charges'!$R$11)</f>
        <v>54.315897999999997</v>
      </c>
      <c r="H81" s="169">
        <f>VLOOKUP(E81,'Lamp Stock'!A$14:H$49,8,FALSE)*(1+'Public Lighting Charges'!$R$11)</f>
        <v>26.034171799999999</v>
      </c>
      <c r="I81" s="102">
        <v>0.12</v>
      </c>
      <c r="J81" s="102">
        <v>0.1</v>
      </c>
      <c r="K81" s="102">
        <v>0.2</v>
      </c>
      <c r="L81" s="101">
        <v>3</v>
      </c>
      <c r="M81" s="103">
        <f t="shared" si="15"/>
        <v>0.33333333333333331</v>
      </c>
      <c r="N81" s="451">
        <v>7.2499999999999995E-2</v>
      </c>
      <c r="O81" s="192">
        <f>'Maintenance Model'!B$110*I81</f>
        <v>28.782909995423999</v>
      </c>
      <c r="P81" s="105">
        <f t="shared" si="1"/>
        <v>22.967865440000001</v>
      </c>
      <c r="Q81" s="105">
        <f>H81*K81*'Maintenance Model'!B$86</f>
        <v>1.5620503080000001</v>
      </c>
      <c r="R81" s="105">
        <f>'Maintenance Model'!B$106*I81</f>
        <v>7.3548799999999996</v>
      </c>
      <c r="S81" s="193">
        <f t="shared" si="16"/>
        <v>60.667705743424008</v>
      </c>
      <c r="T81" s="104">
        <f>'Maintenance Model'!B$110*N81</f>
        <v>17.389674788901999</v>
      </c>
      <c r="U81" s="240">
        <f t="shared" si="10"/>
        <v>18.553922786099999</v>
      </c>
      <c r="V81" s="104">
        <f>'Maintenance Model'!B$106*N81</f>
        <v>4.4435733333333332</v>
      </c>
      <c r="W81" s="104">
        <f>'Maintenance Model'!B$111*M81</f>
        <v>12.300388886933334</v>
      </c>
      <c r="X81" s="240">
        <f t="shared" si="6"/>
        <v>37.095350240000002</v>
      </c>
      <c r="Y81" s="105">
        <f>M81*'Maintenance Model'!B$107</f>
        <v>3.1431111111111112</v>
      </c>
      <c r="Z81" s="105">
        <f t="shared" si="17"/>
        <v>92.926021146379782</v>
      </c>
      <c r="AA81" s="203">
        <f>'Other Maintenance'!B$94</f>
        <v>2.9107349228680333</v>
      </c>
      <c r="AB81" s="104">
        <f t="shared" si="7"/>
        <v>63.578440666292039</v>
      </c>
      <c r="AC81" s="142">
        <f t="shared" si="8"/>
        <v>95.836756069247812</v>
      </c>
      <c r="AD81" s="127">
        <f>'Maintenance Model'!B$114 + 'Maintenance Model'!B$115</f>
        <v>0.99616182311111112</v>
      </c>
      <c r="AE81" s="131"/>
      <c r="AF81" s="142">
        <f t="shared" si="11"/>
        <v>64.574602489403148</v>
      </c>
      <c r="AG81" s="143">
        <f t="shared" si="12"/>
        <v>96.50086395132189</v>
      </c>
      <c r="AH81" s="61" t="e">
        <f>S81+#REF!+AD81</f>
        <v>#REF!</v>
      </c>
      <c r="AI81" s="61">
        <f t="shared" si="18"/>
        <v>31.926261461918742</v>
      </c>
      <c r="AJ81" s="61"/>
      <c r="AK81" s="61"/>
      <c r="AL81" s="61"/>
      <c r="AM81" s="61"/>
      <c r="AN81" s="61"/>
      <c r="AO81" s="61"/>
      <c r="AP81" s="61"/>
      <c r="AQ81" s="61"/>
      <c r="AR81" s="61"/>
      <c r="AS81" s="61"/>
      <c r="AT81" s="61"/>
      <c r="AU81" s="61" t="s">
        <v>2041</v>
      </c>
      <c r="AV81" s="61" t="s">
        <v>2041</v>
      </c>
      <c r="AW81" s="25"/>
      <c r="AX81" s="61" t="b">
        <f t="shared" si="9"/>
        <v>0</v>
      </c>
      <c r="AY81" s="61"/>
      <c r="AZ81" s="129"/>
      <c r="BA81" s="25"/>
      <c r="BB81" s="25"/>
      <c r="BC81" s="61"/>
      <c r="BD81" s="61"/>
      <c r="BE81" s="61"/>
      <c r="BF81" s="61"/>
      <c r="BG81" s="25"/>
      <c r="BH81" s="25"/>
      <c r="BI81" s="25"/>
      <c r="BJ81" s="25"/>
      <c r="BK81" s="25"/>
      <c r="BL81" s="25"/>
      <c r="BM81" s="25"/>
      <c r="BN81" s="25"/>
      <c r="BO81" s="25"/>
      <c r="BP81" s="25"/>
      <c r="BQ81" s="25"/>
      <c r="BR81" s="25"/>
      <c r="BS81" s="25"/>
      <c r="BT81" s="25"/>
      <c r="BU81" s="25"/>
      <c r="BV81" s="25"/>
      <c r="BW81" s="25"/>
      <c r="BX81" s="25"/>
      <c r="BY81" s="25"/>
      <c r="BZ81" s="25"/>
    </row>
    <row r="82" spans="1:78" x14ac:dyDescent="0.2">
      <c r="A82" s="98" t="s">
        <v>2099</v>
      </c>
      <c r="B82" s="99">
        <f>VLOOKUP(LEFT(A82,7),'Tariff Schedule Lookup Table'!A$8:D$142,3,FALSE)</f>
        <v>360</v>
      </c>
      <c r="C82" s="100">
        <v>1</v>
      </c>
      <c r="D82" s="100">
        <v>133</v>
      </c>
      <c r="E82" s="100" t="s">
        <v>61</v>
      </c>
      <c r="F82" s="169">
        <f>VLOOKUP(E82,'Lamp Stock'!A$14:H$49,4,FALSE)*(1+'Public Lighting Charges'!$R$11)</f>
        <v>28.642940299999999</v>
      </c>
      <c r="G82" s="169">
        <f>VLOOKUP(E82,'Lamp Stock'!A$14:G$49,6,FALSE)*(1+'Public Lighting Charges'!$R$11)</f>
        <v>81.233037600000003</v>
      </c>
      <c r="H82" s="169">
        <f>VLOOKUP(E82,'Lamp Stock'!A$14:H$49,8,FALSE)*(1+'Public Lighting Charges'!$R$11)</f>
        <v>26.034171799999999</v>
      </c>
      <c r="I82" s="102">
        <v>0.2</v>
      </c>
      <c r="J82" s="102">
        <v>0.1</v>
      </c>
      <c r="K82" s="102">
        <v>0.2</v>
      </c>
      <c r="L82" s="101">
        <v>3</v>
      </c>
      <c r="M82" s="103">
        <f>1/L82</f>
        <v>0.33333333333333331</v>
      </c>
      <c r="N82" s="451">
        <v>9.5500000000000002E-2</v>
      </c>
      <c r="O82" s="192">
        <f>'Maintenance Model'!B$110*I82</f>
        <v>47.971516659040006</v>
      </c>
      <c r="P82" s="105">
        <f t="shared" si="1"/>
        <v>13.851891820000001</v>
      </c>
      <c r="Q82" s="105">
        <f>H82*K82*'Maintenance Model'!B$86</f>
        <v>1.5620503080000001</v>
      </c>
      <c r="R82" s="105">
        <f>'Maintenance Model'!B$106*I82</f>
        <v>12.258133333333333</v>
      </c>
      <c r="S82" s="193">
        <f>SUM(O82:R82)</f>
        <v>75.643592120373341</v>
      </c>
      <c r="T82" s="104">
        <f>'Maintenance Model'!B$110*N82</f>
        <v>22.906399204691603</v>
      </c>
      <c r="U82" s="240">
        <f t="shared" si="10"/>
        <v>11.355957240030001</v>
      </c>
      <c r="V82" s="104">
        <f>'Maintenance Model'!B$106*N82</f>
        <v>5.8532586666666671</v>
      </c>
      <c r="W82" s="104">
        <f>'Maintenance Model'!B$111*M82</f>
        <v>12.300388886933334</v>
      </c>
      <c r="X82" s="240">
        <f t="shared" si="6"/>
        <v>11.28325822</v>
      </c>
      <c r="Y82" s="105">
        <f>M82*'Maintenance Model'!B$107</f>
        <v>3.1431111111111112</v>
      </c>
      <c r="Z82" s="105">
        <f>SUM(T82:Y82)</f>
        <v>66.842373329432718</v>
      </c>
      <c r="AA82" s="203">
        <f>'Other Maintenance'!B$94</f>
        <v>2.9107349228680333</v>
      </c>
      <c r="AB82" s="104">
        <f t="shared" si="7"/>
        <v>78.554327043241372</v>
      </c>
      <c r="AC82" s="142">
        <f t="shared" si="8"/>
        <v>69.753108252300748</v>
      </c>
      <c r="AD82" s="127">
        <f>'Maintenance Model'!B$114 + 'Maintenance Model'!B$115</f>
        <v>0.99616182311111112</v>
      </c>
      <c r="AE82" s="131" t="e">
        <f>AB82+#REF!+#REF!</f>
        <v>#REF!</v>
      </c>
      <c r="AF82" s="142">
        <f t="shared" si="11"/>
        <v>79.550488866352481</v>
      </c>
      <c r="AG82" s="143">
        <f t="shared" si="12"/>
        <v>70.417216134374826</v>
      </c>
      <c r="AH82" s="61" t="e">
        <f>S82+#REF!+AD82</f>
        <v>#REF!</v>
      </c>
      <c r="AI82" s="61">
        <f t="shared" si="18"/>
        <v>-9.1332727319776552</v>
      </c>
      <c r="AJ82" s="61"/>
      <c r="AK82" s="61"/>
      <c r="AL82" s="61"/>
      <c r="AM82" s="61"/>
      <c r="AN82" s="61"/>
      <c r="AO82" s="61"/>
      <c r="AP82" s="61"/>
      <c r="AQ82" s="61"/>
      <c r="AR82" s="61"/>
      <c r="AS82" s="61" t="s">
        <v>1090</v>
      </c>
      <c r="AT82" s="61"/>
      <c r="AU82" s="61">
        <v>44.60898736380517</v>
      </c>
      <c r="AV82" s="61">
        <v>45.541484631718504</v>
      </c>
      <c r="AW82" s="25"/>
      <c r="AX82" s="61" t="b">
        <f t="shared" si="9"/>
        <v>1</v>
      </c>
      <c r="AY82" s="61"/>
      <c r="AZ82" s="129"/>
      <c r="BA82" s="25"/>
      <c r="BB82" s="25"/>
      <c r="BC82" s="61"/>
      <c r="BD82" s="61"/>
      <c r="BE82" s="61"/>
      <c r="BF82" s="61"/>
      <c r="BG82" s="25"/>
      <c r="BH82" s="25"/>
      <c r="BI82" s="25"/>
      <c r="BJ82" s="25"/>
      <c r="BK82" s="25"/>
      <c r="BL82" s="25"/>
      <c r="BM82" s="25"/>
      <c r="BN82" s="25"/>
      <c r="BO82" s="25"/>
      <c r="BP82" s="25"/>
      <c r="BQ82" s="25"/>
      <c r="BR82" s="25"/>
      <c r="BS82" s="25"/>
      <c r="BT82" s="25"/>
      <c r="BU82" s="25"/>
      <c r="BV82" s="25"/>
      <c r="BW82" s="25"/>
      <c r="BX82" s="25"/>
      <c r="BY82" s="25"/>
      <c r="BZ82" s="25"/>
    </row>
    <row r="83" spans="1:78" x14ac:dyDescent="0.2">
      <c r="A83" s="98" t="s">
        <v>162</v>
      </c>
      <c r="B83" s="99">
        <f>VLOOKUP(LEFT(A83,7),'Tariff Schedule Lookup Table'!A$8:D$142,3,FALSE)</f>
        <v>360</v>
      </c>
      <c r="C83" s="100">
        <v>1</v>
      </c>
      <c r="D83" s="100">
        <v>133</v>
      </c>
      <c r="E83" s="100" t="s">
        <v>2101</v>
      </c>
      <c r="F83" s="169">
        <f>VLOOKUP(E83,'Lamp Stock'!A$14:H$49,4,FALSE)*(1+'Public Lighting Charges'!$R$11)</f>
        <v>69.968508999999983</v>
      </c>
      <c r="G83" s="169">
        <f>VLOOKUP(E83,'Lamp Stock'!A$14:G$49,6,FALSE)*(1+'Public Lighting Charges'!$R$11)</f>
        <v>81.233037600000003</v>
      </c>
      <c r="H83" s="169">
        <f>VLOOKUP(E83,'Lamp Stock'!A$14:H$49,8,FALSE)*(1+'Public Lighting Charges'!$R$11)</f>
        <v>26.034171799999999</v>
      </c>
      <c r="I83" s="102">
        <v>0.12</v>
      </c>
      <c r="J83" s="102">
        <v>0.1</v>
      </c>
      <c r="K83" s="102">
        <v>0.2</v>
      </c>
      <c r="L83" s="101">
        <v>3</v>
      </c>
      <c r="M83" s="103">
        <f>1/L83</f>
        <v>0.33333333333333331</v>
      </c>
      <c r="N83" s="451">
        <v>7.2499999999999995E-2</v>
      </c>
      <c r="O83" s="192">
        <f>'Maintenance Model'!B$110*I83</f>
        <v>28.782909995423999</v>
      </c>
      <c r="P83" s="105">
        <f t="shared" si="1"/>
        <v>16.519524839999999</v>
      </c>
      <c r="Q83" s="105">
        <f>H83*K83*'Maintenance Model'!B$86</f>
        <v>1.5620503080000001</v>
      </c>
      <c r="R83" s="105">
        <f>'Maintenance Model'!B$106*I83</f>
        <v>7.3548799999999996</v>
      </c>
      <c r="S83" s="193">
        <f t="shared" si="16"/>
        <v>54.219365143424</v>
      </c>
      <c r="T83" s="104">
        <f>'Maintenance Model'!B$110*N83</f>
        <v>17.389674788901999</v>
      </c>
      <c r="U83" s="240">
        <f t="shared" si="10"/>
        <v>13.5735161536</v>
      </c>
      <c r="V83" s="104">
        <f>'Maintenance Model'!B$106*N83</f>
        <v>4.4435733333333332</v>
      </c>
      <c r="W83" s="104">
        <f>'Maintenance Model'!B$111*M83</f>
        <v>12.300388886933334</v>
      </c>
      <c r="X83" s="240">
        <f t="shared" si="6"/>
        <v>25.058447786666662</v>
      </c>
      <c r="Y83" s="105">
        <f>M83*'Maintenance Model'!B$107</f>
        <v>3.1431111111111112</v>
      </c>
      <c r="Z83" s="105">
        <f t="shared" si="17"/>
        <v>75.908712060546435</v>
      </c>
      <c r="AA83" s="203">
        <f>'Other Maintenance'!B$94</f>
        <v>2.9107349228680333</v>
      </c>
      <c r="AB83" s="104">
        <f t="shared" si="7"/>
        <v>57.13010006629203</v>
      </c>
      <c r="AC83" s="142">
        <f t="shared" si="8"/>
        <v>78.819446983414466</v>
      </c>
      <c r="AD83" s="127">
        <f>'Maintenance Model'!B$114 + 'Maintenance Model'!B$115</f>
        <v>0.99616182311111112</v>
      </c>
      <c r="AE83" s="131"/>
      <c r="AF83" s="142">
        <f t="shared" si="11"/>
        <v>58.126261889403139</v>
      </c>
      <c r="AG83" s="143">
        <f t="shared" si="12"/>
        <v>79.483554865488543</v>
      </c>
      <c r="AH83" s="61" t="e">
        <f>S83+#REF!+AD83</f>
        <v>#REF!</v>
      </c>
      <c r="AI83" s="61">
        <f t="shared" si="18"/>
        <v>21.357292976085404</v>
      </c>
      <c r="AJ83" s="61"/>
      <c r="AK83" s="61"/>
      <c r="AL83" s="61"/>
      <c r="AM83" s="61"/>
      <c r="AN83" s="61"/>
      <c r="AO83" s="61"/>
      <c r="AP83" s="61"/>
      <c r="AQ83" s="61"/>
      <c r="AR83" s="61"/>
      <c r="AS83" s="61" t="s">
        <v>2043</v>
      </c>
      <c r="AT83" s="61"/>
      <c r="AU83" s="61" t="s">
        <v>2041</v>
      </c>
      <c r="AV83" s="61" t="s">
        <v>2041</v>
      </c>
      <c r="AW83" s="25"/>
      <c r="AX83" s="61" t="b">
        <f t="shared" si="9"/>
        <v>0</v>
      </c>
      <c r="AY83" s="61"/>
      <c r="AZ83" s="129"/>
      <c r="BA83" s="25"/>
      <c r="BB83" s="25"/>
      <c r="BC83" s="61"/>
      <c r="BD83" s="61"/>
      <c r="BE83" s="61"/>
      <c r="BF83" s="61"/>
      <c r="BG83" s="25"/>
      <c r="BH83" s="25"/>
      <c r="BI83" s="25"/>
      <c r="BJ83" s="25"/>
      <c r="BK83" s="25"/>
      <c r="BL83" s="25"/>
      <c r="BM83" s="25"/>
      <c r="BN83" s="25"/>
      <c r="BO83" s="25"/>
      <c r="BP83" s="25"/>
      <c r="BQ83" s="25"/>
      <c r="BR83" s="25"/>
      <c r="BS83" s="25"/>
      <c r="BT83" s="25"/>
      <c r="BU83" s="25"/>
      <c r="BV83" s="25"/>
      <c r="BW83" s="25"/>
      <c r="BX83" s="25"/>
      <c r="BY83" s="25"/>
      <c r="BZ83" s="25"/>
    </row>
    <row r="84" spans="1:78" x14ac:dyDescent="0.2">
      <c r="A84" s="98" t="s">
        <v>2100</v>
      </c>
      <c r="B84" s="99">
        <f>VLOOKUP(LEFT(A84,7),'Tariff Schedule Lookup Table'!A$8:D$142,3,FALSE)</f>
        <v>400</v>
      </c>
      <c r="C84" s="100">
        <v>1</v>
      </c>
      <c r="D84" s="100">
        <v>1570</v>
      </c>
      <c r="E84" s="100" t="s">
        <v>61</v>
      </c>
      <c r="F84" s="169">
        <f>VLOOKUP(E84,'Lamp Stock'!A$14:H$49,4,FALSE)*(1+'Public Lighting Charges'!$R$11)</f>
        <v>28.642940299999999</v>
      </c>
      <c r="G84" s="169">
        <f>VLOOKUP(E84,'Lamp Stock'!A$14:G$49,6,FALSE)*(1+'Public Lighting Charges'!$R$11)</f>
        <v>81.233037600000003</v>
      </c>
      <c r="H84" s="169">
        <f>VLOOKUP(E84,'Lamp Stock'!A$14:H$49,8,FALSE)*(1+'Public Lighting Charges'!$R$11)</f>
        <v>26.034171799999999</v>
      </c>
      <c r="I84" s="102">
        <v>0.2</v>
      </c>
      <c r="J84" s="102">
        <v>0.1</v>
      </c>
      <c r="K84" s="102">
        <v>0.2</v>
      </c>
      <c r="L84" s="101">
        <v>3</v>
      </c>
      <c r="M84" s="103">
        <f t="shared" ref="M84:M94" si="19">1/L84</f>
        <v>0.33333333333333331</v>
      </c>
      <c r="N84" s="451">
        <v>9.5500000000000002E-2</v>
      </c>
      <c r="O84" s="192">
        <f>'Maintenance Model'!B$110*I84</f>
        <v>47.971516659040006</v>
      </c>
      <c r="P84" s="105">
        <f t="shared" si="1"/>
        <v>13.851891820000001</v>
      </c>
      <c r="Q84" s="105">
        <f>H84*K84*'Maintenance Model'!B$86</f>
        <v>1.5620503080000001</v>
      </c>
      <c r="R84" s="105">
        <f>'Maintenance Model'!B$106*I84</f>
        <v>12.258133333333333</v>
      </c>
      <c r="S84" s="193">
        <f t="shared" ref="S84:S94" si="20">SUM(O84:R84)</f>
        <v>75.643592120373341</v>
      </c>
      <c r="T84" s="104">
        <f>'Maintenance Model'!B$110*N84</f>
        <v>22.906399204691603</v>
      </c>
      <c r="U84" s="240">
        <f t="shared" si="10"/>
        <v>11.355957240030001</v>
      </c>
      <c r="V84" s="104">
        <f>'Maintenance Model'!B$106*N84</f>
        <v>5.8532586666666671</v>
      </c>
      <c r="W84" s="104">
        <f>'Maintenance Model'!B$111*M84</f>
        <v>12.300388886933334</v>
      </c>
      <c r="X84" s="240">
        <f t="shared" si="6"/>
        <v>11.28325822</v>
      </c>
      <c r="Y84" s="105">
        <f>M84*'Maintenance Model'!B$107</f>
        <v>3.1431111111111112</v>
      </c>
      <c r="Z84" s="105">
        <f t="shared" ref="Z84:Z94" si="21">SUM(T84:Y84)</f>
        <v>66.842373329432718</v>
      </c>
      <c r="AA84" s="203">
        <f>'Other Maintenance'!B$94</f>
        <v>2.9107349228680333</v>
      </c>
      <c r="AB84" s="104">
        <f t="shared" si="7"/>
        <v>78.554327043241372</v>
      </c>
      <c r="AC84" s="142">
        <f t="shared" si="8"/>
        <v>69.753108252300748</v>
      </c>
      <c r="AD84" s="127">
        <f>'Maintenance Model'!B$114 + 'Maintenance Model'!B$115</f>
        <v>0.99616182311111112</v>
      </c>
      <c r="AE84" s="131" t="e">
        <f>AB84+#REF!+#REF!</f>
        <v>#REF!</v>
      </c>
      <c r="AF84" s="142">
        <f t="shared" ref="AF84:AF115" si="22">(AB84+AD84)</f>
        <v>79.550488866352481</v>
      </c>
      <c r="AG84" s="143">
        <f t="shared" ref="AG84:AG115" si="23">(AC84+ (2/3*AD84))</f>
        <v>70.417216134374826</v>
      </c>
      <c r="AH84" s="61" t="e">
        <f>S84+#REF!+AD84</f>
        <v>#REF!</v>
      </c>
      <c r="AI84" s="61">
        <f t="shared" si="18"/>
        <v>-9.1332727319776552</v>
      </c>
      <c r="AJ84" s="61"/>
      <c r="AK84" s="61"/>
      <c r="AL84" s="61"/>
      <c r="AM84" s="61"/>
      <c r="AN84" s="61"/>
      <c r="AO84" s="61"/>
      <c r="AP84" s="61"/>
      <c r="AQ84" s="61"/>
      <c r="AR84" s="61"/>
      <c r="AS84" s="61" t="s">
        <v>1093</v>
      </c>
      <c r="AT84" s="61"/>
      <c r="AU84" s="61">
        <v>43.435315198818721</v>
      </c>
      <c r="AV84" s="61">
        <v>43.544399609589199</v>
      </c>
      <c r="AW84" s="25"/>
      <c r="AX84" s="61" t="b">
        <f t="shared" si="9"/>
        <v>1</v>
      </c>
      <c r="AY84" s="61"/>
      <c r="AZ84" s="129"/>
      <c r="BA84" s="25"/>
      <c r="BB84" s="25"/>
      <c r="BC84" s="61"/>
      <c r="BD84" s="61"/>
      <c r="BE84" s="61"/>
      <c r="BF84" s="61"/>
      <c r="BG84" s="25"/>
      <c r="BH84" s="25"/>
      <c r="BI84" s="25"/>
      <c r="BJ84" s="25"/>
      <c r="BK84" s="25"/>
      <c r="BL84" s="25"/>
      <c r="BM84" s="25"/>
      <c r="BN84" s="25"/>
      <c r="BO84" s="25"/>
      <c r="BP84" s="25"/>
      <c r="BQ84" s="25"/>
      <c r="BR84" s="25"/>
      <c r="BS84" s="25"/>
      <c r="BT84" s="25"/>
      <c r="BU84" s="25"/>
      <c r="BV84" s="25"/>
      <c r="BW84" s="25"/>
      <c r="BX84" s="25"/>
      <c r="BY84" s="25"/>
      <c r="BZ84" s="25"/>
    </row>
    <row r="85" spans="1:78" x14ac:dyDescent="0.2">
      <c r="A85" s="98" t="s">
        <v>2101</v>
      </c>
      <c r="B85" s="99">
        <f>VLOOKUP(LEFT(A85,7),'Tariff Schedule Lookup Table'!A$8:D$142,3,FALSE)</f>
        <v>400</v>
      </c>
      <c r="C85" s="100">
        <v>1</v>
      </c>
      <c r="D85" s="100">
        <v>1570</v>
      </c>
      <c r="E85" s="100" t="s">
        <v>2101</v>
      </c>
      <c r="F85" s="169">
        <f>VLOOKUP(E85,'Lamp Stock'!A$14:H$49,4,FALSE)*(1+'Public Lighting Charges'!$R$11)</f>
        <v>69.968508999999983</v>
      </c>
      <c r="G85" s="169">
        <f>VLOOKUP(E85,'Lamp Stock'!A$14:G$49,6,FALSE)*(1+'Public Lighting Charges'!$R$11)</f>
        <v>81.233037600000003</v>
      </c>
      <c r="H85" s="169">
        <f>VLOOKUP(E85,'Lamp Stock'!A$14:H$49,8,FALSE)*(1+'Public Lighting Charges'!$R$11)</f>
        <v>26.034171799999999</v>
      </c>
      <c r="I85" s="102">
        <v>0.12</v>
      </c>
      <c r="J85" s="102">
        <v>0.1</v>
      </c>
      <c r="K85" s="102">
        <v>0.2</v>
      </c>
      <c r="L85" s="101">
        <v>3</v>
      </c>
      <c r="M85" s="103">
        <f t="shared" si="19"/>
        <v>0.33333333333333331</v>
      </c>
      <c r="N85" s="451">
        <v>7.2499999999999995E-2</v>
      </c>
      <c r="O85" s="192">
        <f>'Maintenance Model'!B$110*I85</f>
        <v>28.782909995423999</v>
      </c>
      <c r="P85" s="105">
        <f t="shared" si="1"/>
        <v>16.519524839999999</v>
      </c>
      <c r="Q85" s="105">
        <f>H85*K85*'Maintenance Model'!B$86</f>
        <v>1.5620503080000001</v>
      </c>
      <c r="R85" s="105">
        <f>'Maintenance Model'!B$106*I85</f>
        <v>7.3548799999999996</v>
      </c>
      <c r="S85" s="193">
        <f t="shared" si="20"/>
        <v>54.219365143424</v>
      </c>
      <c r="T85" s="104">
        <f>'Maintenance Model'!B$110*N85</f>
        <v>17.389674788901999</v>
      </c>
      <c r="U85" s="240">
        <f t="shared" si="10"/>
        <v>13.5735161536</v>
      </c>
      <c r="V85" s="104">
        <f>'Maintenance Model'!B$106*N85</f>
        <v>4.4435733333333332</v>
      </c>
      <c r="W85" s="104">
        <f>'Maintenance Model'!B$111*M85</f>
        <v>12.300388886933334</v>
      </c>
      <c r="X85" s="240">
        <f t="shared" ref="X85:X149" si="24">(C85*(F85+(K85*H85)))*M85</f>
        <v>25.058447786666662</v>
      </c>
      <c r="Y85" s="105">
        <f>M85*'Maintenance Model'!B$107</f>
        <v>3.1431111111111112</v>
      </c>
      <c r="Z85" s="105">
        <f t="shared" si="21"/>
        <v>75.908712060546435</v>
      </c>
      <c r="AA85" s="203">
        <f>'Other Maintenance'!B$94</f>
        <v>2.9107349228680333</v>
      </c>
      <c r="AB85" s="104">
        <f t="shared" si="7"/>
        <v>57.13010006629203</v>
      </c>
      <c r="AC85" s="142">
        <f t="shared" si="8"/>
        <v>78.819446983414466</v>
      </c>
      <c r="AD85" s="127">
        <f>'Maintenance Model'!B$114 + 'Maintenance Model'!B$115</f>
        <v>0.99616182311111112</v>
      </c>
      <c r="AE85" s="131" t="e">
        <f>AB85+#REF!+#REF!</f>
        <v>#REF!</v>
      </c>
      <c r="AF85" s="142">
        <f t="shared" si="22"/>
        <v>58.126261889403139</v>
      </c>
      <c r="AG85" s="143">
        <f t="shared" si="23"/>
        <v>79.483554865488543</v>
      </c>
      <c r="AH85" s="61" t="e">
        <f>S85+#REF!+AD85</f>
        <v>#REF!</v>
      </c>
      <c r="AI85" s="61"/>
      <c r="AJ85" s="61"/>
      <c r="AK85" s="61"/>
      <c r="AL85" s="61"/>
      <c r="AM85" s="61"/>
      <c r="AN85" s="61"/>
      <c r="AO85" s="61"/>
      <c r="AP85" s="61"/>
      <c r="AQ85" s="61"/>
      <c r="AR85" s="61"/>
      <c r="AS85" s="61" t="s">
        <v>1097</v>
      </c>
      <c r="AT85" s="61"/>
      <c r="AU85" s="61">
        <v>36.360515651618712</v>
      </c>
      <c r="AV85" s="61">
        <v>44.676720557652054</v>
      </c>
      <c r="AW85" s="25"/>
      <c r="AX85" s="61" t="b">
        <f t="shared" si="9"/>
        <v>0</v>
      </c>
      <c r="AY85" s="61"/>
      <c r="AZ85" s="129"/>
      <c r="BA85" s="25"/>
      <c r="BB85" s="25"/>
      <c r="BC85" s="61"/>
      <c r="BD85" s="61"/>
      <c r="BE85" s="61"/>
      <c r="BF85" s="61"/>
      <c r="BG85" s="25"/>
      <c r="BH85" s="25"/>
      <c r="BI85" s="25"/>
      <c r="BJ85" s="25"/>
      <c r="BK85" s="25"/>
      <c r="BL85" s="25"/>
      <c r="BM85" s="25"/>
      <c r="BN85" s="25"/>
      <c r="BO85" s="25"/>
      <c r="BP85" s="25"/>
      <c r="BQ85" s="25"/>
      <c r="BR85" s="25"/>
      <c r="BS85" s="25"/>
      <c r="BT85" s="25"/>
      <c r="BU85" s="25"/>
      <c r="BV85" s="25"/>
      <c r="BW85" s="25"/>
      <c r="BX85" s="25"/>
      <c r="BY85" s="25"/>
      <c r="BZ85" s="25"/>
    </row>
    <row r="86" spans="1:78" x14ac:dyDescent="0.2">
      <c r="A86" s="98" t="s">
        <v>2102</v>
      </c>
      <c r="B86" s="99" t="str">
        <f>VLOOKUP(LEFT(A86,7),'Tariff Schedule Lookup Table'!A$8:D$142,3,FALSE)</f>
        <v>2x400</v>
      </c>
      <c r="C86" s="100">
        <v>2</v>
      </c>
      <c r="D86" s="100">
        <v>55</v>
      </c>
      <c r="E86" s="100" t="s">
        <v>61</v>
      </c>
      <c r="F86" s="169">
        <f>VLOOKUP(E86,'Lamp Stock'!A$14:H$49,4,FALSE)*(1+'Public Lighting Charges'!$R$11)</f>
        <v>28.642940299999999</v>
      </c>
      <c r="G86" s="169">
        <f>VLOOKUP(E86,'Lamp Stock'!A$14:G$49,6,FALSE)*(1+'Public Lighting Charges'!$R$11)</f>
        <v>81.233037600000003</v>
      </c>
      <c r="H86" s="169">
        <f>VLOOKUP(E86,'Lamp Stock'!A$14:H$49,8,FALSE)*(1+'Public Lighting Charges'!$R$11)</f>
        <v>26.034171799999999</v>
      </c>
      <c r="I86" s="102">
        <v>0.2</v>
      </c>
      <c r="J86" s="102">
        <v>0.1</v>
      </c>
      <c r="K86" s="102">
        <v>0.2</v>
      </c>
      <c r="L86" s="101">
        <v>3</v>
      </c>
      <c r="M86" s="103">
        <f t="shared" si="19"/>
        <v>0.33333333333333331</v>
      </c>
      <c r="N86" s="451">
        <v>9.5500000000000002E-2</v>
      </c>
      <c r="O86" s="192">
        <f>'Maintenance Model'!B$110*I86</f>
        <v>47.971516659040006</v>
      </c>
      <c r="P86" s="105">
        <f t="shared" si="1"/>
        <v>27.703783640000001</v>
      </c>
      <c r="Q86" s="105">
        <f>H86*K86*'Maintenance Model'!B$86</f>
        <v>1.5620503080000001</v>
      </c>
      <c r="R86" s="105">
        <f>'Maintenance Model'!B$106*I86</f>
        <v>12.258133333333333</v>
      </c>
      <c r="S86" s="193">
        <f t="shared" si="20"/>
        <v>89.495483940373333</v>
      </c>
      <c r="T86" s="104">
        <f>'Maintenance Model'!B$110*N86</f>
        <v>22.906399204691603</v>
      </c>
      <c r="U86" s="240">
        <f t="shared" ref="U86:U150" si="25">N86*((C86*F86)+K86*H86)+C86*G86*J86</f>
        <v>22.214661798680002</v>
      </c>
      <c r="V86" s="104">
        <f>'Maintenance Model'!B$106*N86</f>
        <v>5.8532586666666671</v>
      </c>
      <c r="W86" s="104">
        <f>'Maintenance Model'!B$111*M86</f>
        <v>12.300388886933334</v>
      </c>
      <c r="X86" s="240">
        <f t="shared" si="24"/>
        <v>22.566516440000001</v>
      </c>
      <c r="Y86" s="105">
        <f>M86*'Maintenance Model'!B$107</f>
        <v>3.1431111111111112</v>
      </c>
      <c r="Z86" s="105">
        <f t="shared" si="21"/>
        <v>88.984336108082729</v>
      </c>
      <c r="AA86" s="203">
        <f>'Other Maintenance'!B$94</f>
        <v>2.9107349228680333</v>
      </c>
      <c r="AB86" s="104">
        <f t="shared" si="7"/>
        <v>92.406218863241364</v>
      </c>
      <c r="AC86" s="142">
        <f t="shared" si="8"/>
        <v>91.89507103095076</v>
      </c>
      <c r="AD86" s="127">
        <f>'Maintenance Model'!B$114 + 'Maintenance Model'!B$115</f>
        <v>0.99616182311111112</v>
      </c>
      <c r="AE86" s="131" t="e">
        <f>AB86+#REF!+#REF!</f>
        <v>#REF!</v>
      </c>
      <c r="AF86" s="142">
        <f t="shared" si="22"/>
        <v>93.402380686352473</v>
      </c>
      <c r="AG86" s="143">
        <f t="shared" si="23"/>
        <v>92.559178913024837</v>
      </c>
      <c r="AH86" s="61" t="e">
        <f>S86+#REF!+AD86</f>
        <v>#REF!</v>
      </c>
      <c r="AI86" s="61">
        <f>AG86-AF86</f>
        <v>-0.84320177332763535</v>
      </c>
      <c r="AJ86" s="61"/>
      <c r="AK86" s="61"/>
      <c r="AL86" s="61"/>
      <c r="AM86" s="61"/>
      <c r="AN86" s="61"/>
      <c r="AO86" s="61"/>
      <c r="AP86" s="61"/>
      <c r="AQ86" s="61"/>
      <c r="AR86" s="61"/>
      <c r="AS86" s="61" t="s">
        <v>1098</v>
      </c>
      <c r="AT86" s="61"/>
      <c r="AU86" s="61">
        <v>55.81717019430333</v>
      </c>
      <c r="AV86" s="61">
        <v>55.103941747930953</v>
      </c>
      <c r="AW86" s="25"/>
      <c r="AX86" s="61" t="b">
        <f t="shared" si="9"/>
        <v>1</v>
      </c>
      <c r="AY86" s="61"/>
      <c r="AZ86" s="129"/>
      <c r="BA86" s="25"/>
      <c r="BB86" s="25"/>
      <c r="BC86" s="61"/>
      <c r="BD86" s="61"/>
      <c r="BE86" s="61"/>
      <c r="BF86" s="61"/>
      <c r="BG86" s="25"/>
      <c r="BH86" s="25"/>
      <c r="BI86" s="25"/>
      <c r="BJ86" s="25"/>
      <c r="BK86" s="25"/>
      <c r="BL86" s="25"/>
      <c r="BM86" s="25"/>
      <c r="BN86" s="25"/>
      <c r="BO86" s="25"/>
      <c r="BP86" s="25"/>
      <c r="BQ86" s="25"/>
      <c r="BR86" s="25"/>
      <c r="BS86" s="25"/>
      <c r="BT86" s="25"/>
      <c r="BU86" s="25"/>
      <c r="BV86" s="25"/>
      <c r="BW86" s="25"/>
      <c r="BX86" s="25"/>
      <c r="BY86" s="25"/>
      <c r="BZ86" s="25"/>
    </row>
    <row r="87" spans="1:78" x14ac:dyDescent="0.2">
      <c r="A87" s="98" t="s">
        <v>2103</v>
      </c>
      <c r="B87" s="99" t="str">
        <f>VLOOKUP(LEFT(A87,7),'Tariff Schedule Lookup Table'!A$8:D$142,3,FALSE)</f>
        <v>2x400</v>
      </c>
      <c r="C87" s="100">
        <v>2</v>
      </c>
      <c r="D87" s="100">
        <v>55</v>
      </c>
      <c r="E87" s="100" t="s">
        <v>2101</v>
      </c>
      <c r="F87" s="169">
        <f>VLOOKUP(E87,'Lamp Stock'!A$14:H$49,4,FALSE)*(1+'Public Lighting Charges'!$R$11)</f>
        <v>69.968508999999983</v>
      </c>
      <c r="G87" s="169">
        <f>VLOOKUP(E87,'Lamp Stock'!A$14:G$49,6,FALSE)*(1+'Public Lighting Charges'!$R$11)</f>
        <v>81.233037600000003</v>
      </c>
      <c r="H87" s="169">
        <f>VLOOKUP(E87,'Lamp Stock'!A$14:H$49,8,FALSE)*(1+'Public Lighting Charges'!$R$11)</f>
        <v>26.034171799999999</v>
      </c>
      <c r="I87" s="102">
        <v>0.12</v>
      </c>
      <c r="J87" s="102">
        <v>0.1</v>
      </c>
      <c r="K87" s="102">
        <v>0.2</v>
      </c>
      <c r="L87" s="101">
        <v>3</v>
      </c>
      <c r="M87" s="103">
        <f t="shared" si="19"/>
        <v>0.33333333333333331</v>
      </c>
      <c r="N87" s="451">
        <v>7.2499999999999995E-2</v>
      </c>
      <c r="O87" s="192">
        <f>'Maintenance Model'!B$110*I87</f>
        <v>28.782909995423999</v>
      </c>
      <c r="P87" s="105">
        <f t="shared" si="1"/>
        <v>33.039049679999998</v>
      </c>
      <c r="Q87" s="105">
        <f>H87*K87*'Maintenance Model'!B$86</f>
        <v>1.5620503080000001</v>
      </c>
      <c r="R87" s="105">
        <f>'Maintenance Model'!B$106*I87</f>
        <v>7.3548799999999996</v>
      </c>
      <c r="S87" s="193">
        <f t="shared" si="20"/>
        <v>70.738889983424002</v>
      </c>
      <c r="T87" s="104">
        <f>'Maintenance Model'!B$110*N87</f>
        <v>17.389674788901999</v>
      </c>
      <c r="U87" s="240">
        <f t="shared" si="25"/>
        <v>26.769536816099997</v>
      </c>
      <c r="V87" s="104">
        <f>'Maintenance Model'!B$106*N87</f>
        <v>4.4435733333333332</v>
      </c>
      <c r="W87" s="104">
        <f>'Maintenance Model'!B$111*M87</f>
        <v>12.300388886933334</v>
      </c>
      <c r="X87" s="240">
        <f t="shared" si="24"/>
        <v>50.116895573333323</v>
      </c>
      <c r="Y87" s="105">
        <f>M87*'Maintenance Model'!B$107</f>
        <v>3.1431111111111112</v>
      </c>
      <c r="Z87" s="105">
        <f t="shared" si="21"/>
        <v>114.1631805097131</v>
      </c>
      <c r="AA87" s="203">
        <f>'Other Maintenance'!B$94</f>
        <v>2.9107349228680333</v>
      </c>
      <c r="AB87" s="104">
        <f t="shared" si="7"/>
        <v>73.649624906292033</v>
      </c>
      <c r="AC87" s="142">
        <f t="shared" si="8"/>
        <v>117.07391543258113</v>
      </c>
      <c r="AD87" s="127">
        <f>'Maintenance Model'!B$114 + 'Maintenance Model'!B$115</f>
        <v>0.99616182311111112</v>
      </c>
      <c r="AE87" s="131" t="e">
        <f>AB87+#REF!+#REF!</f>
        <v>#REF!</v>
      </c>
      <c r="AF87" s="142">
        <f t="shared" si="22"/>
        <v>74.645786729403142</v>
      </c>
      <c r="AG87" s="143">
        <f t="shared" si="23"/>
        <v>117.73802331465521</v>
      </c>
      <c r="AH87" s="61" t="e">
        <f>S87+#REF!+AD87</f>
        <v>#REF!</v>
      </c>
      <c r="AI87" s="61"/>
      <c r="AJ87" s="61"/>
      <c r="AK87" s="61"/>
      <c r="AL87" s="61"/>
      <c r="AM87" s="61"/>
      <c r="AN87" s="61"/>
      <c r="AO87" s="61"/>
      <c r="AP87" s="61"/>
      <c r="AQ87" s="61"/>
      <c r="AR87" s="61"/>
      <c r="AS87" s="61" t="s">
        <v>1100</v>
      </c>
      <c r="AT87" s="61"/>
      <c r="AU87" s="61">
        <v>49.457370647103332</v>
      </c>
      <c r="AV87" s="61">
        <v>65.105570553136673</v>
      </c>
      <c r="AW87" s="25"/>
      <c r="AX87" s="61" t="b">
        <f t="shared" si="9"/>
        <v>0</v>
      </c>
      <c r="AY87" s="61"/>
      <c r="AZ87" s="129"/>
      <c r="BA87" s="25"/>
      <c r="BB87" s="25"/>
      <c r="BC87" s="61"/>
      <c r="BD87" s="61"/>
      <c r="BE87" s="61"/>
      <c r="BF87" s="61"/>
      <c r="BG87" s="25"/>
      <c r="BH87" s="25"/>
      <c r="BI87" s="25"/>
      <c r="BJ87" s="25"/>
      <c r="BK87" s="25"/>
      <c r="BL87" s="25"/>
      <c r="BM87" s="25"/>
      <c r="BN87" s="25"/>
      <c r="BO87" s="25"/>
      <c r="BP87" s="25"/>
      <c r="BQ87" s="25"/>
      <c r="BR87" s="25"/>
      <c r="BS87" s="25"/>
      <c r="BT87" s="25"/>
      <c r="BU87" s="25"/>
      <c r="BV87" s="25"/>
      <c r="BW87" s="25"/>
      <c r="BX87" s="25"/>
      <c r="BY87" s="25"/>
      <c r="BZ87" s="25"/>
    </row>
    <row r="88" spans="1:78" x14ac:dyDescent="0.2">
      <c r="A88" s="98" t="s">
        <v>2104</v>
      </c>
      <c r="B88" s="99" t="str">
        <f>VLOOKUP(LEFT(A88,7),'Tariff Schedule Lookup Table'!A$8:D$142,3,FALSE)</f>
        <v>3x400</v>
      </c>
      <c r="C88" s="100">
        <v>3</v>
      </c>
      <c r="D88" s="100">
        <v>2</v>
      </c>
      <c r="E88" s="100" t="s">
        <v>61</v>
      </c>
      <c r="F88" s="169">
        <f>VLOOKUP(E88,'Lamp Stock'!A$14:H$49,4,FALSE)*(1+'Public Lighting Charges'!$R$11)</f>
        <v>28.642940299999999</v>
      </c>
      <c r="G88" s="169">
        <f>VLOOKUP(E88,'Lamp Stock'!A$14:G$49,6,FALSE)*(1+'Public Lighting Charges'!$R$11)</f>
        <v>81.233037600000003</v>
      </c>
      <c r="H88" s="169">
        <f>VLOOKUP(E88,'Lamp Stock'!A$14:H$49,8,FALSE)*(1+'Public Lighting Charges'!$R$11)</f>
        <v>26.034171799999999</v>
      </c>
      <c r="I88" s="102">
        <v>0.2</v>
      </c>
      <c r="J88" s="102">
        <v>0.1</v>
      </c>
      <c r="K88" s="102">
        <v>0.2</v>
      </c>
      <c r="L88" s="101">
        <v>3</v>
      </c>
      <c r="M88" s="103">
        <f t="shared" si="19"/>
        <v>0.33333333333333331</v>
      </c>
      <c r="N88" s="451">
        <v>9.5500000000000002E-2</v>
      </c>
      <c r="O88" s="192">
        <f>'Maintenance Model'!B$110*I88</f>
        <v>47.971516659040006</v>
      </c>
      <c r="P88" s="105">
        <f t="shared" si="1"/>
        <v>41.555675460000003</v>
      </c>
      <c r="Q88" s="105">
        <f>H88*K88*'Maintenance Model'!B$86</f>
        <v>1.5620503080000001</v>
      </c>
      <c r="R88" s="105">
        <f>'Maintenance Model'!B$106*I88</f>
        <v>12.258133333333333</v>
      </c>
      <c r="S88" s="193">
        <f t="shared" si="20"/>
        <v>103.34737576037334</v>
      </c>
      <c r="T88" s="104">
        <f>'Maintenance Model'!B$110*N88</f>
        <v>22.906399204691603</v>
      </c>
      <c r="U88" s="240">
        <f t="shared" si="25"/>
        <v>33.073366357330002</v>
      </c>
      <c r="V88" s="104">
        <f>'Maintenance Model'!B$106*N88</f>
        <v>5.8532586666666671</v>
      </c>
      <c r="W88" s="104">
        <f>'Maintenance Model'!B$111*M88</f>
        <v>12.300388886933334</v>
      </c>
      <c r="X88" s="240">
        <f t="shared" si="24"/>
        <v>33.849774659999994</v>
      </c>
      <c r="Y88" s="105">
        <f>M88*'Maintenance Model'!B$107</f>
        <v>3.1431111111111112</v>
      </c>
      <c r="Z88" s="105">
        <f t="shared" si="21"/>
        <v>111.12629888673271</v>
      </c>
      <c r="AA88" s="203">
        <f>'Other Maintenance'!B$94</f>
        <v>2.9107349228680333</v>
      </c>
      <c r="AB88" s="104">
        <f t="shared" si="7"/>
        <v>106.25811068324137</v>
      </c>
      <c r="AC88" s="142">
        <f t="shared" si="8"/>
        <v>114.03703380960074</v>
      </c>
      <c r="AD88" s="127">
        <f>'Maintenance Model'!B$114 + 'Maintenance Model'!B$115</f>
        <v>0.99616182311111112</v>
      </c>
      <c r="AE88" s="131" t="e">
        <f>AB88+#REF!+#REF!</f>
        <v>#REF!</v>
      </c>
      <c r="AF88" s="142">
        <f t="shared" si="22"/>
        <v>107.25427250635248</v>
      </c>
      <c r="AG88" s="143">
        <f t="shared" si="23"/>
        <v>114.70114169167482</v>
      </c>
      <c r="AH88" s="61"/>
      <c r="AI88" s="61"/>
      <c r="AJ88" s="61"/>
      <c r="AK88" s="61"/>
      <c r="AL88" s="61"/>
      <c r="AM88" s="61"/>
      <c r="AN88" s="61"/>
      <c r="AO88" s="61"/>
      <c r="AP88" s="61"/>
      <c r="AQ88" s="61"/>
      <c r="AR88" s="61"/>
      <c r="AS88" s="61"/>
      <c r="AT88" s="61"/>
      <c r="AU88" s="61"/>
      <c r="AV88" s="61"/>
      <c r="AW88" s="25"/>
      <c r="AX88" s="61" t="b">
        <f t="shared" si="9"/>
        <v>0</v>
      </c>
      <c r="AY88" s="61"/>
      <c r="AZ88" s="129"/>
      <c r="BA88" s="25"/>
      <c r="BB88" s="25"/>
      <c r="BC88" s="61"/>
      <c r="BD88" s="61"/>
      <c r="BE88" s="61"/>
      <c r="BF88" s="61"/>
      <c r="BG88" s="25"/>
      <c r="BH88" s="25"/>
      <c r="BI88" s="25"/>
      <c r="BJ88" s="25"/>
      <c r="BK88" s="25"/>
      <c r="BL88" s="25"/>
      <c r="BM88" s="25"/>
      <c r="BN88" s="25"/>
      <c r="BO88" s="25"/>
      <c r="BP88" s="25"/>
      <c r="BQ88" s="25"/>
      <c r="BR88" s="25"/>
      <c r="BS88" s="25"/>
      <c r="BT88" s="25"/>
      <c r="BU88" s="25"/>
      <c r="BV88" s="25"/>
      <c r="BW88" s="25"/>
      <c r="BX88" s="25"/>
      <c r="BY88" s="25"/>
      <c r="BZ88" s="25"/>
    </row>
    <row r="89" spans="1:78" x14ac:dyDescent="0.2">
      <c r="A89" s="98" t="s">
        <v>163</v>
      </c>
      <c r="B89" s="99" t="str">
        <f>VLOOKUP(LEFT(A89,7),'Tariff Schedule Lookup Table'!A$8:D$142,3,FALSE)</f>
        <v>4x400</v>
      </c>
      <c r="C89" s="100">
        <v>4</v>
      </c>
      <c r="D89" s="100">
        <v>0</v>
      </c>
      <c r="E89" s="100" t="s">
        <v>61</v>
      </c>
      <c r="F89" s="169">
        <f>VLOOKUP(E89,'Lamp Stock'!A$14:H$49,4,FALSE)*(1+'Public Lighting Charges'!$R$11)</f>
        <v>28.642940299999999</v>
      </c>
      <c r="G89" s="169">
        <f>VLOOKUP(E89,'Lamp Stock'!A$14:G$49,6,FALSE)*(1+'Public Lighting Charges'!$R$11)</f>
        <v>81.233037600000003</v>
      </c>
      <c r="H89" s="169">
        <f>VLOOKUP(E89,'Lamp Stock'!A$14:H$49,8,FALSE)*(1+'Public Lighting Charges'!$R$11)</f>
        <v>26.034171799999999</v>
      </c>
      <c r="I89" s="102">
        <v>0.2</v>
      </c>
      <c r="J89" s="102">
        <v>0.1</v>
      </c>
      <c r="K89" s="102">
        <v>0.2</v>
      </c>
      <c r="L89" s="101">
        <v>3</v>
      </c>
      <c r="M89" s="103">
        <f t="shared" si="19"/>
        <v>0.33333333333333331</v>
      </c>
      <c r="N89" s="451">
        <v>9.5500000000000002E-2</v>
      </c>
      <c r="O89" s="192">
        <f>'Maintenance Model'!B$110*I89</f>
        <v>47.971516659040006</v>
      </c>
      <c r="P89" s="105">
        <f t="shared" si="1"/>
        <v>55.407567280000002</v>
      </c>
      <c r="Q89" s="105">
        <f>H89*K89*'Maintenance Model'!B$86</f>
        <v>1.5620503080000001</v>
      </c>
      <c r="R89" s="105">
        <f>'Maintenance Model'!B$106*I89</f>
        <v>12.258133333333333</v>
      </c>
      <c r="S89" s="193">
        <f t="shared" si="20"/>
        <v>117.19926758037334</v>
      </c>
      <c r="T89" s="104">
        <f>'Maintenance Model'!B$110*N89</f>
        <v>22.906399204691603</v>
      </c>
      <c r="U89" s="240">
        <f t="shared" si="25"/>
        <v>43.932070915980006</v>
      </c>
      <c r="V89" s="104">
        <f>'Maintenance Model'!B$106*N89</f>
        <v>5.8532586666666671</v>
      </c>
      <c r="W89" s="104">
        <f>'Maintenance Model'!B$111*M89</f>
        <v>12.300388886933334</v>
      </c>
      <c r="X89" s="240">
        <f t="shared" si="24"/>
        <v>45.133032880000002</v>
      </c>
      <c r="Y89" s="105">
        <f>M89*'Maintenance Model'!B$107</f>
        <v>3.1431111111111112</v>
      </c>
      <c r="Z89" s="105">
        <f t="shared" si="21"/>
        <v>133.26826166538274</v>
      </c>
      <c r="AA89" s="203">
        <f>'Other Maintenance'!B$94</f>
        <v>2.9107349228680333</v>
      </c>
      <c r="AB89" s="104">
        <f t="shared" si="7"/>
        <v>120.11000250324138</v>
      </c>
      <c r="AC89" s="142">
        <f t="shared" si="8"/>
        <v>136.17899658825078</v>
      </c>
      <c r="AD89" s="127">
        <f>'Maintenance Model'!B$114 + 'Maintenance Model'!B$115</f>
        <v>0.99616182311111112</v>
      </c>
      <c r="AE89" s="131" t="e">
        <f>AB89+#REF!+#REF!</f>
        <v>#REF!</v>
      </c>
      <c r="AF89" s="142">
        <f t="shared" si="22"/>
        <v>121.10616432635248</v>
      </c>
      <c r="AG89" s="143">
        <f t="shared" si="23"/>
        <v>136.84310447032485</v>
      </c>
      <c r="AH89" s="61" t="e">
        <f>S89+#REF!+AD89</f>
        <v>#REF!</v>
      </c>
      <c r="AI89" s="61">
        <f t="shared" ref="AI89:AI94" si="26">AG89-AF89</f>
        <v>15.736940143972362</v>
      </c>
      <c r="AJ89" s="61"/>
      <c r="AK89" s="61"/>
      <c r="AL89" s="61"/>
      <c r="AM89" s="61"/>
      <c r="AN89" s="61"/>
      <c r="AO89" s="61"/>
      <c r="AP89" s="61"/>
      <c r="AQ89" s="61"/>
      <c r="AR89" s="61"/>
      <c r="AS89" s="61"/>
      <c r="AT89" s="61"/>
      <c r="AU89" s="61" t="s">
        <v>2041</v>
      </c>
      <c r="AV89" s="61" t="s">
        <v>2041</v>
      </c>
      <c r="AW89" s="25"/>
      <c r="AX89" s="61" t="b">
        <f t="shared" si="9"/>
        <v>0</v>
      </c>
      <c r="AY89" s="61"/>
      <c r="AZ89" s="129"/>
      <c r="BA89" s="25"/>
      <c r="BB89" s="25"/>
      <c r="BC89" s="61"/>
      <c r="BD89" s="61"/>
      <c r="BE89" s="61"/>
      <c r="BF89" s="61"/>
      <c r="BG89" s="25"/>
      <c r="BH89" s="25"/>
      <c r="BI89" s="25"/>
      <c r="BJ89" s="25"/>
      <c r="BK89" s="25"/>
      <c r="BL89" s="25"/>
      <c r="BM89" s="25"/>
      <c r="BN89" s="25"/>
      <c r="BO89" s="25"/>
      <c r="BP89" s="25"/>
      <c r="BQ89" s="25"/>
      <c r="BR89" s="25"/>
      <c r="BS89" s="25"/>
      <c r="BT89" s="25"/>
      <c r="BU89" s="25"/>
      <c r="BV89" s="25"/>
      <c r="BW89" s="25"/>
      <c r="BX89" s="25"/>
      <c r="BY89" s="25"/>
      <c r="BZ89" s="25"/>
    </row>
    <row r="90" spans="1:78" x14ac:dyDescent="0.2">
      <c r="A90" s="98" t="s">
        <v>164</v>
      </c>
      <c r="B90" s="99" t="str">
        <f>VLOOKUP(LEFT(A90,7),'Tariff Schedule Lookup Table'!A$8:D$142,3,FALSE)</f>
        <v>4x400</v>
      </c>
      <c r="C90" s="100">
        <v>4</v>
      </c>
      <c r="D90" s="100">
        <v>0</v>
      </c>
      <c r="E90" s="100" t="s">
        <v>2101</v>
      </c>
      <c r="F90" s="169">
        <f>VLOOKUP(E90,'Lamp Stock'!A$14:H$49,4,FALSE)*(1+'Public Lighting Charges'!$R$11)</f>
        <v>69.968508999999983</v>
      </c>
      <c r="G90" s="169">
        <f>VLOOKUP(E90,'Lamp Stock'!A$14:G$49,6,FALSE)*(1+'Public Lighting Charges'!$R$11)</f>
        <v>81.233037600000003</v>
      </c>
      <c r="H90" s="169">
        <f>VLOOKUP(E90,'Lamp Stock'!A$14:H$49,8,FALSE)*(1+'Public Lighting Charges'!$R$11)</f>
        <v>26.034171799999999</v>
      </c>
      <c r="I90" s="102">
        <v>0.12</v>
      </c>
      <c r="J90" s="102">
        <v>0.1</v>
      </c>
      <c r="K90" s="102">
        <v>0.2</v>
      </c>
      <c r="L90" s="101">
        <v>3</v>
      </c>
      <c r="M90" s="103">
        <f t="shared" si="19"/>
        <v>0.33333333333333331</v>
      </c>
      <c r="N90" s="451">
        <v>7.2499999999999995E-2</v>
      </c>
      <c r="O90" s="192">
        <f>'Maintenance Model'!B$110*I90</f>
        <v>28.782909995423999</v>
      </c>
      <c r="P90" s="105">
        <f t="shared" si="1"/>
        <v>66.078099359999996</v>
      </c>
      <c r="Q90" s="105">
        <f>H90*K90*'Maintenance Model'!B$86</f>
        <v>1.5620503080000001</v>
      </c>
      <c r="R90" s="105">
        <f>'Maintenance Model'!B$106*I90</f>
        <v>7.3548799999999996</v>
      </c>
      <c r="S90" s="193">
        <f t="shared" si="20"/>
        <v>103.77793966342398</v>
      </c>
      <c r="T90" s="104">
        <f>'Maintenance Model'!B$110*N90</f>
        <v>17.389674788901999</v>
      </c>
      <c r="U90" s="240">
        <f t="shared" si="25"/>
        <v>53.161578141099994</v>
      </c>
      <c r="V90" s="104">
        <f>'Maintenance Model'!B$106*N90</f>
        <v>4.4435733333333332</v>
      </c>
      <c r="W90" s="104">
        <f>'Maintenance Model'!B$111*M90</f>
        <v>12.300388886933334</v>
      </c>
      <c r="X90" s="240">
        <f t="shared" si="24"/>
        <v>100.23379114666665</v>
      </c>
      <c r="Y90" s="105">
        <f>M90*'Maintenance Model'!B$107</f>
        <v>3.1431111111111112</v>
      </c>
      <c r="Z90" s="105">
        <f t="shared" si="21"/>
        <v>190.67211740804643</v>
      </c>
      <c r="AA90" s="203">
        <f>'Other Maintenance'!B$94</f>
        <v>2.9107349228680333</v>
      </c>
      <c r="AB90" s="104">
        <f t="shared" si="7"/>
        <v>106.68867458629201</v>
      </c>
      <c r="AC90" s="142">
        <f t="shared" si="8"/>
        <v>193.58285233091448</v>
      </c>
      <c r="AD90" s="127">
        <f>'Maintenance Model'!B$114 + 'Maintenance Model'!B$115</f>
        <v>0.99616182311111112</v>
      </c>
      <c r="AE90" s="131" t="e">
        <f>AB90+#REF!+#REF!</f>
        <v>#REF!</v>
      </c>
      <c r="AF90" s="142">
        <f t="shared" si="22"/>
        <v>107.68483640940312</v>
      </c>
      <c r="AG90" s="143">
        <f t="shared" si="23"/>
        <v>194.24696021298854</v>
      </c>
      <c r="AH90" s="61" t="e">
        <f>S90+#REF!+AD90</f>
        <v>#REF!</v>
      </c>
      <c r="AI90" s="61">
        <f t="shared" si="26"/>
        <v>86.562123803585422</v>
      </c>
      <c r="AJ90" s="61"/>
      <c r="AK90" s="61"/>
      <c r="AL90" s="61"/>
      <c r="AM90" s="61"/>
      <c r="AN90" s="61"/>
      <c r="AO90" s="61"/>
      <c r="AP90" s="61"/>
      <c r="AQ90" s="61"/>
      <c r="AR90" s="61"/>
      <c r="AS90" s="61"/>
      <c r="AT90" s="61"/>
      <c r="AU90" s="61" t="s">
        <v>2041</v>
      </c>
      <c r="AV90" s="61" t="s">
        <v>2041</v>
      </c>
      <c r="AW90" s="25"/>
      <c r="AX90" s="61" t="b">
        <f t="shared" si="9"/>
        <v>0</v>
      </c>
      <c r="AY90" s="61"/>
      <c r="AZ90" s="129"/>
      <c r="BA90" s="25"/>
      <c r="BB90" s="25"/>
      <c r="BC90" s="61"/>
      <c r="BD90" s="61"/>
      <c r="BE90" s="61"/>
      <c r="BF90" s="61"/>
      <c r="BG90" s="25"/>
      <c r="BH90" s="25"/>
      <c r="BI90" s="25"/>
      <c r="BJ90" s="25"/>
      <c r="BK90" s="25"/>
      <c r="BL90" s="25"/>
      <c r="BM90" s="25"/>
      <c r="BN90" s="25"/>
      <c r="BO90" s="25"/>
      <c r="BP90" s="25"/>
      <c r="BQ90" s="25"/>
      <c r="BR90" s="25"/>
      <c r="BS90" s="25"/>
      <c r="BT90" s="25"/>
      <c r="BU90" s="25"/>
      <c r="BV90" s="25"/>
      <c r="BW90" s="25"/>
      <c r="BX90" s="25"/>
      <c r="BY90" s="25"/>
      <c r="BZ90" s="25"/>
    </row>
    <row r="91" spans="1:78" ht="21.75" customHeight="1" x14ac:dyDescent="0.2">
      <c r="A91" s="98" t="s">
        <v>2105</v>
      </c>
      <c r="B91" s="99" t="str">
        <f>VLOOKUP(LEFT(A91,7),'Tariff Schedule Lookup Table'!A$8:D$142,3,FALSE)</f>
        <v>600 (Internal Ignitor)</v>
      </c>
      <c r="C91" s="100">
        <v>1</v>
      </c>
      <c r="D91" s="100">
        <v>11</v>
      </c>
      <c r="E91" s="100" t="s">
        <v>65</v>
      </c>
      <c r="F91" s="169">
        <f>VLOOKUP(E91,'Lamp Stock'!A$14:H$49,4,FALSE)*(1+'Public Lighting Charges'!$R$11)</f>
        <v>125.63561529999998</v>
      </c>
      <c r="G91" s="169">
        <f>VLOOKUP(E91,'Lamp Stock'!A$14:G$49,6,FALSE)*(1+'Public Lighting Charges'!$R$11)</f>
        <v>98.089695599999985</v>
      </c>
      <c r="H91" s="169">
        <f>VLOOKUP(E91,'Lamp Stock'!A$14:H$49,8,FALSE)*(1+'Public Lighting Charges'!$R$11)</f>
        <v>26.034171799999999</v>
      </c>
      <c r="I91" s="102">
        <v>0.2</v>
      </c>
      <c r="J91" s="102">
        <v>0.1</v>
      </c>
      <c r="K91" s="102">
        <v>0.2</v>
      </c>
      <c r="L91" s="101">
        <v>3</v>
      </c>
      <c r="M91" s="103">
        <f t="shared" si="19"/>
        <v>0.33333333333333331</v>
      </c>
      <c r="N91" s="451">
        <v>9.5500000000000002E-2</v>
      </c>
      <c r="O91" s="192">
        <f>'Maintenance Model'!B$110*I91</f>
        <v>47.971516659040006</v>
      </c>
      <c r="P91" s="105">
        <f t="shared" si="1"/>
        <v>34.936092619999997</v>
      </c>
      <c r="Q91" s="105">
        <f>H91*K91*'Maintenance Model'!B$86</f>
        <v>1.5620503080000001</v>
      </c>
      <c r="R91" s="105">
        <f>'Maintenance Model'!B$106*I91</f>
        <v>12.258133333333333</v>
      </c>
      <c r="S91" s="193">
        <f t="shared" si="20"/>
        <v>96.727792920373332</v>
      </c>
      <c r="T91" s="104">
        <f>'Maintenance Model'!B$110*N91</f>
        <v>22.906399204691603</v>
      </c>
      <c r="U91" s="240">
        <f t="shared" si="25"/>
        <v>22.304423502529996</v>
      </c>
      <c r="V91" s="104">
        <f>'Maintenance Model'!B$106*N91</f>
        <v>5.8532586666666671</v>
      </c>
      <c r="W91" s="104">
        <f>'Maintenance Model'!B$111*M91</f>
        <v>12.300388886933334</v>
      </c>
      <c r="X91" s="240">
        <f t="shared" si="24"/>
        <v>43.614149886666652</v>
      </c>
      <c r="Y91" s="105">
        <f>M91*'Maintenance Model'!B$107</f>
        <v>3.1431111111111112</v>
      </c>
      <c r="Z91" s="105">
        <f t="shared" si="21"/>
        <v>110.12173125859935</v>
      </c>
      <c r="AA91" s="203">
        <f>'Other Maintenance'!B$94</f>
        <v>2.9107349228680333</v>
      </c>
      <c r="AB91" s="104">
        <f t="shared" si="7"/>
        <v>99.638527843241363</v>
      </c>
      <c r="AC91" s="142">
        <f t="shared" si="8"/>
        <v>113.03246618146738</v>
      </c>
      <c r="AD91" s="127">
        <f>'Maintenance Model'!B$114 + 'Maintenance Model'!B$115</f>
        <v>0.99616182311111112</v>
      </c>
      <c r="AE91" s="131" t="e">
        <f>AB91+#REF!+#REF!</f>
        <v>#REF!</v>
      </c>
      <c r="AF91" s="142">
        <f t="shared" si="22"/>
        <v>100.63468966635247</v>
      </c>
      <c r="AG91" s="143">
        <f t="shared" si="23"/>
        <v>113.69657406354146</v>
      </c>
      <c r="AH91" s="61" t="e">
        <f>S91+#REF!+AD91</f>
        <v>#REF!</v>
      </c>
      <c r="AI91" s="61">
        <f t="shared" si="26"/>
        <v>13.06188439718899</v>
      </c>
      <c r="AJ91" s="61"/>
      <c r="AK91" s="61"/>
      <c r="AL91" s="61"/>
      <c r="AM91" s="61"/>
      <c r="AN91" s="61"/>
      <c r="AO91" s="61"/>
      <c r="AP91" s="61"/>
      <c r="AQ91" s="61"/>
      <c r="AR91" s="61"/>
      <c r="AS91" s="61" t="s">
        <v>1104</v>
      </c>
      <c r="AT91" s="61"/>
      <c r="AU91" s="61">
        <v>47.417315198818713</v>
      </c>
      <c r="AV91" s="61">
        <v>49.969641038160624</v>
      </c>
      <c r="AW91" s="25"/>
      <c r="AX91" s="61" t="b">
        <f t="shared" si="9"/>
        <v>0</v>
      </c>
      <c r="AY91" s="61"/>
      <c r="AZ91" s="129"/>
      <c r="BA91" s="25"/>
      <c r="BB91" s="25"/>
      <c r="BC91" s="61"/>
      <c r="BD91" s="61"/>
      <c r="BE91" s="61"/>
      <c r="BF91" s="61"/>
      <c r="BG91" s="25"/>
      <c r="BH91" s="25"/>
      <c r="BI91" s="25"/>
      <c r="BJ91" s="25"/>
      <c r="BK91" s="25"/>
      <c r="BL91" s="25"/>
      <c r="BM91" s="25"/>
      <c r="BN91" s="25"/>
      <c r="BO91" s="25"/>
      <c r="BP91" s="25"/>
      <c r="BQ91" s="25"/>
      <c r="BR91" s="25"/>
      <c r="BS91" s="25"/>
      <c r="BT91" s="25"/>
      <c r="BU91" s="25"/>
      <c r="BV91" s="25"/>
      <c r="BW91" s="25"/>
      <c r="BX91" s="25"/>
      <c r="BY91" s="25"/>
      <c r="BZ91" s="25"/>
    </row>
    <row r="92" spans="1:78" ht="21.75" customHeight="1" x14ac:dyDescent="0.2">
      <c r="A92" s="98" t="s">
        <v>220</v>
      </c>
      <c r="B92" s="99" t="str">
        <f>VLOOKUP(LEFT(A92,7),'Tariff Schedule Lookup Table'!A$8:D$142,3,FALSE)</f>
        <v>2x600</v>
      </c>
      <c r="C92" s="100">
        <v>2</v>
      </c>
      <c r="D92" s="100">
        <v>0</v>
      </c>
      <c r="E92" s="100" t="s">
        <v>65</v>
      </c>
      <c r="F92" s="169">
        <f>VLOOKUP(E92,'Lamp Stock'!A$14:H$49,4,FALSE)*(1+'Public Lighting Charges'!$R$11)</f>
        <v>125.63561529999998</v>
      </c>
      <c r="G92" s="169">
        <f>VLOOKUP(E92,'Lamp Stock'!A$14:G$49,6,FALSE)*(1+'Public Lighting Charges'!$R$11)</f>
        <v>98.089695599999985</v>
      </c>
      <c r="H92" s="169">
        <f>VLOOKUP(E92,'Lamp Stock'!A$14:H$49,8,FALSE)*(1+'Public Lighting Charges'!$R$11)</f>
        <v>26.034171799999999</v>
      </c>
      <c r="I92" s="102">
        <v>0.2</v>
      </c>
      <c r="J92" s="102">
        <v>0.1</v>
      </c>
      <c r="K92" s="102">
        <v>0.2</v>
      </c>
      <c r="L92" s="101">
        <v>3</v>
      </c>
      <c r="M92" s="103">
        <f t="shared" si="19"/>
        <v>0.33333333333333331</v>
      </c>
      <c r="N92" s="451">
        <v>9.5500000000000002E-2</v>
      </c>
      <c r="O92" s="192">
        <f>'Maintenance Model'!B$110*I92</f>
        <v>47.971516659040006</v>
      </c>
      <c r="P92" s="105">
        <f>C92*(F92*I92+G92*J92)</f>
        <v>69.872185239999993</v>
      </c>
      <c r="Q92" s="105">
        <f>H92*K92*'Maintenance Model'!B$86</f>
        <v>1.5620503080000001</v>
      </c>
      <c r="R92" s="105">
        <f>'Maintenance Model'!B$106*I92</f>
        <v>12.258133333333333</v>
      </c>
      <c r="S92" s="193">
        <f>SUM(O92:R92)</f>
        <v>131.66388554037331</v>
      </c>
      <c r="T92" s="104">
        <f>'Maintenance Model'!B$110*N92</f>
        <v>22.906399204691603</v>
      </c>
      <c r="U92" s="240">
        <f t="shared" si="25"/>
        <v>44.111594323679995</v>
      </c>
      <c r="V92" s="104">
        <f>'Maintenance Model'!B$106*N92</f>
        <v>5.8532586666666671</v>
      </c>
      <c r="W92" s="104">
        <f>'Maintenance Model'!B$111*M92</f>
        <v>12.300388886933334</v>
      </c>
      <c r="X92" s="240">
        <f t="shared" si="24"/>
        <v>87.228299773333305</v>
      </c>
      <c r="Y92" s="105">
        <f>M92*'Maintenance Model'!B$107</f>
        <v>3.1431111111111112</v>
      </c>
      <c r="Z92" s="105">
        <f>SUM(T92:Y92)</f>
        <v>175.54305196641602</v>
      </c>
      <c r="AA92" s="203">
        <f>'Other Maintenance'!B$94</f>
        <v>2.9107349228680333</v>
      </c>
      <c r="AB92" s="104">
        <f>(S92+AA92)</f>
        <v>134.57462046324136</v>
      </c>
      <c r="AC92" s="142">
        <f>(Z92+AA92)</f>
        <v>178.45378688928406</v>
      </c>
      <c r="AD92" s="127">
        <f>'Maintenance Model'!B$114 + 'Maintenance Model'!B$115</f>
        <v>0.99616182311111112</v>
      </c>
      <c r="AE92" s="131" t="e">
        <f>AB92+#REF!+#REF!</f>
        <v>#REF!</v>
      </c>
      <c r="AF92" s="142">
        <f t="shared" si="22"/>
        <v>135.57078228635248</v>
      </c>
      <c r="AG92" s="143">
        <f t="shared" si="23"/>
        <v>179.11789477135812</v>
      </c>
      <c r="AH92" s="61" t="e">
        <f>S92+#REF!+AD92</f>
        <v>#REF!</v>
      </c>
      <c r="AI92" s="61">
        <f t="shared" si="26"/>
        <v>43.547112485005641</v>
      </c>
      <c r="AJ92" s="61"/>
      <c r="AK92" s="61"/>
      <c r="AL92" s="61"/>
      <c r="AM92" s="61"/>
      <c r="AN92" s="61"/>
      <c r="AO92" s="61"/>
      <c r="AP92" s="61"/>
      <c r="AQ92" s="61"/>
      <c r="AR92" s="61"/>
      <c r="AS92" s="61" t="s">
        <v>1104</v>
      </c>
      <c r="AT92" s="61"/>
      <c r="AU92" s="61">
        <v>47.417315198818713</v>
      </c>
      <c r="AV92" s="61">
        <v>49.969641038160624</v>
      </c>
      <c r="AW92" s="25"/>
      <c r="AX92" s="61"/>
      <c r="AY92" s="61"/>
      <c r="AZ92" s="129"/>
      <c r="BA92" s="25"/>
      <c r="BB92" s="25"/>
      <c r="BC92" s="61"/>
      <c r="BD92" s="61"/>
      <c r="BE92" s="61"/>
      <c r="BF92" s="61"/>
      <c r="BG92" s="25"/>
      <c r="BH92" s="25"/>
      <c r="BI92" s="25"/>
      <c r="BJ92" s="25"/>
      <c r="BK92" s="25"/>
      <c r="BL92" s="25"/>
      <c r="BM92" s="25"/>
      <c r="BN92" s="25"/>
      <c r="BO92" s="25"/>
      <c r="BP92" s="25"/>
      <c r="BQ92" s="25"/>
      <c r="BR92" s="25"/>
      <c r="BS92" s="25"/>
      <c r="BT92" s="25"/>
      <c r="BU92" s="25"/>
      <c r="BV92" s="25"/>
      <c r="BW92" s="25"/>
      <c r="BX92" s="25"/>
      <c r="BY92" s="25"/>
      <c r="BZ92" s="25"/>
    </row>
    <row r="93" spans="1:78" ht="21.75" customHeight="1" x14ac:dyDescent="0.2">
      <c r="A93" s="98" t="s">
        <v>221</v>
      </c>
      <c r="B93" s="99" t="str">
        <f>VLOOKUP(LEFT(A93,7),'Tariff Schedule Lookup Table'!A$8:D$142,3,FALSE)</f>
        <v>4x600</v>
      </c>
      <c r="C93" s="100">
        <v>4</v>
      </c>
      <c r="D93" s="100">
        <v>0</v>
      </c>
      <c r="E93" s="100" t="s">
        <v>65</v>
      </c>
      <c r="F93" s="169">
        <f>VLOOKUP(E93,'Lamp Stock'!A$14:H$49,4,FALSE)*(1+'Public Lighting Charges'!$R$11)</f>
        <v>125.63561529999998</v>
      </c>
      <c r="G93" s="169">
        <f>VLOOKUP(E93,'Lamp Stock'!A$14:G$49,6,FALSE)*(1+'Public Lighting Charges'!$R$11)</f>
        <v>98.089695599999985</v>
      </c>
      <c r="H93" s="169">
        <f>VLOOKUP(E93,'Lamp Stock'!A$14:H$49,8,FALSE)*(1+'Public Lighting Charges'!$R$11)</f>
        <v>26.034171799999999</v>
      </c>
      <c r="I93" s="102">
        <v>0.2</v>
      </c>
      <c r="J93" s="102">
        <v>0.1</v>
      </c>
      <c r="K93" s="102">
        <v>0.2</v>
      </c>
      <c r="L93" s="101">
        <v>3</v>
      </c>
      <c r="M93" s="103">
        <f t="shared" si="19"/>
        <v>0.33333333333333331</v>
      </c>
      <c r="N93" s="451">
        <v>9.5500000000000002E-2</v>
      </c>
      <c r="O93" s="192">
        <f>'Maintenance Model'!B$110*I93</f>
        <v>47.971516659040006</v>
      </c>
      <c r="P93" s="105">
        <f>C93*(F93*I93+G93*J93)</f>
        <v>139.74437047999999</v>
      </c>
      <c r="Q93" s="105">
        <f>H93*K93*'Maintenance Model'!B$86</f>
        <v>1.5620503080000001</v>
      </c>
      <c r="R93" s="105">
        <f>'Maintenance Model'!B$106*I93</f>
        <v>12.258133333333333</v>
      </c>
      <c r="S93" s="193">
        <f>SUM(O93:R93)</f>
        <v>201.53607078037334</v>
      </c>
      <c r="T93" s="104">
        <f>'Maintenance Model'!B$110*N93</f>
        <v>22.906399204691603</v>
      </c>
      <c r="U93" s="240">
        <f t="shared" si="25"/>
        <v>87.72593596598</v>
      </c>
      <c r="V93" s="104">
        <f>'Maintenance Model'!B$106*N93</f>
        <v>5.8532586666666671</v>
      </c>
      <c r="W93" s="104">
        <f>'Maintenance Model'!B$111*M93</f>
        <v>12.300388886933334</v>
      </c>
      <c r="X93" s="240">
        <f t="shared" si="24"/>
        <v>174.45659954666661</v>
      </c>
      <c r="Y93" s="105">
        <f>M93*'Maintenance Model'!B$107</f>
        <v>3.1431111111111112</v>
      </c>
      <c r="Z93" s="105">
        <f>SUM(T93:Y93)</f>
        <v>306.38569338204934</v>
      </c>
      <c r="AA93" s="203">
        <f>'Other Maintenance'!B$94</f>
        <v>2.9107349228680333</v>
      </c>
      <c r="AB93" s="104">
        <f>(S93+AA93)</f>
        <v>204.44680570324138</v>
      </c>
      <c r="AC93" s="142">
        <f>(Z93+AA93)</f>
        <v>309.29642830491736</v>
      </c>
      <c r="AD93" s="127">
        <f>'Maintenance Model'!B$114 + 'Maintenance Model'!B$115</f>
        <v>0.99616182311111112</v>
      </c>
      <c r="AE93" s="131" t="e">
        <f>AB93+#REF!+#REF!</f>
        <v>#REF!</v>
      </c>
      <c r="AF93" s="142">
        <f t="shared" si="22"/>
        <v>205.4429675263525</v>
      </c>
      <c r="AG93" s="143">
        <f t="shared" si="23"/>
        <v>309.96053618699142</v>
      </c>
      <c r="AH93" s="61" t="e">
        <f>S93+#REF!+AD93</f>
        <v>#REF!</v>
      </c>
      <c r="AI93" s="61">
        <f t="shared" si="26"/>
        <v>104.51756866063891</v>
      </c>
      <c r="AJ93" s="61"/>
      <c r="AK93" s="61"/>
      <c r="AL93" s="61"/>
      <c r="AM93" s="61"/>
      <c r="AN93" s="61"/>
      <c r="AO93" s="61"/>
      <c r="AP93" s="61"/>
      <c r="AQ93" s="61"/>
      <c r="AR93" s="61"/>
      <c r="AS93" s="61" t="s">
        <v>1104</v>
      </c>
      <c r="AT93" s="61"/>
      <c r="AU93" s="61">
        <v>47.417315198818713</v>
      </c>
      <c r="AV93" s="61">
        <v>49.969641038160624</v>
      </c>
      <c r="AW93" s="25"/>
      <c r="AX93" s="61"/>
      <c r="AY93" s="61"/>
      <c r="AZ93" s="129"/>
      <c r="BA93" s="25"/>
      <c r="BB93" s="25"/>
      <c r="BC93" s="61"/>
      <c r="BD93" s="61"/>
      <c r="BE93" s="61"/>
      <c r="BF93" s="61"/>
      <c r="BG93" s="25"/>
      <c r="BH93" s="25"/>
      <c r="BI93" s="25"/>
      <c r="BJ93" s="25"/>
      <c r="BK93" s="25"/>
      <c r="BL93" s="25"/>
      <c r="BM93" s="25"/>
      <c r="BN93" s="25"/>
      <c r="BO93" s="25"/>
      <c r="BP93" s="25"/>
      <c r="BQ93" s="25"/>
      <c r="BR93" s="25"/>
      <c r="BS93" s="25"/>
      <c r="BT93" s="25"/>
      <c r="BU93" s="25"/>
      <c r="BV93" s="25"/>
      <c r="BW93" s="25"/>
      <c r="BX93" s="25"/>
      <c r="BY93" s="25"/>
      <c r="BZ93" s="25"/>
    </row>
    <row r="94" spans="1:78" x14ac:dyDescent="0.2">
      <c r="A94" s="98" t="s">
        <v>165</v>
      </c>
      <c r="B94" s="99" t="str">
        <f>VLOOKUP(LEFT(A94,7),'Tariff Schedule Lookup Table'!A$8:D$142,3,FALSE)</f>
        <v>6x600</v>
      </c>
      <c r="C94" s="100">
        <v>6</v>
      </c>
      <c r="D94" s="100">
        <v>0</v>
      </c>
      <c r="E94" s="100" t="s">
        <v>65</v>
      </c>
      <c r="F94" s="169">
        <f>VLOOKUP(E94,'Lamp Stock'!A$14:H$49,4,FALSE)*(1+'Public Lighting Charges'!$R$11)</f>
        <v>125.63561529999998</v>
      </c>
      <c r="G94" s="169">
        <f>VLOOKUP(E94,'Lamp Stock'!A$14:G$49,6,FALSE)*(1+'Public Lighting Charges'!$R$11)</f>
        <v>98.089695599999985</v>
      </c>
      <c r="H94" s="169">
        <f>VLOOKUP(E94,'Lamp Stock'!A$14:H$49,8,FALSE)*(1+'Public Lighting Charges'!$R$11)</f>
        <v>26.034171799999999</v>
      </c>
      <c r="I94" s="102">
        <v>0.2</v>
      </c>
      <c r="J94" s="102">
        <v>0.1</v>
      </c>
      <c r="K94" s="102">
        <v>0.2</v>
      </c>
      <c r="L94" s="101">
        <v>3</v>
      </c>
      <c r="M94" s="103">
        <f t="shared" si="19"/>
        <v>0.33333333333333331</v>
      </c>
      <c r="N94" s="451">
        <v>9.5500000000000002E-2</v>
      </c>
      <c r="O94" s="192">
        <f>'Maintenance Model'!B$110*I94</f>
        <v>47.971516659040006</v>
      </c>
      <c r="P94" s="105">
        <f t="shared" si="1"/>
        <v>209.61655571999998</v>
      </c>
      <c r="Q94" s="105">
        <f>H94*K94*'Maintenance Model'!B$86</f>
        <v>1.5620503080000001</v>
      </c>
      <c r="R94" s="105">
        <f>'Maintenance Model'!B$106*I94</f>
        <v>12.258133333333333</v>
      </c>
      <c r="S94" s="193">
        <f t="shared" si="20"/>
        <v>271.4082560203733</v>
      </c>
      <c r="T94" s="104">
        <f>'Maintenance Model'!B$110*N94</f>
        <v>22.906399204691603</v>
      </c>
      <c r="U94" s="240">
        <f t="shared" si="25"/>
        <v>131.34027760827999</v>
      </c>
      <c r="V94" s="104">
        <f>'Maintenance Model'!B$106*N94</f>
        <v>5.8532586666666671</v>
      </c>
      <c r="W94" s="104">
        <f>'Maintenance Model'!B$111*M94</f>
        <v>12.300388886933334</v>
      </c>
      <c r="X94" s="240">
        <f t="shared" si="24"/>
        <v>261.68489931999994</v>
      </c>
      <c r="Y94" s="105">
        <f>M94*'Maintenance Model'!B$107</f>
        <v>3.1431111111111112</v>
      </c>
      <c r="Z94" s="105">
        <f t="shared" si="21"/>
        <v>437.22833479768269</v>
      </c>
      <c r="AA94" s="203">
        <f>'Other Maintenance'!B$94</f>
        <v>2.9107349228680333</v>
      </c>
      <c r="AB94" s="104">
        <f t="shared" si="7"/>
        <v>274.31899094324132</v>
      </c>
      <c r="AC94" s="142">
        <f t="shared" si="8"/>
        <v>440.13906972055071</v>
      </c>
      <c r="AD94" s="127">
        <f>'Maintenance Model'!B$114 + 'Maintenance Model'!B$115</f>
        <v>0.99616182311111112</v>
      </c>
      <c r="AE94" s="131" t="e">
        <f>AB94+#REF!+#REF!</f>
        <v>#REF!</v>
      </c>
      <c r="AF94" s="142">
        <f t="shared" si="22"/>
        <v>275.31515276635241</v>
      </c>
      <c r="AG94" s="143">
        <f t="shared" si="23"/>
        <v>440.80317760262477</v>
      </c>
      <c r="AH94" s="61" t="e">
        <f>S94+#REF!+AD94</f>
        <v>#REF!</v>
      </c>
      <c r="AI94" s="61">
        <f t="shared" si="26"/>
        <v>165.48802483627236</v>
      </c>
      <c r="AJ94" s="61"/>
      <c r="AK94" s="61"/>
      <c r="AL94" s="61"/>
      <c r="AM94" s="61"/>
      <c r="AN94" s="61"/>
      <c r="AO94" s="61"/>
      <c r="AP94" s="61"/>
      <c r="AQ94" s="61"/>
      <c r="AR94" s="61"/>
      <c r="AS94" s="61"/>
      <c r="AT94" s="61"/>
      <c r="AU94" s="61" t="s">
        <v>2041</v>
      </c>
      <c r="AV94" s="61" t="s">
        <v>2041</v>
      </c>
      <c r="AW94" s="25"/>
      <c r="AX94" s="61" t="b">
        <f t="shared" si="9"/>
        <v>0</v>
      </c>
      <c r="AY94" s="61"/>
      <c r="AZ94" s="129"/>
      <c r="BA94" s="25"/>
      <c r="BB94" s="25"/>
      <c r="BC94" s="61"/>
      <c r="BD94" s="61"/>
      <c r="BE94" s="61"/>
      <c r="BF94" s="61"/>
      <c r="BG94" s="25"/>
      <c r="BH94" s="25"/>
      <c r="BI94" s="25"/>
      <c r="BJ94" s="25"/>
      <c r="BK94" s="25"/>
      <c r="BL94" s="25"/>
      <c r="BM94" s="25"/>
      <c r="BN94" s="25"/>
      <c r="BO94" s="25"/>
      <c r="BP94" s="25"/>
      <c r="BQ94" s="25"/>
      <c r="BR94" s="25"/>
      <c r="BS94" s="25"/>
      <c r="BT94" s="25"/>
      <c r="BU94" s="25"/>
      <c r="BV94" s="25"/>
      <c r="BW94" s="25"/>
      <c r="BX94" s="25"/>
      <c r="BY94" s="25"/>
      <c r="BZ94" s="25"/>
    </row>
    <row r="95" spans="1:78" x14ac:dyDescent="0.2">
      <c r="A95" s="98" t="s">
        <v>2106</v>
      </c>
      <c r="B95" s="99">
        <f>VLOOKUP(LEFT(A95,7),'Tariff Schedule Lookup Table'!A$8:D$142,3,FALSE)</f>
        <v>1000</v>
      </c>
      <c r="C95" s="100">
        <v>1</v>
      </c>
      <c r="D95" s="100">
        <v>31</v>
      </c>
      <c r="E95" s="100" t="s">
        <v>110</v>
      </c>
      <c r="F95" s="169">
        <f>VLOOKUP(E95,'Lamp Stock'!A$14:H$49,4,FALSE)*(1+'Public Lighting Charges'!$R$11)</f>
        <v>287.63344999999998</v>
      </c>
      <c r="G95" s="169">
        <f>VLOOKUP(E95,'Lamp Stock'!A$14:G$49,6,FALSE)*(1+'Public Lighting Charges'!$R$11)</f>
        <v>173.91789999999997</v>
      </c>
      <c r="H95" s="169">
        <f>VLOOKUP(E95,'Lamp Stock'!A$14:H$49,8,FALSE)*(1+'Public Lighting Charges'!$R$11)</f>
        <v>34.0076386</v>
      </c>
      <c r="I95" s="102">
        <v>0.2</v>
      </c>
      <c r="J95" s="102">
        <v>0.1</v>
      </c>
      <c r="K95" s="102">
        <v>0.2</v>
      </c>
      <c r="L95" s="101">
        <v>3</v>
      </c>
      <c r="M95" s="103">
        <f t="shared" ref="M95:M173" si="27">1/L95</f>
        <v>0.33333333333333331</v>
      </c>
      <c r="N95" s="451">
        <v>9.5500000000000002E-2</v>
      </c>
      <c r="O95" s="192">
        <f>'Maintenance Model'!B$110*I95</f>
        <v>47.971516659040006</v>
      </c>
      <c r="P95" s="105">
        <f t="shared" si="1"/>
        <v>74.918480000000002</v>
      </c>
      <c r="Q95" s="105">
        <f>H95*K95*'Maintenance Model'!B$86</f>
        <v>2.040458316</v>
      </c>
      <c r="R95" s="105">
        <f>'Maintenance Model'!B$106*I95</f>
        <v>12.258133333333333</v>
      </c>
      <c r="S95" s="193">
        <f t="shared" ref="S95:S167" si="28">SUM(O95:R95)</f>
        <v>137.18858830837334</v>
      </c>
      <c r="T95" s="104">
        <f>'Maintenance Model'!B$110*N95</f>
        <v>22.906399204691603</v>
      </c>
      <c r="U95" s="240">
        <f t="shared" si="25"/>
        <v>45.51033037226</v>
      </c>
      <c r="V95" s="104">
        <f>'Maintenance Model'!B$106*N95</f>
        <v>5.8532586666666671</v>
      </c>
      <c r="W95" s="104">
        <f>'Maintenance Model'!B$111*M95</f>
        <v>12.300388886933334</v>
      </c>
      <c r="X95" s="240">
        <f t="shared" si="24"/>
        <v>98.144992573333326</v>
      </c>
      <c r="Y95" s="105">
        <f>M95*'Maintenance Model'!B$107</f>
        <v>3.1431111111111112</v>
      </c>
      <c r="Z95" s="105">
        <f t="shared" ref="Z95:Z167" si="29">SUM(T95:Y95)</f>
        <v>187.85848081499606</v>
      </c>
      <c r="AA95" s="203">
        <f>'Other Maintenance'!B$94</f>
        <v>2.9107349228680333</v>
      </c>
      <c r="AB95" s="104">
        <f t="shared" si="7"/>
        <v>140.09932323124139</v>
      </c>
      <c r="AC95" s="142">
        <f t="shared" si="8"/>
        <v>190.7692157378641</v>
      </c>
      <c r="AD95" s="127">
        <f>'Maintenance Model'!B$114 + 'Maintenance Model'!B$115</f>
        <v>0.99616182311111112</v>
      </c>
      <c r="AE95" s="131" t="e">
        <f>AB95+#REF!+#REF!</f>
        <v>#REF!</v>
      </c>
      <c r="AF95" s="142">
        <f t="shared" si="22"/>
        <v>141.09548505435251</v>
      </c>
      <c r="AG95" s="143">
        <f t="shared" si="23"/>
        <v>191.43332361993816</v>
      </c>
      <c r="AH95" s="61" t="e">
        <f>S95+#REF!+AD95</f>
        <v>#REF!</v>
      </c>
      <c r="AI95" s="61"/>
      <c r="AJ95" s="61"/>
      <c r="AK95" s="61"/>
      <c r="AL95" s="61"/>
      <c r="AM95" s="61"/>
      <c r="AN95" s="61"/>
      <c r="AO95" s="61"/>
      <c r="AP95" s="61"/>
      <c r="AQ95" s="61"/>
      <c r="AR95" s="61"/>
      <c r="AS95" s="61" t="s">
        <v>1108</v>
      </c>
      <c r="AT95" s="61"/>
      <c r="AU95" s="61">
        <v>56.824770194303333</v>
      </c>
      <c r="AV95" s="61">
        <v>71.708934563896676</v>
      </c>
      <c r="AW95" s="25"/>
      <c r="AX95" s="61" t="b">
        <f t="shared" si="9"/>
        <v>0</v>
      </c>
      <c r="AY95" s="61"/>
      <c r="AZ95" s="129"/>
      <c r="BA95" s="25"/>
      <c r="BB95" s="25"/>
      <c r="BC95" s="61"/>
      <c r="BD95" s="61"/>
      <c r="BE95" s="61"/>
      <c r="BF95" s="61"/>
      <c r="BG95" s="25"/>
      <c r="BH95" s="25"/>
      <c r="BI95" s="25"/>
      <c r="BJ95" s="25"/>
      <c r="BK95" s="25"/>
      <c r="BL95" s="25"/>
      <c r="BM95" s="25"/>
      <c r="BN95" s="25"/>
      <c r="BO95" s="25"/>
      <c r="BP95" s="25"/>
      <c r="BQ95" s="25"/>
      <c r="BR95" s="25"/>
      <c r="BS95" s="25"/>
      <c r="BT95" s="25"/>
      <c r="BU95" s="25"/>
      <c r="BV95" s="25"/>
      <c r="BW95" s="25"/>
      <c r="BX95" s="25"/>
      <c r="BY95" s="25"/>
      <c r="BZ95" s="25"/>
    </row>
    <row r="96" spans="1:78" x14ac:dyDescent="0.2">
      <c r="A96" s="106" t="s">
        <v>222</v>
      </c>
      <c r="B96" s="107" t="str">
        <f>VLOOKUP(LEFT(A96,7),'Tariff Schedule Lookup Table'!A$8:D$142,3,FALSE)</f>
        <v>4x1000</v>
      </c>
      <c r="C96" s="108">
        <v>1</v>
      </c>
      <c r="D96" s="108">
        <v>0</v>
      </c>
      <c r="E96" s="108" t="s">
        <v>110</v>
      </c>
      <c r="F96" s="169">
        <f>VLOOKUP(E96,'Lamp Stock'!A$14:H$49,4,FALSE)*(1+'Public Lighting Charges'!$R$11)</f>
        <v>287.63344999999998</v>
      </c>
      <c r="G96" s="169">
        <f>VLOOKUP(E96,'Lamp Stock'!A$14:G$49,6,FALSE)*(1+'Public Lighting Charges'!$R$11)</f>
        <v>173.91789999999997</v>
      </c>
      <c r="H96" s="169">
        <f>VLOOKUP(E96,'Lamp Stock'!A$14:H$49,8,FALSE)*(1+'Public Lighting Charges'!$R$11)</f>
        <v>34.0076386</v>
      </c>
      <c r="I96" s="110">
        <v>0.2</v>
      </c>
      <c r="J96" s="110">
        <v>0.1</v>
      </c>
      <c r="K96" s="110">
        <v>0.2</v>
      </c>
      <c r="L96" s="109">
        <v>3</v>
      </c>
      <c r="M96" s="111">
        <f t="shared" si="27"/>
        <v>0.33333333333333331</v>
      </c>
      <c r="N96" s="451">
        <v>9.5500000000000002E-2</v>
      </c>
      <c r="O96" s="194">
        <f>'Maintenance Model'!B$110*I96</f>
        <v>47.971516659040006</v>
      </c>
      <c r="P96" s="113">
        <f>C96*(F96*I96+G96*J96)</f>
        <v>74.918480000000002</v>
      </c>
      <c r="Q96" s="113">
        <f>H96*K96*'Maintenance Model'!B$86</f>
        <v>2.040458316</v>
      </c>
      <c r="R96" s="113">
        <f>'Maintenance Model'!B$106*I96</f>
        <v>12.258133333333333</v>
      </c>
      <c r="S96" s="195">
        <f>SUM(O96:R96)</f>
        <v>137.18858830837334</v>
      </c>
      <c r="T96" s="112">
        <f>'Maintenance Model'!B$110*N96</f>
        <v>22.906399204691603</v>
      </c>
      <c r="U96" s="240">
        <f t="shared" si="25"/>
        <v>45.51033037226</v>
      </c>
      <c r="V96" s="112">
        <f>'Maintenance Model'!B$106*N96</f>
        <v>5.8532586666666671</v>
      </c>
      <c r="W96" s="112">
        <f>'Maintenance Model'!B$111*M96</f>
        <v>12.300388886933334</v>
      </c>
      <c r="X96" s="240">
        <f t="shared" si="24"/>
        <v>98.144992573333326</v>
      </c>
      <c r="Y96" s="113">
        <f>M96*'Maintenance Model'!B$107</f>
        <v>3.1431111111111112</v>
      </c>
      <c r="Z96" s="113">
        <f>SUM(T96:Y96)</f>
        <v>187.85848081499606</v>
      </c>
      <c r="AA96" s="202">
        <f>'Other Maintenance'!B$94</f>
        <v>2.9107349228680333</v>
      </c>
      <c r="AB96" s="112">
        <f>(S96+AA96)</f>
        <v>140.09932323124139</v>
      </c>
      <c r="AC96" s="162">
        <f>(Z96+AA96)</f>
        <v>190.7692157378641</v>
      </c>
      <c r="AD96" s="130">
        <f>'Maintenance Model'!B$114 + 'Maintenance Model'!B$115</f>
        <v>0.99616182311111112</v>
      </c>
      <c r="AE96" s="132" t="e">
        <f>AB96+#REF!+#REF!</f>
        <v>#REF!</v>
      </c>
      <c r="AF96" s="162">
        <f t="shared" si="22"/>
        <v>141.09548505435251</v>
      </c>
      <c r="AG96" s="163">
        <f t="shared" si="23"/>
        <v>191.43332361993816</v>
      </c>
      <c r="AH96" s="61" t="e">
        <f>S96+#REF!+AD96</f>
        <v>#REF!</v>
      </c>
      <c r="AI96" s="61"/>
      <c r="AJ96" s="61"/>
      <c r="AK96" s="61"/>
      <c r="AL96" s="61"/>
      <c r="AM96" s="61"/>
      <c r="AN96" s="61"/>
      <c r="AO96" s="61"/>
      <c r="AP96" s="61"/>
      <c r="AQ96" s="61"/>
      <c r="AR96" s="61"/>
      <c r="AS96" s="61" t="s">
        <v>1108</v>
      </c>
      <c r="AT96" s="61"/>
      <c r="AU96" s="61">
        <v>56.824770194303333</v>
      </c>
      <c r="AV96" s="61">
        <v>71.708934563896676</v>
      </c>
      <c r="AW96" s="25"/>
      <c r="AX96" s="61"/>
      <c r="AY96" s="61"/>
      <c r="AZ96" s="129"/>
      <c r="BA96" s="25"/>
      <c r="BB96" s="25"/>
      <c r="BC96" s="61"/>
      <c r="BD96" s="61"/>
      <c r="BE96" s="61"/>
      <c r="BF96" s="61"/>
      <c r="BG96" s="25"/>
      <c r="BH96" s="25"/>
      <c r="BI96" s="25"/>
      <c r="BJ96" s="25"/>
      <c r="BK96" s="25"/>
      <c r="BL96" s="25"/>
      <c r="BM96" s="25"/>
      <c r="BN96" s="25"/>
      <c r="BO96" s="25"/>
      <c r="BP96" s="25"/>
      <c r="BQ96" s="25"/>
      <c r="BR96" s="25"/>
      <c r="BS96" s="25"/>
      <c r="BT96" s="25"/>
      <c r="BU96" s="25"/>
      <c r="BV96" s="25"/>
      <c r="BW96" s="25"/>
      <c r="BX96" s="25"/>
      <c r="BY96" s="25"/>
      <c r="BZ96" s="25"/>
    </row>
    <row r="97" spans="1:78" x14ac:dyDescent="0.2">
      <c r="A97" s="98" t="s">
        <v>2107</v>
      </c>
      <c r="B97" s="99">
        <f>VLOOKUP(LEFT(A97,7),'Tariff Schedule Lookup Table'!A$8:D$142,3,FALSE)</f>
        <v>30</v>
      </c>
      <c r="C97" s="100">
        <v>1</v>
      </c>
      <c r="D97" s="100">
        <v>8</v>
      </c>
      <c r="E97" s="100" t="s">
        <v>73</v>
      </c>
      <c r="F97" s="169">
        <f>VLOOKUP(E97,'Lamp Stock'!A$14:H$49,4,FALSE)*(1+'Public Lighting Charges'!$R$11)</f>
        <v>1.4716130000000001</v>
      </c>
      <c r="G97" s="169">
        <f>VLOOKUP(E97,'Lamp Stock'!A$14:G$49,6,FALSE)*(1+'Public Lighting Charges'!$R$11)</f>
        <v>0</v>
      </c>
      <c r="H97" s="169">
        <f>VLOOKUP(E97,'Lamp Stock'!A$14:H$49,8,FALSE)*(1+'Public Lighting Charges'!$R$11)</f>
        <v>0</v>
      </c>
      <c r="I97" s="102">
        <v>0.5</v>
      </c>
      <c r="J97" s="102">
        <v>0.1</v>
      </c>
      <c r="K97" s="102">
        <v>0.2</v>
      </c>
      <c r="L97" s="101">
        <v>3</v>
      </c>
      <c r="M97" s="103">
        <f t="shared" si="27"/>
        <v>0.33333333333333331</v>
      </c>
      <c r="N97" s="451">
        <v>5.5999999999999999E-3</v>
      </c>
      <c r="O97" s="192">
        <f>'Maintenance Model'!B$110*I97</f>
        <v>119.92879164760001</v>
      </c>
      <c r="P97" s="105">
        <f t="shared" ref="P97:P169" si="30">C97*(F97*I97+G97*J97)</f>
        <v>0.73580650000000003</v>
      </c>
      <c r="Q97" s="105">
        <f>H97*K97*'Maintenance Model'!B$85</f>
        <v>0</v>
      </c>
      <c r="R97" s="104">
        <f>'Maintenance Model'!B$104*I97</f>
        <v>3.8306666666666667</v>
      </c>
      <c r="S97" s="193">
        <f t="shared" si="28"/>
        <v>124.49526481426668</v>
      </c>
      <c r="T97" s="104">
        <f>'Maintenance Model'!B$110*N97</f>
        <v>1.3432024664531201</v>
      </c>
      <c r="U97" s="240">
        <f t="shared" si="25"/>
        <v>8.2410328000000008E-3</v>
      </c>
      <c r="V97" s="104">
        <f>'Maintenance Model'!B$104*N97</f>
        <v>4.2903466666666668E-2</v>
      </c>
      <c r="W97" s="104">
        <f>'Maintenance Model'!B$111*M97</f>
        <v>12.300388886933334</v>
      </c>
      <c r="X97" s="240">
        <f t="shared" si="24"/>
        <v>0.49053766666666665</v>
      </c>
      <c r="Y97" s="104">
        <f>M97*'Maintenance Model'!B$105</f>
        <v>0.3928888888888889</v>
      </c>
      <c r="Z97" s="105">
        <f t="shared" si="29"/>
        <v>14.578162408408676</v>
      </c>
      <c r="AA97" s="203">
        <f>'Other Maintenance'!B$94</f>
        <v>2.9107349228680333</v>
      </c>
      <c r="AB97" s="104">
        <f t="shared" ref="AB97:AB173" si="31">(S97+AA97)</f>
        <v>127.40599973713471</v>
      </c>
      <c r="AC97" s="142">
        <f t="shared" ref="AC97:AC173" si="32">(Z97+AA97)</f>
        <v>17.488897331276711</v>
      </c>
      <c r="AD97" s="127">
        <f>'Maintenance Model'!B$114 + 'Maintenance Model'!B$115</f>
        <v>0.99616182311111112</v>
      </c>
      <c r="AE97" s="133" t="e">
        <f>AB97+#REF!+#REF!</f>
        <v>#REF!</v>
      </c>
      <c r="AF97" s="142">
        <f t="shared" si="22"/>
        <v>128.40216156024582</v>
      </c>
      <c r="AG97" s="143">
        <f t="shared" si="23"/>
        <v>18.153005213350784</v>
      </c>
      <c r="AH97" s="61" t="e">
        <f>S97+#REF!+AD97</f>
        <v>#REF!</v>
      </c>
      <c r="AI97" s="61"/>
      <c r="AJ97" s="61"/>
      <c r="AK97" s="61"/>
      <c r="AL97" s="61"/>
      <c r="AM97" s="61"/>
      <c r="AN97" s="61"/>
      <c r="AO97" s="61"/>
      <c r="AP97" s="61"/>
      <c r="AQ97" s="61"/>
      <c r="AR97" s="61"/>
      <c r="AS97" s="61" t="s">
        <v>1110</v>
      </c>
      <c r="AT97" s="61"/>
      <c r="AU97" s="61">
        <v>46.491239213603691</v>
      </c>
      <c r="AV97" s="61" t="s">
        <v>2041</v>
      </c>
      <c r="AW97" s="25"/>
      <c r="AX97" s="61" t="b">
        <f t="shared" ref="AX97:AX173" si="33">AF97 &gt; AG97</f>
        <v>1</v>
      </c>
      <c r="AY97" s="61"/>
      <c r="AZ97" s="129"/>
      <c r="BA97" s="25"/>
      <c r="BB97" s="25"/>
      <c r="BC97" s="61"/>
      <c r="BD97" s="61"/>
      <c r="BE97" s="61"/>
      <c r="BF97" s="61"/>
      <c r="BG97" s="25"/>
      <c r="BH97" s="25"/>
      <c r="BI97" s="25"/>
      <c r="BJ97" s="25"/>
      <c r="BK97" s="25"/>
      <c r="BL97" s="25"/>
      <c r="BM97" s="25"/>
      <c r="BN97" s="25"/>
      <c r="BO97" s="25"/>
      <c r="BP97" s="25"/>
      <c r="BQ97" s="25"/>
      <c r="BR97" s="25"/>
      <c r="BS97" s="25"/>
      <c r="BT97" s="25"/>
      <c r="BU97" s="25"/>
      <c r="BV97" s="25"/>
      <c r="BW97" s="25"/>
      <c r="BX97" s="25"/>
      <c r="BY97" s="25"/>
      <c r="BZ97" s="25"/>
    </row>
    <row r="98" spans="1:78" x14ac:dyDescent="0.2">
      <c r="A98" s="98" t="s">
        <v>2108</v>
      </c>
      <c r="B98" s="99">
        <f>VLOOKUP(LEFT(A98,7),'Tariff Schedule Lookup Table'!A$8:D$142,3,FALSE)</f>
        <v>40</v>
      </c>
      <c r="C98" s="100">
        <v>1</v>
      </c>
      <c r="D98" s="100">
        <v>0</v>
      </c>
      <c r="E98" s="100" t="s">
        <v>73</v>
      </c>
      <c r="F98" s="169">
        <f>VLOOKUP(E98,'Lamp Stock'!A$14:H$49,4,FALSE)*(1+'Public Lighting Charges'!$R$11)</f>
        <v>1.4716130000000001</v>
      </c>
      <c r="G98" s="169">
        <f>VLOOKUP(E98,'Lamp Stock'!A$14:G$49,6,FALSE)*(1+'Public Lighting Charges'!$R$11)</f>
        <v>0</v>
      </c>
      <c r="H98" s="169">
        <f>VLOOKUP(E98,'Lamp Stock'!A$14:H$49,8,FALSE)*(1+'Public Lighting Charges'!$R$11)</f>
        <v>0</v>
      </c>
      <c r="I98" s="102">
        <v>0.5</v>
      </c>
      <c r="J98" s="102">
        <v>0.1</v>
      </c>
      <c r="K98" s="102">
        <v>0.2</v>
      </c>
      <c r="L98" s="101">
        <v>3</v>
      </c>
      <c r="M98" s="103">
        <f t="shared" si="27"/>
        <v>0.33333333333333331</v>
      </c>
      <c r="N98" s="451">
        <v>5.5999999999999999E-3</v>
      </c>
      <c r="O98" s="192">
        <f>'Maintenance Model'!B$110*I98</f>
        <v>119.92879164760001</v>
      </c>
      <c r="P98" s="105">
        <f t="shared" si="30"/>
        <v>0.73580650000000003</v>
      </c>
      <c r="Q98" s="105">
        <f>H98*K98*'Maintenance Model'!B$85</f>
        <v>0</v>
      </c>
      <c r="R98" s="104">
        <f>'Maintenance Model'!B$104*I98</f>
        <v>3.8306666666666667</v>
      </c>
      <c r="S98" s="193">
        <f t="shared" si="28"/>
        <v>124.49526481426668</v>
      </c>
      <c r="T98" s="104">
        <f>'Maintenance Model'!B$110*N98</f>
        <v>1.3432024664531201</v>
      </c>
      <c r="U98" s="240">
        <f t="shared" si="25"/>
        <v>8.2410328000000008E-3</v>
      </c>
      <c r="V98" s="104">
        <f>'Maintenance Model'!B$104*N98</f>
        <v>4.2903466666666668E-2</v>
      </c>
      <c r="W98" s="104">
        <f>'Maintenance Model'!B$111*M98</f>
        <v>12.300388886933334</v>
      </c>
      <c r="X98" s="240">
        <f t="shared" si="24"/>
        <v>0.49053766666666665</v>
      </c>
      <c r="Y98" s="104">
        <f>M98*'Maintenance Model'!B$105</f>
        <v>0.3928888888888889</v>
      </c>
      <c r="Z98" s="105">
        <f t="shared" si="29"/>
        <v>14.578162408408676</v>
      </c>
      <c r="AA98" s="203">
        <f>'Other Maintenance'!B$94</f>
        <v>2.9107349228680333</v>
      </c>
      <c r="AB98" s="104">
        <f t="shared" si="31"/>
        <v>127.40599973713471</v>
      </c>
      <c r="AC98" s="142">
        <f t="shared" si="32"/>
        <v>17.488897331276711</v>
      </c>
      <c r="AD98" s="127">
        <f>'Maintenance Model'!B$114 + 'Maintenance Model'!B$115</f>
        <v>0.99616182311111112</v>
      </c>
      <c r="AE98" s="133" t="e">
        <f>AB98+#REF!+#REF!</f>
        <v>#REF!</v>
      </c>
      <c r="AF98" s="142">
        <f t="shared" si="22"/>
        <v>128.40216156024582</v>
      </c>
      <c r="AG98" s="143">
        <f t="shared" si="23"/>
        <v>18.153005213350784</v>
      </c>
      <c r="AH98" s="61" t="e">
        <f>S98+#REF!+AD98</f>
        <v>#REF!</v>
      </c>
      <c r="AI98" s="61"/>
      <c r="AJ98" s="61"/>
      <c r="AK98" s="61"/>
      <c r="AL98" s="61"/>
      <c r="AM98" s="61"/>
      <c r="AN98" s="61"/>
      <c r="AO98" s="61"/>
      <c r="AP98" s="61"/>
      <c r="AQ98" s="61"/>
      <c r="AR98" s="61"/>
      <c r="AS98" s="61" t="s">
        <v>1112</v>
      </c>
      <c r="AT98" s="61"/>
      <c r="AU98" s="61">
        <v>46.491239213603691</v>
      </c>
      <c r="AV98" s="61" t="s">
        <v>2041</v>
      </c>
      <c r="AW98" s="25"/>
      <c r="AX98" s="61" t="b">
        <f t="shared" si="33"/>
        <v>1</v>
      </c>
      <c r="AY98" s="61"/>
      <c r="AZ98" s="129"/>
      <c r="BA98" s="25"/>
      <c r="BB98" s="25"/>
      <c r="BC98" s="61"/>
      <c r="BD98" s="61"/>
      <c r="BE98" s="61"/>
      <c r="BF98" s="61"/>
      <c r="BG98" s="25"/>
      <c r="BH98" s="25"/>
      <c r="BI98" s="25"/>
      <c r="BJ98" s="25"/>
      <c r="BK98" s="25"/>
      <c r="BL98" s="25"/>
      <c r="BM98" s="25"/>
      <c r="BN98" s="25"/>
      <c r="BO98" s="25"/>
      <c r="BP98" s="25"/>
      <c r="BQ98" s="25"/>
      <c r="BR98" s="25"/>
      <c r="BS98" s="25"/>
      <c r="BT98" s="25"/>
      <c r="BU98" s="25"/>
      <c r="BV98" s="25"/>
      <c r="BW98" s="25"/>
      <c r="BX98" s="25"/>
      <c r="BY98" s="25"/>
      <c r="BZ98" s="25"/>
    </row>
    <row r="99" spans="1:78" x14ac:dyDescent="0.2">
      <c r="A99" s="98" t="s">
        <v>2109</v>
      </c>
      <c r="B99" s="99">
        <f>VLOOKUP(LEFT(A99,7),'Tariff Schedule Lookup Table'!A$8:D$142,3,FALSE)</f>
        <v>60</v>
      </c>
      <c r="C99" s="100">
        <v>1</v>
      </c>
      <c r="D99" s="100">
        <v>128</v>
      </c>
      <c r="E99" s="100" t="s">
        <v>73</v>
      </c>
      <c r="F99" s="169">
        <f>VLOOKUP(E99,'Lamp Stock'!A$14:H$49,4,FALSE)*(1+'Public Lighting Charges'!$R$11)</f>
        <v>1.4716130000000001</v>
      </c>
      <c r="G99" s="169">
        <f>VLOOKUP(E99,'Lamp Stock'!A$14:G$49,6,FALSE)*(1+'Public Lighting Charges'!$R$11)</f>
        <v>0</v>
      </c>
      <c r="H99" s="169">
        <f>VLOOKUP(E99,'Lamp Stock'!A$14:H$49,8,FALSE)*(1+'Public Lighting Charges'!$R$11)</f>
        <v>0</v>
      </c>
      <c r="I99" s="102">
        <v>0.5</v>
      </c>
      <c r="J99" s="102">
        <v>0.1</v>
      </c>
      <c r="K99" s="102">
        <v>0.2</v>
      </c>
      <c r="L99" s="101">
        <v>3</v>
      </c>
      <c r="M99" s="103">
        <f t="shared" si="27"/>
        <v>0.33333333333333331</v>
      </c>
      <c r="N99" s="451">
        <v>5.5999999999999999E-3</v>
      </c>
      <c r="O99" s="192">
        <f>'Maintenance Model'!B$110*I99</f>
        <v>119.92879164760001</v>
      </c>
      <c r="P99" s="105">
        <f t="shared" si="30"/>
        <v>0.73580650000000003</v>
      </c>
      <c r="Q99" s="105">
        <f>H99*K99*'Maintenance Model'!B$85</f>
        <v>0</v>
      </c>
      <c r="R99" s="104">
        <f>'Maintenance Model'!B$104*I99</f>
        <v>3.8306666666666667</v>
      </c>
      <c r="S99" s="193">
        <f t="shared" si="28"/>
        <v>124.49526481426668</v>
      </c>
      <c r="T99" s="104">
        <f>'Maintenance Model'!B$110*N99</f>
        <v>1.3432024664531201</v>
      </c>
      <c r="U99" s="240">
        <f t="shared" si="25"/>
        <v>8.2410328000000008E-3</v>
      </c>
      <c r="V99" s="104">
        <f>'Maintenance Model'!B$104*N99</f>
        <v>4.2903466666666668E-2</v>
      </c>
      <c r="W99" s="104">
        <f>'Maintenance Model'!B$111*M99</f>
        <v>12.300388886933334</v>
      </c>
      <c r="X99" s="240">
        <f t="shared" si="24"/>
        <v>0.49053766666666665</v>
      </c>
      <c r="Y99" s="104">
        <f>M99*'Maintenance Model'!B$105</f>
        <v>0.3928888888888889</v>
      </c>
      <c r="Z99" s="105">
        <f t="shared" si="29"/>
        <v>14.578162408408676</v>
      </c>
      <c r="AA99" s="203">
        <f>'Other Maintenance'!B$94</f>
        <v>2.9107349228680333</v>
      </c>
      <c r="AB99" s="104">
        <f t="shared" si="31"/>
        <v>127.40599973713471</v>
      </c>
      <c r="AC99" s="142">
        <f t="shared" si="32"/>
        <v>17.488897331276711</v>
      </c>
      <c r="AD99" s="127">
        <f>'Maintenance Model'!B$114 + 'Maintenance Model'!B$115</f>
        <v>0.99616182311111112</v>
      </c>
      <c r="AE99" s="133" t="e">
        <f>AB99+#REF!+#REF!</f>
        <v>#REF!</v>
      </c>
      <c r="AF99" s="142">
        <f t="shared" si="22"/>
        <v>128.40216156024582</v>
      </c>
      <c r="AG99" s="143">
        <f t="shared" si="23"/>
        <v>18.153005213350784</v>
      </c>
      <c r="AH99" s="61" t="e">
        <f>S99+#REF!+AD99</f>
        <v>#REF!</v>
      </c>
      <c r="AI99" s="61"/>
      <c r="AJ99" s="61"/>
      <c r="AK99" s="61"/>
      <c r="AL99" s="61"/>
      <c r="AM99" s="61"/>
      <c r="AN99" s="61"/>
      <c r="AO99" s="61"/>
      <c r="AP99" s="61"/>
      <c r="AQ99" s="61"/>
      <c r="AR99" s="61"/>
      <c r="AS99" s="61" t="s">
        <v>1114</v>
      </c>
      <c r="AT99" s="61"/>
      <c r="AU99" s="61">
        <v>46.546239213603691</v>
      </c>
      <c r="AV99" s="61" t="s">
        <v>2041</v>
      </c>
      <c r="AW99" s="25"/>
      <c r="AX99" s="61" t="b">
        <f t="shared" si="33"/>
        <v>1</v>
      </c>
      <c r="AY99" s="61"/>
      <c r="AZ99" s="129"/>
      <c r="BA99" s="25"/>
      <c r="BB99" s="25"/>
      <c r="BC99" s="61"/>
      <c r="BD99" s="61"/>
      <c r="BE99" s="61"/>
      <c r="BF99" s="61"/>
      <c r="BG99" s="25"/>
      <c r="BH99" s="25"/>
      <c r="BI99" s="25"/>
      <c r="BJ99" s="25"/>
      <c r="BK99" s="25"/>
      <c r="BL99" s="25"/>
      <c r="BM99" s="25"/>
      <c r="BN99" s="25"/>
      <c r="BO99" s="25"/>
      <c r="BP99" s="25"/>
      <c r="BQ99" s="25"/>
      <c r="BR99" s="25"/>
      <c r="BS99" s="25"/>
      <c r="BT99" s="25"/>
      <c r="BU99" s="25"/>
      <c r="BV99" s="25"/>
      <c r="BW99" s="25"/>
      <c r="BX99" s="25"/>
      <c r="BY99" s="25"/>
      <c r="BZ99" s="25"/>
    </row>
    <row r="100" spans="1:78" x14ac:dyDescent="0.2">
      <c r="A100" s="98" t="s">
        <v>2110</v>
      </c>
      <c r="B100" s="99">
        <f>VLOOKUP(LEFT(A100,7),'Tariff Schedule Lookup Table'!A$8:D$142,3,FALSE)</f>
        <v>75</v>
      </c>
      <c r="C100" s="100">
        <v>1</v>
      </c>
      <c r="D100" s="100">
        <v>13</v>
      </c>
      <c r="E100" s="100" t="s">
        <v>73</v>
      </c>
      <c r="F100" s="169">
        <f>VLOOKUP(E100,'Lamp Stock'!A$14:H$49,4,FALSE)*(1+'Public Lighting Charges'!$R$11)</f>
        <v>1.4716130000000001</v>
      </c>
      <c r="G100" s="169">
        <f>VLOOKUP(E100,'Lamp Stock'!A$14:G$49,6,FALSE)*(1+'Public Lighting Charges'!$R$11)</f>
        <v>0</v>
      </c>
      <c r="H100" s="169">
        <f>VLOOKUP(E100,'Lamp Stock'!A$14:H$49,8,FALSE)*(1+'Public Lighting Charges'!$R$11)</f>
        <v>0</v>
      </c>
      <c r="I100" s="102">
        <v>0.5</v>
      </c>
      <c r="J100" s="102">
        <v>0.1</v>
      </c>
      <c r="K100" s="102">
        <v>0.2</v>
      </c>
      <c r="L100" s="101">
        <v>3</v>
      </c>
      <c r="M100" s="103">
        <f t="shared" si="27"/>
        <v>0.33333333333333331</v>
      </c>
      <c r="N100" s="451">
        <v>5.5999999999999999E-3</v>
      </c>
      <c r="O100" s="192">
        <f>'Maintenance Model'!B$110*I100</f>
        <v>119.92879164760001</v>
      </c>
      <c r="P100" s="105">
        <f t="shared" si="30"/>
        <v>0.73580650000000003</v>
      </c>
      <c r="Q100" s="105">
        <f>H100*K100*'Maintenance Model'!B$85</f>
        <v>0</v>
      </c>
      <c r="R100" s="104">
        <f>'Maintenance Model'!B$104*I100</f>
        <v>3.8306666666666667</v>
      </c>
      <c r="S100" s="193">
        <f t="shared" si="28"/>
        <v>124.49526481426668</v>
      </c>
      <c r="T100" s="104">
        <f>'Maintenance Model'!B$110*N100</f>
        <v>1.3432024664531201</v>
      </c>
      <c r="U100" s="240">
        <f t="shared" si="25"/>
        <v>8.2410328000000008E-3</v>
      </c>
      <c r="V100" s="104">
        <f>'Maintenance Model'!B$104*N100</f>
        <v>4.2903466666666668E-2</v>
      </c>
      <c r="W100" s="104">
        <f>'Maintenance Model'!B$111*M100</f>
        <v>12.300388886933334</v>
      </c>
      <c r="X100" s="240">
        <f t="shared" si="24"/>
        <v>0.49053766666666665</v>
      </c>
      <c r="Y100" s="104">
        <f>M100*'Maintenance Model'!B$105</f>
        <v>0.3928888888888889</v>
      </c>
      <c r="Z100" s="105">
        <f t="shared" si="29"/>
        <v>14.578162408408676</v>
      </c>
      <c r="AA100" s="203">
        <f>'Other Maintenance'!B$94</f>
        <v>2.9107349228680333</v>
      </c>
      <c r="AB100" s="104">
        <f t="shared" si="31"/>
        <v>127.40599973713471</v>
      </c>
      <c r="AC100" s="142">
        <f t="shared" si="32"/>
        <v>17.488897331276711</v>
      </c>
      <c r="AD100" s="127">
        <f>'Maintenance Model'!B$114 + 'Maintenance Model'!B$115</f>
        <v>0.99616182311111112</v>
      </c>
      <c r="AE100" s="133" t="e">
        <f>AB100+#REF!+#REF!</f>
        <v>#REF!</v>
      </c>
      <c r="AF100" s="142">
        <f t="shared" si="22"/>
        <v>128.40216156024582</v>
      </c>
      <c r="AG100" s="143">
        <f t="shared" si="23"/>
        <v>18.153005213350784</v>
      </c>
      <c r="AH100" s="61" t="e">
        <f>S100+#REF!+AD100</f>
        <v>#REF!</v>
      </c>
      <c r="AI100" s="61"/>
      <c r="AJ100" s="61"/>
      <c r="AK100" s="61"/>
      <c r="AL100" s="61"/>
      <c r="AM100" s="61"/>
      <c r="AN100" s="61"/>
      <c r="AO100" s="61"/>
      <c r="AP100" s="61"/>
      <c r="AQ100" s="61"/>
      <c r="AR100" s="61"/>
      <c r="AS100" s="61" t="s">
        <v>1116</v>
      </c>
      <c r="AT100" s="61"/>
      <c r="AU100" s="61">
        <v>46.573739213603695</v>
      </c>
      <c r="AV100" s="61" t="s">
        <v>2041</v>
      </c>
      <c r="AW100" s="25"/>
      <c r="AX100" s="61" t="b">
        <f t="shared" si="33"/>
        <v>1</v>
      </c>
      <c r="AY100" s="61"/>
      <c r="AZ100" s="129"/>
      <c r="BA100" s="25"/>
      <c r="BB100" s="25"/>
      <c r="BC100" s="61"/>
      <c r="BD100" s="61"/>
      <c r="BE100" s="61"/>
      <c r="BF100" s="61"/>
      <c r="BG100" s="25"/>
      <c r="BH100" s="25"/>
      <c r="BI100" s="25"/>
      <c r="BJ100" s="25"/>
      <c r="BK100" s="25"/>
      <c r="BL100" s="25"/>
      <c r="BM100" s="25"/>
      <c r="BN100" s="25"/>
      <c r="BO100" s="25"/>
      <c r="BP100" s="25"/>
      <c r="BQ100" s="25"/>
      <c r="BR100" s="25"/>
      <c r="BS100" s="25"/>
      <c r="BT100" s="25"/>
      <c r="BU100" s="25"/>
      <c r="BV100" s="25"/>
      <c r="BW100" s="25"/>
      <c r="BX100" s="25"/>
      <c r="BY100" s="25"/>
      <c r="BZ100" s="25"/>
    </row>
    <row r="101" spans="1:78" x14ac:dyDescent="0.2">
      <c r="A101" s="98" t="s">
        <v>2111</v>
      </c>
      <c r="B101" s="99">
        <f>VLOOKUP(LEFT(A101,7),'Tariff Schedule Lookup Table'!A$8:D$142,3,FALSE)</f>
        <v>100</v>
      </c>
      <c r="C101" s="100">
        <v>1</v>
      </c>
      <c r="D101" s="100">
        <v>45</v>
      </c>
      <c r="E101" s="100" t="s">
        <v>73</v>
      </c>
      <c r="F101" s="169">
        <f>VLOOKUP(E101,'Lamp Stock'!A$14:H$49,4,FALSE)*(1+'Public Lighting Charges'!$R$11)</f>
        <v>1.4716130000000001</v>
      </c>
      <c r="G101" s="169">
        <f>VLOOKUP(E101,'Lamp Stock'!A$14:G$49,6,FALSE)*(1+'Public Lighting Charges'!$R$11)</f>
        <v>0</v>
      </c>
      <c r="H101" s="169">
        <f>VLOOKUP(E101,'Lamp Stock'!A$14:H$49,8,FALSE)*(1+'Public Lighting Charges'!$R$11)</f>
        <v>0</v>
      </c>
      <c r="I101" s="102">
        <v>0.5</v>
      </c>
      <c r="J101" s="102">
        <v>0.1</v>
      </c>
      <c r="K101" s="102">
        <v>0.2</v>
      </c>
      <c r="L101" s="101">
        <v>3</v>
      </c>
      <c r="M101" s="103">
        <f t="shared" si="27"/>
        <v>0.33333333333333331</v>
      </c>
      <c r="N101" s="451">
        <v>5.5999999999999999E-3</v>
      </c>
      <c r="O101" s="192">
        <f>'Maintenance Model'!B$110*I101</f>
        <v>119.92879164760001</v>
      </c>
      <c r="P101" s="105">
        <f t="shared" si="30"/>
        <v>0.73580650000000003</v>
      </c>
      <c r="Q101" s="105">
        <f>H101*K101*'Maintenance Model'!B$85</f>
        <v>0</v>
      </c>
      <c r="R101" s="104">
        <f>'Maintenance Model'!B$104*I101</f>
        <v>3.8306666666666667</v>
      </c>
      <c r="S101" s="193">
        <f t="shared" si="28"/>
        <v>124.49526481426668</v>
      </c>
      <c r="T101" s="104">
        <f>'Maintenance Model'!B$110*N101</f>
        <v>1.3432024664531201</v>
      </c>
      <c r="U101" s="240">
        <f t="shared" si="25"/>
        <v>8.2410328000000008E-3</v>
      </c>
      <c r="V101" s="104">
        <f>'Maintenance Model'!B$104*N101</f>
        <v>4.2903466666666668E-2</v>
      </c>
      <c r="W101" s="104">
        <f>'Maintenance Model'!B$111*M101</f>
        <v>12.300388886933334</v>
      </c>
      <c r="X101" s="240">
        <f t="shared" si="24"/>
        <v>0.49053766666666665</v>
      </c>
      <c r="Y101" s="104">
        <f>M101*'Maintenance Model'!B$105</f>
        <v>0.3928888888888889</v>
      </c>
      <c r="Z101" s="105">
        <f t="shared" si="29"/>
        <v>14.578162408408676</v>
      </c>
      <c r="AA101" s="203">
        <f>'Other Maintenance'!B$94</f>
        <v>2.9107349228680333</v>
      </c>
      <c r="AB101" s="104">
        <f t="shared" si="31"/>
        <v>127.40599973713471</v>
      </c>
      <c r="AC101" s="142">
        <f t="shared" si="32"/>
        <v>17.488897331276711</v>
      </c>
      <c r="AD101" s="127">
        <f>'Maintenance Model'!B$114 + 'Maintenance Model'!B$115</f>
        <v>0.99616182311111112</v>
      </c>
      <c r="AE101" s="133" t="e">
        <f>AB101+#REF!+#REF!</f>
        <v>#REF!</v>
      </c>
      <c r="AF101" s="142">
        <f t="shared" si="22"/>
        <v>128.40216156024582</v>
      </c>
      <c r="AG101" s="143">
        <f t="shared" si="23"/>
        <v>18.153005213350784</v>
      </c>
      <c r="AH101" s="61" t="e">
        <f>S101+#REF!+AD101</f>
        <v>#REF!</v>
      </c>
      <c r="AI101" s="61"/>
      <c r="AJ101" s="61"/>
      <c r="AK101" s="61"/>
      <c r="AL101" s="61"/>
      <c r="AM101" s="61"/>
      <c r="AN101" s="61"/>
      <c r="AO101" s="61"/>
      <c r="AP101" s="61"/>
      <c r="AQ101" s="61"/>
      <c r="AR101" s="61"/>
      <c r="AS101" s="61" t="s">
        <v>1118</v>
      </c>
      <c r="AT101" s="61"/>
      <c r="AU101" s="61">
        <v>46.573739213603695</v>
      </c>
      <c r="AV101" s="61" t="s">
        <v>2041</v>
      </c>
      <c r="AW101" s="25"/>
      <c r="AX101" s="61" t="b">
        <f t="shared" si="33"/>
        <v>1</v>
      </c>
      <c r="AY101" s="61"/>
      <c r="AZ101" s="129"/>
      <c r="BA101" s="25"/>
      <c r="BB101" s="25"/>
      <c r="BC101" s="61"/>
      <c r="BD101" s="61"/>
      <c r="BE101" s="61"/>
      <c r="BF101" s="61"/>
      <c r="BG101" s="25"/>
      <c r="BH101" s="25"/>
      <c r="BI101" s="25"/>
      <c r="BJ101" s="25"/>
      <c r="BK101" s="25"/>
      <c r="BL101" s="25"/>
      <c r="BM101" s="25"/>
      <c r="BN101" s="25"/>
      <c r="BO101" s="25"/>
      <c r="BP101" s="25"/>
      <c r="BQ101" s="25"/>
      <c r="BR101" s="25"/>
      <c r="BS101" s="25"/>
      <c r="BT101" s="25"/>
      <c r="BU101" s="25"/>
      <c r="BV101" s="25"/>
      <c r="BW101" s="25"/>
      <c r="BX101" s="25"/>
      <c r="BY101" s="25"/>
      <c r="BZ101" s="25"/>
    </row>
    <row r="102" spans="1:78" x14ac:dyDescent="0.2">
      <c r="A102" s="98" t="s">
        <v>223</v>
      </c>
      <c r="B102" s="99" t="str">
        <f>VLOOKUP(LEFT(A102,7),'Tariff Schedule Lookup Table'!A$8:D$142,3,FALSE)</f>
        <v>3x100</v>
      </c>
      <c r="C102" s="100">
        <v>3</v>
      </c>
      <c r="D102" s="100">
        <v>0</v>
      </c>
      <c r="E102" s="100" t="s">
        <v>73</v>
      </c>
      <c r="F102" s="169">
        <f>VLOOKUP(E102,'Lamp Stock'!A$14:H$49,4,FALSE)*(1+'Public Lighting Charges'!$R$11)</f>
        <v>1.4716130000000001</v>
      </c>
      <c r="G102" s="169">
        <f>VLOOKUP(E102,'Lamp Stock'!A$14:G$49,6,FALSE)*(1+'Public Lighting Charges'!$R$11)</f>
        <v>0</v>
      </c>
      <c r="H102" s="169">
        <f>VLOOKUP(E102,'Lamp Stock'!A$14:H$49,8,FALSE)*(1+'Public Lighting Charges'!$R$11)</f>
        <v>0</v>
      </c>
      <c r="I102" s="102">
        <v>0.5</v>
      </c>
      <c r="J102" s="102">
        <v>0.1</v>
      </c>
      <c r="K102" s="102">
        <v>0.2</v>
      </c>
      <c r="L102" s="101">
        <v>3</v>
      </c>
      <c r="M102" s="103">
        <f t="shared" si="27"/>
        <v>0.33333333333333331</v>
      </c>
      <c r="N102" s="451">
        <v>5.5999999999999999E-3</v>
      </c>
      <c r="O102" s="192">
        <f>'Maintenance Model'!B$110*I102</f>
        <v>119.92879164760001</v>
      </c>
      <c r="P102" s="105">
        <f>C102*(F102*I102+G102*J102)</f>
        <v>2.2074195000000003</v>
      </c>
      <c r="Q102" s="105">
        <f>H102*K102*'Maintenance Model'!B$85</f>
        <v>0</v>
      </c>
      <c r="R102" s="104">
        <f>'Maintenance Model'!B$104*I102</f>
        <v>3.8306666666666667</v>
      </c>
      <c r="S102" s="193">
        <f>SUM(O102:R102)</f>
        <v>125.96687781426668</v>
      </c>
      <c r="T102" s="104">
        <f>'Maintenance Model'!B$110*N102</f>
        <v>1.3432024664531201</v>
      </c>
      <c r="U102" s="240">
        <f t="shared" si="25"/>
        <v>2.4723098400000004E-2</v>
      </c>
      <c r="V102" s="104">
        <f>'Maintenance Model'!B$104*N102</f>
        <v>4.2903466666666668E-2</v>
      </c>
      <c r="W102" s="104">
        <f>'Maintenance Model'!B$111*M102</f>
        <v>12.300388886933334</v>
      </c>
      <c r="X102" s="240">
        <f t="shared" si="24"/>
        <v>1.4716130000000001</v>
      </c>
      <c r="Y102" s="104">
        <f>M102*'Maintenance Model'!B$105</f>
        <v>0.3928888888888889</v>
      </c>
      <c r="Z102" s="105">
        <f>SUM(T102:Y102)</f>
        <v>15.57571980734201</v>
      </c>
      <c r="AA102" s="203">
        <f>'Other Maintenance'!B$94</f>
        <v>2.9107349228680333</v>
      </c>
      <c r="AB102" s="104">
        <f>(S102+AA102)</f>
        <v>128.87761273713471</v>
      </c>
      <c r="AC102" s="142">
        <f>(Z102+AA102)</f>
        <v>18.486454730210042</v>
      </c>
      <c r="AD102" s="127">
        <f>'Maintenance Model'!B$114 + 'Maintenance Model'!B$115</f>
        <v>0.99616182311111112</v>
      </c>
      <c r="AE102" s="133" t="e">
        <f>AB102+#REF!+#REF!</f>
        <v>#REF!</v>
      </c>
      <c r="AF102" s="142">
        <f t="shared" si="22"/>
        <v>129.87377456024583</v>
      </c>
      <c r="AG102" s="143">
        <f t="shared" si="23"/>
        <v>19.150562612284116</v>
      </c>
      <c r="AH102" s="61" t="e">
        <f>S102+#REF!+AD102</f>
        <v>#REF!</v>
      </c>
      <c r="AI102" s="61"/>
      <c r="AJ102" s="61"/>
      <c r="AK102" s="61"/>
      <c r="AL102" s="61"/>
      <c r="AM102" s="61"/>
      <c r="AN102" s="61"/>
      <c r="AO102" s="61"/>
      <c r="AP102" s="61"/>
      <c r="AQ102" s="61"/>
      <c r="AR102" s="61"/>
      <c r="AS102" s="61" t="s">
        <v>1118</v>
      </c>
      <c r="AT102" s="61"/>
      <c r="AU102" s="61">
        <v>46.573739213603695</v>
      </c>
      <c r="AV102" s="61" t="s">
        <v>2041</v>
      </c>
      <c r="AW102" s="25"/>
      <c r="AX102" s="61" t="b">
        <f>AF102 &gt; AG102</f>
        <v>1</v>
      </c>
      <c r="AY102" s="61"/>
      <c r="AZ102" s="129"/>
      <c r="BA102" s="25"/>
      <c r="BB102" s="25"/>
      <c r="BC102" s="61"/>
      <c r="BD102" s="61"/>
      <c r="BE102" s="61"/>
      <c r="BF102" s="61"/>
      <c r="BG102" s="25"/>
      <c r="BH102" s="25"/>
      <c r="BI102" s="25"/>
      <c r="BJ102" s="25"/>
      <c r="BK102" s="25"/>
      <c r="BL102" s="25"/>
      <c r="BM102" s="25"/>
      <c r="BN102" s="25"/>
      <c r="BO102" s="25"/>
      <c r="BP102" s="25"/>
      <c r="BQ102" s="25"/>
      <c r="BR102" s="25"/>
      <c r="BS102" s="25"/>
      <c r="BT102" s="25"/>
      <c r="BU102" s="25"/>
      <c r="BV102" s="25"/>
      <c r="BW102" s="25"/>
      <c r="BX102" s="25"/>
      <c r="BY102" s="25"/>
      <c r="BZ102" s="25"/>
    </row>
    <row r="103" spans="1:78" x14ac:dyDescent="0.2">
      <c r="A103" s="98" t="s">
        <v>2112</v>
      </c>
      <c r="B103" s="99">
        <f>VLOOKUP(LEFT(A103,7),'Tariff Schedule Lookup Table'!A$8:D$142,3,FALSE)</f>
        <v>130</v>
      </c>
      <c r="C103" s="100">
        <v>1</v>
      </c>
      <c r="D103" s="100">
        <v>0</v>
      </c>
      <c r="E103" s="100" t="s">
        <v>73</v>
      </c>
      <c r="F103" s="169">
        <f>VLOOKUP(E103,'Lamp Stock'!A$14:H$49,4,FALSE)*(1+'Public Lighting Charges'!$R$11)</f>
        <v>1.4716130000000001</v>
      </c>
      <c r="G103" s="169">
        <f>VLOOKUP(E103,'Lamp Stock'!A$14:G$49,6,FALSE)*(1+'Public Lighting Charges'!$R$11)</f>
        <v>0</v>
      </c>
      <c r="H103" s="169">
        <f>VLOOKUP(E103,'Lamp Stock'!A$14:H$49,8,FALSE)*(1+'Public Lighting Charges'!$R$11)</f>
        <v>0</v>
      </c>
      <c r="I103" s="102">
        <v>0.5</v>
      </c>
      <c r="J103" s="102">
        <v>0.1</v>
      </c>
      <c r="K103" s="102">
        <v>0.2</v>
      </c>
      <c r="L103" s="101">
        <v>3</v>
      </c>
      <c r="M103" s="103">
        <f t="shared" si="27"/>
        <v>0.33333333333333331</v>
      </c>
      <c r="N103" s="451">
        <v>5.5999999999999999E-3</v>
      </c>
      <c r="O103" s="192">
        <f>'Maintenance Model'!B$110*I103</f>
        <v>119.92879164760001</v>
      </c>
      <c r="P103" s="105">
        <f t="shared" si="30"/>
        <v>0.73580650000000003</v>
      </c>
      <c r="Q103" s="105">
        <f>H103*K103*'Maintenance Model'!B$85</f>
        <v>0</v>
      </c>
      <c r="R103" s="104">
        <f>'Maintenance Model'!B$104*I$103</f>
        <v>3.8306666666666667</v>
      </c>
      <c r="S103" s="193">
        <f t="shared" si="28"/>
        <v>124.49526481426668</v>
      </c>
      <c r="T103" s="104">
        <f>'Maintenance Model'!B$110*N103</f>
        <v>1.3432024664531201</v>
      </c>
      <c r="U103" s="240">
        <f t="shared" si="25"/>
        <v>8.2410328000000008E-3</v>
      </c>
      <c r="V103" s="104">
        <f>'Maintenance Model'!B$104*N$103</f>
        <v>4.2903466666666668E-2</v>
      </c>
      <c r="W103" s="104">
        <f>'Maintenance Model'!B$111*M103</f>
        <v>12.300388886933334</v>
      </c>
      <c r="X103" s="240">
        <f t="shared" si="24"/>
        <v>0.49053766666666665</v>
      </c>
      <c r="Y103" s="104">
        <f>M103*'Maintenance Model'!B$105</f>
        <v>0.3928888888888889</v>
      </c>
      <c r="Z103" s="105">
        <f t="shared" si="29"/>
        <v>14.578162408408676</v>
      </c>
      <c r="AA103" s="203">
        <f>'Other Maintenance'!B$94</f>
        <v>2.9107349228680333</v>
      </c>
      <c r="AB103" s="104">
        <f t="shared" si="31"/>
        <v>127.40599973713471</v>
      </c>
      <c r="AC103" s="142">
        <f t="shared" si="32"/>
        <v>17.488897331276711</v>
      </c>
      <c r="AD103" s="127">
        <f>'Maintenance Model'!B$114 + 'Maintenance Model'!B$115</f>
        <v>0.99616182311111112</v>
      </c>
      <c r="AE103" s="133" t="e">
        <f>AB103+#REF!+#REF!</f>
        <v>#REF!</v>
      </c>
      <c r="AF103" s="142">
        <f t="shared" si="22"/>
        <v>128.40216156024582</v>
      </c>
      <c r="AG103" s="143">
        <f t="shared" si="23"/>
        <v>18.153005213350784</v>
      </c>
      <c r="AH103" s="61" t="e">
        <f>S103+#REF!+AD103</f>
        <v>#REF!</v>
      </c>
      <c r="AI103" s="61"/>
      <c r="AJ103" s="61"/>
      <c r="AK103" s="61"/>
      <c r="AL103" s="61"/>
      <c r="AM103" s="61"/>
      <c r="AN103" s="61"/>
      <c r="AO103" s="61"/>
      <c r="AP103" s="61"/>
      <c r="AQ103" s="61"/>
      <c r="AR103" s="61"/>
      <c r="AS103" s="61" t="s">
        <v>1120</v>
      </c>
      <c r="AT103" s="61"/>
      <c r="AU103" s="61">
        <v>46.601239213603691</v>
      </c>
      <c r="AV103" s="61" t="s">
        <v>2041</v>
      </c>
      <c r="AW103" s="25"/>
      <c r="AX103" s="61" t="b">
        <f t="shared" si="33"/>
        <v>1</v>
      </c>
      <c r="AY103" s="61"/>
      <c r="AZ103" s="129"/>
      <c r="BA103" s="25"/>
      <c r="BB103" s="25"/>
      <c r="BC103" s="61"/>
      <c r="BD103" s="61"/>
      <c r="BE103" s="61"/>
      <c r="BF103" s="61"/>
      <c r="BG103" s="25"/>
      <c r="BH103" s="25"/>
      <c r="BI103" s="25"/>
      <c r="BJ103" s="25"/>
      <c r="BK103" s="25"/>
      <c r="BL103" s="25"/>
      <c r="BM103" s="25"/>
      <c r="BN103" s="25"/>
      <c r="BO103" s="25"/>
      <c r="BP103" s="25"/>
      <c r="BQ103" s="25"/>
      <c r="BR103" s="25"/>
      <c r="BS103" s="25"/>
      <c r="BT103" s="25"/>
      <c r="BU103" s="25"/>
      <c r="BV103" s="25"/>
      <c r="BW103" s="25"/>
      <c r="BX103" s="25"/>
      <c r="BY103" s="25"/>
      <c r="BZ103" s="25"/>
    </row>
    <row r="104" spans="1:78" x14ac:dyDescent="0.2">
      <c r="A104" s="98" t="s">
        <v>2113</v>
      </c>
      <c r="B104" s="99">
        <f>VLOOKUP(LEFT(A104,7),'Tariff Schedule Lookup Table'!A$8:D$142,3,FALSE)</f>
        <v>150</v>
      </c>
      <c r="C104" s="100">
        <v>1</v>
      </c>
      <c r="D104" s="100">
        <v>41</v>
      </c>
      <c r="E104" s="100" t="s">
        <v>73</v>
      </c>
      <c r="F104" s="169">
        <f>VLOOKUP(E104,'Lamp Stock'!A$14:H$49,4,FALSE)*(1+'Public Lighting Charges'!$R$11)</f>
        <v>1.4716130000000001</v>
      </c>
      <c r="G104" s="169">
        <f>VLOOKUP(E104,'Lamp Stock'!A$14:G$49,6,FALSE)*(1+'Public Lighting Charges'!$R$11)</f>
        <v>0</v>
      </c>
      <c r="H104" s="169">
        <f>VLOOKUP(E104,'Lamp Stock'!A$14:H$49,8,FALSE)*(1+'Public Lighting Charges'!$R$11)</f>
        <v>0</v>
      </c>
      <c r="I104" s="102">
        <v>0.5</v>
      </c>
      <c r="J104" s="102">
        <v>0.1</v>
      </c>
      <c r="K104" s="102">
        <v>0.2</v>
      </c>
      <c r="L104" s="101">
        <v>3</v>
      </c>
      <c r="M104" s="103">
        <f t="shared" si="27"/>
        <v>0.33333333333333331</v>
      </c>
      <c r="N104" s="451">
        <v>5.5999999999999999E-3</v>
      </c>
      <c r="O104" s="192">
        <f>'Maintenance Model'!B$110*I104</f>
        <v>119.92879164760001</v>
      </c>
      <c r="P104" s="105">
        <f t="shared" si="30"/>
        <v>0.73580650000000003</v>
      </c>
      <c r="Q104" s="105">
        <f>H104*K104*'Maintenance Model'!B$86</f>
        <v>0</v>
      </c>
      <c r="R104" s="104">
        <f>'Maintenance Model'!B$104*I$103</f>
        <v>3.8306666666666667</v>
      </c>
      <c r="S104" s="193">
        <f t="shared" si="28"/>
        <v>124.49526481426668</v>
      </c>
      <c r="T104" s="104">
        <f>'Maintenance Model'!B$110*N104</f>
        <v>1.3432024664531201</v>
      </c>
      <c r="U104" s="240">
        <f t="shared" si="25"/>
        <v>8.2410328000000008E-3</v>
      </c>
      <c r="V104" s="104">
        <f>'Maintenance Model'!B$104*N$103</f>
        <v>4.2903466666666668E-2</v>
      </c>
      <c r="W104" s="104">
        <f>'Maintenance Model'!B$111*M104</f>
        <v>12.300388886933334</v>
      </c>
      <c r="X104" s="240">
        <f t="shared" si="24"/>
        <v>0.49053766666666665</v>
      </c>
      <c r="Y104" s="105">
        <f>M104*'Maintenance Model'!B$107</f>
        <v>3.1431111111111112</v>
      </c>
      <c r="Z104" s="105">
        <f t="shared" si="29"/>
        <v>17.3283846306309</v>
      </c>
      <c r="AA104" s="203">
        <f>'Other Maintenance'!B$94</f>
        <v>2.9107349228680333</v>
      </c>
      <c r="AB104" s="104">
        <f t="shared" si="31"/>
        <v>127.40599973713471</v>
      </c>
      <c r="AC104" s="142">
        <f t="shared" si="32"/>
        <v>20.239119553498934</v>
      </c>
      <c r="AD104" s="127">
        <f>'Maintenance Model'!B$114 + 'Maintenance Model'!B$115</f>
        <v>0.99616182311111112</v>
      </c>
      <c r="AE104" s="133" t="e">
        <f>AB104+#REF!+#REF!</f>
        <v>#REF!</v>
      </c>
      <c r="AF104" s="142">
        <f t="shared" si="22"/>
        <v>128.40216156024582</v>
      </c>
      <c r="AG104" s="143">
        <f t="shared" si="23"/>
        <v>20.903227435573008</v>
      </c>
      <c r="AH104" s="61" t="e">
        <f>S104+#REF!+AD104</f>
        <v>#REF!</v>
      </c>
      <c r="AI104" s="61"/>
      <c r="AJ104" s="61"/>
      <c r="AK104" s="61"/>
      <c r="AL104" s="61"/>
      <c r="AM104" s="61"/>
      <c r="AN104" s="61"/>
      <c r="AO104" s="61"/>
      <c r="AP104" s="61"/>
      <c r="AQ104" s="61"/>
      <c r="AR104" s="61"/>
      <c r="AS104" s="61" t="s">
        <v>1122</v>
      </c>
      <c r="AT104" s="61"/>
      <c r="AU104" s="61">
        <v>46.876239213603689</v>
      </c>
      <c r="AV104" s="61" t="s">
        <v>2041</v>
      </c>
      <c r="AW104" s="25"/>
      <c r="AX104" s="61" t="b">
        <f t="shared" si="33"/>
        <v>1</v>
      </c>
      <c r="AY104" s="61"/>
      <c r="AZ104" s="129"/>
      <c r="BA104" s="25"/>
      <c r="BB104" s="25"/>
      <c r="BC104" s="61"/>
      <c r="BD104" s="61"/>
      <c r="BE104" s="61"/>
      <c r="BF104" s="61"/>
      <c r="BG104" s="25"/>
      <c r="BH104" s="25"/>
      <c r="BI104" s="25"/>
      <c r="BJ104" s="25"/>
      <c r="BK104" s="25"/>
      <c r="BL104" s="25"/>
      <c r="BM104" s="25"/>
      <c r="BN104" s="25"/>
      <c r="BO104" s="25"/>
      <c r="BP104" s="25"/>
      <c r="BQ104" s="25"/>
      <c r="BR104" s="25"/>
      <c r="BS104" s="25"/>
      <c r="BT104" s="25"/>
      <c r="BU104" s="25"/>
      <c r="BV104" s="25"/>
      <c r="BW104" s="25"/>
      <c r="BX104" s="25"/>
      <c r="BY104" s="25"/>
      <c r="BZ104" s="25"/>
    </row>
    <row r="105" spans="1:78" x14ac:dyDescent="0.2">
      <c r="A105" s="98" t="s">
        <v>2114</v>
      </c>
      <c r="B105" s="99">
        <f>VLOOKUP(LEFT(A105,7),'Tariff Schedule Lookup Table'!A$8:D$142,3,FALSE)</f>
        <v>200</v>
      </c>
      <c r="C105" s="100">
        <v>1</v>
      </c>
      <c r="D105" s="100">
        <v>3</v>
      </c>
      <c r="E105" s="100" t="s">
        <v>73</v>
      </c>
      <c r="F105" s="169">
        <f>VLOOKUP(E105,'Lamp Stock'!A$14:H$49,4,FALSE)*(1+'Public Lighting Charges'!$R$11)</f>
        <v>1.4716130000000001</v>
      </c>
      <c r="G105" s="169">
        <f>VLOOKUP(E105,'Lamp Stock'!A$14:G$49,6,FALSE)*(1+'Public Lighting Charges'!$R$11)</f>
        <v>0</v>
      </c>
      <c r="H105" s="169">
        <f>VLOOKUP(E105,'Lamp Stock'!A$14:H$49,8,FALSE)*(1+'Public Lighting Charges'!$R$11)</f>
        <v>0</v>
      </c>
      <c r="I105" s="102">
        <v>0.5</v>
      </c>
      <c r="J105" s="102">
        <v>0.1</v>
      </c>
      <c r="K105" s="102">
        <v>0.2</v>
      </c>
      <c r="L105" s="101">
        <v>3</v>
      </c>
      <c r="M105" s="103">
        <f t="shared" si="27"/>
        <v>0.33333333333333331</v>
      </c>
      <c r="N105" s="451">
        <v>5.5999999999999999E-3</v>
      </c>
      <c r="O105" s="192">
        <f>'Maintenance Model'!B$110*I105</f>
        <v>119.92879164760001</v>
      </c>
      <c r="P105" s="105">
        <f t="shared" si="30"/>
        <v>0.73580650000000003</v>
      </c>
      <c r="Q105" s="105">
        <f>H105*K105*'Maintenance Model'!B$86</f>
        <v>0</v>
      </c>
      <c r="R105" s="104">
        <f>'Maintenance Model'!B$104*I$103</f>
        <v>3.8306666666666667</v>
      </c>
      <c r="S105" s="193">
        <f t="shared" si="28"/>
        <v>124.49526481426668</v>
      </c>
      <c r="T105" s="104">
        <f>'Maintenance Model'!B$110*N105</f>
        <v>1.3432024664531201</v>
      </c>
      <c r="U105" s="240">
        <f t="shared" si="25"/>
        <v>8.2410328000000008E-3</v>
      </c>
      <c r="V105" s="104">
        <f>'Maintenance Model'!B$104*N$103</f>
        <v>4.2903466666666668E-2</v>
      </c>
      <c r="W105" s="104">
        <f>'Maintenance Model'!B$111*M105</f>
        <v>12.300388886933334</v>
      </c>
      <c r="X105" s="240">
        <f t="shared" si="24"/>
        <v>0.49053766666666665</v>
      </c>
      <c r="Y105" s="105">
        <f>M105*'Maintenance Model'!B$107</f>
        <v>3.1431111111111112</v>
      </c>
      <c r="Z105" s="105">
        <f t="shared" si="29"/>
        <v>17.3283846306309</v>
      </c>
      <c r="AA105" s="203">
        <f>'Other Maintenance'!B$94</f>
        <v>2.9107349228680333</v>
      </c>
      <c r="AB105" s="104">
        <f t="shared" si="31"/>
        <v>127.40599973713471</v>
      </c>
      <c r="AC105" s="142">
        <f t="shared" si="32"/>
        <v>20.239119553498934</v>
      </c>
      <c r="AD105" s="127">
        <f>'Maintenance Model'!B$114 + 'Maintenance Model'!B$115</f>
        <v>0.99616182311111112</v>
      </c>
      <c r="AE105" s="133" t="e">
        <f>AB105+#REF!+#REF!</f>
        <v>#REF!</v>
      </c>
      <c r="AF105" s="142">
        <f t="shared" si="22"/>
        <v>128.40216156024582</v>
      </c>
      <c r="AG105" s="143">
        <f t="shared" si="23"/>
        <v>20.903227435573008</v>
      </c>
      <c r="AH105" s="61" t="e">
        <f>S105+#REF!+AD105</f>
        <v>#REF!</v>
      </c>
      <c r="AI105" s="61"/>
      <c r="AJ105" s="61"/>
      <c r="AK105" s="61"/>
      <c r="AL105" s="61"/>
      <c r="AM105" s="61"/>
      <c r="AN105" s="61"/>
      <c r="AO105" s="61"/>
      <c r="AP105" s="61"/>
      <c r="AQ105" s="61"/>
      <c r="AR105" s="61"/>
      <c r="AS105" s="61" t="s">
        <v>1124</v>
      </c>
      <c r="AT105" s="61"/>
      <c r="AU105" s="61">
        <v>47.701239213603692</v>
      </c>
      <c r="AV105" s="61" t="s">
        <v>2041</v>
      </c>
      <c r="AW105" s="25"/>
      <c r="AX105" s="61" t="b">
        <f t="shared" si="33"/>
        <v>1</v>
      </c>
      <c r="AY105" s="61"/>
      <c r="AZ105" s="129"/>
      <c r="BA105" s="25"/>
      <c r="BB105" s="25"/>
      <c r="BC105" s="61"/>
      <c r="BD105" s="61"/>
      <c r="BE105" s="61"/>
      <c r="BF105" s="61"/>
      <c r="BG105" s="25"/>
      <c r="BH105" s="25"/>
      <c r="BI105" s="25"/>
      <c r="BJ105" s="25"/>
      <c r="BK105" s="25"/>
      <c r="BL105" s="25"/>
      <c r="BM105" s="25"/>
      <c r="BN105" s="25"/>
      <c r="BO105" s="25"/>
      <c r="BP105" s="25"/>
      <c r="BQ105" s="25"/>
      <c r="BR105" s="25"/>
      <c r="BS105" s="25"/>
      <c r="BT105" s="25"/>
      <c r="BU105" s="25"/>
      <c r="BV105" s="25"/>
      <c r="BW105" s="25"/>
      <c r="BX105" s="25"/>
      <c r="BY105" s="25"/>
      <c r="BZ105" s="25"/>
    </row>
    <row r="106" spans="1:78" x14ac:dyDescent="0.2">
      <c r="A106" s="98" t="s">
        <v>2115</v>
      </c>
      <c r="B106" s="99">
        <f>VLOOKUP(LEFT(A106,7),'Tariff Schedule Lookup Table'!A$8:D$142,3,FALSE)</f>
        <v>300</v>
      </c>
      <c r="C106" s="100">
        <v>1</v>
      </c>
      <c r="D106" s="100">
        <v>6</v>
      </c>
      <c r="E106" s="100" t="s">
        <v>73</v>
      </c>
      <c r="F106" s="169">
        <f>VLOOKUP(E106,'Lamp Stock'!A$14:H$49,4,FALSE)*(1+'Public Lighting Charges'!$R$11)</f>
        <v>1.4716130000000001</v>
      </c>
      <c r="G106" s="169">
        <f>VLOOKUP(E106,'Lamp Stock'!A$14:G$49,6,FALSE)*(1+'Public Lighting Charges'!$R$11)</f>
        <v>0</v>
      </c>
      <c r="H106" s="169">
        <f>VLOOKUP(E106,'Lamp Stock'!A$14:H$49,8,FALSE)*(1+'Public Lighting Charges'!$R$11)</f>
        <v>0</v>
      </c>
      <c r="I106" s="102">
        <v>0.5</v>
      </c>
      <c r="J106" s="102">
        <v>0.1</v>
      </c>
      <c r="K106" s="102">
        <v>0.2</v>
      </c>
      <c r="L106" s="101">
        <v>3</v>
      </c>
      <c r="M106" s="103">
        <f t="shared" si="27"/>
        <v>0.33333333333333331</v>
      </c>
      <c r="N106" s="451">
        <v>5.5999999999999999E-3</v>
      </c>
      <c r="O106" s="192">
        <f>'Maintenance Model'!B$110*I106</f>
        <v>119.92879164760001</v>
      </c>
      <c r="P106" s="105">
        <f t="shared" si="30"/>
        <v>0.73580650000000003</v>
      </c>
      <c r="Q106" s="105">
        <f>H106*K106*'Maintenance Model'!B$86</f>
        <v>0</v>
      </c>
      <c r="R106" s="104">
        <f>'Maintenance Model'!B$104*I$103</f>
        <v>3.8306666666666667</v>
      </c>
      <c r="S106" s="193">
        <f t="shared" si="28"/>
        <v>124.49526481426668</v>
      </c>
      <c r="T106" s="104">
        <f>'Maintenance Model'!B$110*N106</f>
        <v>1.3432024664531201</v>
      </c>
      <c r="U106" s="240">
        <f t="shared" si="25"/>
        <v>8.2410328000000008E-3</v>
      </c>
      <c r="V106" s="104">
        <f>'Maintenance Model'!B$104*N$103</f>
        <v>4.2903466666666668E-2</v>
      </c>
      <c r="W106" s="104">
        <f>'Maintenance Model'!B$111*M106</f>
        <v>12.300388886933334</v>
      </c>
      <c r="X106" s="240">
        <f t="shared" si="24"/>
        <v>0.49053766666666665</v>
      </c>
      <c r="Y106" s="105">
        <f>M106*'Maintenance Model'!B$107</f>
        <v>3.1431111111111112</v>
      </c>
      <c r="Z106" s="105">
        <f t="shared" si="29"/>
        <v>17.3283846306309</v>
      </c>
      <c r="AA106" s="203">
        <f>'Other Maintenance'!B$94</f>
        <v>2.9107349228680333</v>
      </c>
      <c r="AB106" s="104">
        <f t="shared" si="31"/>
        <v>127.40599973713471</v>
      </c>
      <c r="AC106" s="142">
        <f t="shared" si="32"/>
        <v>20.239119553498934</v>
      </c>
      <c r="AD106" s="127">
        <f>'Maintenance Model'!B$114 + 'Maintenance Model'!B$115</f>
        <v>0.99616182311111112</v>
      </c>
      <c r="AE106" s="133" t="e">
        <f>AB106+#REF!+#REF!</f>
        <v>#REF!</v>
      </c>
      <c r="AF106" s="142">
        <f t="shared" si="22"/>
        <v>128.40216156024582</v>
      </c>
      <c r="AG106" s="143">
        <f t="shared" si="23"/>
        <v>20.903227435573008</v>
      </c>
      <c r="AH106" s="61" t="e">
        <f>S106+#REF!+AD106</f>
        <v>#REF!</v>
      </c>
      <c r="AI106" s="61"/>
      <c r="AJ106" s="61"/>
      <c r="AK106" s="61"/>
      <c r="AL106" s="61"/>
      <c r="AM106" s="61"/>
      <c r="AN106" s="61"/>
      <c r="AO106" s="61"/>
      <c r="AP106" s="61"/>
      <c r="AQ106" s="61"/>
      <c r="AR106" s="61"/>
      <c r="AS106" s="61" t="s">
        <v>1126</v>
      </c>
      <c r="AT106" s="61"/>
      <c r="AU106" s="61">
        <v>49.351239213603691</v>
      </c>
      <c r="AV106" s="61" t="s">
        <v>2041</v>
      </c>
      <c r="AW106" s="25"/>
      <c r="AX106" s="61" t="b">
        <f t="shared" si="33"/>
        <v>1</v>
      </c>
      <c r="AY106" s="61"/>
      <c r="AZ106" s="129"/>
      <c r="BA106" s="25"/>
      <c r="BB106" s="25"/>
      <c r="BC106" s="61"/>
      <c r="BD106" s="61"/>
      <c r="BE106" s="61"/>
      <c r="BF106" s="61"/>
      <c r="BG106" s="25"/>
      <c r="BH106" s="25"/>
      <c r="BI106" s="25"/>
      <c r="BJ106" s="25"/>
      <c r="BK106" s="25"/>
      <c r="BL106" s="25"/>
      <c r="BM106" s="25"/>
      <c r="BN106" s="25"/>
      <c r="BO106" s="25"/>
      <c r="BP106" s="25"/>
      <c r="BQ106" s="25"/>
      <c r="BR106" s="25"/>
      <c r="BS106" s="25"/>
      <c r="BT106" s="25"/>
      <c r="BU106" s="25"/>
      <c r="BV106" s="25"/>
      <c r="BW106" s="25"/>
      <c r="BX106" s="25"/>
      <c r="BY106" s="25"/>
      <c r="BZ106" s="25"/>
    </row>
    <row r="107" spans="1:78" x14ac:dyDescent="0.2">
      <c r="A107" s="98" t="s">
        <v>2116</v>
      </c>
      <c r="B107" s="99">
        <f>VLOOKUP(LEFT(A107,7),'Tariff Schedule Lookup Table'!A$8:D$142,3,FALSE)</f>
        <v>500</v>
      </c>
      <c r="C107" s="100">
        <v>1</v>
      </c>
      <c r="D107" s="100">
        <v>4</v>
      </c>
      <c r="E107" s="100" t="s">
        <v>73</v>
      </c>
      <c r="F107" s="169">
        <f>VLOOKUP(E107,'Lamp Stock'!A$14:H$49,4,FALSE)*(1+'Public Lighting Charges'!$R$11)</f>
        <v>1.4716130000000001</v>
      </c>
      <c r="G107" s="169">
        <f>VLOOKUP(E107,'Lamp Stock'!A$14:G$49,6,FALSE)*(1+'Public Lighting Charges'!$R$11)</f>
        <v>0</v>
      </c>
      <c r="H107" s="169">
        <f>VLOOKUP(E107,'Lamp Stock'!A$14:H$49,8,FALSE)*(1+'Public Lighting Charges'!$R$11)</f>
        <v>0</v>
      </c>
      <c r="I107" s="102">
        <v>0.5</v>
      </c>
      <c r="J107" s="102">
        <v>0.1</v>
      </c>
      <c r="K107" s="102">
        <v>0.2</v>
      </c>
      <c r="L107" s="101">
        <v>3</v>
      </c>
      <c r="M107" s="103">
        <f t="shared" si="27"/>
        <v>0.33333333333333331</v>
      </c>
      <c r="N107" s="451">
        <v>5.5999999999999999E-3</v>
      </c>
      <c r="O107" s="192">
        <f>'Maintenance Model'!B$110*I107</f>
        <v>119.92879164760001</v>
      </c>
      <c r="P107" s="105">
        <f t="shared" si="30"/>
        <v>0.73580650000000003</v>
      </c>
      <c r="Q107" s="105">
        <f>H107*K107*'Maintenance Model'!B$86</f>
        <v>0</v>
      </c>
      <c r="R107" s="104">
        <f>'Maintenance Model'!B$104*I$103</f>
        <v>3.8306666666666667</v>
      </c>
      <c r="S107" s="193">
        <f t="shared" si="28"/>
        <v>124.49526481426668</v>
      </c>
      <c r="T107" s="104">
        <f>'Maintenance Model'!B$110*N107</f>
        <v>1.3432024664531201</v>
      </c>
      <c r="U107" s="240">
        <f t="shared" si="25"/>
        <v>8.2410328000000008E-3</v>
      </c>
      <c r="V107" s="104">
        <f>'Maintenance Model'!B$104*N$103</f>
        <v>4.2903466666666668E-2</v>
      </c>
      <c r="W107" s="104">
        <f>'Maintenance Model'!B$111*M107</f>
        <v>12.300388886933334</v>
      </c>
      <c r="X107" s="240">
        <f t="shared" si="24"/>
        <v>0.49053766666666665</v>
      </c>
      <c r="Y107" s="105">
        <f>M107*'Maintenance Model'!B$107</f>
        <v>3.1431111111111112</v>
      </c>
      <c r="Z107" s="105">
        <f t="shared" si="29"/>
        <v>17.3283846306309</v>
      </c>
      <c r="AA107" s="203">
        <f>'Other Maintenance'!B$94</f>
        <v>2.9107349228680333</v>
      </c>
      <c r="AB107" s="104">
        <f t="shared" si="31"/>
        <v>127.40599973713471</v>
      </c>
      <c r="AC107" s="142">
        <f t="shared" si="32"/>
        <v>20.239119553498934</v>
      </c>
      <c r="AD107" s="127">
        <f>'Maintenance Model'!B$114 + 'Maintenance Model'!B$115</f>
        <v>0.99616182311111112</v>
      </c>
      <c r="AE107" s="133" t="e">
        <f>AB107+#REF!+#REF!</f>
        <v>#REF!</v>
      </c>
      <c r="AF107" s="142">
        <f t="shared" si="22"/>
        <v>128.40216156024582</v>
      </c>
      <c r="AG107" s="143">
        <f t="shared" si="23"/>
        <v>20.903227435573008</v>
      </c>
      <c r="AH107" s="61" t="e">
        <f>S107+#REF!+AD107</f>
        <v>#REF!</v>
      </c>
      <c r="AI107" s="61"/>
      <c r="AJ107" s="61"/>
      <c r="AK107" s="61"/>
      <c r="AL107" s="61"/>
      <c r="AM107" s="61"/>
      <c r="AN107" s="61"/>
      <c r="AO107" s="61"/>
      <c r="AP107" s="61"/>
      <c r="AQ107" s="61"/>
      <c r="AR107" s="61"/>
      <c r="AS107" s="61" t="s">
        <v>1129</v>
      </c>
      <c r="AT107" s="61"/>
      <c r="AU107" s="61">
        <v>49.901239213603688</v>
      </c>
      <c r="AV107" s="61" t="s">
        <v>2041</v>
      </c>
      <c r="AW107" s="25"/>
      <c r="AX107" s="61" t="b">
        <f t="shared" si="33"/>
        <v>1</v>
      </c>
      <c r="AY107" s="61"/>
      <c r="AZ107" s="129"/>
      <c r="BA107" s="25"/>
      <c r="BB107" s="25"/>
      <c r="BC107" s="61"/>
      <c r="BD107" s="61"/>
      <c r="BE107" s="61"/>
      <c r="BF107" s="61"/>
      <c r="BG107" s="25"/>
      <c r="BH107" s="25"/>
      <c r="BI107" s="25"/>
      <c r="BJ107" s="25"/>
      <c r="BK107" s="25"/>
      <c r="BL107" s="25"/>
      <c r="BM107" s="25"/>
      <c r="BN107" s="25"/>
      <c r="BO107" s="25"/>
      <c r="BP107" s="25"/>
      <c r="BQ107" s="25"/>
      <c r="BR107" s="25"/>
      <c r="BS107" s="25"/>
      <c r="BT107" s="25"/>
      <c r="BU107" s="25"/>
      <c r="BV107" s="25"/>
      <c r="BW107" s="25"/>
      <c r="BX107" s="25"/>
      <c r="BY107" s="25"/>
      <c r="BZ107" s="25"/>
    </row>
    <row r="108" spans="1:78" x14ac:dyDescent="0.2">
      <c r="A108" s="98" t="s">
        <v>224</v>
      </c>
      <c r="B108" s="99">
        <f>VLOOKUP(LEFT(A108,7),'Tariff Schedule Lookup Table'!A$8:D$142,3,FALSE)</f>
        <v>750</v>
      </c>
      <c r="C108" s="100">
        <v>1</v>
      </c>
      <c r="D108" s="100">
        <v>0</v>
      </c>
      <c r="E108" s="100" t="s">
        <v>73</v>
      </c>
      <c r="F108" s="169">
        <f>VLOOKUP(E108,'Lamp Stock'!A$14:H$49,4,FALSE)*(1+'Public Lighting Charges'!$R$11)</f>
        <v>1.4716130000000001</v>
      </c>
      <c r="G108" s="169">
        <f>VLOOKUP(E108,'Lamp Stock'!A$14:G$49,6,FALSE)*(1+'Public Lighting Charges'!$R$11)</f>
        <v>0</v>
      </c>
      <c r="H108" s="169">
        <f>VLOOKUP(E108,'Lamp Stock'!A$14:H$49,8,FALSE)*(1+'Public Lighting Charges'!$R$11)</f>
        <v>0</v>
      </c>
      <c r="I108" s="102">
        <v>0.5</v>
      </c>
      <c r="J108" s="102">
        <v>0.1</v>
      </c>
      <c r="K108" s="102">
        <v>0.2</v>
      </c>
      <c r="L108" s="101">
        <v>3</v>
      </c>
      <c r="M108" s="103">
        <f t="shared" si="27"/>
        <v>0.33333333333333331</v>
      </c>
      <c r="N108" s="451">
        <v>5.5999999999999999E-3</v>
      </c>
      <c r="O108" s="192">
        <f>'Maintenance Model'!B$110*I108</f>
        <v>119.92879164760001</v>
      </c>
      <c r="P108" s="105">
        <f>C108*(F108*I108+G108*J108)</f>
        <v>0.73580650000000003</v>
      </c>
      <c r="Q108" s="105">
        <f>H108*K108*'Maintenance Model'!B$86</f>
        <v>0</v>
      </c>
      <c r="R108" s="104">
        <f>'Maintenance Model'!B$104*I$103</f>
        <v>3.8306666666666667</v>
      </c>
      <c r="S108" s="193">
        <f>SUM(O108:R108)</f>
        <v>124.49526481426668</v>
      </c>
      <c r="T108" s="104">
        <f>'Maintenance Model'!B$110*N108</f>
        <v>1.3432024664531201</v>
      </c>
      <c r="U108" s="240">
        <f t="shared" si="25"/>
        <v>8.2410328000000008E-3</v>
      </c>
      <c r="V108" s="104">
        <f>'Maintenance Model'!B$104*N$103</f>
        <v>4.2903466666666668E-2</v>
      </c>
      <c r="W108" s="104">
        <f>'Maintenance Model'!B$111*M108</f>
        <v>12.300388886933334</v>
      </c>
      <c r="X108" s="240">
        <f t="shared" si="24"/>
        <v>0.49053766666666665</v>
      </c>
      <c r="Y108" s="105">
        <f>M108*'Maintenance Model'!B$107</f>
        <v>3.1431111111111112</v>
      </c>
      <c r="Z108" s="105">
        <f>SUM(T108:Y108)</f>
        <v>17.3283846306309</v>
      </c>
      <c r="AA108" s="203">
        <f>'Other Maintenance'!B$94</f>
        <v>2.9107349228680333</v>
      </c>
      <c r="AB108" s="104">
        <f>(S108+AA108)</f>
        <v>127.40599973713471</v>
      </c>
      <c r="AC108" s="142">
        <f>(Z108+AA108)</f>
        <v>20.239119553498934</v>
      </c>
      <c r="AD108" s="127">
        <f>'Maintenance Model'!B$114 + 'Maintenance Model'!B$115</f>
        <v>0.99616182311111112</v>
      </c>
      <c r="AE108" s="133" t="e">
        <f>AB108+#REF!+#REF!</f>
        <v>#REF!</v>
      </c>
      <c r="AF108" s="142">
        <f t="shared" si="22"/>
        <v>128.40216156024582</v>
      </c>
      <c r="AG108" s="143">
        <f t="shared" si="23"/>
        <v>20.903227435573008</v>
      </c>
      <c r="AH108" s="61" t="e">
        <f>S108+#REF!+AD108</f>
        <v>#REF!</v>
      </c>
      <c r="AI108" s="61"/>
      <c r="AJ108" s="61"/>
      <c r="AK108" s="61"/>
      <c r="AL108" s="61"/>
      <c r="AM108" s="61"/>
      <c r="AN108" s="61"/>
      <c r="AO108" s="61"/>
      <c r="AP108" s="61"/>
      <c r="AQ108" s="61"/>
      <c r="AR108" s="61"/>
      <c r="AS108" s="61" t="s">
        <v>1129</v>
      </c>
      <c r="AT108" s="61"/>
      <c r="AU108" s="61">
        <v>49.901239213603688</v>
      </c>
      <c r="AV108" s="61" t="s">
        <v>2041</v>
      </c>
      <c r="AW108" s="25"/>
      <c r="AX108" s="61" t="b">
        <f>AF108 &gt; AG108</f>
        <v>1</v>
      </c>
      <c r="AY108" s="61"/>
      <c r="AZ108" s="129"/>
      <c r="BA108" s="25"/>
      <c r="BB108" s="25"/>
      <c r="BC108" s="61"/>
      <c r="BD108" s="61"/>
      <c r="BE108" s="61"/>
      <c r="BF108" s="61"/>
      <c r="BG108" s="25"/>
      <c r="BH108" s="25"/>
      <c r="BI108" s="25"/>
      <c r="BJ108" s="25"/>
      <c r="BK108" s="25"/>
      <c r="BL108" s="25"/>
      <c r="BM108" s="25"/>
      <c r="BN108" s="25"/>
      <c r="BO108" s="25"/>
      <c r="BP108" s="25"/>
      <c r="BQ108" s="25"/>
      <c r="BR108" s="25"/>
      <c r="BS108" s="25"/>
      <c r="BT108" s="25"/>
      <c r="BU108" s="25"/>
      <c r="BV108" s="25"/>
      <c r="BW108" s="25"/>
      <c r="BX108" s="25"/>
      <c r="BY108" s="25"/>
      <c r="BZ108" s="25"/>
    </row>
    <row r="109" spans="1:78" x14ac:dyDescent="0.2">
      <c r="A109" s="98" t="s">
        <v>2117</v>
      </c>
      <c r="B109" s="99">
        <f>VLOOKUP(LEFT(A109,7),'Tariff Schedule Lookup Table'!A$8:D$142,3,FALSE)</f>
        <v>800</v>
      </c>
      <c r="C109" s="100">
        <v>1</v>
      </c>
      <c r="D109" s="100">
        <v>0</v>
      </c>
      <c r="E109" s="100" t="s">
        <v>73</v>
      </c>
      <c r="F109" s="169">
        <f>VLOOKUP(E109,'Lamp Stock'!A$14:H$49,4,FALSE)*(1+'Public Lighting Charges'!$R$11)</f>
        <v>1.4716130000000001</v>
      </c>
      <c r="G109" s="169">
        <f>VLOOKUP(E109,'Lamp Stock'!A$14:G$49,6,FALSE)*(1+'Public Lighting Charges'!$R$11)</f>
        <v>0</v>
      </c>
      <c r="H109" s="169">
        <f>VLOOKUP(E109,'Lamp Stock'!A$14:H$49,8,FALSE)*(1+'Public Lighting Charges'!$R$11)</f>
        <v>0</v>
      </c>
      <c r="I109" s="102">
        <v>0.5</v>
      </c>
      <c r="J109" s="102">
        <v>0.1</v>
      </c>
      <c r="K109" s="102">
        <v>0.2</v>
      </c>
      <c r="L109" s="101">
        <v>3</v>
      </c>
      <c r="M109" s="103">
        <f t="shared" si="27"/>
        <v>0.33333333333333331</v>
      </c>
      <c r="N109" s="451">
        <v>5.5999999999999999E-3</v>
      </c>
      <c r="O109" s="192">
        <f>'Maintenance Model'!B$110*I109</f>
        <v>119.92879164760001</v>
      </c>
      <c r="P109" s="105">
        <f t="shared" si="30"/>
        <v>0.73580650000000003</v>
      </c>
      <c r="Q109" s="105">
        <f>H109*K109*'Maintenance Model'!B$86</f>
        <v>0</v>
      </c>
      <c r="R109" s="104">
        <f>'Maintenance Model'!B$104*I$103</f>
        <v>3.8306666666666667</v>
      </c>
      <c r="S109" s="193">
        <f t="shared" si="28"/>
        <v>124.49526481426668</v>
      </c>
      <c r="T109" s="104">
        <f>'Maintenance Model'!B$110*N109</f>
        <v>1.3432024664531201</v>
      </c>
      <c r="U109" s="240">
        <f t="shared" si="25"/>
        <v>8.2410328000000008E-3</v>
      </c>
      <c r="V109" s="104">
        <f>'Maintenance Model'!B$104*N$103</f>
        <v>4.2903466666666668E-2</v>
      </c>
      <c r="W109" s="104">
        <f>'Maintenance Model'!B$111*M109</f>
        <v>12.300388886933334</v>
      </c>
      <c r="X109" s="240">
        <f t="shared" si="24"/>
        <v>0.49053766666666665</v>
      </c>
      <c r="Y109" s="105">
        <f>M109*'Maintenance Model'!B$107</f>
        <v>3.1431111111111112</v>
      </c>
      <c r="Z109" s="105">
        <f t="shared" si="29"/>
        <v>17.3283846306309</v>
      </c>
      <c r="AA109" s="203">
        <f>'Other Maintenance'!B$94</f>
        <v>2.9107349228680333</v>
      </c>
      <c r="AB109" s="104">
        <f t="shared" si="31"/>
        <v>127.40599973713471</v>
      </c>
      <c r="AC109" s="142">
        <f t="shared" si="32"/>
        <v>20.239119553498934</v>
      </c>
      <c r="AD109" s="127">
        <f>'Maintenance Model'!B$114 + 'Maintenance Model'!B$115</f>
        <v>0.99616182311111112</v>
      </c>
      <c r="AE109" s="133" t="e">
        <f>AB109+#REF!+#REF!</f>
        <v>#REF!</v>
      </c>
      <c r="AF109" s="142">
        <f t="shared" si="22"/>
        <v>128.40216156024582</v>
      </c>
      <c r="AG109" s="143">
        <f t="shared" si="23"/>
        <v>20.903227435573008</v>
      </c>
      <c r="AH109" s="61" t="e">
        <f>S109+#REF!+AD109</f>
        <v>#REF!</v>
      </c>
      <c r="AI109" s="61"/>
      <c r="AJ109" s="61"/>
      <c r="AK109" s="61"/>
      <c r="AL109" s="61"/>
      <c r="AM109" s="61"/>
      <c r="AN109" s="61"/>
      <c r="AO109" s="61"/>
      <c r="AP109" s="61"/>
      <c r="AQ109" s="61"/>
      <c r="AR109" s="61"/>
      <c r="AS109" s="61" t="s">
        <v>1132</v>
      </c>
      <c r="AT109" s="61"/>
      <c r="AU109" s="61">
        <v>51.001239213603689</v>
      </c>
      <c r="AV109" s="61" t="s">
        <v>2041</v>
      </c>
      <c r="AW109" s="25"/>
      <c r="AX109" s="61" t="b">
        <f t="shared" si="33"/>
        <v>1</v>
      </c>
      <c r="AY109" s="61"/>
      <c r="AZ109" s="129"/>
      <c r="BA109" s="25"/>
      <c r="BB109" s="25"/>
      <c r="BC109" s="61"/>
      <c r="BD109" s="61"/>
      <c r="BE109" s="61"/>
      <c r="BF109" s="61"/>
      <c r="BG109" s="25"/>
      <c r="BH109" s="25"/>
      <c r="BI109" s="25"/>
      <c r="BJ109" s="25"/>
      <c r="BK109" s="25"/>
      <c r="BL109" s="25"/>
      <c r="BM109" s="25"/>
      <c r="BN109" s="25"/>
      <c r="BO109" s="25"/>
      <c r="BP109" s="25"/>
      <c r="BQ109" s="25"/>
      <c r="BR109" s="25"/>
      <c r="BS109" s="25"/>
      <c r="BT109" s="25"/>
      <c r="BU109" s="25"/>
      <c r="BV109" s="25"/>
      <c r="BW109" s="25"/>
      <c r="BX109" s="25"/>
      <c r="BY109" s="25"/>
      <c r="BZ109" s="25"/>
    </row>
    <row r="110" spans="1:78" x14ac:dyDescent="0.2">
      <c r="A110" s="98" t="s">
        <v>2118</v>
      </c>
      <c r="B110" s="99">
        <f>VLOOKUP(LEFT(A110,7),'Tariff Schedule Lookup Table'!A$8:D$142,3,FALSE)</f>
        <v>1000</v>
      </c>
      <c r="C110" s="100">
        <v>1</v>
      </c>
      <c r="D110" s="100">
        <v>11</v>
      </c>
      <c r="E110" s="100" t="s">
        <v>73</v>
      </c>
      <c r="F110" s="169">
        <f>VLOOKUP(E110,'Lamp Stock'!A$14:H$49,4,FALSE)*(1+'Public Lighting Charges'!$R$11)</f>
        <v>1.4716130000000001</v>
      </c>
      <c r="G110" s="169">
        <f>VLOOKUP(E110,'Lamp Stock'!A$14:G$49,6,FALSE)*(1+'Public Lighting Charges'!$R$11)</f>
        <v>0</v>
      </c>
      <c r="H110" s="169">
        <f>VLOOKUP(E110,'Lamp Stock'!A$14:H$49,8,FALSE)*(1+'Public Lighting Charges'!$R$11)</f>
        <v>0</v>
      </c>
      <c r="I110" s="102">
        <v>0.5</v>
      </c>
      <c r="J110" s="102">
        <v>0.1</v>
      </c>
      <c r="K110" s="102">
        <v>0.2</v>
      </c>
      <c r="L110" s="101">
        <v>3</v>
      </c>
      <c r="M110" s="103">
        <f t="shared" si="27"/>
        <v>0.33333333333333331</v>
      </c>
      <c r="N110" s="451">
        <v>5.5999999999999999E-3</v>
      </c>
      <c r="O110" s="192">
        <f>'Maintenance Model'!B$110*I110</f>
        <v>119.92879164760001</v>
      </c>
      <c r="P110" s="105">
        <f t="shared" si="30"/>
        <v>0.73580650000000003</v>
      </c>
      <c r="Q110" s="105">
        <f>H110*K110*'Maintenance Model'!B$86</f>
        <v>0</v>
      </c>
      <c r="R110" s="104">
        <f>'Maintenance Model'!B$104*I$103</f>
        <v>3.8306666666666667</v>
      </c>
      <c r="S110" s="193">
        <f t="shared" si="28"/>
        <v>124.49526481426668</v>
      </c>
      <c r="T110" s="104">
        <f>'Maintenance Model'!B$110*N110</f>
        <v>1.3432024664531201</v>
      </c>
      <c r="U110" s="240">
        <f t="shared" si="25"/>
        <v>8.2410328000000008E-3</v>
      </c>
      <c r="V110" s="104">
        <f>'Maintenance Model'!B$104*N$103</f>
        <v>4.2903466666666668E-2</v>
      </c>
      <c r="W110" s="104">
        <f>'Maintenance Model'!B$111*M110</f>
        <v>12.300388886933334</v>
      </c>
      <c r="X110" s="240">
        <f t="shared" si="24"/>
        <v>0.49053766666666665</v>
      </c>
      <c r="Y110" s="105">
        <f>M110*'Maintenance Model'!B$107</f>
        <v>3.1431111111111112</v>
      </c>
      <c r="Z110" s="105">
        <f t="shared" si="29"/>
        <v>17.3283846306309</v>
      </c>
      <c r="AA110" s="203">
        <f>'Other Maintenance'!B$94</f>
        <v>2.9107349228680333</v>
      </c>
      <c r="AB110" s="104">
        <f t="shared" si="31"/>
        <v>127.40599973713471</v>
      </c>
      <c r="AC110" s="142">
        <f t="shared" si="32"/>
        <v>20.239119553498934</v>
      </c>
      <c r="AD110" s="127">
        <f>'Maintenance Model'!B$114 + 'Maintenance Model'!B$115</f>
        <v>0.99616182311111112</v>
      </c>
      <c r="AE110" s="133" t="e">
        <f>AB110+#REF!+#REF!</f>
        <v>#REF!</v>
      </c>
      <c r="AF110" s="142">
        <f t="shared" si="22"/>
        <v>128.40216156024582</v>
      </c>
      <c r="AG110" s="143">
        <f t="shared" si="23"/>
        <v>20.903227435573008</v>
      </c>
      <c r="AH110" s="61" t="e">
        <f>S110+#REF!+AD110</f>
        <v>#REF!</v>
      </c>
      <c r="AI110" s="61"/>
      <c r="AJ110" s="61"/>
      <c r="AK110" s="61"/>
      <c r="AL110" s="61"/>
      <c r="AM110" s="61"/>
      <c r="AN110" s="61"/>
      <c r="AO110" s="61"/>
      <c r="AP110" s="61"/>
      <c r="AQ110" s="61"/>
      <c r="AR110" s="61"/>
      <c r="AS110" s="61" t="s">
        <v>1134</v>
      </c>
      <c r="AT110" s="61"/>
      <c r="AU110" s="61">
        <v>51.001239213603689</v>
      </c>
      <c r="AV110" s="61" t="s">
        <v>2041</v>
      </c>
      <c r="AW110" s="25"/>
      <c r="AX110" s="61" t="b">
        <f t="shared" si="33"/>
        <v>1</v>
      </c>
      <c r="AY110" s="61"/>
      <c r="AZ110" s="129"/>
      <c r="BA110" s="25"/>
      <c r="BB110" s="25"/>
      <c r="BC110" s="61"/>
      <c r="BD110" s="61"/>
      <c r="BE110" s="61"/>
      <c r="BF110" s="61"/>
      <c r="BG110" s="25"/>
      <c r="BH110" s="25"/>
      <c r="BI110" s="25"/>
      <c r="BJ110" s="25"/>
      <c r="BK110" s="25"/>
      <c r="BL110" s="25"/>
      <c r="BM110" s="25"/>
      <c r="BN110" s="25"/>
      <c r="BO110" s="25"/>
      <c r="BP110" s="25"/>
      <c r="BQ110" s="25"/>
      <c r="BR110" s="25"/>
      <c r="BS110" s="25"/>
      <c r="BT110" s="25"/>
      <c r="BU110" s="25"/>
      <c r="BV110" s="25"/>
      <c r="BW110" s="25"/>
      <c r="BX110" s="25"/>
      <c r="BY110" s="25"/>
      <c r="BZ110" s="25"/>
    </row>
    <row r="111" spans="1:78" x14ac:dyDescent="0.2">
      <c r="A111" s="98" t="s">
        <v>225</v>
      </c>
      <c r="B111" s="99">
        <f>VLOOKUP(LEFT(A111,7),'Tariff Schedule Lookup Table'!A$8:D$142,3,FALSE)</f>
        <v>1440</v>
      </c>
      <c r="C111" s="100">
        <v>1</v>
      </c>
      <c r="D111" s="100">
        <v>0</v>
      </c>
      <c r="E111" s="100" t="s">
        <v>73</v>
      </c>
      <c r="F111" s="169">
        <f>VLOOKUP(E111,'Lamp Stock'!A$14:H$49,4,FALSE)*(1+'Public Lighting Charges'!$R$11)</f>
        <v>1.4716130000000001</v>
      </c>
      <c r="G111" s="169">
        <f>VLOOKUP(E111,'Lamp Stock'!A$14:G$49,6,FALSE)*(1+'Public Lighting Charges'!$R$11)</f>
        <v>0</v>
      </c>
      <c r="H111" s="169">
        <f>VLOOKUP(E111,'Lamp Stock'!A$14:H$49,8,FALSE)*(1+'Public Lighting Charges'!$R$11)</f>
        <v>0</v>
      </c>
      <c r="I111" s="102">
        <v>0.5</v>
      </c>
      <c r="J111" s="102">
        <v>0.1</v>
      </c>
      <c r="K111" s="102">
        <v>0.2</v>
      </c>
      <c r="L111" s="101">
        <v>3</v>
      </c>
      <c r="M111" s="103">
        <f t="shared" si="27"/>
        <v>0.33333333333333331</v>
      </c>
      <c r="N111" s="451">
        <v>5.5999999999999999E-3</v>
      </c>
      <c r="O111" s="192">
        <f>'Maintenance Model'!B$110*I111</f>
        <v>119.92879164760001</v>
      </c>
      <c r="P111" s="105">
        <f>C111*(F111*I111+G111*J111)</f>
        <v>0.73580650000000003</v>
      </c>
      <c r="Q111" s="105">
        <f>H111*K111*'Maintenance Model'!B$86</f>
        <v>0</v>
      </c>
      <c r="R111" s="104">
        <f>'Maintenance Model'!B$104*I$103</f>
        <v>3.8306666666666667</v>
      </c>
      <c r="S111" s="193">
        <f>SUM(O111:R111)</f>
        <v>124.49526481426668</v>
      </c>
      <c r="T111" s="104">
        <f>'Maintenance Model'!B$110*N111</f>
        <v>1.3432024664531201</v>
      </c>
      <c r="U111" s="240">
        <f t="shared" si="25"/>
        <v>8.2410328000000008E-3</v>
      </c>
      <c r="V111" s="104">
        <f>'Maintenance Model'!B$104*N$103</f>
        <v>4.2903466666666668E-2</v>
      </c>
      <c r="W111" s="104">
        <f>'Maintenance Model'!B$111*M111</f>
        <v>12.300388886933334</v>
      </c>
      <c r="X111" s="240">
        <f t="shared" si="24"/>
        <v>0.49053766666666665</v>
      </c>
      <c r="Y111" s="105">
        <f>M111*'Maintenance Model'!B$107</f>
        <v>3.1431111111111112</v>
      </c>
      <c r="Z111" s="105">
        <f>SUM(T111:Y111)</f>
        <v>17.3283846306309</v>
      </c>
      <c r="AA111" s="203">
        <f>'Other Maintenance'!B$94</f>
        <v>2.9107349228680333</v>
      </c>
      <c r="AB111" s="104">
        <f>(S111+AA111)</f>
        <v>127.40599973713471</v>
      </c>
      <c r="AC111" s="142">
        <f>(Z111+AA111)</f>
        <v>20.239119553498934</v>
      </c>
      <c r="AD111" s="127">
        <f>'Maintenance Model'!B$114 + 'Maintenance Model'!B$115</f>
        <v>0.99616182311111112</v>
      </c>
      <c r="AE111" s="133" t="e">
        <f>AB111+#REF!+#REF!</f>
        <v>#REF!</v>
      </c>
      <c r="AF111" s="142">
        <f t="shared" si="22"/>
        <v>128.40216156024582</v>
      </c>
      <c r="AG111" s="143">
        <f t="shared" si="23"/>
        <v>20.903227435573008</v>
      </c>
      <c r="AH111" s="61" t="e">
        <f>S111+#REF!+AD111</f>
        <v>#REF!</v>
      </c>
      <c r="AI111" s="61"/>
      <c r="AJ111" s="61"/>
      <c r="AK111" s="61"/>
      <c r="AL111" s="61"/>
      <c r="AM111" s="61"/>
      <c r="AN111" s="61"/>
      <c r="AO111" s="61"/>
      <c r="AP111" s="61"/>
      <c r="AQ111" s="61"/>
      <c r="AR111" s="61"/>
      <c r="AS111" s="61" t="s">
        <v>1134</v>
      </c>
      <c r="AT111" s="61"/>
      <c r="AU111" s="61">
        <v>51.001239213603689</v>
      </c>
      <c r="AV111" s="61" t="s">
        <v>2041</v>
      </c>
      <c r="AW111" s="25"/>
      <c r="AX111" s="61" t="b">
        <f>AF111 &gt; AG111</f>
        <v>1</v>
      </c>
      <c r="AY111" s="61"/>
      <c r="AZ111" s="129"/>
      <c r="BA111" s="25"/>
      <c r="BB111" s="25"/>
      <c r="BC111" s="61"/>
      <c r="BD111" s="61"/>
      <c r="BE111" s="61"/>
      <c r="BF111" s="61"/>
      <c r="BG111" s="25"/>
      <c r="BH111" s="25"/>
      <c r="BI111" s="25"/>
      <c r="BJ111" s="25"/>
      <c r="BK111" s="25"/>
      <c r="BL111" s="25"/>
      <c r="BM111" s="25"/>
      <c r="BN111" s="25"/>
      <c r="BO111" s="25"/>
      <c r="BP111" s="25"/>
      <c r="BQ111" s="25"/>
      <c r="BR111" s="25"/>
      <c r="BS111" s="25"/>
      <c r="BT111" s="25"/>
      <c r="BU111" s="25"/>
      <c r="BV111" s="25"/>
      <c r="BW111" s="25"/>
      <c r="BX111" s="25"/>
      <c r="BY111" s="25"/>
      <c r="BZ111" s="25"/>
    </row>
    <row r="112" spans="1:78" x14ac:dyDescent="0.2">
      <c r="A112" s="98" t="s">
        <v>2119</v>
      </c>
      <c r="B112" s="99"/>
      <c r="C112" s="100">
        <v>1</v>
      </c>
      <c r="D112" s="100">
        <v>0</v>
      </c>
      <c r="E112" s="100" t="s">
        <v>73</v>
      </c>
      <c r="F112" s="169">
        <f>VLOOKUP(E112,'Lamp Stock'!A$14:H$49,4,FALSE)*(1+'Public Lighting Charges'!$R$11)</f>
        <v>1.4716130000000001</v>
      </c>
      <c r="G112" s="169">
        <f>VLOOKUP(E112,'Lamp Stock'!A$14:G$49,6,FALSE)*(1+'Public Lighting Charges'!$R$11)</f>
        <v>0</v>
      </c>
      <c r="H112" s="169">
        <f>VLOOKUP(E112,'Lamp Stock'!A$14:H$49,8,FALSE)*(1+'Public Lighting Charges'!$R$11)</f>
        <v>0</v>
      </c>
      <c r="I112" s="102">
        <v>0.5</v>
      </c>
      <c r="J112" s="102">
        <v>0.1</v>
      </c>
      <c r="K112" s="102">
        <v>0.2</v>
      </c>
      <c r="L112" s="101">
        <v>3</v>
      </c>
      <c r="M112" s="103">
        <f t="shared" si="27"/>
        <v>0.33333333333333331</v>
      </c>
      <c r="N112" s="451">
        <v>5.5999999999999999E-3</v>
      </c>
      <c r="O112" s="192">
        <f>'Maintenance Model'!B$110*I112</f>
        <v>119.92879164760001</v>
      </c>
      <c r="P112" s="105">
        <f>C112*(F112*I112+G112*J112)</f>
        <v>0.73580650000000003</v>
      </c>
      <c r="Q112" s="105">
        <f>H112*K112*'Maintenance Model'!B$86</f>
        <v>0</v>
      </c>
      <c r="R112" s="104">
        <f>'Maintenance Model'!B$104*I$103</f>
        <v>3.8306666666666667</v>
      </c>
      <c r="S112" s="193">
        <f>SUM(O112:R112)</f>
        <v>124.49526481426668</v>
      </c>
      <c r="T112" s="104">
        <f>'Maintenance Model'!B$110*N112</f>
        <v>1.3432024664531201</v>
      </c>
      <c r="U112" s="240">
        <f t="shared" si="25"/>
        <v>8.2410328000000008E-3</v>
      </c>
      <c r="V112" s="104">
        <f>'Maintenance Model'!B$104*N$103</f>
        <v>4.2903466666666668E-2</v>
      </c>
      <c r="W112" s="104">
        <f>'Maintenance Model'!B$111*M112</f>
        <v>12.300388886933334</v>
      </c>
      <c r="X112" s="240">
        <f t="shared" si="24"/>
        <v>0.49053766666666665</v>
      </c>
      <c r="Y112" s="105">
        <f>M112*'Maintenance Model'!B$107</f>
        <v>3.1431111111111112</v>
      </c>
      <c r="Z112" s="105">
        <f>SUM(T112:Y112)</f>
        <v>17.3283846306309</v>
      </c>
      <c r="AA112" s="203">
        <f>'Other Maintenance'!B$94</f>
        <v>2.9107349228680333</v>
      </c>
      <c r="AB112" s="104">
        <f>(S112+AA112)</f>
        <v>127.40599973713471</v>
      </c>
      <c r="AC112" s="142">
        <f>(Z112+AA112)</f>
        <v>20.239119553498934</v>
      </c>
      <c r="AD112" s="127">
        <f>'Maintenance Model'!B$114 + 'Maintenance Model'!B$115</f>
        <v>0.99616182311111112</v>
      </c>
      <c r="AE112" s="133" t="e">
        <f>AB112+#REF!+#REF!</f>
        <v>#REF!</v>
      </c>
      <c r="AF112" s="142">
        <f t="shared" si="22"/>
        <v>128.40216156024582</v>
      </c>
      <c r="AG112" s="143">
        <f t="shared" si="23"/>
        <v>20.903227435573008</v>
      </c>
      <c r="AH112" s="61"/>
      <c r="AI112" s="61"/>
      <c r="AJ112" s="61"/>
      <c r="AK112" s="61"/>
      <c r="AL112" s="61"/>
      <c r="AM112" s="61"/>
      <c r="AN112" s="61"/>
      <c r="AO112" s="61"/>
      <c r="AP112" s="61"/>
      <c r="AQ112" s="61"/>
      <c r="AR112" s="61"/>
      <c r="AS112" s="61"/>
      <c r="AT112" s="61"/>
      <c r="AU112" s="61"/>
      <c r="AV112" s="61"/>
      <c r="AW112" s="25"/>
      <c r="AX112" s="61"/>
      <c r="AY112" s="61"/>
      <c r="AZ112" s="129"/>
      <c r="BA112" s="25"/>
      <c r="BB112" s="25"/>
      <c r="BC112" s="61"/>
      <c r="BD112" s="61"/>
      <c r="BE112" s="61"/>
      <c r="BF112" s="61"/>
      <c r="BG112" s="25"/>
      <c r="BH112" s="25"/>
      <c r="BI112" s="25"/>
      <c r="BJ112" s="25"/>
      <c r="BK112" s="25"/>
      <c r="BL112" s="25"/>
      <c r="BM112" s="25"/>
      <c r="BN112" s="25"/>
      <c r="BO112" s="25"/>
      <c r="BP112" s="25"/>
      <c r="BQ112" s="25"/>
      <c r="BR112" s="25"/>
      <c r="BS112" s="25"/>
      <c r="BT112" s="25"/>
      <c r="BU112" s="25"/>
      <c r="BV112" s="25"/>
      <c r="BW112" s="25"/>
      <c r="BX112" s="25"/>
      <c r="BY112" s="25"/>
      <c r="BZ112" s="25"/>
    </row>
    <row r="113" spans="1:78" x14ac:dyDescent="0.2">
      <c r="A113" s="98" t="s">
        <v>226</v>
      </c>
      <c r="B113" s="99">
        <f>VLOOKUP(LEFT(A113,7),'Tariff Schedule Lookup Table'!A$8:D$142,3,FALSE)</f>
        <v>2880</v>
      </c>
      <c r="C113" s="100">
        <v>1</v>
      </c>
      <c r="D113" s="100">
        <v>0</v>
      </c>
      <c r="E113" s="100" t="s">
        <v>73</v>
      </c>
      <c r="F113" s="169">
        <f>VLOOKUP(E113,'Lamp Stock'!A$14:H$49,4,FALSE)*(1+'Public Lighting Charges'!$R$11)</f>
        <v>1.4716130000000001</v>
      </c>
      <c r="G113" s="169">
        <f>VLOOKUP(E113,'Lamp Stock'!A$14:G$49,6,FALSE)*(1+'Public Lighting Charges'!$R$11)</f>
        <v>0</v>
      </c>
      <c r="H113" s="169">
        <f>VLOOKUP(E113,'Lamp Stock'!A$14:H$49,8,FALSE)*(1+'Public Lighting Charges'!$R$11)</f>
        <v>0</v>
      </c>
      <c r="I113" s="102">
        <v>0.5</v>
      </c>
      <c r="J113" s="102">
        <v>0.1</v>
      </c>
      <c r="K113" s="102">
        <v>0.2</v>
      </c>
      <c r="L113" s="101">
        <v>3</v>
      </c>
      <c r="M113" s="103">
        <f t="shared" si="27"/>
        <v>0.33333333333333331</v>
      </c>
      <c r="N113" s="451">
        <v>5.5999999999999999E-3</v>
      </c>
      <c r="O113" s="192">
        <f>'Maintenance Model'!B$110*I113</f>
        <v>119.92879164760001</v>
      </c>
      <c r="P113" s="105">
        <f>C113*(F113*I113+G113*J113)</f>
        <v>0.73580650000000003</v>
      </c>
      <c r="Q113" s="105">
        <f>H113*K113*'Maintenance Model'!B$86</f>
        <v>0</v>
      </c>
      <c r="R113" s="104">
        <f>'Maintenance Model'!B$104*I$103</f>
        <v>3.8306666666666667</v>
      </c>
      <c r="S113" s="193">
        <f>SUM(O113:R113)</f>
        <v>124.49526481426668</v>
      </c>
      <c r="T113" s="104">
        <f>'Maintenance Model'!B$110*N113</f>
        <v>1.3432024664531201</v>
      </c>
      <c r="U113" s="240">
        <f t="shared" si="25"/>
        <v>8.2410328000000008E-3</v>
      </c>
      <c r="V113" s="104">
        <f>'Maintenance Model'!B$104*N$103</f>
        <v>4.2903466666666668E-2</v>
      </c>
      <c r="W113" s="104">
        <f>'Maintenance Model'!B$111*M113</f>
        <v>12.300388886933334</v>
      </c>
      <c r="X113" s="240">
        <f t="shared" si="24"/>
        <v>0.49053766666666665</v>
      </c>
      <c r="Y113" s="105">
        <f>M113*'Maintenance Model'!B$107</f>
        <v>3.1431111111111112</v>
      </c>
      <c r="Z113" s="105">
        <f>SUM(T113:Y113)</f>
        <v>17.3283846306309</v>
      </c>
      <c r="AA113" s="203">
        <f>'Other Maintenance'!B$94</f>
        <v>2.9107349228680333</v>
      </c>
      <c r="AB113" s="104">
        <f>(S113+AA113)</f>
        <v>127.40599973713471</v>
      </c>
      <c r="AC113" s="142">
        <f>(Z113+AA113)</f>
        <v>20.239119553498934</v>
      </c>
      <c r="AD113" s="127">
        <f>'Maintenance Model'!B$114 + 'Maintenance Model'!B$115</f>
        <v>0.99616182311111112</v>
      </c>
      <c r="AE113" s="133" t="e">
        <f>AB113+#REF!+#REF!</f>
        <v>#REF!</v>
      </c>
      <c r="AF113" s="142">
        <f t="shared" si="22"/>
        <v>128.40216156024582</v>
      </c>
      <c r="AG113" s="143">
        <f t="shared" si="23"/>
        <v>20.903227435573008</v>
      </c>
      <c r="AH113" s="61" t="e">
        <f>S113+#REF!+AD113</f>
        <v>#REF!</v>
      </c>
      <c r="AI113" s="61"/>
      <c r="AJ113" s="61"/>
      <c r="AK113" s="61"/>
      <c r="AL113" s="61"/>
      <c r="AM113" s="61"/>
      <c r="AN113" s="61"/>
      <c r="AO113" s="61"/>
      <c r="AP113" s="61"/>
      <c r="AQ113" s="61"/>
      <c r="AR113" s="61"/>
      <c r="AS113" s="61" t="s">
        <v>1134</v>
      </c>
      <c r="AT113" s="61"/>
      <c r="AU113" s="61">
        <v>51.001239213603689</v>
      </c>
      <c r="AV113" s="61" t="s">
        <v>2041</v>
      </c>
      <c r="AW113" s="25"/>
      <c r="AX113" s="61" t="b">
        <f>AF113 &gt; AG113</f>
        <v>1</v>
      </c>
      <c r="AY113" s="61"/>
      <c r="AZ113" s="129"/>
      <c r="BA113" s="25"/>
      <c r="BB113" s="25"/>
      <c r="BC113" s="61"/>
      <c r="BD113" s="61"/>
      <c r="BE113" s="61"/>
      <c r="BF113" s="61"/>
      <c r="BG113" s="25"/>
      <c r="BH113" s="25"/>
      <c r="BI113" s="25"/>
      <c r="BJ113" s="25"/>
      <c r="BK113" s="25"/>
      <c r="BL113" s="25"/>
      <c r="BM113" s="25"/>
      <c r="BN113" s="25"/>
      <c r="BO113" s="25"/>
      <c r="BP113" s="25"/>
      <c r="BQ113" s="25"/>
      <c r="BR113" s="25"/>
      <c r="BS113" s="25"/>
      <c r="BT113" s="25"/>
      <c r="BU113" s="25"/>
      <c r="BV113" s="25"/>
      <c r="BW113" s="25"/>
      <c r="BX113" s="25"/>
      <c r="BY113" s="25"/>
      <c r="BZ113" s="25"/>
    </row>
    <row r="114" spans="1:78" x14ac:dyDescent="0.2">
      <c r="A114" s="98" t="s">
        <v>2120</v>
      </c>
      <c r="B114" s="99">
        <f>VLOOKUP(LEFT(A114,7),'Tariff Schedule Lookup Table'!A$8:D$142,3,FALSE)</f>
        <v>18</v>
      </c>
      <c r="C114" s="100">
        <v>1</v>
      </c>
      <c r="D114" s="100">
        <v>3</v>
      </c>
      <c r="E114" s="100" t="s">
        <v>90</v>
      </c>
      <c r="F114" s="169">
        <f>VLOOKUP(E114,'Lamp Stock'!A$14:H$49,4,FALSE)*(1+'Public Lighting Charges'!$R$11)</f>
        <v>37.191673999999999</v>
      </c>
      <c r="G114" s="169">
        <f>VLOOKUP(E114,'Lamp Stock'!A$14:G$49,6,FALSE)*(1+'Public Lighting Charges'!$R$11)</f>
        <v>89.634609999999995</v>
      </c>
      <c r="H114" s="169">
        <f>VLOOKUP(E114,'Lamp Stock'!A$14:H$49,8,FALSE)*(1+'Public Lighting Charges'!$R$11)</f>
        <v>26.034171799999999</v>
      </c>
      <c r="I114" s="102">
        <v>0.25</v>
      </c>
      <c r="J114" s="102">
        <v>0.1</v>
      </c>
      <c r="K114" s="102">
        <v>0.2</v>
      </c>
      <c r="L114" s="101">
        <v>3</v>
      </c>
      <c r="M114" s="103">
        <f t="shared" si="27"/>
        <v>0.33333333333333331</v>
      </c>
      <c r="N114" s="451">
        <v>4.4699999999999997E-2</v>
      </c>
      <c r="O114" s="192">
        <f>'Maintenance Model'!B$110*I114</f>
        <v>59.964395823800004</v>
      </c>
      <c r="P114" s="105">
        <f t="shared" si="30"/>
        <v>18.2613795</v>
      </c>
      <c r="Q114" s="105">
        <f>H114*K114*'Maintenance Model'!B$85</f>
        <v>4.165467488</v>
      </c>
      <c r="R114" s="104">
        <f>'Maintenance Model'!B$104*I114</f>
        <v>1.9153333333333333</v>
      </c>
      <c r="S114" s="193">
        <f t="shared" si="28"/>
        <v>84.306576145133349</v>
      </c>
      <c r="T114" s="104">
        <f>'Maintenance Model'!B$110*N114</f>
        <v>10.72163397329544</v>
      </c>
      <c r="U114" s="240">
        <f t="shared" si="25"/>
        <v>10.858674323692</v>
      </c>
      <c r="V114" s="104">
        <f>'Maintenance Model'!B$104*N114</f>
        <v>0.34246159999999998</v>
      </c>
      <c r="W114" s="104">
        <f>'Maintenance Model'!B$111*M114</f>
        <v>12.300388886933334</v>
      </c>
      <c r="X114" s="240">
        <f t="shared" si="24"/>
        <v>14.13283612</v>
      </c>
      <c r="Y114" s="104">
        <f>M114*'Maintenance Model'!B$105</f>
        <v>0.3928888888888889</v>
      </c>
      <c r="Z114" s="105">
        <f t="shared" si="29"/>
        <v>48.748883792809664</v>
      </c>
      <c r="AA114" s="203">
        <f>'Other Maintenance'!B$94</f>
        <v>2.9107349228680333</v>
      </c>
      <c r="AB114" s="104">
        <f t="shared" si="31"/>
        <v>87.217311068001379</v>
      </c>
      <c r="AC114" s="142">
        <f t="shared" si="32"/>
        <v>51.659618715677695</v>
      </c>
      <c r="AD114" s="127">
        <f>'Maintenance Model'!B$114 + 'Maintenance Model'!B$115</f>
        <v>0.99616182311111112</v>
      </c>
      <c r="AE114" s="134" t="e">
        <f>AB114+#REF!+#REF!</f>
        <v>#REF!</v>
      </c>
      <c r="AF114" s="142">
        <f t="shared" si="22"/>
        <v>88.213472891112488</v>
      </c>
      <c r="AG114" s="143">
        <f t="shared" si="23"/>
        <v>52.323726597751772</v>
      </c>
      <c r="AH114" s="61" t="e">
        <f>S114+#REF!+AD114</f>
        <v>#REF!</v>
      </c>
      <c r="AI114" s="61"/>
      <c r="AJ114" s="61"/>
      <c r="AK114" s="61"/>
      <c r="AL114" s="61"/>
      <c r="AM114" s="61"/>
      <c r="AN114" s="61"/>
      <c r="AO114" s="61"/>
      <c r="AP114" s="61"/>
      <c r="AQ114" s="61"/>
      <c r="AR114" s="61"/>
      <c r="AS114" s="61" t="s">
        <v>1138</v>
      </c>
      <c r="AT114" s="61"/>
      <c r="AU114" s="61">
        <v>39.328472349147752</v>
      </c>
      <c r="AV114" s="61" t="s">
        <v>2041</v>
      </c>
      <c r="AW114" s="25"/>
      <c r="AX114" s="61" t="b">
        <f t="shared" si="33"/>
        <v>1</v>
      </c>
      <c r="AY114" s="61"/>
      <c r="AZ114" s="129"/>
      <c r="BA114" s="25"/>
      <c r="BB114" s="25"/>
      <c r="BC114" s="61"/>
      <c r="BD114" s="61"/>
      <c r="BE114" s="61"/>
      <c r="BF114" s="61"/>
      <c r="BG114" s="25"/>
      <c r="BH114" s="25"/>
      <c r="BI114" s="25"/>
      <c r="BJ114" s="25"/>
      <c r="BK114" s="25"/>
      <c r="BL114" s="25"/>
      <c r="BM114" s="25"/>
      <c r="BN114" s="25"/>
      <c r="BO114" s="25"/>
      <c r="BP114" s="25"/>
      <c r="BQ114" s="25"/>
      <c r="BR114" s="25"/>
      <c r="BS114" s="25"/>
      <c r="BT114" s="25"/>
      <c r="BU114" s="25"/>
      <c r="BV114" s="25"/>
      <c r="BW114" s="25"/>
      <c r="BX114" s="25"/>
      <c r="BY114" s="25"/>
      <c r="BZ114" s="25"/>
    </row>
    <row r="115" spans="1:78" x14ac:dyDescent="0.2">
      <c r="A115" s="98" t="s">
        <v>2121</v>
      </c>
      <c r="B115" s="99">
        <f>VLOOKUP(LEFT(A115,7),'Tariff Schedule Lookup Table'!A$8:D$142,3,FALSE)</f>
        <v>35</v>
      </c>
      <c r="C115" s="100">
        <v>1</v>
      </c>
      <c r="D115" s="100">
        <v>6</v>
      </c>
      <c r="E115" s="100" t="s">
        <v>90</v>
      </c>
      <c r="F115" s="169">
        <f>VLOOKUP(E115,'Lamp Stock'!A$14:H$49,4,FALSE)*(1+'Public Lighting Charges'!$R$11)</f>
        <v>37.191673999999999</v>
      </c>
      <c r="G115" s="169">
        <f>VLOOKUP(E115,'Lamp Stock'!A$14:G$49,6,FALSE)*(1+'Public Lighting Charges'!$R$11)</f>
        <v>89.634609999999995</v>
      </c>
      <c r="H115" s="169">
        <f>VLOOKUP(E115,'Lamp Stock'!A$14:H$49,8,FALSE)*(1+'Public Lighting Charges'!$R$11)</f>
        <v>26.034171799999999</v>
      </c>
      <c r="I115" s="102">
        <v>0.25</v>
      </c>
      <c r="J115" s="102">
        <v>0.1</v>
      </c>
      <c r="K115" s="102">
        <v>0.2</v>
      </c>
      <c r="L115" s="101">
        <v>3</v>
      </c>
      <c r="M115" s="103">
        <f t="shared" si="27"/>
        <v>0.33333333333333331</v>
      </c>
      <c r="N115" s="451">
        <v>4.4699999999999997E-2</v>
      </c>
      <c r="O115" s="192">
        <f>'Maintenance Model'!B$110*I115</f>
        <v>59.964395823800004</v>
      </c>
      <c r="P115" s="105">
        <f t="shared" si="30"/>
        <v>18.2613795</v>
      </c>
      <c r="Q115" s="105">
        <f>H115*K115*'Maintenance Model'!B$85</f>
        <v>4.165467488</v>
      </c>
      <c r="R115" s="104">
        <f>'Maintenance Model'!B$104*I115</f>
        <v>1.9153333333333333</v>
      </c>
      <c r="S115" s="193">
        <f t="shared" si="28"/>
        <v>84.306576145133349</v>
      </c>
      <c r="T115" s="104">
        <f>'Maintenance Model'!B$110*N115</f>
        <v>10.72163397329544</v>
      </c>
      <c r="U115" s="240">
        <f t="shared" si="25"/>
        <v>10.858674323692</v>
      </c>
      <c r="V115" s="104">
        <f>'Maintenance Model'!B$104*N115</f>
        <v>0.34246159999999998</v>
      </c>
      <c r="W115" s="104">
        <f>'Maintenance Model'!B$111*M115</f>
        <v>12.300388886933334</v>
      </c>
      <c r="X115" s="240">
        <f t="shared" si="24"/>
        <v>14.13283612</v>
      </c>
      <c r="Y115" s="104">
        <f>M115*'Maintenance Model'!B$105</f>
        <v>0.3928888888888889</v>
      </c>
      <c r="Z115" s="105">
        <f t="shared" si="29"/>
        <v>48.748883792809664</v>
      </c>
      <c r="AA115" s="203">
        <f>'Other Maintenance'!B$94</f>
        <v>2.9107349228680333</v>
      </c>
      <c r="AB115" s="104">
        <f t="shared" si="31"/>
        <v>87.217311068001379</v>
      </c>
      <c r="AC115" s="142">
        <f t="shared" si="32"/>
        <v>51.659618715677695</v>
      </c>
      <c r="AD115" s="127">
        <f>'Maintenance Model'!B$114 + 'Maintenance Model'!B$115</f>
        <v>0.99616182311111112</v>
      </c>
      <c r="AE115" s="134" t="e">
        <f>AB115+#REF!+#REF!</f>
        <v>#REF!</v>
      </c>
      <c r="AF115" s="142">
        <f t="shared" si="22"/>
        <v>88.213472891112488</v>
      </c>
      <c r="AG115" s="143">
        <f t="shared" si="23"/>
        <v>52.323726597751772</v>
      </c>
      <c r="AH115" s="61" t="e">
        <f>S115+#REF!+AD115</f>
        <v>#REF!</v>
      </c>
      <c r="AI115" s="61"/>
      <c r="AJ115" s="61"/>
      <c r="AK115" s="61"/>
      <c r="AL115" s="61"/>
      <c r="AM115" s="61"/>
      <c r="AN115" s="61"/>
      <c r="AO115" s="61"/>
      <c r="AP115" s="61"/>
      <c r="AQ115" s="61"/>
      <c r="AR115" s="61"/>
      <c r="AS115" s="61" t="s">
        <v>1140</v>
      </c>
      <c r="AT115" s="61"/>
      <c r="AU115" s="61">
        <v>40.978472349147751</v>
      </c>
      <c r="AV115" s="61" t="s">
        <v>2041</v>
      </c>
      <c r="AW115" s="25"/>
      <c r="AX115" s="61" t="b">
        <f t="shared" si="33"/>
        <v>1</v>
      </c>
      <c r="AY115" s="61"/>
      <c r="AZ115" s="129"/>
      <c r="BA115" s="25"/>
      <c r="BB115" s="25"/>
      <c r="BC115" s="61"/>
      <c r="BD115" s="61"/>
      <c r="BE115" s="61"/>
      <c r="BF115" s="61"/>
      <c r="BG115" s="25"/>
      <c r="BH115" s="25"/>
      <c r="BI115" s="25"/>
      <c r="BJ115" s="25"/>
      <c r="BK115" s="25"/>
      <c r="BL115" s="25"/>
      <c r="BM115" s="25"/>
      <c r="BN115" s="25"/>
      <c r="BO115" s="25"/>
      <c r="BP115" s="25"/>
      <c r="BQ115" s="25"/>
      <c r="BR115" s="25"/>
      <c r="BS115" s="25"/>
      <c r="BT115" s="25"/>
      <c r="BU115" s="25"/>
      <c r="BV115" s="25"/>
      <c r="BW115" s="25"/>
      <c r="BX115" s="25"/>
      <c r="BY115" s="25"/>
      <c r="BZ115" s="25"/>
    </row>
    <row r="116" spans="1:78" x14ac:dyDescent="0.2">
      <c r="A116" s="98" t="s">
        <v>2122</v>
      </c>
      <c r="B116" s="99">
        <f>VLOOKUP(LEFT(A116,7),'Tariff Schedule Lookup Table'!A$8:D$142,3,FALSE)</f>
        <v>55</v>
      </c>
      <c r="C116" s="100">
        <v>1</v>
      </c>
      <c r="D116" s="100">
        <v>737</v>
      </c>
      <c r="E116" s="100" t="s">
        <v>90</v>
      </c>
      <c r="F116" s="169">
        <f>VLOOKUP(E116,'Lamp Stock'!A$14:H$49,4,FALSE)*(1+'Public Lighting Charges'!$R$11)</f>
        <v>37.191673999999999</v>
      </c>
      <c r="G116" s="169">
        <f>VLOOKUP(E116,'Lamp Stock'!A$14:G$49,6,FALSE)*(1+'Public Lighting Charges'!$R$11)</f>
        <v>89.634609999999995</v>
      </c>
      <c r="H116" s="169">
        <f>VLOOKUP(E116,'Lamp Stock'!A$14:H$49,8,FALSE)*(1+'Public Lighting Charges'!$R$11)</f>
        <v>26.034171799999999</v>
      </c>
      <c r="I116" s="102">
        <v>0.25</v>
      </c>
      <c r="J116" s="102">
        <v>0.1</v>
      </c>
      <c r="K116" s="102">
        <v>0.2</v>
      </c>
      <c r="L116" s="101">
        <v>3</v>
      </c>
      <c r="M116" s="103">
        <f t="shared" si="27"/>
        <v>0.33333333333333331</v>
      </c>
      <c r="N116" s="451">
        <v>4.4699999999999997E-2</v>
      </c>
      <c r="O116" s="192">
        <f>'Maintenance Model'!B$110*I116</f>
        <v>59.964395823800004</v>
      </c>
      <c r="P116" s="105">
        <f t="shared" si="30"/>
        <v>18.2613795</v>
      </c>
      <c r="Q116" s="105">
        <f>H116*K116*'Maintenance Model'!B$85</f>
        <v>4.165467488</v>
      </c>
      <c r="R116" s="104">
        <f>'Maintenance Model'!B$104*I116</f>
        <v>1.9153333333333333</v>
      </c>
      <c r="S116" s="193">
        <f t="shared" si="28"/>
        <v>84.306576145133349</v>
      </c>
      <c r="T116" s="104">
        <f>'Maintenance Model'!B$110*N116</f>
        <v>10.72163397329544</v>
      </c>
      <c r="U116" s="240">
        <f t="shared" si="25"/>
        <v>10.858674323692</v>
      </c>
      <c r="V116" s="104">
        <f>'Maintenance Model'!B$104*N116</f>
        <v>0.34246159999999998</v>
      </c>
      <c r="W116" s="104">
        <f>'Maintenance Model'!B$111*M116</f>
        <v>12.300388886933334</v>
      </c>
      <c r="X116" s="240">
        <f t="shared" si="24"/>
        <v>14.13283612</v>
      </c>
      <c r="Y116" s="104">
        <f>M116*'Maintenance Model'!B$105</f>
        <v>0.3928888888888889</v>
      </c>
      <c r="Z116" s="105">
        <f t="shared" si="29"/>
        <v>48.748883792809664</v>
      </c>
      <c r="AA116" s="203">
        <f>'Other Maintenance'!B$94</f>
        <v>2.9107349228680333</v>
      </c>
      <c r="AB116" s="104">
        <f t="shared" si="31"/>
        <v>87.217311068001379</v>
      </c>
      <c r="AC116" s="142">
        <f t="shared" si="32"/>
        <v>51.659618715677695</v>
      </c>
      <c r="AD116" s="127">
        <f>'Maintenance Model'!B$114 + 'Maintenance Model'!B$115</f>
        <v>0.99616182311111112</v>
      </c>
      <c r="AE116" s="134" t="e">
        <f>AB116+#REF!+#REF!</f>
        <v>#REF!</v>
      </c>
      <c r="AF116" s="142">
        <f t="shared" ref="AF116:AF147" si="34">(AB116+AD116)</f>
        <v>88.213472891112488</v>
      </c>
      <c r="AG116" s="143">
        <f t="shared" ref="AG116:AG147" si="35">(AC116+ (2/3*AD116))</f>
        <v>52.323726597751772</v>
      </c>
      <c r="AH116" s="61" t="e">
        <f>S116+#REF!+AD116</f>
        <v>#REF!</v>
      </c>
      <c r="AI116" s="61"/>
      <c r="AJ116" s="61"/>
      <c r="AK116" s="61"/>
      <c r="AL116" s="61"/>
      <c r="AM116" s="61"/>
      <c r="AN116" s="61"/>
      <c r="AO116" s="61"/>
      <c r="AP116" s="61"/>
      <c r="AQ116" s="61"/>
      <c r="AR116" s="61"/>
      <c r="AS116" s="61" t="s">
        <v>1142</v>
      </c>
      <c r="AT116" s="61"/>
      <c r="AU116" s="61">
        <v>42.534663690676346</v>
      </c>
      <c r="AV116" s="61" t="s">
        <v>2041</v>
      </c>
      <c r="AW116" s="25"/>
      <c r="AX116" s="61" t="b">
        <f t="shared" si="33"/>
        <v>1</v>
      </c>
      <c r="AY116" s="61"/>
      <c r="AZ116" s="129"/>
      <c r="BA116" s="25"/>
      <c r="BB116" s="25"/>
      <c r="BC116" s="61"/>
      <c r="BD116" s="61"/>
      <c r="BE116" s="61"/>
      <c r="BF116" s="61"/>
      <c r="BG116" s="25"/>
      <c r="BH116" s="25"/>
      <c r="BI116" s="25"/>
      <c r="BJ116" s="25"/>
      <c r="BK116" s="25"/>
      <c r="BL116" s="25"/>
      <c r="BM116" s="25"/>
      <c r="BN116" s="25"/>
      <c r="BO116" s="25"/>
      <c r="BP116" s="25"/>
      <c r="BQ116" s="25"/>
      <c r="BR116" s="25"/>
      <c r="BS116" s="25"/>
      <c r="BT116" s="25"/>
      <c r="BU116" s="25"/>
      <c r="BV116" s="25"/>
      <c r="BW116" s="25"/>
      <c r="BX116" s="25"/>
      <c r="BY116" s="25"/>
      <c r="BZ116" s="25"/>
    </row>
    <row r="117" spans="1:78" x14ac:dyDescent="0.2">
      <c r="A117" s="98" t="s">
        <v>2123</v>
      </c>
      <c r="B117" s="99" t="str">
        <f>VLOOKUP(LEFT(A117,7),'Tariff Schedule Lookup Table'!A$8:D$142,3,FALSE)</f>
        <v>90/100</v>
      </c>
      <c r="C117" s="100">
        <v>1</v>
      </c>
      <c r="D117" s="100">
        <v>840</v>
      </c>
      <c r="E117" s="100" t="s">
        <v>91</v>
      </c>
      <c r="F117" s="169">
        <f>VLOOKUP(E117,'Lamp Stock'!A$14:H$49,4,FALSE)*(1+'Public Lighting Charges'!$R$11)</f>
        <v>42.208536499999994</v>
      </c>
      <c r="G117" s="169">
        <f>VLOOKUP(E117,'Lamp Stock'!A$14:G$49,6,FALSE)*(1+'Public Lighting Charges'!$R$11)</f>
        <v>92.310269999999988</v>
      </c>
      <c r="H117" s="169">
        <f>VLOOKUP(E117,'Lamp Stock'!A$14:H$49,8,FALSE)*(1+'Public Lighting Charges'!$R$11)</f>
        <v>26.034171799999999</v>
      </c>
      <c r="I117" s="102">
        <v>0.25</v>
      </c>
      <c r="J117" s="102">
        <v>0.1</v>
      </c>
      <c r="K117" s="102">
        <v>0.2</v>
      </c>
      <c r="L117" s="101">
        <v>3</v>
      </c>
      <c r="M117" s="103">
        <f t="shared" si="27"/>
        <v>0.33333333333333331</v>
      </c>
      <c r="N117" s="451">
        <v>4.4699999999999997E-2</v>
      </c>
      <c r="O117" s="192">
        <f>'Maintenance Model'!B$110*I117</f>
        <v>59.964395823800004</v>
      </c>
      <c r="P117" s="105">
        <f t="shared" si="30"/>
        <v>19.783161124999999</v>
      </c>
      <c r="Q117" s="105">
        <f>H117*K117*'Maintenance Model'!B$85</f>
        <v>4.165467488</v>
      </c>
      <c r="R117" s="104">
        <f>'Maintenance Model'!B$104*I117</f>
        <v>1.9153333333333333</v>
      </c>
      <c r="S117" s="193">
        <f t="shared" si="28"/>
        <v>85.828357770133337</v>
      </c>
      <c r="T117" s="104">
        <f>'Maintenance Model'!B$110*N117</f>
        <v>10.72163397329544</v>
      </c>
      <c r="U117" s="240">
        <f t="shared" si="25"/>
        <v>11.350494077441999</v>
      </c>
      <c r="V117" s="104">
        <f>'Maintenance Model'!B$104*N117</f>
        <v>0.34246159999999998</v>
      </c>
      <c r="W117" s="104">
        <f>'Maintenance Model'!B$111*M117</f>
        <v>12.300388886933334</v>
      </c>
      <c r="X117" s="240">
        <f t="shared" si="24"/>
        <v>15.805123619999998</v>
      </c>
      <c r="Y117" s="104">
        <f>M117*'Maintenance Model'!B$105</f>
        <v>0.3928888888888889</v>
      </c>
      <c r="Z117" s="105">
        <f t="shared" si="29"/>
        <v>50.912991046559661</v>
      </c>
      <c r="AA117" s="203">
        <f>'Other Maintenance'!B$94</f>
        <v>2.9107349228680333</v>
      </c>
      <c r="AB117" s="104">
        <f t="shared" si="31"/>
        <v>88.739092693001368</v>
      </c>
      <c r="AC117" s="142">
        <f t="shared" si="32"/>
        <v>53.823725969427691</v>
      </c>
      <c r="AD117" s="127">
        <f>'Maintenance Model'!B$114 + 'Maintenance Model'!B$115</f>
        <v>0.99616182311111112</v>
      </c>
      <c r="AE117" s="134" t="e">
        <f>AB117+#REF!+#REF!</f>
        <v>#REF!</v>
      </c>
      <c r="AF117" s="142">
        <f t="shared" si="34"/>
        <v>89.735254516112477</v>
      </c>
      <c r="AG117" s="143">
        <f t="shared" si="35"/>
        <v>54.487833851501769</v>
      </c>
      <c r="AH117" s="61" t="e">
        <f>S117+#REF!+AD117</f>
        <v>#REF!</v>
      </c>
      <c r="AI117" s="61"/>
      <c r="AJ117" s="61"/>
      <c r="AK117" s="61"/>
      <c r="AL117" s="61"/>
      <c r="AM117" s="61"/>
      <c r="AN117" s="61"/>
      <c r="AO117" s="61"/>
      <c r="AP117" s="61"/>
      <c r="AQ117" s="61"/>
      <c r="AR117" s="61"/>
      <c r="AS117" s="61" t="s">
        <v>1144</v>
      </c>
      <c r="AT117" s="61"/>
      <c r="AU117" s="61">
        <v>38.045563690676346</v>
      </c>
      <c r="AV117" s="61">
        <v>57.843808752009672</v>
      </c>
      <c r="AW117" s="25"/>
      <c r="AX117" s="61" t="b">
        <f t="shared" si="33"/>
        <v>1</v>
      </c>
      <c r="AY117" s="61"/>
      <c r="AZ117" s="129"/>
      <c r="BA117" s="25"/>
      <c r="BB117" s="25"/>
      <c r="BC117" s="61"/>
      <c r="BD117" s="61"/>
      <c r="BE117" s="61"/>
      <c r="BF117" s="61"/>
      <c r="BG117" s="25"/>
      <c r="BH117" s="25"/>
      <c r="BI117" s="25"/>
      <c r="BJ117" s="25"/>
      <c r="BK117" s="25"/>
      <c r="BL117" s="25"/>
      <c r="BM117" s="25"/>
      <c r="BN117" s="25"/>
      <c r="BO117" s="25"/>
      <c r="BP117" s="25"/>
      <c r="BQ117" s="25"/>
      <c r="BR117" s="25"/>
      <c r="BS117" s="25"/>
      <c r="BT117" s="25"/>
      <c r="BU117" s="25"/>
      <c r="BV117" s="25"/>
      <c r="BW117" s="25"/>
      <c r="BX117" s="25"/>
      <c r="BY117" s="25"/>
      <c r="BZ117" s="25"/>
    </row>
    <row r="118" spans="1:78" x14ac:dyDescent="0.2">
      <c r="A118" s="98" t="s">
        <v>2124</v>
      </c>
      <c r="B118" s="99">
        <f>VLOOKUP(LEFT(A118,7),'Tariff Schedule Lookup Table'!A$8:D$142,3,FALSE)</f>
        <v>135</v>
      </c>
      <c r="C118" s="100">
        <v>1</v>
      </c>
      <c r="D118" s="100">
        <v>307</v>
      </c>
      <c r="E118" s="100" t="s">
        <v>92</v>
      </c>
      <c r="F118" s="169">
        <f>VLOOKUP(E118,'Lamp Stock'!A$14:H$49,4,FALSE)*(1+'Public Lighting Charges'!$R$11)</f>
        <v>47.492964999999991</v>
      </c>
      <c r="G118" s="169">
        <f>VLOOKUP(E118,'Lamp Stock'!A$14:G$49,6,FALSE)*(1+'Public Lighting Charges'!$R$11)</f>
        <v>98.59807099999999</v>
      </c>
      <c r="H118" s="169">
        <f>VLOOKUP(E118,'Lamp Stock'!A$14:H$49,8,FALSE)*(1+'Public Lighting Charges'!$R$11)</f>
        <v>26.034171799999999</v>
      </c>
      <c r="I118" s="102">
        <v>0.25</v>
      </c>
      <c r="J118" s="102">
        <v>0.1</v>
      </c>
      <c r="K118" s="102">
        <v>0.2</v>
      </c>
      <c r="L118" s="101">
        <v>3</v>
      </c>
      <c r="M118" s="103">
        <f t="shared" si="27"/>
        <v>0.33333333333333331</v>
      </c>
      <c r="N118" s="451">
        <v>4.4699999999999997E-2</v>
      </c>
      <c r="O118" s="192">
        <f>'Maintenance Model'!B$110*I118</f>
        <v>59.964395823800004</v>
      </c>
      <c r="P118" s="105">
        <f t="shared" si="30"/>
        <v>21.733048349999997</v>
      </c>
      <c r="Q118" s="105">
        <f>H118*K118*'Maintenance Model'!B$86</f>
        <v>1.5620503080000001</v>
      </c>
      <c r="R118" s="104">
        <f>'Maintenance Model'!B$104*I118</f>
        <v>1.9153333333333333</v>
      </c>
      <c r="S118" s="193">
        <f t="shared" si="28"/>
        <v>85.174827815133327</v>
      </c>
      <c r="T118" s="104">
        <f>'Maintenance Model'!B$110*N118</f>
        <v>10.72163397329544</v>
      </c>
      <c r="U118" s="240">
        <f t="shared" si="25"/>
        <v>12.215488131391998</v>
      </c>
      <c r="V118" s="104">
        <f>'Maintenance Model'!B$104*N118</f>
        <v>0.34246159999999998</v>
      </c>
      <c r="W118" s="104">
        <f>'Maintenance Model'!B$111*M118</f>
        <v>12.300388886933334</v>
      </c>
      <c r="X118" s="240">
        <f t="shared" si="24"/>
        <v>17.566599786666664</v>
      </c>
      <c r="Y118" s="104">
        <f>M118*'Maintenance Model'!B$105</f>
        <v>0.3928888888888889</v>
      </c>
      <c r="Z118" s="105">
        <f t="shared" si="29"/>
        <v>53.539461267176328</v>
      </c>
      <c r="AA118" s="203">
        <f>'Other Maintenance'!B$94</f>
        <v>2.9107349228680333</v>
      </c>
      <c r="AB118" s="104">
        <f t="shared" si="31"/>
        <v>88.085562738001357</v>
      </c>
      <c r="AC118" s="142">
        <f t="shared" si="32"/>
        <v>56.450196190044359</v>
      </c>
      <c r="AD118" s="127">
        <f>'Maintenance Model'!B$114 + 'Maintenance Model'!B$115</f>
        <v>0.99616182311111112</v>
      </c>
      <c r="AE118" s="134" t="e">
        <f>AB118+#REF!+#REF!</f>
        <v>#REF!</v>
      </c>
      <c r="AF118" s="142">
        <f t="shared" si="34"/>
        <v>89.081724561112466</v>
      </c>
      <c r="AG118" s="143">
        <f t="shared" si="35"/>
        <v>57.114304072118436</v>
      </c>
      <c r="AH118" s="61" t="e">
        <f>S118+#REF!+AD118</f>
        <v>#REF!</v>
      </c>
      <c r="AI118" s="61"/>
      <c r="AJ118" s="61"/>
      <c r="AK118" s="61"/>
      <c r="AL118" s="61"/>
      <c r="AM118" s="61"/>
      <c r="AN118" s="61"/>
      <c r="AO118" s="61"/>
      <c r="AP118" s="61"/>
      <c r="AQ118" s="61"/>
      <c r="AR118" s="61"/>
      <c r="AS118" s="61" t="s">
        <v>1146</v>
      </c>
      <c r="AT118" s="61"/>
      <c r="AU118" s="61">
        <v>38.994313690676343</v>
      </c>
      <c r="AV118" s="61">
        <v>59.931058752009683</v>
      </c>
      <c r="AW118" s="25"/>
      <c r="AX118" s="61" t="b">
        <f t="shared" si="33"/>
        <v>1</v>
      </c>
      <c r="AY118" s="61"/>
      <c r="AZ118" s="129"/>
      <c r="BA118" s="25"/>
      <c r="BB118" s="25"/>
      <c r="BC118" s="61"/>
      <c r="BD118" s="61"/>
      <c r="BE118" s="61"/>
      <c r="BF118" s="61"/>
      <c r="BG118" s="25"/>
      <c r="BH118" s="25"/>
      <c r="BI118" s="25"/>
      <c r="BJ118" s="25"/>
      <c r="BK118" s="25"/>
      <c r="BL118" s="25"/>
      <c r="BM118" s="25"/>
      <c r="BN118" s="25"/>
      <c r="BO118" s="25"/>
      <c r="BP118" s="25"/>
      <c r="BQ118" s="25"/>
      <c r="BR118" s="25"/>
      <c r="BS118" s="25"/>
      <c r="BT118" s="25"/>
      <c r="BU118" s="25"/>
      <c r="BV118" s="25"/>
      <c r="BW118" s="25"/>
      <c r="BX118" s="25"/>
      <c r="BY118" s="25"/>
      <c r="BZ118" s="25"/>
    </row>
    <row r="119" spans="1:78" x14ac:dyDescent="0.2">
      <c r="A119" s="98" t="s">
        <v>2125</v>
      </c>
      <c r="B119" s="99">
        <f>VLOOKUP(LEFT(A119,7),'Tariff Schedule Lookup Table'!A$8:D$142,3,FALSE)</f>
        <v>150</v>
      </c>
      <c r="C119" s="100">
        <v>1</v>
      </c>
      <c r="D119" s="100">
        <v>340</v>
      </c>
      <c r="E119" s="100" t="s">
        <v>92</v>
      </c>
      <c r="F119" s="169">
        <f>VLOOKUP(E119,'Lamp Stock'!A$14:H$49,4,FALSE)*(1+'Public Lighting Charges'!$R$11)</f>
        <v>47.492964999999991</v>
      </c>
      <c r="G119" s="169">
        <f>VLOOKUP(E119,'Lamp Stock'!A$14:G$49,6,FALSE)*(1+'Public Lighting Charges'!$R$11)</f>
        <v>98.59807099999999</v>
      </c>
      <c r="H119" s="169">
        <f>VLOOKUP(E119,'Lamp Stock'!A$14:H$49,8,FALSE)*(1+'Public Lighting Charges'!$R$11)</f>
        <v>26.034171799999999</v>
      </c>
      <c r="I119" s="102">
        <v>0.25</v>
      </c>
      <c r="J119" s="102">
        <v>0.1</v>
      </c>
      <c r="K119" s="102">
        <v>0.2</v>
      </c>
      <c r="L119" s="101">
        <v>3</v>
      </c>
      <c r="M119" s="103">
        <f t="shared" si="27"/>
        <v>0.33333333333333331</v>
      </c>
      <c r="N119" s="451">
        <v>4.4699999999999997E-2</v>
      </c>
      <c r="O119" s="192">
        <f>'Maintenance Model'!B$110*I119</f>
        <v>59.964395823800004</v>
      </c>
      <c r="P119" s="105">
        <f t="shared" si="30"/>
        <v>21.733048349999997</v>
      </c>
      <c r="Q119" s="105">
        <f>H119*K119*'Maintenance Model'!B$86</f>
        <v>1.5620503080000001</v>
      </c>
      <c r="R119" s="105">
        <f>'Maintenance Model'!B$106*I119</f>
        <v>15.322666666666667</v>
      </c>
      <c r="S119" s="193">
        <f t="shared" si="28"/>
        <v>98.582161148466653</v>
      </c>
      <c r="T119" s="104">
        <f>'Maintenance Model'!B$110*N119</f>
        <v>10.72163397329544</v>
      </c>
      <c r="U119" s="240">
        <f t="shared" si="25"/>
        <v>12.215488131391998</v>
      </c>
      <c r="V119" s="104">
        <f>'Maintenance Model'!B$106*N119</f>
        <v>2.7396927999999998</v>
      </c>
      <c r="W119" s="104">
        <f>'Maintenance Model'!B$111*M119</f>
        <v>12.300388886933334</v>
      </c>
      <c r="X119" s="240">
        <f t="shared" si="24"/>
        <v>17.566599786666664</v>
      </c>
      <c r="Y119" s="105">
        <f>M119*'Maintenance Model'!B$107</f>
        <v>3.1431111111111112</v>
      </c>
      <c r="Z119" s="105">
        <f t="shared" si="29"/>
        <v>58.686914689398549</v>
      </c>
      <c r="AA119" s="203">
        <f>'Other Maintenance'!B$94</f>
        <v>2.9107349228680333</v>
      </c>
      <c r="AB119" s="104">
        <f t="shared" si="31"/>
        <v>101.49289607133468</v>
      </c>
      <c r="AC119" s="142">
        <f t="shared" si="32"/>
        <v>61.597649612266579</v>
      </c>
      <c r="AD119" s="127">
        <f>'Maintenance Model'!B$114 + 'Maintenance Model'!B$115</f>
        <v>0.99616182311111112</v>
      </c>
      <c r="AE119" s="134" t="e">
        <f>AB119+#REF!+#REF!</f>
        <v>#REF!</v>
      </c>
      <c r="AF119" s="142">
        <f t="shared" si="34"/>
        <v>102.48905789444579</v>
      </c>
      <c r="AG119" s="143">
        <f t="shared" si="35"/>
        <v>62.261757494340657</v>
      </c>
      <c r="AH119" s="61" t="e">
        <f>S119+#REF!+AD119</f>
        <v>#REF!</v>
      </c>
      <c r="AI119" s="61"/>
      <c r="AJ119" s="61"/>
      <c r="AK119" s="61"/>
      <c r="AL119" s="61"/>
      <c r="AM119" s="61"/>
      <c r="AN119" s="61"/>
      <c r="AO119" s="61"/>
      <c r="AP119" s="61"/>
      <c r="AQ119" s="61"/>
      <c r="AR119" s="61"/>
      <c r="AS119" s="61" t="s">
        <v>1148</v>
      </c>
      <c r="AT119" s="61"/>
      <c r="AU119" s="61">
        <v>42.233813690676342</v>
      </c>
      <c r="AV119" s="61">
        <v>67.057958752009696</v>
      </c>
      <c r="AW119" s="25"/>
      <c r="AX119" s="61" t="b">
        <f t="shared" si="33"/>
        <v>1</v>
      </c>
      <c r="AY119" s="61"/>
      <c r="AZ119" s="129"/>
      <c r="BA119" s="25"/>
      <c r="BB119" s="25"/>
      <c r="BC119" s="61"/>
      <c r="BD119" s="61"/>
      <c r="BE119" s="61"/>
      <c r="BF119" s="61"/>
      <c r="BG119" s="25"/>
      <c r="BH119" s="25"/>
      <c r="BI119" s="25"/>
      <c r="BJ119" s="25"/>
      <c r="BK119" s="25"/>
      <c r="BL119" s="25"/>
      <c r="BM119" s="25"/>
      <c r="BN119" s="25"/>
      <c r="BO119" s="25"/>
      <c r="BP119" s="25"/>
      <c r="BQ119" s="25"/>
      <c r="BR119" s="25"/>
      <c r="BS119" s="25"/>
      <c r="BT119" s="25"/>
      <c r="BU119" s="25"/>
      <c r="BV119" s="25"/>
      <c r="BW119" s="25"/>
      <c r="BX119" s="25"/>
      <c r="BY119" s="25"/>
      <c r="BZ119" s="25"/>
    </row>
    <row r="120" spans="1:78" x14ac:dyDescent="0.2">
      <c r="A120" s="98" t="s">
        <v>227</v>
      </c>
      <c r="B120" s="99">
        <f>VLOOKUP(LEFT(A120,7),'Tariff Schedule Lookup Table'!A$8:D$142,3,FALSE)</f>
        <v>160</v>
      </c>
      <c r="C120" s="100">
        <v>1</v>
      </c>
      <c r="D120" s="100">
        <v>0</v>
      </c>
      <c r="E120" s="100" t="s">
        <v>92</v>
      </c>
      <c r="F120" s="169">
        <f>VLOOKUP(E120,'Lamp Stock'!A$14:H$49,4,FALSE)*(1+'Public Lighting Charges'!$R$11)</f>
        <v>47.492964999999991</v>
      </c>
      <c r="G120" s="169">
        <f>VLOOKUP(E120,'Lamp Stock'!A$14:G$49,6,FALSE)*(1+'Public Lighting Charges'!$R$11)</f>
        <v>98.59807099999999</v>
      </c>
      <c r="H120" s="169">
        <f>VLOOKUP(E120,'Lamp Stock'!A$14:H$49,8,FALSE)*(1+'Public Lighting Charges'!$R$11)</f>
        <v>26.034171799999999</v>
      </c>
      <c r="I120" s="102">
        <v>0.25</v>
      </c>
      <c r="J120" s="102">
        <v>0.1</v>
      </c>
      <c r="K120" s="102">
        <v>0.2</v>
      </c>
      <c r="L120" s="101">
        <v>3</v>
      </c>
      <c r="M120" s="103">
        <f t="shared" si="27"/>
        <v>0.33333333333333331</v>
      </c>
      <c r="N120" s="451">
        <v>4.4699999999999997E-2</v>
      </c>
      <c r="O120" s="192">
        <f>'Maintenance Model'!B$110*I120</f>
        <v>59.964395823800004</v>
      </c>
      <c r="P120" s="105">
        <f>C120*(F120*I120+G120*J120)</f>
        <v>21.733048349999997</v>
      </c>
      <c r="Q120" s="105">
        <f>H120*K120*'Maintenance Model'!B$86</f>
        <v>1.5620503080000001</v>
      </c>
      <c r="R120" s="105">
        <f>'Maintenance Model'!B$106*I120</f>
        <v>15.322666666666667</v>
      </c>
      <c r="S120" s="193">
        <f>SUM(O120:R120)</f>
        <v>98.582161148466653</v>
      </c>
      <c r="T120" s="104">
        <f>'Maintenance Model'!B$110*N120</f>
        <v>10.72163397329544</v>
      </c>
      <c r="U120" s="240">
        <f t="shared" si="25"/>
        <v>12.215488131391998</v>
      </c>
      <c r="V120" s="104">
        <f>'Maintenance Model'!B$106*N120</f>
        <v>2.7396927999999998</v>
      </c>
      <c r="W120" s="104">
        <f>'Maintenance Model'!B$111*M120</f>
        <v>12.300388886933334</v>
      </c>
      <c r="X120" s="240">
        <f t="shared" si="24"/>
        <v>17.566599786666664</v>
      </c>
      <c r="Y120" s="105">
        <f>M120*'Maintenance Model'!B$107</f>
        <v>3.1431111111111112</v>
      </c>
      <c r="Z120" s="105">
        <f>SUM(T120:Y120)</f>
        <v>58.686914689398549</v>
      </c>
      <c r="AA120" s="203">
        <f>'Other Maintenance'!B$94</f>
        <v>2.9107349228680333</v>
      </c>
      <c r="AB120" s="104">
        <f>(S120+AA120)</f>
        <v>101.49289607133468</v>
      </c>
      <c r="AC120" s="142">
        <f>(Z120+AA120)</f>
        <v>61.597649612266579</v>
      </c>
      <c r="AD120" s="127">
        <f>'Maintenance Model'!B$114 + 'Maintenance Model'!B$115</f>
        <v>0.99616182311111112</v>
      </c>
      <c r="AE120" s="134" t="e">
        <f>AB120+#REF!+#REF!</f>
        <v>#REF!</v>
      </c>
      <c r="AF120" s="142">
        <f t="shared" si="34"/>
        <v>102.48905789444579</v>
      </c>
      <c r="AG120" s="143">
        <f t="shared" si="35"/>
        <v>62.261757494340657</v>
      </c>
      <c r="AH120" s="61" t="e">
        <f>S120+#REF!+AD120</f>
        <v>#REF!</v>
      </c>
      <c r="AI120" s="61"/>
      <c r="AJ120" s="61"/>
      <c r="AK120" s="61"/>
      <c r="AL120" s="61"/>
      <c r="AM120" s="61"/>
      <c r="AN120" s="61"/>
      <c r="AO120" s="61"/>
      <c r="AP120" s="61"/>
      <c r="AQ120" s="61"/>
      <c r="AR120" s="61"/>
      <c r="AS120" s="61" t="s">
        <v>1148</v>
      </c>
      <c r="AT120" s="61"/>
      <c r="AU120" s="61">
        <v>42.233813690676342</v>
      </c>
      <c r="AV120" s="61">
        <v>67.057958752009696</v>
      </c>
      <c r="AW120" s="25"/>
      <c r="AX120" s="61" t="b">
        <f>AF120 &gt; AG120</f>
        <v>1</v>
      </c>
      <c r="AY120" s="61"/>
      <c r="AZ120" s="129"/>
      <c r="BA120" s="25"/>
      <c r="BB120" s="25"/>
      <c r="BC120" s="61"/>
      <c r="BD120" s="61"/>
      <c r="BE120" s="61"/>
      <c r="BF120" s="61"/>
      <c r="BG120" s="25"/>
      <c r="BH120" s="25"/>
      <c r="BI120" s="25"/>
      <c r="BJ120" s="25"/>
      <c r="BK120" s="25"/>
      <c r="BL120" s="25"/>
      <c r="BM120" s="25"/>
      <c r="BN120" s="25"/>
      <c r="BO120" s="25"/>
      <c r="BP120" s="25"/>
      <c r="BQ120" s="25"/>
      <c r="BR120" s="25"/>
      <c r="BS120" s="25"/>
      <c r="BT120" s="25"/>
      <c r="BU120" s="25"/>
      <c r="BV120" s="25"/>
      <c r="BW120" s="25"/>
      <c r="BX120" s="25"/>
      <c r="BY120" s="25"/>
      <c r="BZ120" s="25"/>
    </row>
    <row r="121" spans="1:78" x14ac:dyDescent="0.2">
      <c r="A121" s="98" t="s">
        <v>2126</v>
      </c>
      <c r="B121" s="99">
        <f>VLOOKUP(LEFT(A121,7),'Tariff Schedule Lookup Table'!A$8:D$142,3,FALSE)</f>
        <v>180</v>
      </c>
      <c r="C121" s="100">
        <v>1</v>
      </c>
      <c r="D121" s="100">
        <v>4</v>
      </c>
      <c r="E121" s="100" t="s">
        <v>92</v>
      </c>
      <c r="F121" s="169">
        <f>VLOOKUP(E121,'Lamp Stock'!A$14:H$49,4,FALSE)*(1+'Public Lighting Charges'!$R$11)</f>
        <v>47.492964999999991</v>
      </c>
      <c r="G121" s="169">
        <f>VLOOKUP(E121,'Lamp Stock'!A$14:G$49,6,FALSE)*(1+'Public Lighting Charges'!$R$11)</f>
        <v>98.59807099999999</v>
      </c>
      <c r="H121" s="169">
        <f>VLOOKUP(E121,'Lamp Stock'!A$14:H$49,8,FALSE)*(1+'Public Lighting Charges'!$R$11)</f>
        <v>26.034171799999999</v>
      </c>
      <c r="I121" s="102">
        <v>0.25</v>
      </c>
      <c r="J121" s="102">
        <v>0.1</v>
      </c>
      <c r="K121" s="102">
        <v>0.2</v>
      </c>
      <c r="L121" s="101">
        <v>3</v>
      </c>
      <c r="M121" s="103">
        <f t="shared" si="27"/>
        <v>0.33333333333333331</v>
      </c>
      <c r="N121" s="451">
        <v>4.4699999999999997E-2</v>
      </c>
      <c r="O121" s="192">
        <f>'Maintenance Model'!B$110*I121</f>
        <v>59.964395823800004</v>
      </c>
      <c r="P121" s="105">
        <f t="shared" si="30"/>
        <v>21.733048349999997</v>
      </c>
      <c r="Q121" s="105">
        <f>H121*K121*'Maintenance Model'!B$86</f>
        <v>1.5620503080000001</v>
      </c>
      <c r="R121" s="105">
        <f>'Maintenance Model'!B$106*I121</f>
        <v>15.322666666666667</v>
      </c>
      <c r="S121" s="193">
        <f t="shared" si="28"/>
        <v>98.582161148466653</v>
      </c>
      <c r="T121" s="104">
        <f>'Maintenance Model'!B$110*N121</f>
        <v>10.72163397329544</v>
      </c>
      <c r="U121" s="240">
        <f t="shared" si="25"/>
        <v>12.215488131391998</v>
      </c>
      <c r="V121" s="104">
        <f>'Maintenance Model'!B$106*N121</f>
        <v>2.7396927999999998</v>
      </c>
      <c r="W121" s="104">
        <f>'Maintenance Model'!B$111*M121</f>
        <v>12.300388886933334</v>
      </c>
      <c r="X121" s="240">
        <f t="shared" si="24"/>
        <v>17.566599786666664</v>
      </c>
      <c r="Y121" s="105">
        <f>M121*'Maintenance Model'!B$107</f>
        <v>3.1431111111111112</v>
      </c>
      <c r="Z121" s="105">
        <f t="shared" si="29"/>
        <v>58.686914689398549</v>
      </c>
      <c r="AA121" s="203">
        <f>'Other Maintenance'!B$94</f>
        <v>2.9107349228680333</v>
      </c>
      <c r="AB121" s="104">
        <f t="shared" si="31"/>
        <v>101.49289607133468</v>
      </c>
      <c r="AC121" s="142">
        <f t="shared" si="32"/>
        <v>61.597649612266579</v>
      </c>
      <c r="AD121" s="127">
        <f>'Maintenance Model'!B$114 + 'Maintenance Model'!B$115</f>
        <v>0.99616182311111112</v>
      </c>
      <c r="AE121" s="134" t="e">
        <f>AB121+#REF!+#REF!</f>
        <v>#REF!</v>
      </c>
      <c r="AF121" s="142">
        <f t="shared" si="34"/>
        <v>102.48905789444579</v>
      </c>
      <c r="AG121" s="143">
        <f t="shared" si="35"/>
        <v>62.261757494340657</v>
      </c>
      <c r="AH121" s="61" t="e">
        <f>S121+#REF!+AD121</f>
        <v>#REF!</v>
      </c>
      <c r="AI121" s="61"/>
      <c r="AJ121" s="61"/>
      <c r="AK121" s="61"/>
      <c r="AL121" s="61"/>
      <c r="AM121" s="61"/>
      <c r="AN121" s="61"/>
      <c r="AO121" s="61"/>
      <c r="AP121" s="61"/>
      <c r="AQ121" s="61"/>
      <c r="AR121" s="61"/>
      <c r="AS121" s="61" t="s">
        <v>1151</v>
      </c>
      <c r="AT121" s="61"/>
      <c r="AU121" s="61">
        <v>49.438813690676341</v>
      </c>
      <c r="AV121" s="61">
        <v>82.908958752009681</v>
      </c>
      <c r="AW121" s="25"/>
      <c r="AX121" s="61" t="b">
        <f t="shared" si="33"/>
        <v>1</v>
      </c>
      <c r="AY121" s="61"/>
      <c r="AZ121" s="129"/>
      <c r="BA121" s="25"/>
      <c r="BB121" s="25"/>
      <c r="BC121" s="61"/>
      <c r="BD121" s="61"/>
      <c r="BE121" s="61"/>
      <c r="BF121" s="61"/>
      <c r="BG121" s="25"/>
      <c r="BH121" s="25"/>
      <c r="BI121" s="25"/>
      <c r="BJ121" s="25"/>
      <c r="BK121" s="25"/>
      <c r="BL121" s="25"/>
      <c r="BM121" s="25"/>
      <c r="BN121" s="25"/>
      <c r="BO121" s="25"/>
      <c r="BP121" s="25"/>
      <c r="BQ121" s="25"/>
      <c r="BR121" s="25"/>
      <c r="BS121" s="25"/>
      <c r="BT121" s="25"/>
      <c r="BU121" s="25"/>
      <c r="BV121" s="25"/>
      <c r="BW121" s="25"/>
      <c r="BX121" s="25"/>
      <c r="BY121" s="25"/>
      <c r="BZ121" s="25"/>
    </row>
    <row r="122" spans="1:78" x14ac:dyDescent="0.2">
      <c r="A122" s="106" t="s">
        <v>2127</v>
      </c>
      <c r="B122" s="107">
        <f>VLOOKUP(LEFT(A122,7),'Tariff Schedule Lookup Table'!A$8:D$142,3,FALSE)</f>
        <v>310</v>
      </c>
      <c r="C122" s="108">
        <v>1</v>
      </c>
      <c r="D122" s="108">
        <v>3</v>
      </c>
      <c r="E122" s="108" t="s">
        <v>92</v>
      </c>
      <c r="F122" s="169">
        <f>VLOOKUP(E122,'Lamp Stock'!A$14:H$49,4,FALSE)*(1+'Public Lighting Charges'!$R$11)</f>
        <v>47.492964999999991</v>
      </c>
      <c r="G122" s="169">
        <f>VLOOKUP(E122,'Lamp Stock'!A$14:G$49,6,FALSE)*(1+'Public Lighting Charges'!$R$11)</f>
        <v>98.59807099999999</v>
      </c>
      <c r="H122" s="169">
        <f>VLOOKUP(E122,'Lamp Stock'!A$14:H$49,8,FALSE)*(1+'Public Lighting Charges'!$R$11)</f>
        <v>26.034171799999999</v>
      </c>
      <c r="I122" s="110">
        <v>0.25</v>
      </c>
      <c r="J122" s="110">
        <v>0.1</v>
      </c>
      <c r="K122" s="110">
        <v>0.2</v>
      </c>
      <c r="L122" s="109">
        <v>3</v>
      </c>
      <c r="M122" s="111">
        <f t="shared" si="27"/>
        <v>0.33333333333333331</v>
      </c>
      <c r="N122" s="451">
        <v>4.4699999999999997E-2</v>
      </c>
      <c r="O122" s="194">
        <f>'Maintenance Model'!B$110*I122</f>
        <v>59.964395823800004</v>
      </c>
      <c r="P122" s="113">
        <f t="shared" si="30"/>
        <v>21.733048349999997</v>
      </c>
      <c r="Q122" s="113">
        <f>H122*K122*'Maintenance Model'!B$86</f>
        <v>1.5620503080000001</v>
      </c>
      <c r="R122" s="113">
        <f>'Maintenance Model'!B$106*I122</f>
        <v>15.322666666666667</v>
      </c>
      <c r="S122" s="195">
        <f t="shared" si="28"/>
        <v>98.582161148466653</v>
      </c>
      <c r="T122" s="112">
        <f>'Maintenance Model'!B$110*N122</f>
        <v>10.72163397329544</v>
      </c>
      <c r="U122" s="240">
        <f t="shared" si="25"/>
        <v>12.215488131391998</v>
      </c>
      <c r="V122" s="112">
        <f>'Maintenance Model'!B$106*N122</f>
        <v>2.7396927999999998</v>
      </c>
      <c r="W122" s="112">
        <f>'Maintenance Model'!B$111*M122</f>
        <v>12.300388886933334</v>
      </c>
      <c r="X122" s="240">
        <f t="shared" si="24"/>
        <v>17.566599786666664</v>
      </c>
      <c r="Y122" s="113">
        <f>M122*'Maintenance Model'!B$107</f>
        <v>3.1431111111111112</v>
      </c>
      <c r="Z122" s="113">
        <f t="shared" si="29"/>
        <v>58.686914689398549</v>
      </c>
      <c r="AA122" s="202">
        <f>'Other Maintenance'!B$94</f>
        <v>2.9107349228680333</v>
      </c>
      <c r="AB122" s="112">
        <f t="shared" si="31"/>
        <v>101.49289607133468</v>
      </c>
      <c r="AC122" s="162">
        <f t="shared" si="32"/>
        <v>61.597649612266579</v>
      </c>
      <c r="AD122" s="130">
        <f>'Maintenance Model'!B$114 + 'Maintenance Model'!B$115</f>
        <v>0.99616182311111112</v>
      </c>
      <c r="AE122" s="135" t="e">
        <f>AB122+#REF!+#REF!</f>
        <v>#REF!</v>
      </c>
      <c r="AF122" s="162">
        <f t="shared" si="34"/>
        <v>102.48905789444579</v>
      </c>
      <c r="AG122" s="163">
        <f t="shared" si="35"/>
        <v>62.261757494340657</v>
      </c>
      <c r="AH122" s="61" t="e">
        <f>S122+#REF!+AD122</f>
        <v>#REF!</v>
      </c>
      <c r="AI122" s="61"/>
      <c r="AJ122" s="61"/>
      <c r="AK122" s="61"/>
      <c r="AL122" s="61"/>
      <c r="AM122" s="61"/>
      <c r="AN122" s="61"/>
      <c r="AO122" s="61"/>
      <c r="AP122" s="61"/>
      <c r="AQ122" s="61"/>
      <c r="AR122" s="61"/>
      <c r="AS122" s="61" t="s">
        <v>1153</v>
      </c>
      <c r="AT122" s="61"/>
      <c r="AU122" s="61">
        <v>58.599365628603692</v>
      </c>
      <c r="AV122" s="61">
        <v>104.87351068993704</v>
      </c>
      <c r="AW122" s="25"/>
      <c r="AX122" s="61" t="b">
        <f t="shared" si="33"/>
        <v>1</v>
      </c>
      <c r="AY122" s="61"/>
      <c r="AZ122" s="129"/>
      <c r="BA122" s="25"/>
      <c r="BB122" s="25"/>
      <c r="BC122" s="61"/>
      <c r="BD122" s="61"/>
      <c r="BE122" s="61"/>
      <c r="BF122" s="61"/>
      <c r="BG122" s="25"/>
      <c r="BH122" s="25"/>
      <c r="BI122" s="25"/>
      <c r="BJ122" s="25"/>
      <c r="BK122" s="25"/>
      <c r="BL122" s="25"/>
      <c r="BM122" s="25"/>
      <c r="BN122" s="25"/>
      <c r="BO122" s="25"/>
      <c r="BP122" s="25"/>
      <c r="BQ122" s="25"/>
      <c r="BR122" s="25"/>
      <c r="BS122" s="25"/>
      <c r="BT122" s="25"/>
      <c r="BU122" s="25"/>
      <c r="BV122" s="25"/>
      <c r="BW122" s="25"/>
      <c r="BX122" s="25"/>
      <c r="BY122" s="25"/>
      <c r="BZ122" s="25"/>
    </row>
    <row r="123" spans="1:78" ht="12.4" customHeight="1" x14ac:dyDescent="0.2">
      <c r="A123" s="98" t="s">
        <v>228</v>
      </c>
      <c r="B123" s="99">
        <f>VLOOKUP(LEFT(A123,7),'Tariff Schedule Lookup Table'!A$8:D$142,3,FALSE)</f>
        <v>150</v>
      </c>
      <c r="C123" s="100">
        <v>1</v>
      </c>
      <c r="D123" s="100">
        <v>0</v>
      </c>
      <c r="E123" s="100" t="s">
        <v>106</v>
      </c>
      <c r="F123" s="169">
        <f>VLOOKUP(E123,'Lamp Stock'!A$14:H$49,4,FALSE)*(1+'Public Lighting Charges'!$R$11)</f>
        <v>70.102291999999991</v>
      </c>
      <c r="G123" s="169">
        <f>VLOOKUP(E123,'Lamp Stock'!A$14:G$49,6,FALSE)*(1+'Public Lighting Charges'!$R$11)</f>
        <v>67.961763999999988</v>
      </c>
      <c r="H123" s="169">
        <f>VLOOKUP(E123,'Lamp Stock'!A$14:H$49,8,FALSE)*(1+'Public Lighting Charges'!$R$11)</f>
        <v>10.702639999999999</v>
      </c>
      <c r="I123" s="102">
        <v>0.28000000000000003</v>
      </c>
      <c r="J123" s="102">
        <v>0.1</v>
      </c>
      <c r="K123" s="102">
        <v>0.2</v>
      </c>
      <c r="L123" s="101">
        <v>3</v>
      </c>
      <c r="M123" s="103">
        <f t="shared" si="27"/>
        <v>0.33333333333333331</v>
      </c>
      <c r="N123" s="451">
        <v>5.6500000000000002E-2</v>
      </c>
      <c r="O123" s="192">
        <f>'Maintenance Model'!B$110*I123</f>
        <v>67.160123322656005</v>
      </c>
      <c r="P123" s="105">
        <f>C123*(F123*I123+G123*J123)</f>
        <v>26.424818160000001</v>
      </c>
      <c r="Q123" s="105">
        <f>H123*K123*'Maintenance Model'!B$85</f>
        <v>1.7124223999999999</v>
      </c>
      <c r="R123" s="105">
        <f>'Maintenance Model'!B$104*I123</f>
        <v>2.1451733333333336</v>
      </c>
      <c r="S123" s="193">
        <f>SUM(O123:R123)</f>
        <v>97.442537215989333</v>
      </c>
      <c r="T123" s="104">
        <f>'Maintenance Model'!B$110*N123</f>
        <v>13.551953456178801</v>
      </c>
      <c r="U123" s="240">
        <f t="shared" si="25"/>
        <v>10.877895729999999</v>
      </c>
      <c r="V123" s="104">
        <f>'Maintenance Model'!B$104*N123</f>
        <v>0.43286533333333332</v>
      </c>
      <c r="W123" s="104">
        <f>'Maintenance Model'!B$111*M123</f>
        <v>12.300388886933334</v>
      </c>
      <c r="X123" s="240">
        <f t="shared" si="24"/>
        <v>24.080939999999998</v>
      </c>
      <c r="Y123" s="104">
        <f>M123*'Maintenance Model'!B$105</f>
        <v>0.3928888888888889</v>
      </c>
      <c r="Z123" s="105">
        <f>SUM(T123:Y123)</f>
        <v>61.636932295334354</v>
      </c>
      <c r="AA123" s="203">
        <f>'Other Maintenance'!B$94</f>
        <v>2.9107349228680333</v>
      </c>
      <c r="AB123" s="104">
        <f>(S123+AA123)</f>
        <v>100.35327213885736</v>
      </c>
      <c r="AC123" s="142">
        <f>(Z123+AA123)</f>
        <v>64.547667218202392</v>
      </c>
      <c r="AD123" s="127">
        <f>'Maintenance Model'!B$114 + 'Maintenance Model'!B$115</f>
        <v>0.99616182311111112</v>
      </c>
      <c r="AE123" s="136" t="e">
        <f>AB123+#REF!+#REF!</f>
        <v>#REF!</v>
      </c>
      <c r="AF123" s="142">
        <f t="shared" si="34"/>
        <v>101.34943396196847</v>
      </c>
      <c r="AG123" s="143">
        <f t="shared" si="35"/>
        <v>65.211775100276469</v>
      </c>
      <c r="AH123" s="61" t="e">
        <f>S123+#REF!+AD123</f>
        <v>#REF!</v>
      </c>
      <c r="AI123" s="61"/>
      <c r="AJ123" s="61"/>
      <c r="AK123" s="61"/>
      <c r="AL123" s="61"/>
      <c r="AM123" s="61"/>
      <c r="AN123" s="61"/>
      <c r="AO123" s="61"/>
      <c r="AP123" s="61"/>
      <c r="AQ123" s="61"/>
      <c r="AR123" s="61"/>
      <c r="AS123" s="61" t="s">
        <v>1155</v>
      </c>
      <c r="AT123" s="61"/>
      <c r="AU123" s="61">
        <v>50.930252322605092</v>
      </c>
      <c r="AV123" s="61">
        <v>61.668970553738433</v>
      </c>
      <c r="AW123" s="25"/>
      <c r="AX123" s="61" t="b">
        <f>AF123 &gt; AG123</f>
        <v>1</v>
      </c>
      <c r="AY123" s="61"/>
      <c r="AZ123" s="129"/>
      <c r="BA123" s="25"/>
      <c r="BB123" s="25"/>
      <c r="BC123" s="61"/>
      <c r="BD123" s="61"/>
      <c r="BE123" s="61"/>
      <c r="BF123" s="61"/>
      <c r="BG123" s="25"/>
      <c r="BH123" s="25"/>
      <c r="BI123" s="25"/>
      <c r="BJ123" s="25"/>
      <c r="BK123" s="25"/>
      <c r="BL123" s="25"/>
      <c r="BM123" s="25"/>
      <c r="BN123" s="25"/>
      <c r="BO123" s="25"/>
      <c r="BP123" s="25"/>
      <c r="BQ123" s="25"/>
      <c r="BR123" s="25"/>
      <c r="BS123" s="25"/>
      <c r="BT123" s="25"/>
      <c r="BU123" s="25"/>
      <c r="BV123" s="25"/>
      <c r="BW123" s="25"/>
      <c r="BX123" s="25"/>
      <c r="BY123" s="25"/>
      <c r="BZ123" s="25"/>
    </row>
    <row r="124" spans="1:78" ht="12.4" customHeight="1" x14ac:dyDescent="0.2">
      <c r="A124" s="98" t="s">
        <v>229</v>
      </c>
      <c r="B124" s="99">
        <f>VLOOKUP(LEFT(A124,7),'Tariff Schedule Lookup Table'!A$8:D$142,3,FALSE)</f>
        <v>250</v>
      </c>
      <c r="C124" s="100">
        <v>1</v>
      </c>
      <c r="D124" s="100">
        <v>5</v>
      </c>
      <c r="E124" s="100" t="s">
        <v>106</v>
      </c>
      <c r="F124" s="169">
        <f>VLOOKUP(E124,'Lamp Stock'!A$14:H$49,4,FALSE)*(1+'Public Lighting Charges'!$R$11)</f>
        <v>70.102291999999991</v>
      </c>
      <c r="G124" s="169">
        <f>VLOOKUP(E124,'Lamp Stock'!A$14:G$49,6,FALSE)*(1+'Public Lighting Charges'!$R$11)</f>
        <v>67.961763999999988</v>
      </c>
      <c r="H124" s="169">
        <f>VLOOKUP(E124,'Lamp Stock'!A$14:H$49,8,FALSE)*(1+'Public Lighting Charges'!$R$11)</f>
        <v>10.702639999999999</v>
      </c>
      <c r="I124" s="102">
        <v>0.28000000000000003</v>
      </c>
      <c r="J124" s="102">
        <v>0.1</v>
      </c>
      <c r="K124" s="102">
        <v>0.2</v>
      </c>
      <c r="L124" s="101">
        <v>3</v>
      </c>
      <c r="M124" s="103">
        <f t="shared" si="27"/>
        <v>0.33333333333333331</v>
      </c>
      <c r="N124" s="451">
        <v>5.6500000000000002E-2</v>
      </c>
      <c r="O124" s="192">
        <f>'Maintenance Model'!B$110*I124</f>
        <v>67.160123322656005</v>
      </c>
      <c r="P124" s="105">
        <f>C124*(F124*I124+G124*J124)</f>
        <v>26.424818160000001</v>
      </c>
      <c r="Q124" s="105">
        <f>H124*K124*'Maintenance Model'!B$85</f>
        <v>1.7124223999999999</v>
      </c>
      <c r="R124" s="105">
        <f>'Maintenance Model'!B$104*I124</f>
        <v>2.1451733333333336</v>
      </c>
      <c r="S124" s="193">
        <f>SUM(O124:R124)</f>
        <v>97.442537215989333</v>
      </c>
      <c r="T124" s="104">
        <f>'Maintenance Model'!B$110*N124</f>
        <v>13.551953456178801</v>
      </c>
      <c r="U124" s="240">
        <f t="shared" si="25"/>
        <v>10.877895729999999</v>
      </c>
      <c r="V124" s="104">
        <f>'Maintenance Model'!B$104*N124</f>
        <v>0.43286533333333332</v>
      </c>
      <c r="W124" s="104">
        <f>'Maintenance Model'!B$111*M124</f>
        <v>12.300388886933334</v>
      </c>
      <c r="X124" s="240">
        <f t="shared" si="24"/>
        <v>24.080939999999998</v>
      </c>
      <c r="Y124" s="104">
        <f>M124*'Maintenance Model'!B$105</f>
        <v>0.3928888888888889</v>
      </c>
      <c r="Z124" s="105">
        <f>SUM(T124:Y124)</f>
        <v>61.636932295334354</v>
      </c>
      <c r="AA124" s="203">
        <f>'Other Maintenance'!B$94</f>
        <v>2.9107349228680333</v>
      </c>
      <c r="AB124" s="104">
        <f>(S124+AA124)</f>
        <v>100.35327213885736</v>
      </c>
      <c r="AC124" s="142">
        <f>(Z124+AA124)</f>
        <v>64.547667218202392</v>
      </c>
      <c r="AD124" s="127">
        <f>'Maintenance Model'!B$114 + 'Maintenance Model'!B$115</f>
        <v>0.99616182311111112</v>
      </c>
      <c r="AE124" s="136" t="e">
        <f>AB124+#REF!+#REF!</f>
        <v>#REF!</v>
      </c>
      <c r="AF124" s="142">
        <f t="shared" si="34"/>
        <v>101.34943396196847</v>
      </c>
      <c r="AG124" s="143">
        <f t="shared" si="35"/>
        <v>65.211775100276469</v>
      </c>
      <c r="AH124" s="61" t="e">
        <f>S124+#REF!+AD124</f>
        <v>#REF!</v>
      </c>
      <c r="AI124" s="61"/>
      <c r="AJ124" s="61"/>
      <c r="AK124" s="61"/>
      <c r="AL124" s="61"/>
      <c r="AM124" s="61"/>
      <c r="AN124" s="61"/>
      <c r="AO124" s="61"/>
      <c r="AP124" s="61"/>
      <c r="AQ124" s="61"/>
      <c r="AR124" s="61"/>
      <c r="AS124" s="61" t="s">
        <v>1155</v>
      </c>
      <c r="AT124" s="61"/>
      <c r="AU124" s="61">
        <v>50.930252322605092</v>
      </c>
      <c r="AV124" s="61">
        <v>61.668970553738433</v>
      </c>
      <c r="AW124" s="25"/>
      <c r="AX124" s="61" t="b">
        <f>AF124 &gt; AG124</f>
        <v>1</v>
      </c>
      <c r="AY124" s="61"/>
      <c r="AZ124" s="129"/>
      <c r="BA124" s="25"/>
      <c r="BB124" s="25"/>
      <c r="BC124" s="61"/>
      <c r="BD124" s="61"/>
      <c r="BE124" s="61"/>
      <c r="BF124" s="61"/>
      <c r="BG124" s="25"/>
      <c r="BH124" s="25"/>
      <c r="BI124" s="25"/>
      <c r="BJ124" s="25"/>
      <c r="BK124" s="25"/>
      <c r="BL124" s="25"/>
      <c r="BM124" s="25"/>
      <c r="BN124" s="25"/>
      <c r="BO124" s="25"/>
      <c r="BP124" s="25"/>
      <c r="BQ124" s="25"/>
      <c r="BR124" s="25"/>
      <c r="BS124" s="25"/>
      <c r="BT124" s="25"/>
      <c r="BU124" s="25"/>
      <c r="BV124" s="25"/>
      <c r="BW124" s="25"/>
      <c r="BX124" s="25"/>
      <c r="BY124" s="25"/>
      <c r="BZ124" s="25"/>
    </row>
    <row r="125" spans="1:78" ht="12.4" customHeight="1" x14ac:dyDescent="0.2">
      <c r="A125" s="98" t="s">
        <v>230</v>
      </c>
      <c r="B125" s="99">
        <f>VLOOKUP(LEFT(A125,7),'Tariff Schedule Lookup Table'!A$8:D$142,3,FALSE)</f>
        <v>400</v>
      </c>
      <c r="C125" s="100">
        <v>1</v>
      </c>
      <c r="D125" s="100">
        <v>2</v>
      </c>
      <c r="E125" s="100" t="s">
        <v>107</v>
      </c>
      <c r="F125" s="169">
        <f>VLOOKUP(E125,'Lamp Stock'!A$14:H$49,4,FALSE)*(1+'Public Lighting Charges'!$R$11)</f>
        <v>75.988743999999997</v>
      </c>
      <c r="G125" s="169">
        <f>VLOOKUP(E125,'Lamp Stock'!A$14:G$49,6,FALSE)*(1+'Public Lighting Charges'!$R$11)</f>
        <v>81.233037600000003</v>
      </c>
      <c r="H125" s="169">
        <f>VLOOKUP(E125,'Lamp Stock'!A$14:H$49,8,FALSE)*(1+'Public Lighting Charges'!$R$11)</f>
        <v>10.702639999999999</v>
      </c>
      <c r="I125" s="102">
        <v>0.28000000000000003</v>
      </c>
      <c r="J125" s="102">
        <v>0.1</v>
      </c>
      <c r="K125" s="102">
        <v>0.2</v>
      </c>
      <c r="L125" s="101">
        <v>3</v>
      </c>
      <c r="M125" s="103">
        <f t="shared" si="27"/>
        <v>0.33333333333333331</v>
      </c>
      <c r="N125" s="451">
        <v>5.6500000000000002E-2</v>
      </c>
      <c r="O125" s="192">
        <f>'Maintenance Model'!B$110*I125</f>
        <v>67.160123322656005</v>
      </c>
      <c r="P125" s="105">
        <f>C125*(F125*I125+G125*J125)</f>
        <v>29.400152080000005</v>
      </c>
      <c r="Q125" s="105">
        <f>H125*K125*'Maintenance Model'!B$85</f>
        <v>1.7124223999999999</v>
      </c>
      <c r="R125" s="105">
        <f>'Maintenance Model'!B$104*I125</f>
        <v>2.1451733333333336</v>
      </c>
      <c r="S125" s="193">
        <f>SUM(O125:R125)</f>
        <v>100.41787113598933</v>
      </c>
      <c r="T125" s="104">
        <f>'Maintenance Model'!B$110*N125</f>
        <v>13.551953456178801</v>
      </c>
      <c r="U125" s="240">
        <f t="shared" si="25"/>
        <v>12.537607628</v>
      </c>
      <c r="V125" s="104">
        <f>'Maintenance Model'!B$104*N125</f>
        <v>0.43286533333333332</v>
      </c>
      <c r="W125" s="104">
        <f>'Maintenance Model'!B$111*M125</f>
        <v>12.300388886933334</v>
      </c>
      <c r="X125" s="240">
        <f t="shared" si="24"/>
        <v>26.043090666666664</v>
      </c>
      <c r="Y125" s="104">
        <f>M125*'Maintenance Model'!B$105</f>
        <v>0.3928888888888889</v>
      </c>
      <c r="Z125" s="105">
        <f>SUM(T125:Y125)</f>
        <v>65.258794860001032</v>
      </c>
      <c r="AA125" s="203">
        <f>'Other Maintenance'!B$94</f>
        <v>2.9107349228680333</v>
      </c>
      <c r="AB125" s="104">
        <f>(S125+AA125)</f>
        <v>103.32860605885736</v>
      </c>
      <c r="AC125" s="142">
        <f>(Z125+AA125)</f>
        <v>68.169529782869063</v>
      </c>
      <c r="AD125" s="127">
        <f>'Maintenance Model'!B$114 + 'Maintenance Model'!B$115</f>
        <v>0.99616182311111112</v>
      </c>
      <c r="AE125" s="136" t="e">
        <f>AB125+#REF!+#REF!</f>
        <v>#REF!</v>
      </c>
      <c r="AF125" s="142">
        <f t="shared" si="34"/>
        <v>104.32476788196847</v>
      </c>
      <c r="AG125" s="143">
        <f t="shared" si="35"/>
        <v>68.83363766494314</v>
      </c>
      <c r="AH125" s="61" t="e">
        <f>S125+#REF!+AD125</f>
        <v>#REF!</v>
      </c>
      <c r="AI125" s="61"/>
      <c r="AJ125" s="61"/>
      <c r="AK125" s="61"/>
      <c r="AL125" s="61"/>
      <c r="AM125" s="61"/>
      <c r="AN125" s="61"/>
      <c r="AO125" s="61"/>
      <c r="AP125" s="61"/>
      <c r="AQ125" s="61"/>
      <c r="AR125" s="61"/>
      <c r="AS125" s="61" t="s">
        <v>1155</v>
      </c>
      <c r="AT125" s="61"/>
      <c r="AU125" s="61">
        <v>50.930252322605092</v>
      </c>
      <c r="AV125" s="61">
        <v>61.668970553738433</v>
      </c>
      <c r="AW125" s="25"/>
      <c r="AX125" s="61" t="b">
        <f>AF125 &gt; AG125</f>
        <v>1</v>
      </c>
      <c r="AY125" s="61"/>
      <c r="AZ125" s="129"/>
      <c r="BA125" s="25"/>
      <c r="BB125" s="25"/>
      <c r="BC125" s="61"/>
      <c r="BD125" s="61"/>
      <c r="BE125" s="61"/>
      <c r="BF125" s="61"/>
      <c r="BG125" s="25"/>
      <c r="BH125" s="25"/>
      <c r="BI125" s="25"/>
      <c r="BJ125" s="25"/>
      <c r="BK125" s="25"/>
      <c r="BL125" s="25"/>
      <c r="BM125" s="25"/>
      <c r="BN125" s="25"/>
      <c r="BO125" s="25"/>
      <c r="BP125" s="25"/>
      <c r="BQ125" s="25"/>
      <c r="BR125" s="25"/>
      <c r="BS125" s="25"/>
      <c r="BT125" s="25"/>
      <c r="BU125" s="25"/>
      <c r="BV125" s="25"/>
      <c r="BW125" s="25"/>
      <c r="BX125" s="25"/>
      <c r="BY125" s="25"/>
      <c r="BZ125" s="25"/>
    </row>
    <row r="126" spans="1:78" ht="12.4" customHeight="1" x14ac:dyDescent="0.2">
      <c r="A126" s="98" t="s">
        <v>2128</v>
      </c>
      <c r="B126" s="99">
        <f>VLOOKUP(LEFT(A126,7),'Tariff Schedule Lookup Table'!A$8:D$142,3,FALSE)</f>
        <v>70</v>
      </c>
      <c r="C126" s="100">
        <v>1</v>
      </c>
      <c r="D126" s="100">
        <v>45</v>
      </c>
      <c r="E126" s="100" t="s">
        <v>106</v>
      </c>
      <c r="F126" s="169">
        <f>VLOOKUP(E126,'Lamp Stock'!A$14:H$49,4,FALSE)*(1+'Public Lighting Charges'!$R$11)</f>
        <v>70.102291999999991</v>
      </c>
      <c r="G126" s="169">
        <f>VLOOKUP(E126,'Lamp Stock'!A$14:G$49,6,FALSE)*(1+'Public Lighting Charges'!$R$11)</f>
        <v>67.961763999999988</v>
      </c>
      <c r="H126" s="169">
        <f>VLOOKUP(E126,'Lamp Stock'!A$14:H$49,8,FALSE)*(1+'Public Lighting Charges'!$R$11)</f>
        <v>10.702639999999999</v>
      </c>
      <c r="I126" s="102">
        <v>0.28000000000000003</v>
      </c>
      <c r="J126" s="102">
        <v>0.1</v>
      </c>
      <c r="K126" s="102">
        <v>0.2</v>
      </c>
      <c r="L126" s="101">
        <v>3</v>
      </c>
      <c r="M126" s="103">
        <f t="shared" si="27"/>
        <v>0.33333333333333331</v>
      </c>
      <c r="N126" s="451">
        <v>5.6500000000000002E-2</v>
      </c>
      <c r="O126" s="192">
        <f>'Maintenance Model'!B$110*I126</f>
        <v>67.160123322656005</v>
      </c>
      <c r="P126" s="105">
        <f t="shared" si="30"/>
        <v>26.424818160000001</v>
      </c>
      <c r="Q126" s="105">
        <f>H126*K126*'Maintenance Model'!B$85</f>
        <v>1.7124223999999999</v>
      </c>
      <c r="R126" s="105">
        <f>'Maintenance Model'!B$104*I126</f>
        <v>2.1451733333333336</v>
      </c>
      <c r="S126" s="193">
        <f t="shared" si="28"/>
        <v>97.442537215989333</v>
      </c>
      <c r="T126" s="104">
        <f>'Maintenance Model'!B$110*N126</f>
        <v>13.551953456178801</v>
      </c>
      <c r="U126" s="240">
        <f t="shared" si="25"/>
        <v>10.877895729999999</v>
      </c>
      <c r="V126" s="104">
        <f>'Maintenance Model'!B$104*N126</f>
        <v>0.43286533333333332</v>
      </c>
      <c r="W126" s="104">
        <f>'Maintenance Model'!B$111*M126</f>
        <v>12.300388886933334</v>
      </c>
      <c r="X126" s="240">
        <f t="shared" si="24"/>
        <v>24.080939999999998</v>
      </c>
      <c r="Y126" s="104">
        <f>M126*'Maintenance Model'!B$105</f>
        <v>0.3928888888888889</v>
      </c>
      <c r="Z126" s="105">
        <f t="shared" si="29"/>
        <v>61.636932295334354</v>
      </c>
      <c r="AA126" s="203">
        <f>'Other Maintenance'!B$94</f>
        <v>2.9107349228680333</v>
      </c>
      <c r="AB126" s="104">
        <f t="shared" si="31"/>
        <v>100.35327213885736</v>
      </c>
      <c r="AC126" s="142">
        <f t="shared" si="32"/>
        <v>64.547667218202392</v>
      </c>
      <c r="AD126" s="127">
        <f>'Maintenance Model'!B$114 + 'Maintenance Model'!B$115</f>
        <v>0.99616182311111112</v>
      </c>
      <c r="AE126" s="136" t="e">
        <f>AB126+#REF!+#REF!</f>
        <v>#REF!</v>
      </c>
      <c r="AF126" s="142">
        <f t="shared" si="34"/>
        <v>101.34943396196847</v>
      </c>
      <c r="AG126" s="143">
        <f t="shared" si="35"/>
        <v>65.211775100276469</v>
      </c>
      <c r="AH126" s="61" t="e">
        <f>S126+#REF!+AD126</f>
        <v>#REF!</v>
      </c>
      <c r="AI126" s="61"/>
      <c r="AJ126" s="61"/>
      <c r="AK126" s="61"/>
      <c r="AL126" s="61"/>
      <c r="AM126" s="61"/>
      <c r="AN126" s="61"/>
      <c r="AO126" s="61"/>
      <c r="AP126" s="61"/>
      <c r="AQ126" s="61"/>
      <c r="AR126" s="61"/>
      <c r="AS126" s="61" t="s">
        <v>1155</v>
      </c>
      <c r="AT126" s="61"/>
      <c r="AU126" s="61">
        <v>50.930252322605092</v>
      </c>
      <c r="AV126" s="61">
        <v>61.668970553738433</v>
      </c>
      <c r="AW126" s="25"/>
      <c r="AX126" s="61" t="b">
        <f t="shared" si="33"/>
        <v>1</v>
      </c>
      <c r="AY126" s="61"/>
      <c r="AZ126" s="129"/>
      <c r="BA126" s="25"/>
      <c r="BB126" s="25"/>
      <c r="BC126" s="61"/>
      <c r="BD126" s="61"/>
      <c r="BE126" s="61"/>
      <c r="BF126" s="61"/>
      <c r="BG126" s="25"/>
      <c r="BH126" s="25"/>
      <c r="BI126" s="25"/>
      <c r="BJ126" s="25"/>
      <c r="BK126" s="25"/>
      <c r="BL126" s="25"/>
      <c r="BM126" s="25"/>
      <c r="BN126" s="25"/>
      <c r="BO126" s="25"/>
      <c r="BP126" s="25"/>
      <c r="BQ126" s="25"/>
      <c r="BR126" s="25"/>
      <c r="BS126" s="25"/>
      <c r="BT126" s="25"/>
      <c r="BU126" s="25"/>
      <c r="BV126" s="25"/>
      <c r="BW126" s="25"/>
      <c r="BX126" s="25"/>
      <c r="BY126" s="25"/>
      <c r="BZ126" s="25"/>
    </row>
    <row r="127" spans="1:78" ht="12.4" customHeight="1" x14ac:dyDescent="0.2">
      <c r="A127" s="98" t="s">
        <v>2129</v>
      </c>
      <c r="B127" s="99">
        <f>VLOOKUP(LEFT(A127,7),'Tariff Schedule Lookup Table'!A$8:D$142,3,FALSE)</f>
        <v>100</v>
      </c>
      <c r="C127" s="100">
        <v>1</v>
      </c>
      <c r="D127" s="100">
        <v>6</v>
      </c>
      <c r="E127" s="100" t="s">
        <v>106</v>
      </c>
      <c r="F127" s="169">
        <f>VLOOKUP(E127,'Lamp Stock'!A$14:H$49,4,FALSE)*(1+'Public Lighting Charges'!$R$11)</f>
        <v>70.102291999999991</v>
      </c>
      <c r="G127" s="169">
        <f>VLOOKUP(E127,'Lamp Stock'!A$14:G$49,6,FALSE)*(1+'Public Lighting Charges'!$R$11)</f>
        <v>67.961763999999988</v>
      </c>
      <c r="H127" s="169">
        <f>VLOOKUP(E127,'Lamp Stock'!A$14:H$49,8,FALSE)*(1+'Public Lighting Charges'!$R$11)</f>
        <v>10.702639999999999</v>
      </c>
      <c r="I127" s="102">
        <v>0.28000000000000003</v>
      </c>
      <c r="J127" s="102">
        <v>0.1</v>
      </c>
      <c r="K127" s="102">
        <v>0.2</v>
      </c>
      <c r="L127" s="101">
        <v>3</v>
      </c>
      <c r="M127" s="103">
        <f t="shared" si="27"/>
        <v>0.33333333333333331</v>
      </c>
      <c r="N127" s="451">
        <v>5.6500000000000002E-2</v>
      </c>
      <c r="O127" s="192">
        <f>'Maintenance Model'!B$110*I127</f>
        <v>67.160123322656005</v>
      </c>
      <c r="P127" s="105">
        <f t="shared" si="30"/>
        <v>26.424818160000001</v>
      </c>
      <c r="Q127" s="105">
        <f>H127*K127*'Maintenance Model'!B$85</f>
        <v>1.7124223999999999</v>
      </c>
      <c r="R127" s="105">
        <f>'Maintenance Model'!B$104*I127</f>
        <v>2.1451733333333336</v>
      </c>
      <c r="S127" s="193">
        <f t="shared" si="28"/>
        <v>97.442537215989333</v>
      </c>
      <c r="T127" s="104">
        <f>'Maintenance Model'!B$110*N127</f>
        <v>13.551953456178801</v>
      </c>
      <c r="U127" s="240">
        <f t="shared" si="25"/>
        <v>10.877895729999999</v>
      </c>
      <c r="V127" s="104">
        <f>'Maintenance Model'!B$104*N127</f>
        <v>0.43286533333333332</v>
      </c>
      <c r="W127" s="104">
        <f>'Maintenance Model'!B$111*M127</f>
        <v>12.300388886933334</v>
      </c>
      <c r="X127" s="240">
        <f t="shared" si="24"/>
        <v>24.080939999999998</v>
      </c>
      <c r="Y127" s="104">
        <f>M127*'Maintenance Model'!B$105</f>
        <v>0.3928888888888889</v>
      </c>
      <c r="Z127" s="105">
        <f t="shared" si="29"/>
        <v>61.636932295334354</v>
      </c>
      <c r="AA127" s="203">
        <f>'Other Maintenance'!B$94</f>
        <v>2.9107349228680333</v>
      </c>
      <c r="AB127" s="104">
        <f t="shared" si="31"/>
        <v>100.35327213885736</v>
      </c>
      <c r="AC127" s="142">
        <f t="shared" si="32"/>
        <v>64.547667218202392</v>
      </c>
      <c r="AD127" s="127">
        <f>'Maintenance Model'!B$114 + 'Maintenance Model'!B$115</f>
        <v>0.99616182311111112</v>
      </c>
      <c r="AE127" s="136" t="e">
        <f>AB127+#REF!+#REF!</f>
        <v>#REF!</v>
      </c>
      <c r="AF127" s="142">
        <f t="shared" si="34"/>
        <v>101.34943396196847</v>
      </c>
      <c r="AG127" s="143">
        <f t="shared" si="35"/>
        <v>65.211775100276469</v>
      </c>
      <c r="AH127" s="61" t="e">
        <f>S127+#REF!+AD127</f>
        <v>#REF!</v>
      </c>
      <c r="AI127" s="61"/>
      <c r="AJ127" s="61"/>
      <c r="AK127" s="61"/>
      <c r="AL127" s="61"/>
      <c r="AM127" s="61"/>
      <c r="AN127" s="61"/>
      <c r="AO127" s="61"/>
      <c r="AP127" s="61"/>
      <c r="AQ127" s="61"/>
      <c r="AR127" s="61"/>
      <c r="AS127" s="61" t="s">
        <v>1157</v>
      </c>
      <c r="AT127" s="61"/>
      <c r="AU127" s="61">
        <v>51.040031345440006</v>
      </c>
      <c r="AV127" s="61">
        <v>61.778749576573347</v>
      </c>
      <c r="AW127" s="25"/>
      <c r="AX127" s="61" t="b">
        <f t="shared" si="33"/>
        <v>1</v>
      </c>
      <c r="AY127" s="61"/>
      <c r="AZ127" s="129"/>
      <c r="BA127" s="25"/>
      <c r="BB127" s="25"/>
      <c r="BC127" s="61"/>
      <c r="BD127" s="61"/>
      <c r="BE127" s="61"/>
      <c r="BF127" s="61"/>
      <c r="BG127" s="25"/>
      <c r="BH127" s="25"/>
      <c r="BI127" s="25"/>
      <c r="BJ127" s="25"/>
      <c r="BK127" s="25"/>
      <c r="BL127" s="25"/>
      <c r="BM127" s="25"/>
      <c r="BN127" s="25"/>
      <c r="BO127" s="25"/>
      <c r="BP127" s="25"/>
      <c r="BQ127" s="25"/>
      <c r="BR127" s="25"/>
      <c r="BS127" s="25"/>
      <c r="BT127" s="25"/>
      <c r="BU127" s="25"/>
      <c r="BV127" s="25"/>
      <c r="BW127" s="25"/>
      <c r="BX127" s="25"/>
      <c r="BY127" s="25"/>
      <c r="BZ127" s="25"/>
    </row>
    <row r="128" spans="1:78" ht="12.75" customHeight="1" x14ac:dyDescent="0.2">
      <c r="A128" s="98" t="s">
        <v>2130</v>
      </c>
      <c r="B128" s="99">
        <f>VLOOKUP(LEFT(A128,7),'Tariff Schedule Lookup Table'!A$8:D$142,3,FALSE)</f>
        <v>150</v>
      </c>
      <c r="C128" s="100">
        <v>1</v>
      </c>
      <c r="D128" s="100">
        <v>55</v>
      </c>
      <c r="E128" s="100" t="s">
        <v>106</v>
      </c>
      <c r="F128" s="169">
        <f>VLOOKUP(E128,'Lamp Stock'!A$14:H$49,4,FALSE)*(1+'Public Lighting Charges'!$R$11)</f>
        <v>70.102291999999991</v>
      </c>
      <c r="G128" s="169">
        <f>VLOOKUP(E128,'Lamp Stock'!A$14:G$49,6,FALSE)*(1+'Public Lighting Charges'!$R$11)</f>
        <v>67.961763999999988</v>
      </c>
      <c r="H128" s="169">
        <f>VLOOKUP(E128,'Lamp Stock'!A$14:H$49,8,FALSE)*(1+'Public Lighting Charges'!$R$11)</f>
        <v>10.702639999999999</v>
      </c>
      <c r="I128" s="102">
        <v>0.28000000000000003</v>
      </c>
      <c r="J128" s="102">
        <v>0.1</v>
      </c>
      <c r="K128" s="102">
        <v>0.2</v>
      </c>
      <c r="L128" s="101">
        <v>3</v>
      </c>
      <c r="M128" s="103">
        <f t="shared" si="27"/>
        <v>0.33333333333333331</v>
      </c>
      <c r="N128" s="451">
        <v>5.6500000000000002E-2</v>
      </c>
      <c r="O128" s="192">
        <f>'Maintenance Model'!B$110*I128</f>
        <v>67.160123322656005</v>
      </c>
      <c r="P128" s="105">
        <f t="shared" si="30"/>
        <v>26.424818160000001</v>
      </c>
      <c r="Q128" s="105">
        <f>H128*K128*'Maintenance Model'!B$86</f>
        <v>0.64215839999999991</v>
      </c>
      <c r="R128" s="105">
        <f>'Maintenance Model'!B$106*I128</f>
        <v>17.161386666666669</v>
      </c>
      <c r="S128" s="193">
        <f t="shared" si="28"/>
        <v>111.38848654932268</v>
      </c>
      <c r="T128" s="104">
        <f>'Maintenance Model'!B$110*N128</f>
        <v>13.551953456178801</v>
      </c>
      <c r="U128" s="240">
        <f t="shared" si="25"/>
        <v>10.877895729999999</v>
      </c>
      <c r="V128" s="104">
        <f>'Maintenance Model'!B$106*N128</f>
        <v>3.4629226666666666</v>
      </c>
      <c r="W128" s="104">
        <f>'Maintenance Model'!B$111*M128</f>
        <v>12.300388886933334</v>
      </c>
      <c r="X128" s="240">
        <f t="shared" si="24"/>
        <v>24.080939999999998</v>
      </c>
      <c r="Y128" s="105">
        <f>M128*'Maintenance Model'!B$107</f>
        <v>3.1431111111111112</v>
      </c>
      <c r="Z128" s="105">
        <f t="shared" si="29"/>
        <v>67.417211850889913</v>
      </c>
      <c r="AA128" s="203">
        <f>'Other Maintenance'!B$94</f>
        <v>2.9107349228680333</v>
      </c>
      <c r="AB128" s="104">
        <f t="shared" si="31"/>
        <v>114.29922147219071</v>
      </c>
      <c r="AC128" s="142">
        <f t="shared" si="32"/>
        <v>70.327946773757944</v>
      </c>
      <c r="AD128" s="127">
        <f>'Maintenance Model'!B$114 + 'Maintenance Model'!B$115</f>
        <v>0.99616182311111112</v>
      </c>
      <c r="AE128" s="136" t="e">
        <f>AB128+#REF!+#REF!</f>
        <v>#REF!</v>
      </c>
      <c r="AF128" s="142">
        <f t="shared" si="34"/>
        <v>115.29538329530182</v>
      </c>
      <c r="AG128" s="143">
        <f t="shared" si="35"/>
        <v>70.992054655832021</v>
      </c>
      <c r="AH128" s="61" t="e">
        <f>S128+#REF!+AD128</f>
        <v>#REF!</v>
      </c>
      <c r="AI128" s="61"/>
      <c r="AJ128" s="61"/>
      <c r="AK128" s="61"/>
      <c r="AL128" s="61"/>
      <c r="AM128" s="61"/>
      <c r="AN128" s="61"/>
      <c r="AO128" s="61"/>
      <c r="AP128" s="61"/>
      <c r="AQ128" s="61"/>
      <c r="AR128" s="61"/>
      <c r="AS128" s="61" t="s">
        <v>1159</v>
      </c>
      <c r="AT128" s="61"/>
      <c r="AU128" s="61">
        <v>45.027871345440012</v>
      </c>
      <c r="AV128" s="61">
        <v>64.99459957657335</v>
      </c>
      <c r="AW128" s="25"/>
      <c r="AX128" s="61" t="b">
        <f t="shared" si="33"/>
        <v>1</v>
      </c>
      <c r="AY128" s="61"/>
      <c r="AZ128" s="129"/>
      <c r="BA128" s="25"/>
      <c r="BB128" s="25"/>
      <c r="BC128" s="61"/>
      <c r="BD128" s="61"/>
      <c r="BE128" s="61"/>
      <c r="BF128" s="61"/>
      <c r="BG128" s="25"/>
      <c r="BH128" s="25"/>
      <c r="BI128" s="25"/>
      <c r="BJ128" s="25"/>
      <c r="BK128" s="25"/>
      <c r="BL128" s="25"/>
      <c r="BM128" s="25"/>
      <c r="BN128" s="25"/>
      <c r="BO128" s="25"/>
      <c r="BP128" s="25"/>
      <c r="BQ128" s="25"/>
      <c r="BR128" s="25"/>
      <c r="BS128" s="25"/>
      <c r="BT128" s="25"/>
      <c r="BU128" s="25"/>
      <c r="BV128" s="25"/>
      <c r="BW128" s="25"/>
      <c r="BX128" s="25"/>
      <c r="BY128" s="25"/>
      <c r="BZ128" s="25"/>
    </row>
    <row r="129" spans="1:78" ht="12.75" customHeight="1" x14ac:dyDescent="0.2">
      <c r="A129" s="98" t="s">
        <v>231</v>
      </c>
      <c r="B129" s="99" t="str">
        <f>VLOOKUP(LEFT(A129,7),'Tariff Schedule Lookup Table'!A$8:D$142,3,FALSE)</f>
        <v>4x150</v>
      </c>
      <c r="C129" s="100">
        <v>4</v>
      </c>
      <c r="D129" s="100">
        <v>0</v>
      </c>
      <c r="E129" s="100" t="s">
        <v>106</v>
      </c>
      <c r="F129" s="169">
        <f>VLOOKUP(E129,'Lamp Stock'!A$14:H$49,4,FALSE)*(1+'Public Lighting Charges'!$R$11)</f>
        <v>70.102291999999991</v>
      </c>
      <c r="G129" s="169">
        <f>VLOOKUP(E129,'Lamp Stock'!A$14:G$49,6,FALSE)*(1+'Public Lighting Charges'!$R$11)</f>
        <v>67.961763999999988</v>
      </c>
      <c r="H129" s="169">
        <f>VLOOKUP(E129,'Lamp Stock'!A$14:H$49,8,FALSE)*(1+'Public Lighting Charges'!$R$11)</f>
        <v>10.702639999999999</v>
      </c>
      <c r="I129" s="102">
        <v>0.28000000000000003</v>
      </c>
      <c r="J129" s="102">
        <v>0.1</v>
      </c>
      <c r="K129" s="102">
        <v>0.2</v>
      </c>
      <c r="L129" s="101">
        <v>3</v>
      </c>
      <c r="M129" s="103">
        <f t="shared" si="27"/>
        <v>0.33333333333333331</v>
      </c>
      <c r="N129" s="451">
        <v>5.6500000000000002E-2</v>
      </c>
      <c r="O129" s="192">
        <f>'Maintenance Model'!B$110*I129</f>
        <v>67.160123322656005</v>
      </c>
      <c r="P129" s="105">
        <f>C129*(F129*I129+G129*J129)</f>
        <v>105.69927264</v>
      </c>
      <c r="Q129" s="105">
        <f>H129*K129*'Maintenance Model'!B$86</f>
        <v>0.64215839999999991</v>
      </c>
      <c r="R129" s="105">
        <f>'Maintenance Model'!B$106*I129</f>
        <v>17.161386666666669</v>
      </c>
      <c r="S129" s="193">
        <f>SUM(O129:R129)</f>
        <v>190.66294102932267</v>
      </c>
      <c r="T129" s="104">
        <f>'Maintenance Model'!B$110*N129</f>
        <v>13.551953456178801</v>
      </c>
      <c r="U129" s="240">
        <f t="shared" si="25"/>
        <v>43.148763423999995</v>
      </c>
      <c r="V129" s="104">
        <f>'Maintenance Model'!B$106*N129</f>
        <v>3.4629226666666666</v>
      </c>
      <c r="W129" s="104">
        <f>'Maintenance Model'!B$111*M129</f>
        <v>12.300388886933334</v>
      </c>
      <c r="X129" s="240">
        <f t="shared" si="24"/>
        <v>96.323759999999993</v>
      </c>
      <c r="Y129" s="105">
        <f>M129*'Maintenance Model'!B$107</f>
        <v>3.1431111111111112</v>
      </c>
      <c r="Z129" s="105">
        <f>SUM(T129:Y129)</f>
        <v>171.93089954488991</v>
      </c>
      <c r="AA129" s="203">
        <f>'Other Maintenance'!B$94</f>
        <v>2.9107349228680333</v>
      </c>
      <c r="AB129" s="104">
        <f>(S129+AA129)</f>
        <v>193.57367595219071</v>
      </c>
      <c r="AC129" s="142">
        <f>(Z129+AA129)</f>
        <v>174.84163446775796</v>
      </c>
      <c r="AD129" s="127">
        <f>'Maintenance Model'!B$114 + 'Maintenance Model'!B$115</f>
        <v>0.99616182311111112</v>
      </c>
      <c r="AE129" s="136" t="e">
        <f>AB129+#REF!+#REF!</f>
        <v>#REF!</v>
      </c>
      <c r="AF129" s="142">
        <f t="shared" si="34"/>
        <v>194.56983777530183</v>
      </c>
      <c r="AG129" s="143">
        <f t="shared" si="35"/>
        <v>175.50574234983202</v>
      </c>
      <c r="AH129" s="61" t="e">
        <f>S129+#REF!+AD129</f>
        <v>#REF!</v>
      </c>
      <c r="AI129" s="61"/>
      <c r="AJ129" s="61"/>
      <c r="AK129" s="61"/>
      <c r="AL129" s="61"/>
      <c r="AM129" s="61"/>
      <c r="AN129" s="61"/>
      <c r="AO129" s="61"/>
      <c r="AP129" s="61"/>
      <c r="AQ129" s="61"/>
      <c r="AR129" s="61"/>
      <c r="AS129" s="61" t="s">
        <v>1159</v>
      </c>
      <c r="AT129" s="61"/>
      <c r="AU129" s="61">
        <v>45.027871345440012</v>
      </c>
      <c r="AV129" s="61">
        <v>64.99459957657335</v>
      </c>
      <c r="AW129" s="25"/>
      <c r="AX129" s="61" t="b">
        <f>AF129 &gt; AG129</f>
        <v>1</v>
      </c>
      <c r="AY129" s="61"/>
      <c r="AZ129" s="129"/>
      <c r="BA129" s="25"/>
      <c r="BB129" s="25"/>
      <c r="BC129" s="61"/>
      <c r="BD129" s="61"/>
      <c r="BE129" s="61"/>
      <c r="BF129" s="61"/>
      <c r="BG129" s="25"/>
      <c r="BH129" s="25"/>
      <c r="BI129" s="25"/>
      <c r="BJ129" s="25"/>
      <c r="BK129" s="25"/>
      <c r="BL129" s="25"/>
      <c r="BM129" s="25"/>
      <c r="BN129" s="25"/>
      <c r="BO129" s="25"/>
      <c r="BP129" s="25"/>
      <c r="BQ129" s="25"/>
      <c r="BR129" s="25"/>
      <c r="BS129" s="25"/>
      <c r="BT129" s="25"/>
      <c r="BU129" s="25"/>
      <c r="BV129" s="25"/>
      <c r="BW129" s="25"/>
      <c r="BX129" s="25"/>
      <c r="BY129" s="25"/>
      <c r="BZ129" s="25"/>
    </row>
    <row r="130" spans="1:78" ht="12.75" customHeight="1" x14ac:dyDescent="0.2">
      <c r="A130" s="98" t="s">
        <v>232</v>
      </c>
      <c r="B130" s="99">
        <f>VLOOKUP(LEFT(A130,7),'Tariff Schedule Lookup Table'!A$8:D$142,3,FALSE)</f>
        <v>175</v>
      </c>
      <c r="C130" s="100">
        <v>1</v>
      </c>
      <c r="D130" s="100">
        <v>29</v>
      </c>
      <c r="E130" s="100" t="s">
        <v>106</v>
      </c>
      <c r="F130" s="169">
        <f>VLOOKUP(E130,'Lamp Stock'!A$14:H$49,4,FALSE)*(1+'Public Lighting Charges'!$R$11)</f>
        <v>70.102291999999991</v>
      </c>
      <c r="G130" s="169">
        <f>VLOOKUP(E130,'Lamp Stock'!A$14:G$49,6,FALSE)*(1+'Public Lighting Charges'!$R$11)</f>
        <v>67.961763999999988</v>
      </c>
      <c r="H130" s="169">
        <f>VLOOKUP(E130,'Lamp Stock'!A$14:H$49,8,FALSE)*(1+'Public Lighting Charges'!$R$11)</f>
        <v>10.702639999999999</v>
      </c>
      <c r="I130" s="102">
        <v>0.28000000000000003</v>
      </c>
      <c r="J130" s="102">
        <v>0.1</v>
      </c>
      <c r="K130" s="102">
        <v>0.2</v>
      </c>
      <c r="L130" s="101">
        <v>3</v>
      </c>
      <c r="M130" s="103">
        <f t="shared" si="27"/>
        <v>0.33333333333333331</v>
      </c>
      <c r="N130" s="451">
        <v>5.6500000000000002E-2</v>
      </c>
      <c r="O130" s="192">
        <f>'Maintenance Model'!B$110*I130</f>
        <v>67.160123322656005</v>
      </c>
      <c r="P130" s="105">
        <f>C130*(F130*I130+G130*J130)</f>
        <v>26.424818160000001</v>
      </c>
      <c r="Q130" s="105">
        <f>H130*K130*'Maintenance Model'!B$86</f>
        <v>0.64215839999999991</v>
      </c>
      <c r="R130" s="105">
        <f>'Maintenance Model'!B$106*I130</f>
        <v>17.161386666666669</v>
      </c>
      <c r="S130" s="193">
        <f>SUM(O130:R130)</f>
        <v>111.38848654932268</v>
      </c>
      <c r="T130" s="104">
        <f>'Maintenance Model'!B$110*N130</f>
        <v>13.551953456178801</v>
      </c>
      <c r="U130" s="240">
        <f t="shared" si="25"/>
        <v>10.877895729999999</v>
      </c>
      <c r="V130" s="104">
        <f>'Maintenance Model'!B$106*N130</f>
        <v>3.4629226666666666</v>
      </c>
      <c r="W130" s="104">
        <f>'Maintenance Model'!B$111*M130</f>
        <v>12.300388886933334</v>
      </c>
      <c r="X130" s="240">
        <f t="shared" si="24"/>
        <v>24.080939999999998</v>
      </c>
      <c r="Y130" s="105">
        <f>M130*'Maintenance Model'!B$107</f>
        <v>3.1431111111111112</v>
      </c>
      <c r="Z130" s="105">
        <f>SUM(T130:Y130)</f>
        <v>67.417211850889913</v>
      </c>
      <c r="AA130" s="203">
        <f>'Other Maintenance'!B$94</f>
        <v>2.9107349228680333</v>
      </c>
      <c r="AB130" s="104">
        <f>(S130+AA130)</f>
        <v>114.29922147219071</v>
      </c>
      <c r="AC130" s="142">
        <f>(Z130+AA130)</f>
        <v>70.327946773757944</v>
      </c>
      <c r="AD130" s="127">
        <f>'Maintenance Model'!B$114 + 'Maintenance Model'!B$115</f>
        <v>0.99616182311111112</v>
      </c>
      <c r="AE130" s="136" t="e">
        <f>AB130+#REF!+#REF!</f>
        <v>#REF!</v>
      </c>
      <c r="AF130" s="142">
        <f t="shared" si="34"/>
        <v>115.29538329530182</v>
      </c>
      <c r="AG130" s="143">
        <f t="shared" si="35"/>
        <v>70.992054655832021</v>
      </c>
      <c r="AH130" s="61" t="e">
        <f>S130+#REF!+AD130</f>
        <v>#REF!</v>
      </c>
      <c r="AI130" s="61"/>
      <c r="AJ130" s="61"/>
      <c r="AK130" s="61"/>
      <c r="AL130" s="61"/>
      <c r="AM130" s="61"/>
      <c r="AN130" s="61"/>
      <c r="AO130" s="61"/>
      <c r="AP130" s="61"/>
      <c r="AQ130" s="61"/>
      <c r="AR130" s="61"/>
      <c r="AS130" s="61" t="s">
        <v>1159</v>
      </c>
      <c r="AT130" s="61"/>
      <c r="AU130" s="61">
        <v>45.027871345440012</v>
      </c>
      <c r="AV130" s="61">
        <v>64.99459957657335</v>
      </c>
      <c r="AW130" s="25"/>
      <c r="AX130" s="61" t="b">
        <f>AF130 &gt; AG130</f>
        <v>1</v>
      </c>
      <c r="AY130" s="61"/>
      <c r="AZ130" s="129"/>
      <c r="BA130" s="25"/>
      <c r="BB130" s="25"/>
      <c r="BC130" s="61"/>
      <c r="BD130" s="61"/>
      <c r="BE130" s="61"/>
      <c r="BF130" s="61"/>
      <c r="BG130" s="25"/>
      <c r="BH130" s="25"/>
      <c r="BI130" s="25"/>
      <c r="BJ130" s="25"/>
      <c r="BK130" s="25"/>
      <c r="BL130" s="25"/>
      <c r="BM130" s="25"/>
      <c r="BN130" s="25"/>
      <c r="BO130" s="25"/>
      <c r="BP130" s="25"/>
      <c r="BQ130" s="25"/>
      <c r="BR130" s="25"/>
      <c r="BS130" s="25"/>
      <c r="BT130" s="25"/>
      <c r="BU130" s="25"/>
      <c r="BV130" s="25"/>
      <c r="BW130" s="25"/>
      <c r="BX130" s="25"/>
      <c r="BY130" s="25"/>
      <c r="BZ130" s="25"/>
    </row>
    <row r="131" spans="1:78" ht="13.7" customHeight="1" x14ac:dyDescent="0.2">
      <c r="A131" s="98" t="s">
        <v>2131</v>
      </c>
      <c r="B131" s="99">
        <f>VLOOKUP(LEFT(A131,7),'Tariff Schedule Lookup Table'!A$8:D$142,3,FALSE)</f>
        <v>250</v>
      </c>
      <c r="C131" s="100">
        <v>1</v>
      </c>
      <c r="D131" s="100">
        <v>81</v>
      </c>
      <c r="E131" s="100" t="s">
        <v>106</v>
      </c>
      <c r="F131" s="169">
        <f>VLOOKUP(E131,'Lamp Stock'!A$14:H$49,4,FALSE)*(1+'Public Lighting Charges'!$R$11)</f>
        <v>70.102291999999991</v>
      </c>
      <c r="G131" s="169">
        <f>VLOOKUP(E131,'Lamp Stock'!A$14:G$49,6,FALSE)*(1+'Public Lighting Charges'!$R$11)</f>
        <v>67.961763999999988</v>
      </c>
      <c r="H131" s="169">
        <f>VLOOKUP(E131,'Lamp Stock'!A$14:H$49,8,FALSE)*(1+'Public Lighting Charges'!$R$11)</f>
        <v>10.702639999999999</v>
      </c>
      <c r="I131" s="102">
        <v>0.28000000000000003</v>
      </c>
      <c r="J131" s="102">
        <v>0.1</v>
      </c>
      <c r="K131" s="102">
        <v>0.2</v>
      </c>
      <c r="L131" s="101">
        <v>3</v>
      </c>
      <c r="M131" s="103">
        <f t="shared" si="27"/>
        <v>0.33333333333333331</v>
      </c>
      <c r="N131" s="451">
        <v>5.6500000000000002E-2</v>
      </c>
      <c r="O131" s="192">
        <f>'Maintenance Model'!B$110*I131</f>
        <v>67.160123322656005</v>
      </c>
      <c r="P131" s="105">
        <f t="shared" si="30"/>
        <v>26.424818160000001</v>
      </c>
      <c r="Q131" s="105">
        <f>H131*K131*'Maintenance Model'!B$86</f>
        <v>0.64215839999999991</v>
      </c>
      <c r="R131" s="105">
        <f>'Maintenance Model'!B$106*I131</f>
        <v>17.161386666666669</v>
      </c>
      <c r="S131" s="193">
        <f t="shared" si="28"/>
        <v>111.38848654932268</v>
      </c>
      <c r="T131" s="104">
        <f>'Maintenance Model'!B$110*N131</f>
        <v>13.551953456178801</v>
      </c>
      <c r="U131" s="240">
        <f t="shared" si="25"/>
        <v>10.877895729999999</v>
      </c>
      <c r="V131" s="104">
        <f>'Maintenance Model'!B$106*N131</f>
        <v>3.4629226666666666</v>
      </c>
      <c r="W131" s="104">
        <f>'Maintenance Model'!B$111*M131</f>
        <v>12.300388886933334</v>
      </c>
      <c r="X131" s="240">
        <f t="shared" si="24"/>
        <v>24.080939999999998</v>
      </c>
      <c r="Y131" s="105">
        <f>M131*'Maintenance Model'!B$107</f>
        <v>3.1431111111111112</v>
      </c>
      <c r="Z131" s="105">
        <f t="shared" si="29"/>
        <v>67.417211850889913</v>
      </c>
      <c r="AA131" s="203">
        <f>'Other Maintenance'!B$94</f>
        <v>2.9107349228680333</v>
      </c>
      <c r="AB131" s="104">
        <f t="shared" si="31"/>
        <v>114.29922147219071</v>
      </c>
      <c r="AC131" s="142">
        <f t="shared" si="32"/>
        <v>70.327946773757944</v>
      </c>
      <c r="AD131" s="127">
        <f>'Maintenance Model'!B$114 + 'Maintenance Model'!B$115</f>
        <v>0.99616182311111112</v>
      </c>
      <c r="AE131" s="136" t="e">
        <f>AB131+#REF!+#REF!</f>
        <v>#REF!</v>
      </c>
      <c r="AF131" s="142">
        <f t="shared" si="34"/>
        <v>115.29538329530182</v>
      </c>
      <c r="AG131" s="143">
        <f t="shared" si="35"/>
        <v>70.992054655832021</v>
      </c>
      <c r="AH131" s="61" t="e">
        <f>S131+#REF!+AD131</f>
        <v>#REF!</v>
      </c>
      <c r="AI131" s="61"/>
      <c r="AJ131" s="61"/>
      <c r="AK131" s="61"/>
      <c r="AL131" s="61"/>
      <c r="AM131" s="61"/>
      <c r="AN131" s="61"/>
      <c r="AO131" s="61"/>
      <c r="AP131" s="61"/>
      <c r="AQ131" s="61"/>
      <c r="AR131" s="61"/>
      <c r="AS131" s="61" t="s">
        <v>1161</v>
      </c>
      <c r="AT131" s="61"/>
      <c r="AU131" s="61">
        <v>46.148146911005178</v>
      </c>
      <c r="AV131" s="61">
        <v>66.309707142138521</v>
      </c>
      <c r="AW131" s="25"/>
      <c r="AX131" s="61" t="b">
        <f t="shared" si="33"/>
        <v>1</v>
      </c>
      <c r="AY131" s="61"/>
      <c r="AZ131" s="129"/>
      <c r="BA131" s="25"/>
      <c r="BB131" s="25"/>
      <c r="BC131" s="61"/>
      <c r="BD131" s="61"/>
      <c r="BE131" s="61"/>
      <c r="BF131" s="61"/>
      <c r="BG131" s="25"/>
      <c r="BH131" s="25"/>
      <c r="BI131" s="25"/>
      <c r="BJ131" s="25"/>
      <c r="BK131" s="25"/>
      <c r="BL131" s="25"/>
      <c r="BM131" s="25"/>
      <c r="BN131" s="25"/>
      <c r="BO131" s="25"/>
      <c r="BP131" s="25"/>
      <c r="BQ131" s="25"/>
      <c r="BR131" s="25"/>
      <c r="BS131" s="25"/>
      <c r="BT131" s="25"/>
      <c r="BU131" s="25"/>
      <c r="BV131" s="25"/>
      <c r="BW131" s="25"/>
      <c r="BX131" s="25"/>
      <c r="BY131" s="25"/>
      <c r="BZ131" s="25"/>
    </row>
    <row r="132" spans="1:78" ht="12.4" customHeight="1" x14ac:dyDescent="0.2">
      <c r="A132" s="98" t="s">
        <v>2132</v>
      </c>
      <c r="B132" s="99">
        <f>VLOOKUP(LEFT(A132,7),'Tariff Schedule Lookup Table'!A$8:D$142,3,FALSE)</f>
        <v>400</v>
      </c>
      <c r="C132" s="100">
        <v>1</v>
      </c>
      <c r="D132" s="100">
        <v>162</v>
      </c>
      <c r="E132" s="100" t="s">
        <v>107</v>
      </c>
      <c r="F132" s="169">
        <f>VLOOKUP(E132,'Lamp Stock'!A$14:H$49,4,FALSE)*(1+'Public Lighting Charges'!$R$11)</f>
        <v>75.988743999999997</v>
      </c>
      <c r="G132" s="169">
        <f>VLOOKUP(E132,'Lamp Stock'!A$14:G$49,6,FALSE)*(1+'Public Lighting Charges'!$R$11)</f>
        <v>81.233037600000003</v>
      </c>
      <c r="H132" s="169">
        <f>VLOOKUP(E132,'Lamp Stock'!A$14:H$49,8,FALSE)*(1+'Public Lighting Charges'!$R$11)</f>
        <v>10.702639999999999</v>
      </c>
      <c r="I132" s="102">
        <v>0.28000000000000003</v>
      </c>
      <c r="J132" s="102">
        <v>0.1</v>
      </c>
      <c r="K132" s="102">
        <v>0.2</v>
      </c>
      <c r="L132" s="101">
        <v>3</v>
      </c>
      <c r="M132" s="103">
        <f t="shared" si="27"/>
        <v>0.33333333333333331</v>
      </c>
      <c r="N132" s="451">
        <v>5.6500000000000002E-2</v>
      </c>
      <c r="O132" s="192">
        <f>'Maintenance Model'!B$110*I132</f>
        <v>67.160123322656005</v>
      </c>
      <c r="P132" s="105">
        <f t="shared" si="30"/>
        <v>29.400152080000005</v>
      </c>
      <c r="Q132" s="105">
        <f>H132*K132*'Maintenance Model'!B$86</f>
        <v>0.64215839999999991</v>
      </c>
      <c r="R132" s="105">
        <f>'Maintenance Model'!B$106*I132</f>
        <v>17.161386666666669</v>
      </c>
      <c r="S132" s="193">
        <f t="shared" si="28"/>
        <v>114.36382046932268</v>
      </c>
      <c r="T132" s="104">
        <f>'Maintenance Model'!B$110*N132</f>
        <v>13.551953456178801</v>
      </c>
      <c r="U132" s="240">
        <f t="shared" si="25"/>
        <v>12.537607628</v>
      </c>
      <c r="V132" s="104">
        <f>'Maintenance Model'!B$106*N132</f>
        <v>3.4629226666666666</v>
      </c>
      <c r="W132" s="104">
        <f>'Maintenance Model'!B$111*M132</f>
        <v>12.300388886933334</v>
      </c>
      <c r="X132" s="240">
        <f t="shared" si="24"/>
        <v>26.043090666666664</v>
      </c>
      <c r="Y132" s="105">
        <f>M132*'Maintenance Model'!B$107</f>
        <v>3.1431111111111112</v>
      </c>
      <c r="Z132" s="105">
        <f t="shared" si="29"/>
        <v>71.039074415556584</v>
      </c>
      <c r="AA132" s="203">
        <f>'Other Maintenance'!B$94</f>
        <v>2.9107349228680333</v>
      </c>
      <c r="AB132" s="104">
        <f t="shared" si="31"/>
        <v>117.27455539219071</v>
      </c>
      <c r="AC132" s="142">
        <f t="shared" si="32"/>
        <v>73.949809338424615</v>
      </c>
      <c r="AD132" s="127">
        <f>'Maintenance Model'!B$114 + 'Maintenance Model'!B$115</f>
        <v>0.99616182311111112</v>
      </c>
      <c r="AE132" s="136" t="e">
        <f>AB132+#REF!+#REF!</f>
        <v>#REF!</v>
      </c>
      <c r="AF132" s="142">
        <f t="shared" si="34"/>
        <v>118.27071721530181</v>
      </c>
      <c r="AG132" s="143">
        <f t="shared" si="35"/>
        <v>74.613917220498692</v>
      </c>
      <c r="AH132" s="61" t="e">
        <f>S132+#REF!+AD132</f>
        <v>#REF!</v>
      </c>
      <c r="AI132" s="61"/>
      <c r="AJ132" s="61"/>
      <c r="AK132" s="61"/>
      <c r="AL132" s="61"/>
      <c r="AM132" s="61"/>
      <c r="AN132" s="61"/>
      <c r="AO132" s="61"/>
      <c r="AP132" s="61"/>
      <c r="AQ132" s="61"/>
      <c r="AR132" s="61"/>
      <c r="AS132" s="61" t="s">
        <v>1165</v>
      </c>
      <c r="AT132" s="61"/>
      <c r="AU132" s="61">
        <v>47.797954746018725</v>
      </c>
      <c r="AV132" s="61">
        <v>69.388084977152076</v>
      </c>
      <c r="AW132" s="25"/>
      <c r="AX132" s="61" t="b">
        <f t="shared" si="33"/>
        <v>1</v>
      </c>
      <c r="AY132" s="61"/>
      <c r="AZ132" s="129"/>
      <c r="BA132" s="25"/>
      <c r="BB132" s="25"/>
      <c r="BC132" s="61"/>
      <c r="BD132" s="61"/>
      <c r="BE132" s="61"/>
      <c r="BF132" s="61"/>
      <c r="BG132" s="25"/>
      <c r="BH132" s="25"/>
      <c r="BI132" s="25"/>
      <c r="BJ132" s="25"/>
      <c r="BK132" s="25"/>
      <c r="BL132" s="25"/>
      <c r="BM132" s="25"/>
      <c r="BN132" s="25"/>
      <c r="BO132" s="25"/>
      <c r="BP132" s="25"/>
      <c r="BQ132" s="25"/>
      <c r="BR132" s="25"/>
      <c r="BS132" s="25"/>
      <c r="BT132" s="25"/>
      <c r="BU132" s="25"/>
      <c r="BV132" s="25"/>
      <c r="BW132" s="25"/>
      <c r="BX132" s="25"/>
      <c r="BY132" s="25"/>
      <c r="BZ132" s="25"/>
    </row>
    <row r="133" spans="1:78" ht="12.4" customHeight="1" x14ac:dyDescent="0.2">
      <c r="A133" s="98" t="s">
        <v>233</v>
      </c>
      <c r="B133" s="99" t="str">
        <f>VLOOKUP(LEFT(A133,7),'Tariff Schedule Lookup Table'!A$8:D$142,3,FALSE)</f>
        <v>2x400</v>
      </c>
      <c r="C133" s="100">
        <v>2</v>
      </c>
      <c r="D133" s="100">
        <v>0</v>
      </c>
      <c r="E133" s="100" t="s">
        <v>107</v>
      </c>
      <c r="F133" s="169">
        <f>VLOOKUP(E133,'Lamp Stock'!A$14:H$49,4,FALSE)*(1+'Public Lighting Charges'!$R$11)</f>
        <v>75.988743999999997</v>
      </c>
      <c r="G133" s="169">
        <f>VLOOKUP(E133,'Lamp Stock'!A$14:G$49,6,FALSE)*(1+'Public Lighting Charges'!$R$11)</f>
        <v>81.233037600000003</v>
      </c>
      <c r="H133" s="169">
        <f>VLOOKUP(E133,'Lamp Stock'!A$14:H$49,8,FALSE)*(1+'Public Lighting Charges'!$R$11)</f>
        <v>10.702639999999999</v>
      </c>
      <c r="I133" s="102">
        <v>0.28000000000000003</v>
      </c>
      <c r="J133" s="102">
        <v>0.1</v>
      </c>
      <c r="K133" s="102">
        <v>0.2</v>
      </c>
      <c r="L133" s="101">
        <v>3</v>
      </c>
      <c r="M133" s="103">
        <f t="shared" si="27"/>
        <v>0.33333333333333331</v>
      </c>
      <c r="N133" s="451">
        <v>5.6500000000000002E-2</v>
      </c>
      <c r="O133" s="192">
        <f>'Maintenance Model'!B$110*I133</f>
        <v>67.160123322656005</v>
      </c>
      <c r="P133" s="105">
        <f>C133*(F133*I133+G133*J133)</f>
        <v>58.80030416000001</v>
      </c>
      <c r="Q133" s="105">
        <f>H133*K133*'Maintenance Model'!B$86</f>
        <v>0.64215839999999991</v>
      </c>
      <c r="R133" s="105">
        <f>'Maintenance Model'!B$106*I133</f>
        <v>17.161386666666669</v>
      </c>
      <c r="S133" s="193">
        <f>SUM(O133:R133)</f>
        <v>143.76397254932269</v>
      </c>
      <c r="T133" s="104">
        <f>'Maintenance Model'!B$110*N133</f>
        <v>13.551953456178801</v>
      </c>
      <c r="U133" s="240">
        <f t="shared" si="25"/>
        <v>24.954275424000002</v>
      </c>
      <c r="V133" s="104">
        <f>'Maintenance Model'!B$106*N133</f>
        <v>3.4629226666666666</v>
      </c>
      <c r="W133" s="104">
        <f>'Maintenance Model'!B$111*M133</f>
        <v>12.300388886933334</v>
      </c>
      <c r="X133" s="240">
        <f t="shared" si="24"/>
        <v>52.086181333333329</v>
      </c>
      <c r="Y133" s="105">
        <f>M133*'Maintenance Model'!B$107</f>
        <v>3.1431111111111112</v>
      </c>
      <c r="Z133" s="105">
        <f>SUM(T133:Y133)</f>
        <v>109.49883287822324</v>
      </c>
      <c r="AA133" s="203">
        <f>'Other Maintenance'!B$94</f>
        <v>2.9107349228680333</v>
      </c>
      <c r="AB133" s="104">
        <f>(S133+AA133)</f>
        <v>146.67470747219073</v>
      </c>
      <c r="AC133" s="142">
        <f>(Z133+AA133)</f>
        <v>112.40956780109127</v>
      </c>
      <c r="AD133" s="127">
        <f>'Maintenance Model'!B$114 + 'Maintenance Model'!B$115</f>
        <v>0.99616182311111112</v>
      </c>
      <c r="AE133" s="136" t="e">
        <f>AB133+#REF!+#REF!</f>
        <v>#REF!</v>
      </c>
      <c r="AF133" s="142">
        <f t="shared" si="34"/>
        <v>147.67086929530186</v>
      </c>
      <c r="AG133" s="143">
        <f t="shared" si="35"/>
        <v>113.07367568316535</v>
      </c>
      <c r="AH133" s="61" t="e">
        <f>S133+#REF!+AD133</f>
        <v>#REF!</v>
      </c>
      <c r="AI133" s="61"/>
      <c r="AJ133" s="61"/>
      <c r="AK133" s="61"/>
      <c r="AL133" s="61"/>
      <c r="AM133" s="61"/>
      <c r="AN133" s="61"/>
      <c r="AO133" s="61"/>
      <c r="AP133" s="61"/>
      <c r="AQ133" s="61"/>
      <c r="AR133" s="61"/>
      <c r="AS133" s="61" t="s">
        <v>1165</v>
      </c>
      <c r="AT133" s="61"/>
      <c r="AU133" s="61">
        <v>47.797954746018725</v>
      </c>
      <c r="AV133" s="61">
        <v>69.388084977152076</v>
      </c>
      <c r="AW133" s="25"/>
      <c r="AX133" s="61" t="b">
        <f>AF133 &gt; AG133</f>
        <v>1</v>
      </c>
      <c r="AY133" s="61"/>
      <c r="AZ133" s="129"/>
      <c r="BA133" s="25"/>
      <c r="BB133" s="25"/>
      <c r="BC133" s="61"/>
      <c r="BD133" s="61"/>
      <c r="BE133" s="61"/>
      <c r="BF133" s="61"/>
      <c r="BG133" s="25"/>
      <c r="BH133" s="25"/>
      <c r="BI133" s="25"/>
      <c r="BJ133" s="25"/>
      <c r="BK133" s="25"/>
      <c r="BL133" s="25"/>
      <c r="BM133" s="25"/>
      <c r="BN133" s="25"/>
      <c r="BO133" s="25"/>
      <c r="BP133" s="25"/>
      <c r="BQ133" s="25"/>
      <c r="BR133" s="25"/>
      <c r="BS133" s="25"/>
      <c r="BT133" s="25"/>
      <c r="BU133" s="25"/>
      <c r="BV133" s="25"/>
      <c r="BW133" s="25"/>
      <c r="BX133" s="25"/>
      <c r="BY133" s="25"/>
      <c r="BZ133" s="25"/>
    </row>
    <row r="134" spans="1:78" ht="13.7" customHeight="1" x14ac:dyDescent="0.2">
      <c r="A134" s="98" t="s">
        <v>2133</v>
      </c>
      <c r="B134" s="99">
        <f>VLOOKUP(LEFT(A134,7),'Tariff Schedule Lookup Table'!A$8:D$142,3,FALSE)</f>
        <v>500</v>
      </c>
      <c r="C134" s="100">
        <v>1</v>
      </c>
      <c r="D134" s="100">
        <v>1</v>
      </c>
      <c r="E134" s="100" t="s">
        <v>107</v>
      </c>
      <c r="F134" s="169">
        <f>VLOOKUP(E134,'Lamp Stock'!A$14:H$49,4,FALSE)*(1+'Public Lighting Charges'!$R$11)</f>
        <v>75.988743999999997</v>
      </c>
      <c r="G134" s="169">
        <f>VLOOKUP(E134,'Lamp Stock'!A$14:G$49,6,FALSE)*(1+'Public Lighting Charges'!$R$11)</f>
        <v>81.233037600000003</v>
      </c>
      <c r="H134" s="169">
        <f>VLOOKUP(E134,'Lamp Stock'!A$14:H$49,8,FALSE)*(1+'Public Lighting Charges'!$R$11)</f>
        <v>10.702639999999999</v>
      </c>
      <c r="I134" s="102">
        <v>0.28000000000000003</v>
      </c>
      <c r="J134" s="102">
        <v>0.1</v>
      </c>
      <c r="K134" s="102">
        <v>0.2</v>
      </c>
      <c r="L134" s="101">
        <v>3</v>
      </c>
      <c r="M134" s="103">
        <f t="shared" si="27"/>
        <v>0.33333333333333331</v>
      </c>
      <c r="N134" s="451">
        <v>5.6500000000000002E-2</v>
      </c>
      <c r="O134" s="192">
        <f>'Maintenance Model'!B$110*I134</f>
        <v>67.160123322656005</v>
      </c>
      <c r="P134" s="105">
        <f t="shared" si="30"/>
        <v>29.400152080000005</v>
      </c>
      <c r="Q134" s="105">
        <f>H134*K134*'Maintenance Model'!B$86</f>
        <v>0.64215839999999991</v>
      </c>
      <c r="R134" s="105">
        <f>'Maintenance Model'!B$106*I134</f>
        <v>17.161386666666669</v>
      </c>
      <c r="S134" s="193">
        <f t="shared" si="28"/>
        <v>114.36382046932268</v>
      </c>
      <c r="T134" s="104">
        <f>'Maintenance Model'!B$110*N134</f>
        <v>13.551953456178801</v>
      </c>
      <c r="U134" s="240">
        <f t="shared" si="25"/>
        <v>12.537607628</v>
      </c>
      <c r="V134" s="104">
        <f>'Maintenance Model'!B$106*N134</f>
        <v>3.4629226666666666</v>
      </c>
      <c r="W134" s="104">
        <f>'Maintenance Model'!B$111*M134</f>
        <v>12.300388886933334</v>
      </c>
      <c r="X134" s="240">
        <f t="shared" si="24"/>
        <v>26.043090666666664</v>
      </c>
      <c r="Y134" s="105">
        <f>M134*'Maintenance Model'!B$107</f>
        <v>3.1431111111111112</v>
      </c>
      <c r="Z134" s="105">
        <f t="shared" si="29"/>
        <v>71.039074415556584</v>
      </c>
      <c r="AA134" s="203">
        <f>'Other Maintenance'!B$94</f>
        <v>2.9107349228680333</v>
      </c>
      <c r="AB134" s="104">
        <f t="shared" si="31"/>
        <v>117.27455539219071</v>
      </c>
      <c r="AC134" s="142">
        <f t="shared" si="32"/>
        <v>73.949809338424615</v>
      </c>
      <c r="AD134" s="127">
        <f>'Maintenance Model'!B$114 + 'Maintenance Model'!B$115</f>
        <v>0.99616182311111112</v>
      </c>
      <c r="AE134" s="136" t="e">
        <f>AB134+#REF!+#REF!</f>
        <v>#REF!</v>
      </c>
      <c r="AF134" s="142">
        <f t="shared" si="34"/>
        <v>118.27071721530181</v>
      </c>
      <c r="AG134" s="143">
        <f t="shared" si="35"/>
        <v>74.613917220498692</v>
      </c>
      <c r="AH134" s="61" t="e">
        <f>S134+#REF!+AD134</f>
        <v>#REF!</v>
      </c>
      <c r="AI134" s="61" t="s">
        <v>2044</v>
      </c>
      <c r="AJ134" s="61" t="s">
        <v>2045</v>
      </c>
      <c r="AK134" s="61" t="s">
        <v>2046</v>
      </c>
      <c r="AL134" s="61" t="s">
        <v>2046</v>
      </c>
      <c r="AM134" s="61" t="s">
        <v>2047</v>
      </c>
      <c r="AN134" s="61" t="s">
        <v>2046</v>
      </c>
      <c r="AO134" s="61" t="s">
        <v>2046</v>
      </c>
      <c r="AP134" s="61"/>
      <c r="AQ134" s="61"/>
      <c r="AR134" s="61"/>
      <c r="AS134" s="61" t="s">
        <v>1167</v>
      </c>
      <c r="AT134" s="61"/>
      <c r="AU134" s="61">
        <v>45.428530458803699</v>
      </c>
      <c r="AV134" s="61">
        <v>67.01866068993705</v>
      </c>
      <c r="AW134" s="25"/>
      <c r="AX134" s="61" t="b">
        <f t="shared" si="33"/>
        <v>1</v>
      </c>
      <c r="AY134" s="61"/>
      <c r="AZ134" s="129"/>
      <c r="BA134" s="25"/>
      <c r="BB134" s="25"/>
      <c r="BC134" s="61"/>
      <c r="BD134" s="61"/>
      <c r="BE134" s="61"/>
      <c r="BF134" s="61"/>
      <c r="BG134" s="25"/>
      <c r="BH134" s="25"/>
      <c r="BI134" s="25"/>
      <c r="BJ134" s="25"/>
      <c r="BK134" s="25"/>
      <c r="BL134" s="25"/>
      <c r="BM134" s="25"/>
      <c r="BN134" s="25"/>
      <c r="BO134" s="25"/>
      <c r="BP134" s="25"/>
      <c r="BQ134" s="25"/>
      <c r="BR134" s="25"/>
      <c r="BS134" s="25"/>
      <c r="BT134" s="25"/>
      <c r="BU134" s="25"/>
      <c r="BV134" s="25"/>
      <c r="BW134" s="25"/>
      <c r="BX134" s="25"/>
      <c r="BY134" s="25"/>
      <c r="BZ134" s="25"/>
    </row>
    <row r="135" spans="1:78" ht="13.7" customHeight="1" x14ac:dyDescent="0.2">
      <c r="A135" s="98" t="s">
        <v>2134</v>
      </c>
      <c r="B135" s="99">
        <f>VLOOKUP(LEFT(A135,7),'Tariff Schedule Lookup Table'!A$8:D$142,3,FALSE)</f>
        <v>1000</v>
      </c>
      <c r="C135" s="100">
        <v>1</v>
      </c>
      <c r="D135" s="100">
        <v>16</v>
      </c>
      <c r="E135" s="100" t="s">
        <v>110</v>
      </c>
      <c r="F135" s="169">
        <f>VLOOKUP(E135,'Lamp Stock'!A$14:H$49,4,FALSE)*(1+'Public Lighting Charges'!$R$11)</f>
        <v>287.63344999999998</v>
      </c>
      <c r="G135" s="169">
        <f>VLOOKUP(E135,'Lamp Stock'!A$14:G$49,6,FALSE)*(1+'Public Lighting Charges'!$R$11)</f>
        <v>173.91789999999997</v>
      </c>
      <c r="H135" s="169">
        <f>VLOOKUP(E135,'Lamp Stock'!A$14:H$49,8,FALSE)*(1+'Public Lighting Charges'!$R$11)</f>
        <v>34.0076386</v>
      </c>
      <c r="I135" s="102">
        <v>0.28000000000000003</v>
      </c>
      <c r="J135" s="102">
        <v>0.1</v>
      </c>
      <c r="K135" s="102">
        <v>0.2</v>
      </c>
      <c r="L135" s="101">
        <v>3</v>
      </c>
      <c r="M135" s="103">
        <f t="shared" si="27"/>
        <v>0.33333333333333331</v>
      </c>
      <c r="N135" s="451">
        <v>5.6500000000000002E-2</v>
      </c>
      <c r="O135" s="192">
        <f>'Maintenance Model'!B$110*I135</f>
        <v>67.160123322656005</v>
      </c>
      <c r="P135" s="105">
        <f t="shared" si="30"/>
        <v>97.929156000000006</v>
      </c>
      <c r="Q135" s="105">
        <f>H135*K135*'Maintenance Model'!B$86</f>
        <v>2.040458316</v>
      </c>
      <c r="R135" s="105">
        <f>'Maintenance Model'!B$106*I135</f>
        <v>17.161386666666669</v>
      </c>
      <c r="S135" s="193">
        <f t="shared" si="28"/>
        <v>184.29112430532268</v>
      </c>
      <c r="T135" s="104">
        <f>'Maintenance Model'!B$110*N135</f>
        <v>13.551953456178801</v>
      </c>
      <c r="U135" s="240">
        <f t="shared" si="25"/>
        <v>34.027366241179998</v>
      </c>
      <c r="V135" s="104">
        <f>'Maintenance Model'!B$106*N135</f>
        <v>3.4629226666666666</v>
      </c>
      <c r="W135" s="104">
        <f>'Maintenance Model'!B$111*M135</f>
        <v>12.300388886933334</v>
      </c>
      <c r="X135" s="240">
        <f t="shared" si="24"/>
        <v>98.144992573333326</v>
      </c>
      <c r="Y135" s="105">
        <f>M135*'Maintenance Model'!B$107</f>
        <v>3.1431111111111112</v>
      </c>
      <c r="Z135" s="105">
        <f t="shared" si="29"/>
        <v>164.63073493540324</v>
      </c>
      <c r="AA135" s="203">
        <f>'Other Maintenance'!B$94</f>
        <v>2.9107349228680333</v>
      </c>
      <c r="AB135" s="104">
        <f t="shared" si="31"/>
        <v>187.20185922819073</v>
      </c>
      <c r="AC135" s="142">
        <f t="shared" si="32"/>
        <v>167.54146985827128</v>
      </c>
      <c r="AD135" s="127">
        <f>'Maintenance Model'!B$114 + 'Maintenance Model'!B$115</f>
        <v>0.99616182311111112</v>
      </c>
      <c r="AE135" s="136" t="e">
        <f>AB135+#REF!+#REF!</f>
        <v>#REF!</v>
      </c>
      <c r="AF135" s="142">
        <f t="shared" si="34"/>
        <v>188.19802105130185</v>
      </c>
      <c r="AG135" s="143">
        <f t="shared" si="35"/>
        <v>168.20557774034535</v>
      </c>
      <c r="AH135" s="61" t="e">
        <f>S135+#REF!+AD135</f>
        <v>#REF!</v>
      </c>
      <c r="AI135" s="61">
        <v>1</v>
      </c>
      <c r="AJ135" s="61" t="s">
        <v>2048</v>
      </c>
      <c r="AK135" s="61" t="s">
        <v>2049</v>
      </c>
      <c r="AL135" s="61" t="s">
        <v>2050</v>
      </c>
      <c r="AM135" s="61" t="s">
        <v>2051</v>
      </c>
      <c r="AN135" s="61" t="s">
        <v>2049</v>
      </c>
      <c r="AO135" s="61" t="s">
        <v>2050</v>
      </c>
      <c r="AP135" s="61"/>
      <c r="AQ135" s="61"/>
      <c r="AR135" s="61"/>
      <c r="AS135" s="61" t="s">
        <v>1169</v>
      </c>
      <c r="AT135" s="61"/>
      <c r="AU135" s="61">
        <v>55.460090458803698</v>
      </c>
      <c r="AV135" s="61">
        <v>86.723510689937029</v>
      </c>
      <c r="AW135" s="25"/>
      <c r="AX135" s="61" t="b">
        <f t="shared" si="33"/>
        <v>1</v>
      </c>
      <c r="AY135" s="114"/>
      <c r="AZ135" s="129"/>
      <c r="BA135" s="25"/>
      <c r="BB135" s="25"/>
      <c r="BC135" s="61"/>
      <c r="BD135" s="61"/>
      <c r="BE135" s="61"/>
      <c r="BF135" s="61"/>
      <c r="BG135" s="25"/>
      <c r="BH135" s="25"/>
      <c r="BI135" s="25"/>
      <c r="BJ135" s="25"/>
      <c r="BK135" s="25"/>
      <c r="BL135" s="25"/>
      <c r="BM135" s="25"/>
      <c r="BN135" s="25"/>
      <c r="BO135" s="25"/>
      <c r="BP135" s="25"/>
      <c r="BQ135" s="25"/>
      <c r="BR135" s="25"/>
      <c r="BS135" s="25"/>
      <c r="BT135" s="25"/>
      <c r="BU135" s="25"/>
      <c r="BV135" s="25"/>
      <c r="BW135" s="25"/>
      <c r="BX135" s="25"/>
      <c r="BY135" s="25"/>
      <c r="BZ135" s="25"/>
    </row>
    <row r="136" spans="1:78" ht="13.7" customHeight="1" x14ac:dyDescent="0.2">
      <c r="A136" s="98" t="s">
        <v>234</v>
      </c>
      <c r="B136" s="99">
        <f>VLOOKUP(LEFT(A136,7),'Tariff Schedule Lookup Table'!A$8:D$142,3,FALSE)</f>
        <v>1500</v>
      </c>
      <c r="C136" s="100">
        <v>1</v>
      </c>
      <c r="D136" s="100">
        <v>1</v>
      </c>
      <c r="E136" s="100" t="s">
        <v>110</v>
      </c>
      <c r="F136" s="169">
        <f>VLOOKUP(E136,'Lamp Stock'!A$14:H$49,4,FALSE)*(1+'Public Lighting Charges'!$R$11)</f>
        <v>287.63344999999998</v>
      </c>
      <c r="G136" s="169">
        <f>VLOOKUP(E136,'Lamp Stock'!A$14:G$49,6,FALSE)*(1+'Public Lighting Charges'!$R$11)</f>
        <v>173.91789999999997</v>
      </c>
      <c r="H136" s="169">
        <f>VLOOKUP(E136,'Lamp Stock'!A$14:H$49,8,FALSE)*(1+'Public Lighting Charges'!$R$11)</f>
        <v>34.0076386</v>
      </c>
      <c r="I136" s="102">
        <v>0.28000000000000003</v>
      </c>
      <c r="J136" s="102">
        <v>0.1</v>
      </c>
      <c r="K136" s="102">
        <v>0.2</v>
      </c>
      <c r="L136" s="101">
        <v>3</v>
      </c>
      <c r="M136" s="103">
        <f t="shared" si="27"/>
        <v>0.33333333333333331</v>
      </c>
      <c r="N136" s="451">
        <v>5.6500000000000002E-2</v>
      </c>
      <c r="O136" s="192">
        <f>'Maintenance Model'!B$110*I136</f>
        <v>67.160123322656005</v>
      </c>
      <c r="P136" s="105">
        <f>C136*(F136*I136+G136*J136)</f>
        <v>97.929156000000006</v>
      </c>
      <c r="Q136" s="105">
        <f>H136*K136*'Maintenance Model'!B$86</f>
        <v>2.040458316</v>
      </c>
      <c r="R136" s="105">
        <f>'Maintenance Model'!B$106*I136</f>
        <v>17.161386666666669</v>
      </c>
      <c r="S136" s="193">
        <f>SUM(O136:R136)</f>
        <v>184.29112430532268</v>
      </c>
      <c r="T136" s="104">
        <f>'Maintenance Model'!B$110*N136</f>
        <v>13.551953456178801</v>
      </c>
      <c r="U136" s="240">
        <f t="shared" si="25"/>
        <v>34.027366241179998</v>
      </c>
      <c r="V136" s="104">
        <f>'Maintenance Model'!B$106*N136</f>
        <v>3.4629226666666666</v>
      </c>
      <c r="W136" s="104">
        <f>'Maintenance Model'!B$111*M136</f>
        <v>12.300388886933334</v>
      </c>
      <c r="X136" s="240">
        <f t="shared" si="24"/>
        <v>98.144992573333326</v>
      </c>
      <c r="Y136" s="105">
        <f>M136*'Maintenance Model'!B$107</f>
        <v>3.1431111111111112</v>
      </c>
      <c r="Z136" s="105">
        <f>SUM(T136:Y136)</f>
        <v>164.63073493540324</v>
      </c>
      <c r="AA136" s="203">
        <f>'Other Maintenance'!B$94</f>
        <v>2.9107349228680333</v>
      </c>
      <c r="AB136" s="104">
        <f>(S136+AA136)</f>
        <v>187.20185922819073</v>
      </c>
      <c r="AC136" s="142">
        <f>(Z136+AA136)</f>
        <v>167.54146985827128</v>
      </c>
      <c r="AD136" s="127">
        <f>'Maintenance Model'!B$114 + 'Maintenance Model'!B$115</f>
        <v>0.99616182311111112</v>
      </c>
      <c r="AE136" s="136" t="e">
        <f>AB136+#REF!+#REF!</f>
        <v>#REF!</v>
      </c>
      <c r="AF136" s="142">
        <f t="shared" si="34"/>
        <v>188.19802105130185</v>
      </c>
      <c r="AG136" s="143">
        <f t="shared" si="35"/>
        <v>168.20557774034535</v>
      </c>
      <c r="AH136" s="61" t="e">
        <f>S136+#REF!+AD136</f>
        <v>#REF!</v>
      </c>
      <c r="AI136" s="61">
        <v>1</v>
      </c>
      <c r="AJ136" s="61" t="s">
        <v>2048</v>
      </c>
      <c r="AK136" s="61" t="s">
        <v>2049</v>
      </c>
      <c r="AL136" s="61" t="s">
        <v>2050</v>
      </c>
      <c r="AM136" s="61" t="s">
        <v>2051</v>
      </c>
      <c r="AN136" s="61" t="s">
        <v>2049</v>
      </c>
      <c r="AO136" s="61" t="s">
        <v>2050</v>
      </c>
      <c r="AP136" s="61"/>
      <c r="AQ136" s="61"/>
      <c r="AR136" s="61"/>
      <c r="AS136" s="61" t="s">
        <v>1169</v>
      </c>
      <c r="AT136" s="61"/>
      <c r="AU136" s="61">
        <v>55.460090458803698</v>
      </c>
      <c r="AV136" s="61">
        <v>86.723510689937029</v>
      </c>
      <c r="AW136" s="25"/>
      <c r="AX136" s="61" t="b">
        <f>AF136 &gt; AG136</f>
        <v>1</v>
      </c>
      <c r="AY136" s="114"/>
      <c r="AZ136" s="129"/>
      <c r="BA136" s="25"/>
      <c r="BB136" s="25"/>
      <c r="BC136" s="61"/>
      <c r="BD136" s="61"/>
      <c r="BE136" s="61"/>
      <c r="BF136" s="61"/>
      <c r="BG136" s="25"/>
      <c r="BH136" s="25"/>
      <c r="BI136" s="25"/>
      <c r="BJ136" s="25"/>
      <c r="BK136" s="25"/>
      <c r="BL136" s="25"/>
      <c r="BM136" s="25"/>
      <c r="BN136" s="25"/>
      <c r="BO136" s="25"/>
      <c r="BP136" s="25"/>
      <c r="BQ136" s="25"/>
      <c r="BR136" s="25"/>
      <c r="BS136" s="25"/>
      <c r="BT136" s="25"/>
      <c r="BU136" s="25"/>
      <c r="BV136" s="25"/>
      <c r="BW136" s="25"/>
      <c r="BX136" s="25"/>
      <c r="BY136" s="25"/>
      <c r="BZ136" s="25"/>
    </row>
    <row r="137" spans="1:78" ht="13.7" customHeight="1" x14ac:dyDescent="0.2">
      <c r="A137" s="98" t="s">
        <v>166</v>
      </c>
      <c r="B137" s="99">
        <f>VLOOKUP(LEFT(A137,7),'Tariff Schedule Lookup Table'!A$8:D$142,3,FALSE)</f>
        <v>2000</v>
      </c>
      <c r="C137" s="100">
        <v>1</v>
      </c>
      <c r="D137" s="100">
        <v>6</v>
      </c>
      <c r="E137" s="100" t="s">
        <v>110</v>
      </c>
      <c r="F137" s="169">
        <f>VLOOKUP(E137,'Lamp Stock'!A$14:H$49,4,FALSE)*(1+'Public Lighting Charges'!$R$11)</f>
        <v>287.63344999999998</v>
      </c>
      <c r="G137" s="169">
        <f>VLOOKUP(E137,'Lamp Stock'!A$14:G$49,6,FALSE)*(1+'Public Lighting Charges'!$R$11)</f>
        <v>173.91789999999997</v>
      </c>
      <c r="H137" s="169">
        <f>VLOOKUP(E137,'Lamp Stock'!A$14:H$49,8,FALSE)*(1+'Public Lighting Charges'!$R$11)</f>
        <v>34.0076386</v>
      </c>
      <c r="I137" s="102">
        <v>0.28000000000000003</v>
      </c>
      <c r="J137" s="102">
        <v>0.1</v>
      </c>
      <c r="K137" s="102">
        <v>0.2</v>
      </c>
      <c r="L137" s="101">
        <v>3</v>
      </c>
      <c r="M137" s="103">
        <f t="shared" si="27"/>
        <v>0.33333333333333331</v>
      </c>
      <c r="N137" s="451">
        <v>5.6500000000000002E-2</v>
      </c>
      <c r="O137" s="192">
        <f>'Maintenance Model'!B$110*I137</f>
        <v>67.160123322656005</v>
      </c>
      <c r="P137" s="105">
        <f t="shared" si="30"/>
        <v>97.929156000000006</v>
      </c>
      <c r="Q137" s="105">
        <f>H137*K137*'Maintenance Model'!B$86</f>
        <v>2.040458316</v>
      </c>
      <c r="R137" s="105">
        <f>'Maintenance Model'!B$106*I137</f>
        <v>17.161386666666669</v>
      </c>
      <c r="S137" s="193">
        <f t="shared" si="28"/>
        <v>184.29112430532268</v>
      </c>
      <c r="T137" s="104">
        <f>'Maintenance Model'!B$110*N137</f>
        <v>13.551953456178801</v>
      </c>
      <c r="U137" s="240">
        <f t="shared" si="25"/>
        <v>34.027366241179998</v>
      </c>
      <c r="V137" s="104">
        <f>'Maintenance Model'!B$106*N137</f>
        <v>3.4629226666666666</v>
      </c>
      <c r="W137" s="104">
        <f>'Maintenance Model'!B$111*M137</f>
        <v>12.300388886933334</v>
      </c>
      <c r="X137" s="240">
        <f t="shared" si="24"/>
        <v>98.144992573333326</v>
      </c>
      <c r="Y137" s="105">
        <f>M137*'Maintenance Model'!B$107</f>
        <v>3.1431111111111112</v>
      </c>
      <c r="Z137" s="105">
        <f t="shared" si="29"/>
        <v>164.63073493540324</v>
      </c>
      <c r="AA137" s="203">
        <f>'Other Maintenance'!B$94</f>
        <v>2.9107349228680333</v>
      </c>
      <c r="AB137" s="104">
        <f t="shared" si="31"/>
        <v>187.20185922819073</v>
      </c>
      <c r="AC137" s="142">
        <f t="shared" si="32"/>
        <v>167.54146985827128</v>
      </c>
      <c r="AD137" s="127">
        <f>'Maintenance Model'!B$114 + 'Maintenance Model'!B$115</f>
        <v>0.99616182311111112</v>
      </c>
      <c r="AE137" s="136" t="e">
        <f>AB137+#REF!+#REF!</f>
        <v>#REF!</v>
      </c>
      <c r="AF137" s="142">
        <f t="shared" si="34"/>
        <v>188.19802105130185</v>
      </c>
      <c r="AG137" s="143">
        <f t="shared" si="35"/>
        <v>168.20557774034535</v>
      </c>
      <c r="AH137" s="61" t="e">
        <f>S137+#REF!+AD137</f>
        <v>#REF!</v>
      </c>
      <c r="AI137" s="61"/>
      <c r="AJ137" s="61" t="s">
        <v>2052</v>
      </c>
      <c r="AK137" s="61"/>
      <c r="AL137" s="61"/>
      <c r="AM137" s="61" t="s">
        <v>2053</v>
      </c>
      <c r="AN137" s="61"/>
      <c r="AO137" s="61"/>
      <c r="AP137" s="61"/>
      <c r="AQ137" s="61"/>
      <c r="AR137" s="61"/>
      <c r="AS137" s="61"/>
      <c r="AT137" s="61"/>
      <c r="AU137" s="61">
        <v>77.020090458803708</v>
      </c>
      <c r="AV137" s="61">
        <v>129.07351068993702</v>
      </c>
      <c r="AW137" s="25"/>
      <c r="AX137" s="61" t="b">
        <f t="shared" si="33"/>
        <v>1</v>
      </c>
      <c r="AY137" s="114"/>
      <c r="AZ137" s="129"/>
      <c r="BA137" s="25"/>
      <c r="BB137" s="25"/>
      <c r="BC137" s="61"/>
      <c r="BD137" s="61"/>
      <c r="BE137" s="61"/>
      <c r="BF137" s="61"/>
      <c r="BG137" s="25"/>
      <c r="BH137" s="25"/>
      <c r="BI137" s="25"/>
      <c r="BJ137" s="25"/>
      <c r="BK137" s="25"/>
      <c r="BL137" s="25"/>
      <c r="BM137" s="25"/>
      <c r="BN137" s="25"/>
      <c r="BO137" s="25"/>
      <c r="BP137" s="25"/>
      <c r="BQ137" s="25"/>
      <c r="BR137" s="25"/>
      <c r="BS137" s="25"/>
      <c r="BT137" s="25"/>
      <c r="BU137" s="25"/>
      <c r="BV137" s="25"/>
      <c r="BW137" s="25"/>
      <c r="BX137" s="25"/>
      <c r="BY137" s="25"/>
      <c r="BZ137" s="25"/>
    </row>
    <row r="138" spans="1:78" ht="13.7" customHeight="1" x14ac:dyDescent="0.2">
      <c r="A138" s="106" t="s">
        <v>235</v>
      </c>
      <c r="B138" s="107">
        <f>VLOOKUP(LEFT(A138,7),'Tariff Schedule Lookup Table'!A$8:D$142,3,FALSE)</f>
        <v>3745</v>
      </c>
      <c r="C138" s="108">
        <v>1</v>
      </c>
      <c r="D138" s="108">
        <v>0</v>
      </c>
      <c r="E138" s="108" t="s">
        <v>110</v>
      </c>
      <c r="F138" s="169">
        <f>VLOOKUP(E138,'Lamp Stock'!A$14:H$49,4,FALSE)*(1+'Public Lighting Charges'!$R$11)</f>
        <v>287.63344999999998</v>
      </c>
      <c r="G138" s="169">
        <f>VLOOKUP(E138,'Lamp Stock'!A$14:G$49,6,FALSE)*(1+'Public Lighting Charges'!$R$11)</f>
        <v>173.91789999999997</v>
      </c>
      <c r="H138" s="169">
        <f>VLOOKUP(E138,'Lamp Stock'!A$14:H$49,8,FALSE)*(1+'Public Lighting Charges'!$R$11)</f>
        <v>34.0076386</v>
      </c>
      <c r="I138" s="110">
        <v>0.28000000000000003</v>
      </c>
      <c r="J138" s="110">
        <v>0.1</v>
      </c>
      <c r="K138" s="110">
        <v>0.2</v>
      </c>
      <c r="L138" s="109">
        <v>3</v>
      </c>
      <c r="M138" s="111">
        <f t="shared" si="27"/>
        <v>0.33333333333333331</v>
      </c>
      <c r="N138" s="451">
        <v>5.6500000000000002E-2</v>
      </c>
      <c r="O138" s="194">
        <f>'Maintenance Model'!B$110*I138</f>
        <v>67.160123322656005</v>
      </c>
      <c r="P138" s="113">
        <f>C138*(F138*I138+G138*J138)</f>
        <v>97.929156000000006</v>
      </c>
      <c r="Q138" s="113">
        <f>H138*K138*'Maintenance Model'!B$86</f>
        <v>2.040458316</v>
      </c>
      <c r="R138" s="113">
        <f>'Maintenance Model'!B$106*I138</f>
        <v>17.161386666666669</v>
      </c>
      <c r="S138" s="195">
        <f>SUM(O138:R138)</f>
        <v>184.29112430532268</v>
      </c>
      <c r="T138" s="112">
        <f>'Maintenance Model'!B$110*N138</f>
        <v>13.551953456178801</v>
      </c>
      <c r="U138" s="240">
        <f t="shared" si="25"/>
        <v>34.027366241179998</v>
      </c>
      <c r="V138" s="112">
        <f>'Maintenance Model'!B$106*N138</f>
        <v>3.4629226666666666</v>
      </c>
      <c r="W138" s="112">
        <f>'Maintenance Model'!B$111*M138</f>
        <v>12.300388886933334</v>
      </c>
      <c r="X138" s="240">
        <f t="shared" si="24"/>
        <v>98.144992573333326</v>
      </c>
      <c r="Y138" s="113">
        <f>M138*'Maintenance Model'!B$107</f>
        <v>3.1431111111111112</v>
      </c>
      <c r="Z138" s="113">
        <f>SUM(T138:Y138)</f>
        <v>164.63073493540324</v>
      </c>
      <c r="AA138" s="202">
        <f>'Other Maintenance'!B$94</f>
        <v>2.9107349228680333</v>
      </c>
      <c r="AB138" s="112">
        <f>(S138+AA138)</f>
        <v>187.20185922819073</v>
      </c>
      <c r="AC138" s="162">
        <f>(Z138+AA138)</f>
        <v>167.54146985827128</v>
      </c>
      <c r="AD138" s="130">
        <f>'Maintenance Model'!B$114 + 'Maintenance Model'!B$115</f>
        <v>0.99616182311111112</v>
      </c>
      <c r="AE138" s="137" t="e">
        <f>AB138+#REF!+#REF!</f>
        <v>#REF!</v>
      </c>
      <c r="AF138" s="162">
        <f t="shared" si="34"/>
        <v>188.19802105130185</v>
      </c>
      <c r="AG138" s="163">
        <f t="shared" si="35"/>
        <v>168.20557774034535</v>
      </c>
      <c r="AH138" s="61" t="e">
        <f>S138+#REF!+AD138</f>
        <v>#REF!</v>
      </c>
      <c r="AI138" s="61"/>
      <c r="AJ138" s="61" t="s">
        <v>2052</v>
      </c>
      <c r="AK138" s="61"/>
      <c r="AL138" s="61"/>
      <c r="AM138" s="61" t="s">
        <v>2053</v>
      </c>
      <c r="AN138" s="61"/>
      <c r="AO138" s="61"/>
      <c r="AP138" s="61"/>
      <c r="AQ138" s="61"/>
      <c r="AR138" s="61"/>
      <c r="AS138" s="61"/>
      <c r="AT138" s="61"/>
      <c r="AU138" s="61">
        <v>77.020090458803708</v>
      </c>
      <c r="AV138" s="61">
        <v>129.07351068993702</v>
      </c>
      <c r="AW138" s="25"/>
      <c r="AX138" s="61" t="b">
        <f>AF138 &gt; AG138</f>
        <v>1</v>
      </c>
      <c r="AY138" s="114"/>
      <c r="AZ138" s="129"/>
      <c r="BA138" s="25"/>
      <c r="BB138" s="25"/>
      <c r="BC138" s="61"/>
      <c r="BD138" s="61"/>
      <c r="BE138" s="61"/>
      <c r="BF138" s="61"/>
      <c r="BG138" s="25"/>
      <c r="BH138" s="25"/>
      <c r="BI138" s="25"/>
      <c r="BJ138" s="25"/>
      <c r="BK138" s="25"/>
      <c r="BL138" s="25"/>
      <c r="BM138" s="25"/>
      <c r="BN138" s="25"/>
      <c r="BO138" s="25"/>
      <c r="BP138" s="25"/>
      <c r="BQ138" s="25"/>
      <c r="BR138" s="25"/>
      <c r="BS138" s="25"/>
      <c r="BT138" s="25"/>
      <c r="BU138" s="25"/>
      <c r="BV138" s="25"/>
      <c r="BW138" s="25"/>
      <c r="BX138" s="25"/>
      <c r="BY138" s="25"/>
      <c r="BZ138" s="25"/>
    </row>
    <row r="139" spans="1:78" ht="13.7" customHeight="1" x14ac:dyDescent="0.2">
      <c r="A139" s="98" t="s">
        <v>2135</v>
      </c>
      <c r="B139" s="99">
        <f>VLOOKUP(LEFT(A139,7),'Tariff Schedule Lookup Table'!A$8:D$142,3,FALSE)</f>
        <v>50</v>
      </c>
      <c r="C139" s="100">
        <v>1</v>
      </c>
      <c r="D139" s="100">
        <v>9564</v>
      </c>
      <c r="E139" s="100" t="s">
        <v>114</v>
      </c>
      <c r="F139" s="169">
        <f>VLOOKUP(E139,'Lamp Stock'!A$14:H$49,4,FALSE)*(1+'Public Lighting Charges'!$R$11)</f>
        <v>5.2844285000000006</v>
      </c>
      <c r="G139" s="169">
        <f>VLOOKUP(E139,'Lamp Stock'!A$14:G$49,6,FALSE)*(1+'Public Lighting Charges'!$R$11)</f>
        <v>23.893643799999996</v>
      </c>
      <c r="H139" s="169">
        <f>VLOOKUP(E139,'Lamp Stock'!A$14:H$49,8,FALSE)*(1+'Public Lighting Charges'!$R$11)</f>
        <v>31.974136999999999</v>
      </c>
      <c r="I139" s="102">
        <v>0.22</v>
      </c>
      <c r="J139" s="102">
        <v>0.1</v>
      </c>
      <c r="K139" s="102">
        <v>0.2</v>
      </c>
      <c r="L139" s="101">
        <v>3</v>
      </c>
      <c r="M139" s="103">
        <f t="shared" si="27"/>
        <v>0.33333333333333331</v>
      </c>
      <c r="N139" s="451">
        <v>4.4699999999999997E-2</v>
      </c>
      <c r="O139" s="192">
        <f>'Maintenance Model'!B$110*I139</f>
        <v>52.768668324944002</v>
      </c>
      <c r="P139" s="105">
        <f t="shared" si="30"/>
        <v>3.5519386499999994</v>
      </c>
      <c r="Q139" s="105">
        <f>H139*K139*'Maintenance Model'!B$85</f>
        <v>5.1158619200000004</v>
      </c>
      <c r="R139" s="105">
        <f>'Maintenance Model'!B$104*I139</f>
        <v>1.6854933333333333</v>
      </c>
      <c r="S139" s="193">
        <f t="shared" si="28"/>
        <v>63.121962228277333</v>
      </c>
      <c r="T139" s="104">
        <f>'Maintenance Model'!B$110*N139</f>
        <v>10.72163397329544</v>
      </c>
      <c r="U139" s="240">
        <f t="shared" si="25"/>
        <v>2.9114271187299994</v>
      </c>
      <c r="V139" s="104">
        <f>'Maintenance Model'!B$104*N139</f>
        <v>0.34246159999999998</v>
      </c>
      <c r="W139" s="104">
        <f>'Maintenance Model'!B$111*M139</f>
        <v>12.300388886933334</v>
      </c>
      <c r="X139" s="240">
        <f t="shared" si="24"/>
        <v>3.8930853000000001</v>
      </c>
      <c r="Y139" s="104">
        <f>M139*'Maintenance Model'!B$105</f>
        <v>0.3928888888888889</v>
      </c>
      <c r="Z139" s="105">
        <f t="shared" si="29"/>
        <v>30.561885767847663</v>
      </c>
      <c r="AA139" s="203">
        <f>'Other Maintenance'!B$94</f>
        <v>2.9107349228680333</v>
      </c>
      <c r="AB139" s="104">
        <f t="shared" si="31"/>
        <v>66.032697151145371</v>
      </c>
      <c r="AC139" s="142">
        <f t="shared" si="32"/>
        <v>33.472620690715694</v>
      </c>
      <c r="AD139" s="127">
        <f>'Maintenance Model'!B$114 + 'Maintenance Model'!B$115</f>
        <v>0.99616182311111112</v>
      </c>
      <c r="AE139" s="138" t="e">
        <f>AB139+#REF!+#REF!</f>
        <v>#REF!</v>
      </c>
      <c r="AF139" s="142">
        <f t="shared" si="34"/>
        <v>67.02885897425648</v>
      </c>
      <c r="AG139" s="143">
        <f t="shared" si="35"/>
        <v>34.136728572789771</v>
      </c>
      <c r="AH139" s="61" t="e">
        <f>S139+#REF!+AD139</f>
        <v>#REF!</v>
      </c>
      <c r="AI139" s="61">
        <v>25.592204900444358</v>
      </c>
      <c r="AJ139" s="61">
        <v>19.406617172344362</v>
      </c>
      <c r="AK139" s="61">
        <f>1-AJ139/AI139</f>
        <v>0.24169811675713004</v>
      </c>
      <c r="AL139" s="61">
        <f>1-AJ139/AF139</f>
        <v>0.71047370536625443</v>
      </c>
      <c r="AM139" s="61">
        <v>22.20516057912436</v>
      </c>
      <c r="AN139" s="61">
        <f>1-AM139/AI139</f>
        <v>0.13234671785787355</v>
      </c>
      <c r="AO139" s="61">
        <f>1-AM139/AF139</f>
        <v>0.66872238437398113</v>
      </c>
      <c r="AP139" s="61"/>
      <c r="AQ139" s="61"/>
      <c r="AR139" s="61"/>
      <c r="AS139" s="61" t="s">
        <v>1172</v>
      </c>
      <c r="AT139" s="61"/>
      <c r="AU139" s="61">
        <v>29.803798662205089</v>
      </c>
      <c r="AV139" s="61">
        <v>26.241311627738423</v>
      </c>
      <c r="AW139" s="25"/>
      <c r="AX139" s="61" t="b">
        <f t="shared" si="33"/>
        <v>1</v>
      </c>
      <c r="AY139" s="128"/>
      <c r="AZ139" s="129"/>
      <c r="BA139" s="25"/>
      <c r="BB139" s="25"/>
      <c r="BC139" s="61"/>
      <c r="BD139" s="61"/>
      <c r="BE139" s="61"/>
      <c r="BF139" s="61"/>
      <c r="BG139" s="25"/>
      <c r="BH139" s="25"/>
      <c r="BI139" s="25"/>
      <c r="BJ139" s="25"/>
      <c r="BK139" s="25"/>
      <c r="BL139" s="25"/>
      <c r="BM139" s="25"/>
      <c r="BN139" s="25"/>
      <c r="BO139" s="25"/>
      <c r="BP139" s="25"/>
      <c r="BQ139" s="25"/>
      <c r="BR139" s="25"/>
      <c r="BS139" s="25"/>
      <c r="BT139" s="25"/>
      <c r="BU139" s="25"/>
      <c r="BV139" s="25"/>
      <c r="BW139" s="25"/>
      <c r="BX139" s="25"/>
      <c r="BY139" s="25"/>
      <c r="BZ139" s="25"/>
    </row>
    <row r="140" spans="1:78" ht="13.7" customHeight="1" x14ac:dyDescent="0.2">
      <c r="A140" s="98" t="s">
        <v>2136</v>
      </c>
      <c r="B140" s="99">
        <f>VLOOKUP(LEFT(A140,7),'Tariff Schedule Lookup Table'!A$8:D$142,3,FALSE)</f>
        <v>80</v>
      </c>
      <c r="C140" s="100">
        <v>1</v>
      </c>
      <c r="D140" s="100">
        <v>56881</v>
      </c>
      <c r="E140" s="100" t="s">
        <v>115</v>
      </c>
      <c r="F140" s="169">
        <f>VLOOKUP(E140,'Lamp Stock'!A$14:H$49,4,FALSE)*(1+'Public Lighting Charges'!$R$11)</f>
        <v>4.6824049999999993</v>
      </c>
      <c r="G140" s="169">
        <f>VLOOKUP(E140,'Lamp Stock'!A$14:G$49,6,FALSE)*(1+'Public Lighting Charges'!$R$11)</f>
        <v>28.763344999999997</v>
      </c>
      <c r="H140" s="169">
        <f>VLOOKUP(E140,'Lamp Stock'!A$14:H$49,8,FALSE)*(1+'Public Lighting Charges'!$R$11)</f>
        <v>31.974136999999999</v>
      </c>
      <c r="I140" s="102">
        <v>0.22</v>
      </c>
      <c r="J140" s="102">
        <v>0.1</v>
      </c>
      <c r="K140" s="102">
        <v>0.2</v>
      </c>
      <c r="L140" s="101">
        <v>3</v>
      </c>
      <c r="M140" s="103">
        <f t="shared" si="27"/>
        <v>0.33333333333333331</v>
      </c>
      <c r="N140" s="451">
        <v>4.4699999999999997E-2</v>
      </c>
      <c r="O140" s="192">
        <f>'Maintenance Model'!B$110*I140</f>
        <v>52.768668324944002</v>
      </c>
      <c r="P140" s="105">
        <f>C140*(F140*I140+G140*J140)</f>
        <v>3.9064635999999999</v>
      </c>
      <c r="Q140" s="105">
        <f>H140*K140*'Maintenance Model'!B$85</f>
        <v>5.1158619200000004</v>
      </c>
      <c r="R140" s="105">
        <f>'Maintenance Model'!B$104*I140</f>
        <v>1.6854933333333333</v>
      </c>
      <c r="S140" s="193">
        <f>SUM(O140:R140)</f>
        <v>63.476487178277338</v>
      </c>
      <c r="T140" s="104">
        <f>'Maintenance Model'!B$110*N140</f>
        <v>10.72163397329544</v>
      </c>
      <c r="U140" s="240">
        <f t="shared" si="25"/>
        <v>3.3714867882799999</v>
      </c>
      <c r="V140" s="104">
        <f>'Maintenance Model'!B$104*N140</f>
        <v>0.34246159999999998</v>
      </c>
      <c r="W140" s="104">
        <f>'Maintenance Model'!B$111*M140</f>
        <v>12.300388886933334</v>
      </c>
      <c r="X140" s="240">
        <f t="shared" si="24"/>
        <v>3.6924107999999998</v>
      </c>
      <c r="Y140" s="104">
        <f>M140*'Maintenance Model'!B$105</f>
        <v>0.3928888888888889</v>
      </c>
      <c r="Z140" s="105">
        <f>SUM(T140:Y140)</f>
        <v>30.821270937397667</v>
      </c>
      <c r="AA140" s="203">
        <f>'Other Maintenance'!B$94</f>
        <v>2.9107349228680333</v>
      </c>
      <c r="AB140" s="104">
        <f>(S140+AA140)</f>
        <v>66.387222101145369</v>
      </c>
      <c r="AC140" s="142">
        <f>(Z140+AA140)</f>
        <v>33.732005860265701</v>
      </c>
      <c r="AD140" s="127">
        <f>'Maintenance Model'!B$114 + 'Maintenance Model'!B$115</f>
        <v>0.99616182311111112</v>
      </c>
      <c r="AE140" s="138" t="e">
        <f>AB140+#REF!+#REF!</f>
        <v>#REF!</v>
      </c>
      <c r="AF140" s="142">
        <f t="shared" si="34"/>
        <v>67.383383924256478</v>
      </c>
      <c r="AG140" s="143">
        <f t="shared" si="35"/>
        <v>34.396113742339779</v>
      </c>
      <c r="AH140" s="61" t="e">
        <f>S140+#REF!+AD140</f>
        <v>#REF!</v>
      </c>
      <c r="AI140" s="61">
        <v>25.592204900444358</v>
      </c>
      <c r="AJ140" s="61">
        <v>19.406617172344362</v>
      </c>
      <c r="AK140" s="61">
        <f>1-AJ140/AI140</f>
        <v>0.24169811675713004</v>
      </c>
      <c r="AL140" s="61">
        <f>1-AJ140/AF140</f>
        <v>0.71199699329201516</v>
      </c>
      <c r="AM140" s="61">
        <v>22.20516057912436</v>
      </c>
      <c r="AN140" s="61">
        <f>1-AM140/AI140</f>
        <v>0.13234671785787355</v>
      </c>
      <c r="AO140" s="61">
        <f>1-AM140/AF140</f>
        <v>0.67046533899092275</v>
      </c>
      <c r="AP140" s="61"/>
      <c r="AQ140" s="61"/>
      <c r="AR140" s="61"/>
      <c r="AS140" s="61" t="s">
        <v>1172</v>
      </c>
      <c r="AT140" s="61"/>
      <c r="AU140" s="61">
        <v>29.803798662205089</v>
      </c>
      <c r="AV140" s="61">
        <v>26.241311627738423</v>
      </c>
      <c r="AW140" s="25"/>
      <c r="AX140" s="61" t="b">
        <f>AF140 &gt; AG140</f>
        <v>1</v>
      </c>
      <c r="AY140" s="128"/>
      <c r="AZ140" s="129"/>
      <c r="BA140" s="25"/>
      <c r="BB140" s="25"/>
      <c r="BC140" s="61"/>
      <c r="BD140" s="61"/>
      <c r="BE140" s="61"/>
      <c r="BF140" s="61"/>
      <c r="BG140" s="25"/>
      <c r="BH140" s="25"/>
      <c r="BI140" s="25"/>
      <c r="BJ140" s="25"/>
      <c r="BK140" s="25"/>
      <c r="BL140" s="25"/>
      <c r="BM140" s="25"/>
      <c r="BN140" s="25"/>
      <c r="BO140" s="25"/>
      <c r="BP140" s="25"/>
      <c r="BQ140" s="25"/>
      <c r="BR140" s="25"/>
      <c r="BS140" s="25"/>
      <c r="BT140" s="25"/>
      <c r="BU140" s="25"/>
      <c r="BV140" s="25"/>
      <c r="BW140" s="25"/>
      <c r="BX140" s="25"/>
      <c r="BY140" s="25"/>
      <c r="BZ140" s="25"/>
    </row>
    <row r="141" spans="1:78" x14ac:dyDescent="0.2">
      <c r="A141" s="98" t="s">
        <v>167</v>
      </c>
      <c r="B141" s="99" t="str">
        <f>VLOOKUP(LEFT(A141,7),'Tariff Schedule Lookup Table'!A$8:D$142,3,FALSE)</f>
        <v>2x80</v>
      </c>
      <c r="C141" s="100">
        <v>2</v>
      </c>
      <c r="D141" s="100">
        <v>1</v>
      </c>
      <c r="E141" s="100" t="s">
        <v>115</v>
      </c>
      <c r="F141" s="169">
        <f>VLOOKUP(E141,'Lamp Stock'!A$14:H$49,4,FALSE)*(1+'Public Lighting Charges'!$R$11)</f>
        <v>4.6824049999999993</v>
      </c>
      <c r="G141" s="169">
        <f>VLOOKUP(E141,'Lamp Stock'!A$14:G$49,6,FALSE)*(1+'Public Lighting Charges'!$R$11)</f>
        <v>28.763344999999997</v>
      </c>
      <c r="H141" s="169">
        <f>VLOOKUP(E141,'Lamp Stock'!A$14:H$49,8,FALSE)*(1+'Public Lighting Charges'!$R$11)</f>
        <v>31.974136999999999</v>
      </c>
      <c r="I141" s="102">
        <v>0.22</v>
      </c>
      <c r="J141" s="102">
        <v>0.1</v>
      </c>
      <c r="K141" s="102">
        <v>0.2</v>
      </c>
      <c r="L141" s="101">
        <v>3</v>
      </c>
      <c r="M141" s="103">
        <f t="shared" si="27"/>
        <v>0.33333333333333331</v>
      </c>
      <c r="N141" s="451">
        <v>4.4699999999999997E-2</v>
      </c>
      <c r="O141" s="192">
        <f>'Maintenance Model'!B$110*I141</f>
        <v>52.768668324944002</v>
      </c>
      <c r="P141" s="105">
        <f t="shared" si="30"/>
        <v>7.8129271999999998</v>
      </c>
      <c r="Q141" s="105">
        <f>H141*K141*'Maintenance Model'!B$85</f>
        <v>5.1158619200000004</v>
      </c>
      <c r="R141" s="105">
        <f>'Maintenance Model'!B$104*I141</f>
        <v>1.6854933333333333</v>
      </c>
      <c r="S141" s="193">
        <f t="shared" si="28"/>
        <v>67.382950778277333</v>
      </c>
      <c r="T141" s="104">
        <f>'Maintenance Model'!B$110*N141</f>
        <v>10.72163397329544</v>
      </c>
      <c r="U141" s="240">
        <f t="shared" si="25"/>
        <v>6.4571247917800001</v>
      </c>
      <c r="V141" s="104">
        <f>'Maintenance Model'!B$104*N141</f>
        <v>0.34246159999999998</v>
      </c>
      <c r="W141" s="104">
        <f>'Maintenance Model'!B$111*M141</f>
        <v>12.300388886933334</v>
      </c>
      <c r="X141" s="240">
        <f t="shared" si="24"/>
        <v>7.3848215999999995</v>
      </c>
      <c r="Y141" s="104">
        <f>M141*'Maintenance Model'!B$105</f>
        <v>0.3928888888888889</v>
      </c>
      <c r="Z141" s="105">
        <f t="shared" si="29"/>
        <v>37.599319740897663</v>
      </c>
      <c r="AA141" s="203">
        <f>'Other Maintenance'!B$94</f>
        <v>2.9107349228680333</v>
      </c>
      <c r="AB141" s="104">
        <f t="shared" si="31"/>
        <v>70.293685701145364</v>
      </c>
      <c r="AC141" s="142">
        <f t="shared" si="32"/>
        <v>40.510054663765693</v>
      </c>
      <c r="AD141" s="127">
        <f>'Maintenance Model'!B$114 + 'Maintenance Model'!B$115</f>
        <v>0.99616182311111112</v>
      </c>
      <c r="AE141" s="138" t="e">
        <f>AB141+#REF!+#REF!</f>
        <v>#REF!</v>
      </c>
      <c r="AF141" s="142">
        <f t="shared" si="34"/>
        <v>71.289847524256473</v>
      </c>
      <c r="AG141" s="143">
        <f t="shared" si="35"/>
        <v>41.174162545839771</v>
      </c>
      <c r="AH141" s="61" t="e">
        <f>S141+#REF!+AD141</f>
        <v>#REF!</v>
      </c>
      <c r="AI141" s="61"/>
      <c r="AJ141" s="61"/>
      <c r="AK141" s="61"/>
      <c r="AL141" s="61"/>
      <c r="AM141" s="61"/>
      <c r="AN141" s="61"/>
      <c r="AO141" s="61"/>
      <c r="AP141" s="61"/>
      <c r="AQ141" s="61"/>
      <c r="AR141" s="61"/>
      <c r="AS141" s="61"/>
      <c r="AT141" s="61"/>
      <c r="AU141" s="61">
        <v>30.481398662205091</v>
      </c>
      <c r="AV141" s="61" t="s">
        <v>2041</v>
      </c>
      <c r="AW141" s="25"/>
      <c r="AX141" s="61" t="b">
        <f t="shared" si="33"/>
        <v>1</v>
      </c>
      <c r="AY141" s="128"/>
      <c r="AZ141" s="129"/>
      <c r="BA141" s="25"/>
      <c r="BB141" s="25"/>
      <c r="BC141" s="61"/>
      <c r="BD141" s="61"/>
      <c r="BE141" s="61"/>
      <c r="BF141" s="61"/>
      <c r="BG141" s="25"/>
      <c r="BH141" s="25"/>
      <c r="BI141" s="25"/>
      <c r="BJ141" s="25"/>
      <c r="BK141" s="25"/>
      <c r="BL141" s="25"/>
      <c r="BM141" s="25"/>
      <c r="BN141" s="25"/>
      <c r="BO141" s="25"/>
      <c r="BP141" s="25"/>
      <c r="BQ141" s="25"/>
      <c r="BR141" s="25"/>
      <c r="BS141" s="25"/>
      <c r="BT141" s="25"/>
      <c r="BU141" s="25"/>
      <c r="BV141" s="25"/>
      <c r="BW141" s="25"/>
      <c r="BX141" s="25"/>
      <c r="BY141" s="25"/>
      <c r="BZ141" s="25"/>
    </row>
    <row r="142" spans="1:78" x14ac:dyDescent="0.2">
      <c r="A142" s="98" t="s">
        <v>902</v>
      </c>
      <c r="B142" s="99" t="str">
        <f>VLOOKUP(LEFT(A142,7),'Tariff Schedule Lookup Table'!A$8:D$142,3,FALSE)</f>
        <v>3x80</v>
      </c>
      <c r="C142" s="100">
        <v>3</v>
      </c>
      <c r="D142" s="100">
        <v>8</v>
      </c>
      <c r="E142" s="100" t="s">
        <v>115</v>
      </c>
      <c r="F142" s="169">
        <f>VLOOKUP(E142,'Lamp Stock'!A$14:H$49,4,FALSE)*(1+'Public Lighting Charges'!$R$11)</f>
        <v>4.6824049999999993</v>
      </c>
      <c r="G142" s="169">
        <f>VLOOKUP(E142,'Lamp Stock'!A$14:G$49,6,FALSE)*(1+'Public Lighting Charges'!$R$11)</f>
        <v>28.763344999999997</v>
      </c>
      <c r="H142" s="169">
        <f>VLOOKUP(E142,'Lamp Stock'!A$14:H$49,8,FALSE)*(1+'Public Lighting Charges'!$R$11)</f>
        <v>31.974136999999999</v>
      </c>
      <c r="I142" s="102">
        <v>0.22</v>
      </c>
      <c r="J142" s="102">
        <v>0.1</v>
      </c>
      <c r="K142" s="102">
        <v>0.2</v>
      </c>
      <c r="L142" s="101">
        <v>3</v>
      </c>
      <c r="M142" s="103">
        <f t="shared" si="27"/>
        <v>0.33333333333333331</v>
      </c>
      <c r="N142" s="451">
        <v>4.4699999999999997E-2</v>
      </c>
      <c r="O142" s="192">
        <f>'Maintenance Model'!B$110*I142</f>
        <v>52.768668324944002</v>
      </c>
      <c r="P142" s="105">
        <f t="shared" si="30"/>
        <v>11.719390799999999</v>
      </c>
      <c r="Q142" s="105">
        <f>H142*K142*'Maintenance Model'!B$85</f>
        <v>5.1158619200000004</v>
      </c>
      <c r="R142" s="105">
        <f>'Maintenance Model'!B$104*I142</f>
        <v>1.6854933333333333</v>
      </c>
      <c r="S142" s="193">
        <f>SUM(O142:R142)</f>
        <v>71.289414378277328</v>
      </c>
      <c r="T142" s="104">
        <f>'Maintenance Model'!B$110*N142</f>
        <v>10.72163397329544</v>
      </c>
      <c r="U142" s="240">
        <f t="shared" si="25"/>
        <v>9.5427627952799998</v>
      </c>
      <c r="V142" s="104">
        <f>'Maintenance Model'!B$104*N142</f>
        <v>0.34246159999999998</v>
      </c>
      <c r="W142" s="104">
        <f>'Maintenance Model'!B$111*M142</f>
        <v>12.300388886933334</v>
      </c>
      <c r="X142" s="240">
        <f t="shared" si="24"/>
        <v>11.0772324</v>
      </c>
      <c r="Y142" s="104">
        <f>M142*'Maintenance Model'!B$105</f>
        <v>0.3928888888888889</v>
      </c>
      <c r="Z142" s="105">
        <f>SUM(T142:Y142)</f>
        <v>44.377368544397662</v>
      </c>
      <c r="AA142" s="203">
        <f>'Other Maintenance'!B$94</f>
        <v>2.9107349228680333</v>
      </c>
      <c r="AB142" s="104">
        <f t="shared" si="31"/>
        <v>74.200149301145359</v>
      </c>
      <c r="AC142" s="142">
        <f t="shared" si="32"/>
        <v>47.288103467265692</v>
      </c>
      <c r="AD142" s="127">
        <f>'Maintenance Model'!B$114 + 'Maintenance Model'!B$115</f>
        <v>0.99616182311111112</v>
      </c>
      <c r="AE142" s="138" t="e">
        <f>AB142+#REF!+#REF!</f>
        <v>#REF!</v>
      </c>
      <c r="AF142" s="142">
        <f t="shared" si="34"/>
        <v>75.196311124256468</v>
      </c>
      <c r="AG142" s="143">
        <f t="shared" si="35"/>
        <v>47.95221134933977</v>
      </c>
      <c r="AH142" s="61"/>
      <c r="AI142" s="61"/>
      <c r="AJ142" s="61"/>
      <c r="AK142" s="61"/>
      <c r="AL142" s="61"/>
      <c r="AM142" s="61"/>
      <c r="AN142" s="61"/>
      <c r="AO142" s="61"/>
      <c r="AP142" s="61"/>
      <c r="AQ142" s="61"/>
      <c r="AR142" s="61"/>
      <c r="AS142" s="61"/>
      <c r="AT142" s="61"/>
      <c r="AU142" s="61"/>
      <c r="AV142" s="61"/>
      <c r="AW142" s="25"/>
      <c r="AX142" s="61" t="b">
        <f t="shared" si="33"/>
        <v>1</v>
      </c>
      <c r="AY142" s="128"/>
      <c r="AZ142" s="129"/>
      <c r="BA142" s="25"/>
      <c r="BB142" s="25"/>
      <c r="BC142" s="61"/>
      <c r="BD142" s="61"/>
      <c r="BE142" s="61"/>
      <c r="BF142" s="61"/>
      <c r="BG142" s="25"/>
      <c r="BH142" s="25"/>
      <c r="BI142" s="25"/>
      <c r="BJ142" s="25"/>
      <c r="BK142" s="25"/>
      <c r="BL142" s="25"/>
      <c r="BM142" s="25"/>
      <c r="BN142" s="25"/>
      <c r="BO142" s="25"/>
      <c r="BP142" s="25"/>
      <c r="BQ142" s="25"/>
      <c r="BR142" s="25"/>
      <c r="BS142" s="25"/>
      <c r="BT142" s="25"/>
      <c r="BU142" s="25"/>
      <c r="BV142" s="25"/>
      <c r="BW142" s="25"/>
      <c r="BX142" s="25"/>
      <c r="BY142" s="25"/>
      <c r="BZ142" s="25"/>
    </row>
    <row r="143" spans="1:78" x14ac:dyDescent="0.2">
      <c r="A143" s="98" t="s">
        <v>236</v>
      </c>
      <c r="B143" s="99" t="str">
        <f>VLOOKUP(LEFT(A143,7),'Tariff Schedule Lookup Table'!A$8:D$142,3,FALSE)</f>
        <v>4x80</v>
      </c>
      <c r="C143" s="100">
        <v>3</v>
      </c>
      <c r="D143" s="100">
        <v>0</v>
      </c>
      <c r="E143" s="100" t="s">
        <v>115</v>
      </c>
      <c r="F143" s="169">
        <f>VLOOKUP(E143,'Lamp Stock'!A$14:H$49,4,FALSE)*(1+'Public Lighting Charges'!$R$11)</f>
        <v>4.6824049999999993</v>
      </c>
      <c r="G143" s="169">
        <f>VLOOKUP(E143,'Lamp Stock'!A$14:G$49,6,FALSE)*(1+'Public Lighting Charges'!$R$11)</f>
        <v>28.763344999999997</v>
      </c>
      <c r="H143" s="169">
        <f>VLOOKUP(E143,'Lamp Stock'!A$14:H$49,8,FALSE)*(1+'Public Lighting Charges'!$R$11)</f>
        <v>31.974136999999999</v>
      </c>
      <c r="I143" s="102">
        <v>0.22</v>
      </c>
      <c r="J143" s="102">
        <v>0.1</v>
      </c>
      <c r="K143" s="102">
        <v>0.2</v>
      </c>
      <c r="L143" s="101">
        <v>3</v>
      </c>
      <c r="M143" s="103">
        <f t="shared" si="27"/>
        <v>0.33333333333333331</v>
      </c>
      <c r="N143" s="451">
        <v>4.4699999999999997E-2</v>
      </c>
      <c r="O143" s="192">
        <f>'Maintenance Model'!B$110*I143</f>
        <v>52.768668324944002</v>
      </c>
      <c r="P143" s="105">
        <f>C143*(F143*I143+G143*J143)</f>
        <v>11.719390799999999</v>
      </c>
      <c r="Q143" s="105">
        <f>H143*K143*'Maintenance Model'!B$85</f>
        <v>5.1158619200000004</v>
      </c>
      <c r="R143" s="105">
        <f>'Maintenance Model'!B$104*I143</f>
        <v>1.6854933333333333</v>
      </c>
      <c r="S143" s="193">
        <f>SUM(O143:R143)</f>
        <v>71.289414378277328</v>
      </c>
      <c r="T143" s="104">
        <f>'Maintenance Model'!B$110*N143</f>
        <v>10.72163397329544</v>
      </c>
      <c r="U143" s="240">
        <f t="shared" si="25"/>
        <v>9.5427627952799998</v>
      </c>
      <c r="V143" s="104">
        <f>'Maintenance Model'!B$104*N143</f>
        <v>0.34246159999999998</v>
      </c>
      <c r="W143" s="104">
        <f>'Maintenance Model'!B$111*M143</f>
        <v>12.300388886933334</v>
      </c>
      <c r="X143" s="240">
        <f t="shared" si="24"/>
        <v>11.0772324</v>
      </c>
      <c r="Y143" s="104">
        <f>M143*'Maintenance Model'!B$105</f>
        <v>0.3928888888888889</v>
      </c>
      <c r="Z143" s="105">
        <f>SUM(T143:Y143)</f>
        <v>44.377368544397662</v>
      </c>
      <c r="AA143" s="203">
        <f>'Other Maintenance'!B$94</f>
        <v>2.9107349228680333</v>
      </c>
      <c r="AB143" s="104">
        <f>(S143+AA143)</f>
        <v>74.200149301145359</v>
      </c>
      <c r="AC143" s="142">
        <f>(Z143+AA143)</f>
        <v>47.288103467265692</v>
      </c>
      <c r="AD143" s="127">
        <f>'Maintenance Model'!B$114 + 'Maintenance Model'!B$115</f>
        <v>0.99616182311111112</v>
      </c>
      <c r="AE143" s="138" t="e">
        <f>AB143+#REF!+#REF!</f>
        <v>#REF!</v>
      </c>
      <c r="AF143" s="142">
        <f t="shared" si="34"/>
        <v>75.196311124256468</v>
      </c>
      <c r="AG143" s="143">
        <f t="shared" si="35"/>
        <v>47.95221134933977</v>
      </c>
      <c r="AH143" s="61"/>
      <c r="AI143" s="61"/>
      <c r="AJ143" s="61"/>
      <c r="AK143" s="61"/>
      <c r="AL143" s="61"/>
      <c r="AM143" s="61"/>
      <c r="AN143" s="61"/>
      <c r="AO143" s="61"/>
      <c r="AP143" s="61"/>
      <c r="AQ143" s="61"/>
      <c r="AR143" s="61"/>
      <c r="AS143" s="61"/>
      <c r="AT143" s="61"/>
      <c r="AU143" s="61"/>
      <c r="AV143" s="61"/>
      <c r="AW143" s="25"/>
      <c r="AX143" s="61" t="b">
        <f>AF143 &gt; AG143</f>
        <v>1</v>
      </c>
      <c r="AY143" s="128"/>
      <c r="AZ143" s="129"/>
      <c r="BA143" s="25"/>
      <c r="BB143" s="25"/>
      <c r="BC143" s="61"/>
      <c r="BD143" s="61"/>
      <c r="BE143" s="61"/>
      <c r="BF143" s="61"/>
      <c r="BG143" s="25"/>
      <c r="BH143" s="25"/>
      <c r="BI143" s="25"/>
      <c r="BJ143" s="25"/>
      <c r="BK143" s="25"/>
      <c r="BL143" s="25"/>
      <c r="BM143" s="25"/>
      <c r="BN143" s="25"/>
      <c r="BO143" s="25"/>
      <c r="BP143" s="25"/>
      <c r="BQ143" s="25"/>
      <c r="BR143" s="25"/>
      <c r="BS143" s="25"/>
      <c r="BT143" s="25"/>
      <c r="BU143" s="25"/>
      <c r="BV143" s="25"/>
      <c r="BW143" s="25"/>
      <c r="BX143" s="25"/>
      <c r="BY143" s="25"/>
      <c r="BZ143" s="25"/>
    </row>
    <row r="144" spans="1:78" x14ac:dyDescent="0.2">
      <c r="A144" s="98" t="s">
        <v>237</v>
      </c>
      <c r="B144" s="99" t="str">
        <f>VLOOKUP(LEFT(A144,7),'Tariff Schedule Lookup Table'!A$8:D$142,3,FALSE)</f>
        <v>6x80</v>
      </c>
      <c r="C144" s="100">
        <v>6</v>
      </c>
      <c r="D144" s="100">
        <v>0</v>
      </c>
      <c r="E144" s="100" t="s">
        <v>115</v>
      </c>
      <c r="F144" s="169">
        <f>VLOOKUP(E144,'Lamp Stock'!A$14:H$49,4,FALSE)*(1+'Public Lighting Charges'!$R$11)</f>
        <v>4.6824049999999993</v>
      </c>
      <c r="G144" s="169">
        <f>VLOOKUP(E144,'Lamp Stock'!A$14:G$49,6,FALSE)*(1+'Public Lighting Charges'!$R$11)</f>
        <v>28.763344999999997</v>
      </c>
      <c r="H144" s="169">
        <f>VLOOKUP(E144,'Lamp Stock'!A$14:H$49,8,FALSE)*(1+'Public Lighting Charges'!$R$11)</f>
        <v>31.974136999999999</v>
      </c>
      <c r="I144" s="102">
        <v>0.22</v>
      </c>
      <c r="J144" s="102">
        <v>0.1</v>
      </c>
      <c r="K144" s="102">
        <v>0.2</v>
      </c>
      <c r="L144" s="101">
        <v>3</v>
      </c>
      <c r="M144" s="103">
        <f t="shared" si="27"/>
        <v>0.33333333333333331</v>
      </c>
      <c r="N144" s="451">
        <v>4.4699999999999997E-2</v>
      </c>
      <c r="O144" s="192">
        <f>'Maintenance Model'!B$110*I144</f>
        <v>52.768668324944002</v>
      </c>
      <c r="P144" s="105">
        <f>C144*(F144*I144+G144*J144)</f>
        <v>23.438781599999999</v>
      </c>
      <c r="Q144" s="105">
        <f>H144*K144*'Maintenance Model'!B$85</f>
        <v>5.1158619200000004</v>
      </c>
      <c r="R144" s="105">
        <f>'Maintenance Model'!B$104*I144</f>
        <v>1.6854933333333333</v>
      </c>
      <c r="S144" s="193">
        <f>SUM(O144:R144)</f>
        <v>83.008805178277328</v>
      </c>
      <c r="T144" s="104">
        <f>'Maintenance Model'!B$110*N144</f>
        <v>10.72163397329544</v>
      </c>
      <c r="U144" s="240">
        <f t="shared" si="25"/>
        <v>18.799676805779999</v>
      </c>
      <c r="V144" s="104">
        <f>'Maintenance Model'!B$104*N144</f>
        <v>0.34246159999999998</v>
      </c>
      <c r="W144" s="104">
        <f>'Maintenance Model'!B$111*M144</f>
        <v>12.300388886933334</v>
      </c>
      <c r="X144" s="240">
        <f t="shared" si="24"/>
        <v>22.1544648</v>
      </c>
      <c r="Y144" s="104">
        <f>M144*'Maintenance Model'!B$105</f>
        <v>0.3928888888888889</v>
      </c>
      <c r="Z144" s="105">
        <f>SUM(T144:Y144)</f>
        <v>64.711514954897666</v>
      </c>
      <c r="AA144" s="203">
        <f>'Other Maintenance'!B$94</f>
        <v>2.9107349228680333</v>
      </c>
      <c r="AB144" s="104">
        <f>(S144+AA144)</f>
        <v>85.919540101145358</v>
      </c>
      <c r="AC144" s="142">
        <f>(Z144+AA144)</f>
        <v>67.622249877765697</v>
      </c>
      <c r="AD144" s="127">
        <f>'Maintenance Model'!B$114 + 'Maintenance Model'!B$115</f>
        <v>0.99616182311111112</v>
      </c>
      <c r="AE144" s="138" t="e">
        <f>AB144+#REF!+#REF!</f>
        <v>#REF!</v>
      </c>
      <c r="AF144" s="142">
        <f t="shared" si="34"/>
        <v>86.915701924256467</v>
      </c>
      <c r="AG144" s="143">
        <f t="shared" si="35"/>
        <v>68.286357759839774</v>
      </c>
      <c r="AH144" s="61"/>
      <c r="AI144" s="61"/>
      <c r="AJ144" s="61"/>
      <c r="AK144" s="61"/>
      <c r="AL144" s="61"/>
      <c r="AM144" s="61"/>
      <c r="AN144" s="61"/>
      <c r="AO144" s="61"/>
      <c r="AP144" s="61"/>
      <c r="AQ144" s="61"/>
      <c r="AR144" s="61"/>
      <c r="AS144" s="61"/>
      <c r="AT144" s="61"/>
      <c r="AU144" s="61"/>
      <c r="AV144" s="61"/>
      <c r="AW144" s="25"/>
      <c r="AX144" s="61" t="b">
        <f>AF144 &gt; AG144</f>
        <v>1</v>
      </c>
      <c r="AY144" s="128"/>
      <c r="AZ144" s="129"/>
      <c r="BA144" s="25"/>
      <c r="BB144" s="25"/>
      <c r="BC144" s="61"/>
      <c r="BD144" s="61"/>
      <c r="BE144" s="61"/>
      <c r="BF144" s="61"/>
      <c r="BG144" s="25"/>
      <c r="BH144" s="25"/>
      <c r="BI144" s="25"/>
      <c r="BJ144" s="25"/>
      <c r="BK144" s="25"/>
      <c r="BL144" s="25"/>
      <c r="BM144" s="25"/>
      <c r="BN144" s="25"/>
      <c r="BO144" s="25"/>
      <c r="BP144" s="25"/>
      <c r="BQ144" s="25"/>
      <c r="BR144" s="25"/>
      <c r="BS144" s="25"/>
      <c r="BT144" s="25"/>
      <c r="BU144" s="25"/>
      <c r="BV144" s="25"/>
      <c r="BW144" s="25"/>
      <c r="BX144" s="25"/>
      <c r="BY144" s="25"/>
      <c r="BZ144" s="25"/>
    </row>
    <row r="145" spans="1:78" x14ac:dyDescent="0.2">
      <c r="A145" s="98" t="s">
        <v>238</v>
      </c>
      <c r="B145" s="99" t="str">
        <f>VLOOKUP(LEFT(A145,7),'Tariff Schedule Lookup Table'!A$8:D$142,3,FALSE)</f>
        <v>7x80</v>
      </c>
      <c r="C145" s="100">
        <v>7</v>
      </c>
      <c r="D145" s="100">
        <v>0</v>
      </c>
      <c r="E145" s="100" t="s">
        <v>115</v>
      </c>
      <c r="F145" s="169">
        <f>VLOOKUP(E145,'Lamp Stock'!A$14:H$49,4,FALSE)*(1+'Public Lighting Charges'!$R$11)</f>
        <v>4.6824049999999993</v>
      </c>
      <c r="G145" s="169">
        <f>VLOOKUP(E145,'Lamp Stock'!A$14:G$49,6,FALSE)*(1+'Public Lighting Charges'!$R$11)</f>
        <v>28.763344999999997</v>
      </c>
      <c r="H145" s="169">
        <f>VLOOKUP(E145,'Lamp Stock'!A$14:H$49,8,FALSE)*(1+'Public Lighting Charges'!$R$11)</f>
        <v>31.974136999999999</v>
      </c>
      <c r="I145" s="102">
        <v>0.22</v>
      </c>
      <c r="J145" s="102">
        <v>0.1</v>
      </c>
      <c r="K145" s="102">
        <v>0.2</v>
      </c>
      <c r="L145" s="101">
        <v>3</v>
      </c>
      <c r="M145" s="103">
        <f t="shared" si="27"/>
        <v>0.33333333333333331</v>
      </c>
      <c r="N145" s="451">
        <v>4.4699999999999997E-2</v>
      </c>
      <c r="O145" s="192">
        <f>'Maintenance Model'!B$110*I145</f>
        <v>52.768668324944002</v>
      </c>
      <c r="P145" s="105">
        <f>C145*(F145*I145+G145*J145)</f>
        <v>27.345245200000001</v>
      </c>
      <c r="Q145" s="105">
        <f>H145*K145*'Maintenance Model'!B$85</f>
        <v>5.1158619200000004</v>
      </c>
      <c r="R145" s="105">
        <f>'Maintenance Model'!B$104*I145</f>
        <v>1.6854933333333333</v>
      </c>
      <c r="S145" s="193">
        <f>SUM(O145:R145)</f>
        <v>86.915268778277323</v>
      </c>
      <c r="T145" s="104">
        <f>'Maintenance Model'!B$110*N145</f>
        <v>10.72163397329544</v>
      </c>
      <c r="U145" s="240">
        <f t="shared" si="25"/>
        <v>21.885314809280001</v>
      </c>
      <c r="V145" s="104">
        <f>'Maintenance Model'!B$104*N145</f>
        <v>0.34246159999999998</v>
      </c>
      <c r="W145" s="104">
        <f>'Maintenance Model'!B$111*M145</f>
        <v>12.300388886933334</v>
      </c>
      <c r="X145" s="240">
        <f t="shared" si="24"/>
        <v>25.846875599999997</v>
      </c>
      <c r="Y145" s="104">
        <f>M145*'Maintenance Model'!B$105</f>
        <v>0.3928888888888889</v>
      </c>
      <c r="Z145" s="105">
        <f>SUM(T145:Y145)</f>
        <v>71.489563758397665</v>
      </c>
      <c r="AA145" s="203">
        <f>'Other Maintenance'!B$94</f>
        <v>2.9107349228680333</v>
      </c>
      <c r="AB145" s="104">
        <f>(S145+AA145)</f>
        <v>89.826003701145353</v>
      </c>
      <c r="AC145" s="142">
        <f>(Z145+AA145)</f>
        <v>74.400298681265696</v>
      </c>
      <c r="AD145" s="127">
        <f>'Maintenance Model'!B$114 + 'Maintenance Model'!B$115</f>
        <v>0.99616182311111112</v>
      </c>
      <c r="AE145" s="138" t="e">
        <f>AB145+#REF!+#REF!</f>
        <v>#REF!</v>
      </c>
      <c r="AF145" s="142">
        <f t="shared" si="34"/>
        <v>90.822165524256462</v>
      </c>
      <c r="AG145" s="143">
        <f t="shared" si="35"/>
        <v>75.064406563339773</v>
      </c>
      <c r="AH145" s="61"/>
      <c r="AI145" s="61"/>
      <c r="AJ145" s="61"/>
      <c r="AK145" s="61"/>
      <c r="AL145" s="61"/>
      <c r="AM145" s="61"/>
      <c r="AN145" s="61"/>
      <c r="AO145" s="61"/>
      <c r="AP145" s="61"/>
      <c r="AQ145" s="61"/>
      <c r="AR145" s="61"/>
      <c r="AS145" s="61"/>
      <c r="AT145" s="61"/>
      <c r="AU145" s="61"/>
      <c r="AV145" s="61"/>
      <c r="AW145" s="25"/>
      <c r="AX145" s="61" t="b">
        <f>AF145 &gt; AG145</f>
        <v>1</v>
      </c>
      <c r="AY145" s="128"/>
      <c r="AZ145" s="129"/>
      <c r="BA145" s="25"/>
      <c r="BB145" s="25"/>
      <c r="BC145" s="61"/>
      <c r="BD145" s="61"/>
      <c r="BE145" s="61"/>
      <c r="BF145" s="61"/>
      <c r="BG145" s="25"/>
      <c r="BH145" s="25"/>
      <c r="BI145" s="25"/>
      <c r="BJ145" s="25"/>
      <c r="BK145" s="25"/>
      <c r="BL145" s="25"/>
      <c r="BM145" s="25"/>
      <c r="BN145" s="25"/>
      <c r="BO145" s="25"/>
      <c r="BP145" s="25"/>
      <c r="BQ145" s="25"/>
      <c r="BR145" s="25"/>
      <c r="BS145" s="25"/>
      <c r="BT145" s="25"/>
      <c r="BU145" s="25"/>
      <c r="BV145" s="25"/>
      <c r="BW145" s="25"/>
      <c r="BX145" s="25"/>
      <c r="BY145" s="25"/>
      <c r="BZ145" s="25"/>
    </row>
    <row r="146" spans="1:78" ht="13.7" customHeight="1" x14ac:dyDescent="0.2">
      <c r="A146" s="98" t="s">
        <v>2137</v>
      </c>
      <c r="B146" s="99">
        <f>VLOOKUP(LEFT(A146,7),'Tariff Schedule Lookup Table'!A$8:D$142,3,FALSE)</f>
        <v>125</v>
      </c>
      <c r="C146" s="100">
        <v>1</v>
      </c>
      <c r="D146" s="100">
        <v>1077</v>
      </c>
      <c r="E146" s="100" t="s">
        <v>121</v>
      </c>
      <c r="F146" s="169">
        <f>VLOOKUP(E146,'Lamp Stock'!A$14:H$49,4,FALSE)*(1+'Public Lighting Charges'!$R$11)</f>
        <v>5.0034841999999999</v>
      </c>
      <c r="G146" s="169">
        <f>VLOOKUP(E146,'Lamp Stock'!A$14:G$49,6,FALSE)*(1+'Public Lighting Charges'!$R$11)</f>
        <v>35.720060999999994</v>
      </c>
      <c r="H146" s="169">
        <f>VLOOKUP(E146,'Lamp Stock'!A$14:H$49,8,FALSE)*(1+'Public Lighting Charges'!$R$11)</f>
        <v>26.034171799999999</v>
      </c>
      <c r="I146" s="102">
        <v>0.22</v>
      </c>
      <c r="J146" s="102">
        <v>0.1</v>
      </c>
      <c r="K146" s="102">
        <v>0.2</v>
      </c>
      <c r="L146" s="101">
        <v>3</v>
      </c>
      <c r="M146" s="103">
        <f t="shared" si="27"/>
        <v>0.33333333333333331</v>
      </c>
      <c r="N146" s="451">
        <v>4.4699999999999997E-2</v>
      </c>
      <c r="O146" s="192">
        <f>'Maintenance Model'!B$110*I146</f>
        <v>52.768668324944002</v>
      </c>
      <c r="P146" s="105">
        <f t="shared" si="30"/>
        <v>4.6727726239999994</v>
      </c>
      <c r="Q146" s="105">
        <f>H146*K146*'Maintenance Model'!B$85</f>
        <v>4.165467488</v>
      </c>
      <c r="R146" s="105">
        <f>'Maintenance Model'!B$104*I146</f>
        <v>1.6854933333333333</v>
      </c>
      <c r="S146" s="193">
        <f t="shared" si="28"/>
        <v>63.29240177027733</v>
      </c>
      <c r="T146" s="104">
        <f>'Maintenance Model'!B$110*N146</f>
        <v>10.72163397329544</v>
      </c>
      <c r="U146" s="240">
        <f t="shared" si="25"/>
        <v>4.0284073396319995</v>
      </c>
      <c r="V146" s="104">
        <f>'Maintenance Model'!B$104*N146</f>
        <v>0.34246159999999998</v>
      </c>
      <c r="W146" s="104">
        <f>'Maintenance Model'!B$111*M146</f>
        <v>12.300388886933334</v>
      </c>
      <c r="X146" s="240">
        <f t="shared" si="24"/>
        <v>3.4034395200000001</v>
      </c>
      <c r="Y146" s="104">
        <f>M146*'Maintenance Model'!B$105</f>
        <v>0.3928888888888889</v>
      </c>
      <c r="Z146" s="105">
        <f t="shared" si="29"/>
        <v>31.189220208749663</v>
      </c>
      <c r="AA146" s="203">
        <f>'Other Maintenance'!B$94</f>
        <v>2.9107349228680333</v>
      </c>
      <c r="AB146" s="104">
        <f t="shared" si="31"/>
        <v>66.203136693145368</v>
      </c>
      <c r="AC146" s="142">
        <f t="shared" si="32"/>
        <v>34.099955131617698</v>
      </c>
      <c r="AD146" s="127">
        <f>'Maintenance Model'!B$114 + 'Maintenance Model'!B$115</f>
        <v>0.99616182311111112</v>
      </c>
      <c r="AE146" s="138" t="e">
        <f>AB146+#REF!+#REF!</f>
        <v>#REF!</v>
      </c>
      <c r="AF146" s="142">
        <f t="shared" si="34"/>
        <v>67.199298516256476</v>
      </c>
      <c r="AG146" s="143">
        <f t="shared" si="35"/>
        <v>34.764063013691775</v>
      </c>
      <c r="AH146" s="61" t="e">
        <f>S146+#REF!+AD146</f>
        <v>#REF!</v>
      </c>
      <c r="AI146" s="61"/>
      <c r="AJ146" s="61"/>
      <c r="AK146" s="61"/>
      <c r="AL146" s="61"/>
      <c r="AM146" s="61"/>
      <c r="AN146" s="61"/>
      <c r="AO146" s="61"/>
      <c r="AP146" s="61"/>
      <c r="AQ146" s="61"/>
      <c r="AR146" s="61"/>
      <c r="AS146" s="61" t="s">
        <v>1174</v>
      </c>
      <c r="AT146" s="61"/>
      <c r="AU146" s="61">
        <v>29.975618662205093</v>
      </c>
      <c r="AV146" s="61" t="s">
        <v>2041</v>
      </c>
      <c r="AW146" s="25"/>
      <c r="AX146" s="61" t="b">
        <f t="shared" si="33"/>
        <v>1</v>
      </c>
      <c r="AY146" s="128"/>
      <c r="AZ146" s="129"/>
      <c r="BA146" s="25"/>
      <c r="BB146" s="25"/>
      <c r="BC146" s="61"/>
      <c r="BD146" s="61"/>
      <c r="BE146" s="61"/>
      <c r="BF146" s="61"/>
      <c r="BG146" s="25"/>
      <c r="BH146" s="25"/>
      <c r="BI146" s="25"/>
      <c r="BJ146" s="25"/>
      <c r="BK146" s="25"/>
      <c r="BL146" s="25"/>
      <c r="BM146" s="25"/>
      <c r="BN146" s="25"/>
      <c r="BO146" s="25"/>
      <c r="BP146" s="25"/>
      <c r="BQ146" s="25"/>
      <c r="BR146" s="25"/>
      <c r="BS146" s="25"/>
      <c r="BT146" s="25"/>
      <c r="BU146" s="25"/>
      <c r="BV146" s="25"/>
      <c r="BW146" s="25"/>
      <c r="BX146" s="25"/>
      <c r="BY146" s="25"/>
      <c r="BZ146" s="25"/>
    </row>
    <row r="147" spans="1:78" x14ac:dyDescent="0.2">
      <c r="A147" s="98" t="s">
        <v>168</v>
      </c>
      <c r="B147" s="99" t="str">
        <f>VLOOKUP(LEFT(A147,7),'Tariff Schedule Lookup Table'!A$8:D$142,3,FALSE)</f>
        <v>2x125</v>
      </c>
      <c r="C147" s="100">
        <v>2</v>
      </c>
      <c r="D147" s="100">
        <v>1</v>
      </c>
      <c r="E147" s="100" t="s">
        <v>121</v>
      </c>
      <c r="F147" s="169">
        <f>VLOOKUP(E147,'Lamp Stock'!A$14:H$49,4,FALSE)*(1+'Public Lighting Charges'!$R$11)</f>
        <v>5.0034841999999999</v>
      </c>
      <c r="G147" s="169">
        <f>VLOOKUP(E147,'Lamp Stock'!A$14:G$49,6,FALSE)*(1+'Public Lighting Charges'!$R$11)</f>
        <v>35.720060999999994</v>
      </c>
      <c r="H147" s="169">
        <f>VLOOKUP(E147,'Lamp Stock'!A$14:H$49,8,FALSE)*(1+'Public Lighting Charges'!$R$11)</f>
        <v>26.034171799999999</v>
      </c>
      <c r="I147" s="102">
        <v>0.22</v>
      </c>
      <c r="J147" s="102">
        <v>0.1</v>
      </c>
      <c r="K147" s="102">
        <v>0.2</v>
      </c>
      <c r="L147" s="101">
        <v>3</v>
      </c>
      <c r="M147" s="103">
        <f t="shared" si="27"/>
        <v>0.33333333333333331</v>
      </c>
      <c r="N147" s="451">
        <v>4.4699999999999997E-2</v>
      </c>
      <c r="O147" s="192">
        <f>'Maintenance Model'!B$110*I147</f>
        <v>52.768668324944002</v>
      </c>
      <c r="P147" s="105">
        <f t="shared" si="30"/>
        <v>9.3455452479999988</v>
      </c>
      <c r="Q147" s="105">
        <f>H147*K147*'Maintenance Model'!B$85</f>
        <v>4.165467488</v>
      </c>
      <c r="R147" s="105">
        <f>'Maintenance Model'!B$104*I147</f>
        <v>1.6854933333333333</v>
      </c>
      <c r="S147" s="193">
        <f t="shared" si="28"/>
        <v>67.965174394277327</v>
      </c>
      <c r="T147" s="104">
        <f>'Maintenance Model'!B$110*N147</f>
        <v>10.72163397329544</v>
      </c>
      <c r="U147" s="240">
        <f t="shared" si="25"/>
        <v>7.8240691833719991</v>
      </c>
      <c r="V147" s="104">
        <f>'Maintenance Model'!B$104*N147</f>
        <v>0.34246159999999998</v>
      </c>
      <c r="W147" s="104">
        <f>'Maintenance Model'!B$111*M147</f>
        <v>12.300388886933334</v>
      </c>
      <c r="X147" s="240">
        <f t="shared" si="24"/>
        <v>6.8068790400000001</v>
      </c>
      <c r="Y147" s="104">
        <f>M147*'Maintenance Model'!B$105</f>
        <v>0.3928888888888889</v>
      </c>
      <c r="Z147" s="105">
        <f t="shared" si="29"/>
        <v>38.388321572489666</v>
      </c>
      <c r="AA147" s="203">
        <f>'Other Maintenance'!B$94</f>
        <v>2.9107349228680333</v>
      </c>
      <c r="AB147" s="104">
        <f t="shared" si="31"/>
        <v>70.875909317145357</v>
      </c>
      <c r="AC147" s="142">
        <f t="shared" si="32"/>
        <v>41.299056495357696</v>
      </c>
      <c r="AD147" s="127">
        <f>'Maintenance Model'!B$114 + 'Maintenance Model'!B$115</f>
        <v>0.99616182311111112</v>
      </c>
      <c r="AE147" s="138" t="e">
        <f>AB147+#REF!+#REF!</f>
        <v>#REF!</v>
      </c>
      <c r="AF147" s="142">
        <f t="shared" si="34"/>
        <v>71.872071140256466</v>
      </c>
      <c r="AG147" s="143">
        <f t="shared" si="35"/>
        <v>41.963164377431774</v>
      </c>
      <c r="AH147" s="61" t="e">
        <f>S147+#REF!+AD147</f>
        <v>#REF!</v>
      </c>
      <c r="AI147" s="61"/>
      <c r="AJ147" s="61"/>
      <c r="AK147" s="61"/>
      <c r="AL147" s="61"/>
      <c r="AM147" s="61"/>
      <c r="AN147" s="61"/>
      <c r="AO147" s="61"/>
      <c r="AP147" s="61"/>
      <c r="AQ147" s="61"/>
      <c r="AR147" s="61"/>
      <c r="AS147" s="61"/>
      <c r="AT147" s="61"/>
      <c r="AU147" s="61" t="s">
        <v>2041</v>
      </c>
      <c r="AV147" s="61" t="s">
        <v>2041</v>
      </c>
      <c r="AW147" s="25"/>
      <c r="AX147" s="61" t="b">
        <f t="shared" si="33"/>
        <v>1</v>
      </c>
      <c r="AY147" s="139"/>
      <c r="AZ147" s="129"/>
      <c r="BA147" s="25"/>
      <c r="BB147" s="25"/>
      <c r="BC147" s="61"/>
      <c r="BD147" s="61"/>
      <c r="BE147" s="61"/>
      <c r="BF147" s="61"/>
      <c r="BG147" s="25"/>
      <c r="BH147" s="25"/>
      <c r="BI147" s="25"/>
      <c r="BJ147" s="25"/>
      <c r="BK147" s="25"/>
      <c r="BL147" s="25"/>
      <c r="BM147" s="25"/>
      <c r="BN147" s="25"/>
      <c r="BO147" s="25"/>
      <c r="BP147" s="25"/>
      <c r="BQ147" s="25"/>
      <c r="BR147" s="25"/>
      <c r="BS147" s="25"/>
      <c r="BT147" s="25"/>
      <c r="BU147" s="25"/>
      <c r="BV147" s="25"/>
      <c r="BW147" s="25"/>
      <c r="BX147" s="25"/>
      <c r="BY147" s="25"/>
      <c r="BZ147" s="25"/>
    </row>
    <row r="148" spans="1:78" x14ac:dyDescent="0.2">
      <c r="A148" s="98" t="s">
        <v>239</v>
      </c>
      <c r="B148" s="99" t="str">
        <f>VLOOKUP(LEFT(A148,7),'Tariff Schedule Lookup Table'!A$8:D$142,3,FALSE)</f>
        <v>3x125</v>
      </c>
      <c r="C148" s="100">
        <v>3</v>
      </c>
      <c r="D148" s="100">
        <v>0</v>
      </c>
      <c r="E148" s="100" t="s">
        <v>121</v>
      </c>
      <c r="F148" s="169">
        <f>VLOOKUP(E148,'Lamp Stock'!A$14:H$49,4,FALSE)*(1+'Public Lighting Charges'!$R$11)</f>
        <v>5.0034841999999999</v>
      </c>
      <c r="G148" s="169">
        <f>VLOOKUP(E148,'Lamp Stock'!A$14:G$49,6,FALSE)*(1+'Public Lighting Charges'!$R$11)</f>
        <v>35.720060999999994</v>
      </c>
      <c r="H148" s="169">
        <f>VLOOKUP(E148,'Lamp Stock'!A$14:H$49,8,FALSE)*(1+'Public Lighting Charges'!$R$11)</f>
        <v>26.034171799999999</v>
      </c>
      <c r="I148" s="102">
        <v>0.22</v>
      </c>
      <c r="J148" s="102">
        <v>0.1</v>
      </c>
      <c r="K148" s="102">
        <v>0.2</v>
      </c>
      <c r="L148" s="101">
        <v>3</v>
      </c>
      <c r="M148" s="103">
        <f t="shared" si="27"/>
        <v>0.33333333333333331</v>
      </c>
      <c r="N148" s="451">
        <v>4.4699999999999997E-2</v>
      </c>
      <c r="O148" s="192">
        <f>'Maintenance Model'!B$110*I148</f>
        <v>52.768668324944002</v>
      </c>
      <c r="P148" s="105">
        <f>C148*(F148*I148+G148*J148)</f>
        <v>14.018317871999997</v>
      </c>
      <c r="Q148" s="105">
        <f>H148*K148*'Maintenance Model'!B$85</f>
        <v>4.165467488</v>
      </c>
      <c r="R148" s="105">
        <f>'Maintenance Model'!B$104*I148</f>
        <v>1.6854933333333333</v>
      </c>
      <c r="S148" s="193">
        <f>SUM(O148:R148)</f>
        <v>72.63794701827733</v>
      </c>
      <c r="T148" s="104">
        <f>'Maintenance Model'!B$110*N148</f>
        <v>10.72163397329544</v>
      </c>
      <c r="U148" s="240">
        <f t="shared" si="25"/>
        <v>11.619731027112</v>
      </c>
      <c r="V148" s="104">
        <f>'Maintenance Model'!B$104*N148</f>
        <v>0.34246159999999998</v>
      </c>
      <c r="W148" s="104">
        <f>'Maintenance Model'!B$111*M148</f>
        <v>12.300388886933334</v>
      </c>
      <c r="X148" s="240">
        <f t="shared" si="24"/>
        <v>10.210318560000001</v>
      </c>
      <c r="Y148" s="104">
        <f>M148*'Maintenance Model'!B$105</f>
        <v>0.3928888888888889</v>
      </c>
      <c r="Z148" s="105">
        <f>SUM(T148:Y148)</f>
        <v>45.587422936229672</v>
      </c>
      <c r="AA148" s="203">
        <f>'Other Maintenance'!B$94</f>
        <v>2.9107349228680333</v>
      </c>
      <c r="AB148" s="104">
        <f>(S148+AA148)</f>
        <v>75.548681941145361</v>
      </c>
      <c r="AC148" s="142">
        <f>(Z148+AA148)</f>
        <v>48.498157859097702</v>
      </c>
      <c r="AD148" s="127">
        <f>'Maintenance Model'!B$114 + 'Maintenance Model'!B$115</f>
        <v>0.99616182311111112</v>
      </c>
      <c r="AE148" s="138" t="e">
        <f>AB148+#REF!+#REF!</f>
        <v>#REF!</v>
      </c>
      <c r="AF148" s="142">
        <f t="shared" ref="AF148:AF173" si="36">(AB148+AD148)</f>
        <v>76.54484376425647</v>
      </c>
      <c r="AG148" s="143">
        <f t="shared" ref="AG148:AG173" si="37">(AC148+ (2/3*AD148))</f>
        <v>49.16226574117178</v>
      </c>
      <c r="AH148" s="61" t="e">
        <f>S148+#REF!+AD148</f>
        <v>#REF!</v>
      </c>
      <c r="AI148" s="61"/>
      <c r="AJ148" s="61"/>
      <c r="AK148" s="61"/>
      <c r="AL148" s="61"/>
      <c r="AM148" s="61"/>
      <c r="AN148" s="61"/>
      <c r="AO148" s="61"/>
      <c r="AP148" s="61"/>
      <c r="AQ148" s="61"/>
      <c r="AR148" s="61"/>
      <c r="AS148" s="61"/>
      <c r="AT148" s="61"/>
      <c r="AU148" s="61" t="s">
        <v>2041</v>
      </c>
      <c r="AV148" s="61" t="s">
        <v>2041</v>
      </c>
      <c r="AW148" s="25"/>
      <c r="AX148" s="61" t="b">
        <f>AF148 &gt; AG148</f>
        <v>1</v>
      </c>
      <c r="AY148" s="139"/>
      <c r="AZ148" s="129"/>
      <c r="BA148" s="25"/>
      <c r="BB148" s="25"/>
      <c r="BC148" s="61"/>
      <c r="BD148" s="61"/>
      <c r="BE148" s="61"/>
      <c r="BF148" s="61"/>
      <c r="BG148" s="25"/>
      <c r="BH148" s="25"/>
      <c r="BI148" s="25"/>
      <c r="BJ148" s="25"/>
      <c r="BK148" s="25"/>
      <c r="BL148" s="25"/>
      <c r="BM148" s="25"/>
      <c r="BN148" s="25"/>
      <c r="BO148" s="25"/>
      <c r="BP148" s="25"/>
      <c r="BQ148" s="25"/>
      <c r="BR148" s="25"/>
      <c r="BS148" s="25"/>
      <c r="BT148" s="25"/>
      <c r="BU148" s="25"/>
      <c r="BV148" s="25"/>
      <c r="BW148" s="25"/>
      <c r="BX148" s="25"/>
      <c r="BY148" s="25"/>
      <c r="BZ148" s="25"/>
    </row>
    <row r="149" spans="1:78" x14ac:dyDescent="0.2">
      <c r="A149" s="98" t="s">
        <v>240</v>
      </c>
      <c r="B149" s="99" t="str">
        <f>VLOOKUP(LEFT(A149,7),'Tariff Schedule Lookup Table'!A$8:D$142,3,FALSE)</f>
        <v>6x125</v>
      </c>
      <c r="C149" s="100">
        <v>6</v>
      </c>
      <c r="D149" s="100">
        <v>0</v>
      </c>
      <c r="E149" s="100" t="s">
        <v>121</v>
      </c>
      <c r="F149" s="169">
        <f>VLOOKUP(E149,'Lamp Stock'!A$14:H$49,4,FALSE)*(1+'Public Lighting Charges'!$R$11)</f>
        <v>5.0034841999999999</v>
      </c>
      <c r="G149" s="169">
        <f>VLOOKUP(E149,'Lamp Stock'!A$14:G$49,6,FALSE)*(1+'Public Lighting Charges'!$R$11)</f>
        <v>35.720060999999994</v>
      </c>
      <c r="H149" s="169">
        <f>VLOOKUP(E149,'Lamp Stock'!A$14:H$49,8,FALSE)*(1+'Public Lighting Charges'!$R$11)</f>
        <v>26.034171799999999</v>
      </c>
      <c r="I149" s="102">
        <v>0.22</v>
      </c>
      <c r="J149" s="102">
        <v>0.1</v>
      </c>
      <c r="K149" s="102">
        <v>0.2</v>
      </c>
      <c r="L149" s="101">
        <v>3</v>
      </c>
      <c r="M149" s="103">
        <f t="shared" si="27"/>
        <v>0.33333333333333331</v>
      </c>
      <c r="N149" s="451">
        <v>4.4699999999999997E-2</v>
      </c>
      <c r="O149" s="192">
        <f>'Maintenance Model'!B$110*I149</f>
        <v>52.768668324944002</v>
      </c>
      <c r="P149" s="105">
        <f>C149*(F149*I149+G149*J149)</f>
        <v>28.036635743999994</v>
      </c>
      <c r="Q149" s="105">
        <f>H149*K149*'Maintenance Model'!B$85</f>
        <v>4.165467488</v>
      </c>
      <c r="R149" s="105">
        <f>'Maintenance Model'!B$104*I149</f>
        <v>1.6854933333333333</v>
      </c>
      <c r="S149" s="193">
        <f>SUM(O149:R149)</f>
        <v>86.656264890277328</v>
      </c>
      <c r="T149" s="104">
        <f>'Maintenance Model'!B$110*N149</f>
        <v>10.72163397329544</v>
      </c>
      <c r="U149" s="240">
        <f t="shared" si="25"/>
        <v>23.006716558332002</v>
      </c>
      <c r="V149" s="104">
        <f>'Maintenance Model'!B$104*N149</f>
        <v>0.34246159999999998</v>
      </c>
      <c r="W149" s="104">
        <f>'Maintenance Model'!B$111*M149</f>
        <v>12.300388886933334</v>
      </c>
      <c r="X149" s="240">
        <f t="shared" si="24"/>
        <v>20.420637120000002</v>
      </c>
      <c r="Y149" s="104">
        <f>M149*'Maintenance Model'!B$105</f>
        <v>0.3928888888888889</v>
      </c>
      <c r="Z149" s="105">
        <f>SUM(T149:Y149)</f>
        <v>67.184727027449668</v>
      </c>
      <c r="AA149" s="203">
        <f>'Other Maintenance'!B$94</f>
        <v>2.9107349228680333</v>
      </c>
      <c r="AB149" s="104">
        <f>(S149+AA149)</f>
        <v>89.566999813145358</v>
      </c>
      <c r="AC149" s="142">
        <f>(Z149+AA149)</f>
        <v>70.095461950317699</v>
      </c>
      <c r="AD149" s="127">
        <f>'Maintenance Model'!B$114 + 'Maintenance Model'!B$115</f>
        <v>0.99616182311111112</v>
      </c>
      <c r="AE149" s="138" t="e">
        <f>AB149+#REF!+#REF!</f>
        <v>#REF!</v>
      </c>
      <c r="AF149" s="142">
        <f t="shared" si="36"/>
        <v>90.563161636256467</v>
      </c>
      <c r="AG149" s="143">
        <f t="shared" si="37"/>
        <v>70.759569832391776</v>
      </c>
      <c r="AH149" s="61" t="e">
        <f>S149+#REF!+AD149</f>
        <v>#REF!</v>
      </c>
      <c r="AI149" s="61"/>
      <c r="AJ149" s="61"/>
      <c r="AK149" s="61"/>
      <c r="AL149" s="61"/>
      <c r="AM149" s="61"/>
      <c r="AN149" s="61"/>
      <c r="AO149" s="61"/>
      <c r="AP149" s="61"/>
      <c r="AQ149" s="61"/>
      <c r="AR149" s="61"/>
      <c r="AS149" s="61"/>
      <c r="AT149" s="61"/>
      <c r="AU149" s="61" t="s">
        <v>2041</v>
      </c>
      <c r="AV149" s="61" t="s">
        <v>2041</v>
      </c>
      <c r="AW149" s="25"/>
      <c r="AX149" s="61" t="b">
        <f>AF149 &gt; AG149</f>
        <v>1</v>
      </c>
      <c r="AY149" s="139"/>
      <c r="AZ149" s="129"/>
      <c r="BA149" s="25"/>
      <c r="BB149" s="25"/>
      <c r="BC149" s="61"/>
      <c r="BD149" s="61"/>
      <c r="BE149" s="61"/>
      <c r="BF149" s="61"/>
      <c r="BG149" s="25"/>
      <c r="BH149" s="25"/>
      <c r="BI149" s="25"/>
      <c r="BJ149" s="25"/>
      <c r="BK149" s="25"/>
      <c r="BL149" s="25"/>
      <c r="BM149" s="25"/>
      <c r="BN149" s="25"/>
      <c r="BO149" s="25"/>
      <c r="BP149" s="25"/>
      <c r="BQ149" s="25"/>
      <c r="BR149" s="25"/>
      <c r="BS149" s="25"/>
      <c r="BT149" s="25"/>
      <c r="BU149" s="25"/>
      <c r="BV149" s="25"/>
      <c r="BW149" s="25"/>
      <c r="BX149" s="25"/>
      <c r="BY149" s="25"/>
      <c r="BZ149" s="25"/>
    </row>
    <row r="150" spans="1:78" ht="14.25" customHeight="1" x14ac:dyDescent="0.2">
      <c r="A150" s="98" t="s">
        <v>2138</v>
      </c>
      <c r="B150" s="99">
        <f>VLOOKUP(LEFT(A150,7),'Tariff Schedule Lookup Table'!A$8:D$142,3,FALSE)</f>
        <v>160</v>
      </c>
      <c r="C150" s="100">
        <v>1</v>
      </c>
      <c r="D150" s="100">
        <v>29</v>
      </c>
      <c r="E150" s="100" t="s">
        <v>121</v>
      </c>
      <c r="F150" s="169">
        <f>VLOOKUP(E150,'Lamp Stock'!A$14:H$49,4,FALSE)*(1+'Public Lighting Charges'!$R$11)</f>
        <v>5.0034841999999999</v>
      </c>
      <c r="G150" s="169">
        <f>VLOOKUP(E150,'Lamp Stock'!A$14:G$49,6,FALSE)*(1+'Public Lighting Charges'!$R$11)</f>
        <v>35.720060999999994</v>
      </c>
      <c r="H150" s="169">
        <f>VLOOKUP(E150,'Lamp Stock'!A$14:H$49,8,FALSE)*(1+'Public Lighting Charges'!$R$11)</f>
        <v>26.034171799999999</v>
      </c>
      <c r="I150" s="102">
        <v>0.22</v>
      </c>
      <c r="J150" s="102">
        <v>0.1</v>
      </c>
      <c r="K150" s="102">
        <v>0.2</v>
      </c>
      <c r="L150" s="101">
        <v>3</v>
      </c>
      <c r="M150" s="103">
        <f t="shared" si="27"/>
        <v>0.33333333333333331</v>
      </c>
      <c r="N150" s="451">
        <v>4.4699999999999997E-2</v>
      </c>
      <c r="O150" s="192">
        <f>'Maintenance Model'!B$110*I150</f>
        <v>52.768668324944002</v>
      </c>
      <c r="P150" s="105">
        <f t="shared" si="30"/>
        <v>4.6727726239999994</v>
      </c>
      <c r="Q150" s="105">
        <f>H150*K150*'Maintenance Model'!B$86</f>
        <v>1.5620503080000001</v>
      </c>
      <c r="R150" s="105">
        <f>'Maintenance Model'!B$106*I150</f>
        <v>13.483946666666666</v>
      </c>
      <c r="S150" s="193">
        <f t="shared" si="28"/>
        <v>72.487437923610671</v>
      </c>
      <c r="T150" s="104">
        <f>'Maintenance Model'!B$110*N150</f>
        <v>10.72163397329544</v>
      </c>
      <c r="U150" s="240">
        <f t="shared" si="25"/>
        <v>4.0284073396319995</v>
      </c>
      <c r="V150" s="104">
        <f>'Maintenance Model'!B$106*N150</f>
        <v>2.7396927999999998</v>
      </c>
      <c r="W150" s="104">
        <f>'Maintenance Model'!B$111*M150</f>
        <v>12.300388886933334</v>
      </c>
      <c r="X150" s="240">
        <f t="shared" ref="X150:X173" si="38">(C150*(F150+(K150*H150)))*M150</f>
        <v>3.4034395200000001</v>
      </c>
      <c r="Y150" s="105">
        <f>M150*'Maintenance Model'!B$107</f>
        <v>3.1431111111111112</v>
      </c>
      <c r="Z150" s="105">
        <f t="shared" si="29"/>
        <v>36.336673630971887</v>
      </c>
      <c r="AA150" s="203">
        <f>'Other Maintenance'!B$94</f>
        <v>2.9107349228680333</v>
      </c>
      <c r="AB150" s="104">
        <f t="shared" si="31"/>
        <v>75.398172846478701</v>
      </c>
      <c r="AC150" s="142">
        <f t="shared" si="32"/>
        <v>39.247408553839918</v>
      </c>
      <c r="AD150" s="127">
        <f>'Maintenance Model'!B$114 + 'Maintenance Model'!B$115</f>
        <v>0.99616182311111112</v>
      </c>
      <c r="AE150" s="138" t="e">
        <f>AB150+#REF!+#REF!</f>
        <v>#REF!</v>
      </c>
      <c r="AF150" s="142">
        <f t="shared" si="36"/>
        <v>76.39433466958981</v>
      </c>
      <c r="AG150" s="143">
        <f t="shared" si="37"/>
        <v>39.911516435913995</v>
      </c>
      <c r="AH150" s="61" t="e">
        <f>S150+#REF!+AD150</f>
        <v>#REF!</v>
      </c>
      <c r="AI150" s="61"/>
      <c r="AJ150" s="61"/>
      <c r="AK150" s="61"/>
      <c r="AL150" s="61"/>
      <c r="AM150" s="61"/>
      <c r="AN150" s="61"/>
      <c r="AO150" s="61"/>
      <c r="AP150" s="61"/>
      <c r="AQ150" s="61"/>
      <c r="AR150" s="61"/>
      <c r="AS150" s="61" t="s">
        <v>1176</v>
      </c>
      <c r="AT150" s="61"/>
      <c r="AU150" s="61">
        <v>31.462377685040014</v>
      </c>
      <c r="AV150" s="61" t="s">
        <v>2041</v>
      </c>
      <c r="AW150" s="25"/>
      <c r="AX150" s="61" t="b">
        <f t="shared" si="33"/>
        <v>1</v>
      </c>
      <c r="AY150" s="128"/>
      <c r="AZ150" s="129"/>
      <c r="BA150" s="25"/>
      <c r="BB150" s="25"/>
      <c r="BC150" s="61"/>
      <c r="BD150" s="61"/>
      <c r="BE150" s="61"/>
      <c r="BF150" s="61"/>
      <c r="BG150" s="25"/>
      <c r="BH150" s="25"/>
      <c r="BI150" s="25"/>
      <c r="BJ150" s="25"/>
      <c r="BK150" s="25"/>
      <c r="BL150" s="25"/>
      <c r="BM150" s="25"/>
      <c r="BN150" s="25"/>
      <c r="BO150" s="25"/>
      <c r="BP150" s="25"/>
      <c r="BQ150" s="25"/>
      <c r="BR150" s="25"/>
      <c r="BS150" s="25"/>
      <c r="BT150" s="25"/>
      <c r="BU150" s="25"/>
      <c r="BV150" s="25"/>
      <c r="BW150" s="25"/>
      <c r="BX150" s="25"/>
      <c r="BY150" s="25"/>
      <c r="BZ150" s="25"/>
    </row>
    <row r="151" spans="1:78" ht="14.25" customHeight="1" x14ac:dyDescent="0.2">
      <c r="A151" s="98" t="s">
        <v>241</v>
      </c>
      <c r="B151" s="99" t="str">
        <f>VLOOKUP(LEFT(A151,7),'Tariff Schedule Lookup Table'!A$8:D$142,3,FALSE)</f>
        <v>2x160</v>
      </c>
      <c r="C151" s="100">
        <v>2</v>
      </c>
      <c r="D151" s="100">
        <v>0</v>
      </c>
      <c r="E151" s="100" t="s">
        <v>121</v>
      </c>
      <c r="F151" s="169">
        <f>VLOOKUP(E151,'Lamp Stock'!A$14:H$49,4,FALSE)*(1+'Public Lighting Charges'!$R$11)</f>
        <v>5.0034841999999999</v>
      </c>
      <c r="G151" s="169">
        <f>VLOOKUP(E151,'Lamp Stock'!A$14:G$49,6,FALSE)*(1+'Public Lighting Charges'!$R$11)</f>
        <v>35.720060999999994</v>
      </c>
      <c r="H151" s="169">
        <f>VLOOKUP(E151,'Lamp Stock'!A$14:H$49,8,FALSE)*(1+'Public Lighting Charges'!$R$11)</f>
        <v>26.034171799999999</v>
      </c>
      <c r="I151" s="102">
        <v>0.22</v>
      </c>
      <c r="J151" s="102">
        <v>0.1</v>
      </c>
      <c r="K151" s="102">
        <v>0.2</v>
      </c>
      <c r="L151" s="101">
        <v>3</v>
      </c>
      <c r="M151" s="103">
        <f t="shared" si="27"/>
        <v>0.33333333333333331</v>
      </c>
      <c r="N151" s="451">
        <v>4.4699999999999997E-2</v>
      </c>
      <c r="O151" s="192">
        <f>'Maintenance Model'!B$110*I151</f>
        <v>52.768668324944002</v>
      </c>
      <c r="P151" s="105">
        <f>C151*(F151*I151+G151*J151)</f>
        <v>9.3455452479999988</v>
      </c>
      <c r="Q151" s="105">
        <f>H151*K151*'Maintenance Model'!B$86</f>
        <v>1.5620503080000001</v>
      </c>
      <c r="R151" s="105">
        <f>'Maintenance Model'!B$106*I151</f>
        <v>13.483946666666666</v>
      </c>
      <c r="S151" s="193">
        <f>SUM(O151:R151)</f>
        <v>77.160210547610674</v>
      </c>
      <c r="T151" s="104">
        <f>'Maintenance Model'!B$110*N151</f>
        <v>10.72163397329544</v>
      </c>
      <c r="U151" s="240">
        <f t="shared" ref="U151:U170" si="39">N151*((C151*F151)+K151*H151)+C151*G151*J151</f>
        <v>7.8240691833719991</v>
      </c>
      <c r="V151" s="104">
        <f>'Maintenance Model'!B$106*N151</f>
        <v>2.7396927999999998</v>
      </c>
      <c r="W151" s="104">
        <f>'Maintenance Model'!B$111*M151</f>
        <v>12.300388886933334</v>
      </c>
      <c r="X151" s="240">
        <f t="shared" si="38"/>
        <v>6.8068790400000001</v>
      </c>
      <c r="Y151" s="105">
        <f>M151*'Maintenance Model'!B$107</f>
        <v>3.1431111111111112</v>
      </c>
      <c r="Z151" s="105">
        <f>SUM(T151:Y151)</f>
        <v>43.535774994711886</v>
      </c>
      <c r="AA151" s="203">
        <f>'Other Maintenance'!B$94</f>
        <v>2.9107349228680333</v>
      </c>
      <c r="AB151" s="104">
        <f>(S151+AA151)</f>
        <v>80.070945470478705</v>
      </c>
      <c r="AC151" s="142">
        <f>(Z151+AA151)</f>
        <v>46.446509917579917</v>
      </c>
      <c r="AD151" s="127">
        <f>'Maintenance Model'!B$114 + 'Maintenance Model'!B$115</f>
        <v>0.99616182311111112</v>
      </c>
      <c r="AE151" s="138" t="e">
        <f>AB151+#REF!+#REF!</f>
        <v>#REF!</v>
      </c>
      <c r="AF151" s="142">
        <f t="shared" si="36"/>
        <v>81.067107293589814</v>
      </c>
      <c r="AG151" s="143">
        <f t="shared" si="37"/>
        <v>47.110617799653994</v>
      </c>
      <c r="AH151" s="61" t="e">
        <f>S151+#REF!+AD151</f>
        <v>#REF!</v>
      </c>
      <c r="AI151" s="61"/>
      <c r="AJ151" s="61"/>
      <c r="AK151" s="61"/>
      <c r="AL151" s="61"/>
      <c r="AM151" s="61"/>
      <c r="AN151" s="61"/>
      <c r="AO151" s="61"/>
      <c r="AP151" s="61"/>
      <c r="AQ151" s="61"/>
      <c r="AR151" s="61"/>
      <c r="AS151" s="61" t="s">
        <v>1176</v>
      </c>
      <c r="AT151" s="61"/>
      <c r="AU151" s="61">
        <v>31.462377685040014</v>
      </c>
      <c r="AV151" s="61" t="s">
        <v>2041</v>
      </c>
      <c r="AW151" s="25"/>
      <c r="AX151" s="61" t="b">
        <f>AF151 &gt; AG151</f>
        <v>1</v>
      </c>
      <c r="AY151" s="128"/>
      <c r="AZ151" s="129"/>
      <c r="BA151" s="25"/>
      <c r="BB151" s="25"/>
      <c r="BC151" s="61"/>
      <c r="BD151" s="61"/>
      <c r="BE151" s="61"/>
      <c r="BF151" s="61"/>
      <c r="BG151" s="25"/>
      <c r="BH151" s="25"/>
      <c r="BI151" s="25"/>
      <c r="BJ151" s="25"/>
      <c r="BK151" s="25"/>
      <c r="BL151" s="25"/>
      <c r="BM151" s="25"/>
      <c r="BN151" s="25"/>
      <c r="BO151" s="25"/>
      <c r="BP151" s="25"/>
      <c r="BQ151" s="25"/>
      <c r="BR151" s="25"/>
      <c r="BS151" s="25"/>
      <c r="BT151" s="25"/>
      <c r="BU151" s="25"/>
      <c r="BV151" s="25"/>
      <c r="BW151" s="25"/>
      <c r="BX151" s="25"/>
      <c r="BY151" s="25"/>
      <c r="BZ151" s="25"/>
    </row>
    <row r="152" spans="1:78" ht="14.25" customHeight="1" x14ac:dyDescent="0.2">
      <c r="A152" s="98" t="s">
        <v>242</v>
      </c>
      <c r="B152" s="99" t="str">
        <f>VLOOKUP(LEFT(A152,7),'Tariff Schedule Lookup Table'!A$8:D$142,3,FALSE)</f>
        <v>3x160</v>
      </c>
      <c r="C152" s="100">
        <v>3</v>
      </c>
      <c r="D152" s="100">
        <v>0</v>
      </c>
      <c r="E152" s="100" t="s">
        <v>121</v>
      </c>
      <c r="F152" s="169">
        <f>VLOOKUP(E152,'Lamp Stock'!A$14:H$49,4,FALSE)*(1+'Public Lighting Charges'!$R$11)</f>
        <v>5.0034841999999999</v>
      </c>
      <c r="G152" s="169">
        <f>VLOOKUP(E152,'Lamp Stock'!A$14:G$49,6,FALSE)*(1+'Public Lighting Charges'!$R$11)</f>
        <v>35.720060999999994</v>
      </c>
      <c r="H152" s="169">
        <f>VLOOKUP(E152,'Lamp Stock'!A$14:H$49,8,FALSE)*(1+'Public Lighting Charges'!$R$11)</f>
        <v>26.034171799999999</v>
      </c>
      <c r="I152" s="102">
        <v>0.22</v>
      </c>
      <c r="J152" s="102">
        <v>0.1</v>
      </c>
      <c r="K152" s="102">
        <v>0.2</v>
      </c>
      <c r="L152" s="101">
        <v>3</v>
      </c>
      <c r="M152" s="103">
        <f t="shared" si="27"/>
        <v>0.33333333333333331</v>
      </c>
      <c r="N152" s="451">
        <v>4.4699999999999997E-2</v>
      </c>
      <c r="O152" s="192">
        <f>'Maintenance Model'!B$110*I152</f>
        <v>52.768668324944002</v>
      </c>
      <c r="P152" s="105">
        <f>C152*(F152*I152+G152*J152)</f>
        <v>14.018317871999997</v>
      </c>
      <c r="Q152" s="105">
        <f>H152*K152*'Maintenance Model'!B$86</f>
        <v>1.5620503080000001</v>
      </c>
      <c r="R152" s="105">
        <f>'Maintenance Model'!B$106*I152</f>
        <v>13.483946666666666</v>
      </c>
      <c r="S152" s="193">
        <f>SUM(O152:R152)</f>
        <v>81.832983171610664</v>
      </c>
      <c r="T152" s="104">
        <f>'Maintenance Model'!B$110*N152</f>
        <v>10.72163397329544</v>
      </c>
      <c r="U152" s="240">
        <f t="shared" si="39"/>
        <v>11.619731027112</v>
      </c>
      <c r="V152" s="104">
        <f>'Maintenance Model'!B$106*N152</f>
        <v>2.7396927999999998</v>
      </c>
      <c r="W152" s="104">
        <f>'Maintenance Model'!B$111*M152</f>
        <v>12.300388886933334</v>
      </c>
      <c r="X152" s="240">
        <f t="shared" si="38"/>
        <v>10.210318560000001</v>
      </c>
      <c r="Y152" s="105">
        <f>M152*'Maintenance Model'!B$107</f>
        <v>3.1431111111111112</v>
      </c>
      <c r="Z152" s="105">
        <f>SUM(T152:Y152)</f>
        <v>50.734876358451885</v>
      </c>
      <c r="AA152" s="203">
        <f>'Other Maintenance'!B$94</f>
        <v>2.9107349228680333</v>
      </c>
      <c r="AB152" s="104">
        <f>(S152+AA152)</f>
        <v>84.743718094478695</v>
      </c>
      <c r="AC152" s="142">
        <f>(Z152+AA152)</f>
        <v>53.645611281319916</v>
      </c>
      <c r="AD152" s="127">
        <f>'Maintenance Model'!B$114 + 'Maintenance Model'!B$115</f>
        <v>0.99616182311111112</v>
      </c>
      <c r="AE152" s="138" t="e">
        <f>AB152+#REF!+#REF!</f>
        <v>#REF!</v>
      </c>
      <c r="AF152" s="142">
        <f t="shared" si="36"/>
        <v>85.739879917589803</v>
      </c>
      <c r="AG152" s="143">
        <f t="shared" si="37"/>
        <v>54.309719163393993</v>
      </c>
      <c r="AH152" s="61" t="e">
        <f>S152+#REF!+AD152</f>
        <v>#REF!</v>
      </c>
      <c r="AI152" s="61"/>
      <c r="AJ152" s="61"/>
      <c r="AK152" s="61"/>
      <c r="AL152" s="61"/>
      <c r="AM152" s="61"/>
      <c r="AN152" s="61"/>
      <c r="AO152" s="61"/>
      <c r="AP152" s="61"/>
      <c r="AQ152" s="61"/>
      <c r="AR152" s="61"/>
      <c r="AS152" s="61" t="s">
        <v>1176</v>
      </c>
      <c r="AT152" s="61"/>
      <c r="AU152" s="61">
        <v>31.462377685040014</v>
      </c>
      <c r="AV152" s="61" t="s">
        <v>2041</v>
      </c>
      <c r="AW152" s="25"/>
      <c r="AX152" s="61" t="b">
        <f>AF152 &gt; AG152</f>
        <v>1</v>
      </c>
      <c r="AY152" s="128"/>
      <c r="AZ152" s="129"/>
      <c r="BA152" s="25"/>
      <c r="BB152" s="25"/>
      <c r="BC152" s="61"/>
      <c r="BD152" s="61"/>
      <c r="BE152" s="61"/>
      <c r="BF152" s="61"/>
      <c r="BG152" s="25"/>
      <c r="BH152" s="25"/>
      <c r="BI152" s="25"/>
      <c r="BJ152" s="25"/>
      <c r="BK152" s="25"/>
      <c r="BL152" s="25"/>
      <c r="BM152" s="25"/>
      <c r="BN152" s="25"/>
      <c r="BO152" s="25"/>
      <c r="BP152" s="25"/>
      <c r="BQ152" s="25"/>
      <c r="BR152" s="25"/>
      <c r="BS152" s="25"/>
      <c r="BT152" s="25"/>
      <c r="BU152" s="25"/>
      <c r="BV152" s="25"/>
      <c r="BW152" s="25"/>
      <c r="BX152" s="25"/>
      <c r="BY152" s="25"/>
      <c r="BZ152" s="25"/>
    </row>
    <row r="153" spans="1:78" ht="14.25" customHeight="1" x14ac:dyDescent="0.2">
      <c r="A153" s="98" t="s">
        <v>243</v>
      </c>
      <c r="B153" s="99" t="str">
        <f>VLOOKUP(LEFT(A153,7),'Tariff Schedule Lookup Table'!A$8:D$142,3,FALSE)</f>
        <v>6x160</v>
      </c>
      <c r="C153" s="100">
        <v>6</v>
      </c>
      <c r="D153" s="100">
        <v>0</v>
      </c>
      <c r="E153" s="100" t="s">
        <v>121</v>
      </c>
      <c r="F153" s="169">
        <f>VLOOKUP(E153,'Lamp Stock'!A$14:H$49,4,FALSE)*(1+'Public Lighting Charges'!$R$11)</f>
        <v>5.0034841999999999</v>
      </c>
      <c r="G153" s="169">
        <f>VLOOKUP(E153,'Lamp Stock'!A$14:G$49,6,FALSE)*(1+'Public Lighting Charges'!$R$11)</f>
        <v>35.720060999999994</v>
      </c>
      <c r="H153" s="169">
        <f>VLOOKUP(E153,'Lamp Stock'!A$14:H$49,8,FALSE)*(1+'Public Lighting Charges'!$R$11)</f>
        <v>26.034171799999999</v>
      </c>
      <c r="I153" s="102">
        <v>0.22</v>
      </c>
      <c r="J153" s="102">
        <v>0.1</v>
      </c>
      <c r="K153" s="102">
        <v>0.2</v>
      </c>
      <c r="L153" s="101">
        <v>3</v>
      </c>
      <c r="M153" s="103">
        <f t="shared" si="27"/>
        <v>0.33333333333333331</v>
      </c>
      <c r="N153" s="451">
        <v>4.4699999999999997E-2</v>
      </c>
      <c r="O153" s="192">
        <f>'Maintenance Model'!B$110*I153</f>
        <v>52.768668324944002</v>
      </c>
      <c r="P153" s="105">
        <f>C153*(F153*I153+G153*J153)</f>
        <v>28.036635743999994</v>
      </c>
      <c r="Q153" s="105">
        <f>H153*K153*'Maintenance Model'!B$86</f>
        <v>1.5620503080000001</v>
      </c>
      <c r="R153" s="105">
        <f>'Maintenance Model'!B$106*I153</f>
        <v>13.483946666666666</v>
      </c>
      <c r="S153" s="193">
        <f>SUM(O153:R153)</f>
        <v>95.851301043610661</v>
      </c>
      <c r="T153" s="104">
        <f>'Maintenance Model'!B$110*N153</f>
        <v>10.72163397329544</v>
      </c>
      <c r="U153" s="240">
        <f t="shared" si="39"/>
        <v>23.006716558332002</v>
      </c>
      <c r="V153" s="104">
        <f>'Maintenance Model'!B$106*N153</f>
        <v>2.7396927999999998</v>
      </c>
      <c r="W153" s="104">
        <f>'Maintenance Model'!B$111*M153</f>
        <v>12.300388886933334</v>
      </c>
      <c r="X153" s="240">
        <f t="shared" si="38"/>
        <v>20.420637120000002</v>
      </c>
      <c r="Y153" s="105">
        <f>M153*'Maintenance Model'!B$107</f>
        <v>3.1431111111111112</v>
      </c>
      <c r="Z153" s="105">
        <f>SUM(T153:Y153)</f>
        <v>72.332180449671895</v>
      </c>
      <c r="AA153" s="203">
        <f>'Other Maintenance'!B$94</f>
        <v>2.9107349228680333</v>
      </c>
      <c r="AB153" s="104">
        <f>(S153+AA153)</f>
        <v>98.762035966478692</v>
      </c>
      <c r="AC153" s="142">
        <f>(Z153+AA153)</f>
        <v>75.242915372539926</v>
      </c>
      <c r="AD153" s="127">
        <f>'Maintenance Model'!B$114 + 'Maintenance Model'!B$115</f>
        <v>0.99616182311111112</v>
      </c>
      <c r="AE153" s="138" t="e">
        <f>AB153+#REF!+#REF!</f>
        <v>#REF!</v>
      </c>
      <c r="AF153" s="142">
        <f t="shared" si="36"/>
        <v>99.758197789589801</v>
      </c>
      <c r="AG153" s="143">
        <f t="shared" si="37"/>
        <v>75.907023254614003</v>
      </c>
      <c r="AH153" s="61" t="e">
        <f>S153+#REF!+AD153</f>
        <v>#REF!</v>
      </c>
      <c r="AI153" s="61"/>
      <c r="AJ153" s="61"/>
      <c r="AK153" s="61"/>
      <c r="AL153" s="61"/>
      <c r="AM153" s="61"/>
      <c r="AN153" s="61"/>
      <c r="AO153" s="61"/>
      <c r="AP153" s="61"/>
      <c r="AQ153" s="61"/>
      <c r="AR153" s="61"/>
      <c r="AS153" s="61" t="s">
        <v>1176</v>
      </c>
      <c r="AT153" s="61"/>
      <c r="AU153" s="61">
        <v>31.462377685040014</v>
      </c>
      <c r="AV153" s="61" t="s">
        <v>2041</v>
      </c>
      <c r="AW153" s="25"/>
      <c r="AX153" s="61" t="b">
        <f>AF153 &gt; AG153</f>
        <v>1</v>
      </c>
      <c r="AY153" s="128"/>
      <c r="AZ153" s="129"/>
      <c r="BA153" s="25"/>
      <c r="BB153" s="25"/>
      <c r="BC153" s="61"/>
      <c r="BD153" s="61"/>
      <c r="BE153" s="61"/>
      <c r="BF153" s="61"/>
      <c r="BG153" s="25"/>
      <c r="BH153" s="25"/>
      <c r="BI153" s="25"/>
      <c r="BJ153" s="25"/>
      <c r="BK153" s="25"/>
      <c r="BL153" s="25"/>
      <c r="BM153" s="25"/>
      <c r="BN153" s="25"/>
      <c r="BO153" s="25"/>
      <c r="BP153" s="25"/>
      <c r="BQ153" s="25"/>
      <c r="BR153" s="25"/>
      <c r="BS153" s="25"/>
      <c r="BT153" s="25"/>
      <c r="BU153" s="25"/>
      <c r="BV153" s="25"/>
      <c r="BW153" s="25"/>
      <c r="BX153" s="25"/>
      <c r="BY153" s="25"/>
      <c r="BZ153" s="25"/>
    </row>
    <row r="154" spans="1:78" ht="14.25" customHeight="1" x14ac:dyDescent="0.2">
      <c r="A154" s="98" t="s">
        <v>244</v>
      </c>
      <c r="B154" s="99" t="str">
        <f>VLOOKUP(LEFT(A154,7),'Tariff Schedule Lookup Table'!A$8:D$142,3,FALSE)</f>
        <v>9x160</v>
      </c>
      <c r="C154" s="100">
        <v>1</v>
      </c>
      <c r="D154" s="100">
        <v>0</v>
      </c>
      <c r="E154" s="100" t="s">
        <v>121</v>
      </c>
      <c r="F154" s="169">
        <f>VLOOKUP(E154,'Lamp Stock'!A$14:H$49,4,FALSE)*(1+'Public Lighting Charges'!$R$11)</f>
        <v>5.0034841999999999</v>
      </c>
      <c r="G154" s="169">
        <f>VLOOKUP(E154,'Lamp Stock'!A$14:G$49,6,FALSE)*(1+'Public Lighting Charges'!$R$11)</f>
        <v>35.720060999999994</v>
      </c>
      <c r="H154" s="169">
        <f>VLOOKUP(E154,'Lamp Stock'!A$14:H$49,8,FALSE)*(1+'Public Lighting Charges'!$R$11)</f>
        <v>26.034171799999999</v>
      </c>
      <c r="I154" s="102">
        <v>0.22</v>
      </c>
      <c r="J154" s="102">
        <v>0.1</v>
      </c>
      <c r="K154" s="102">
        <v>0.2</v>
      </c>
      <c r="L154" s="101">
        <v>3</v>
      </c>
      <c r="M154" s="103">
        <f t="shared" si="27"/>
        <v>0.33333333333333331</v>
      </c>
      <c r="N154" s="451">
        <v>4.4699999999999997E-2</v>
      </c>
      <c r="O154" s="192">
        <f>'Maintenance Model'!B$110*I154</f>
        <v>52.768668324944002</v>
      </c>
      <c r="P154" s="105">
        <f>C154*(F154*I154+G154*J154)</f>
        <v>4.6727726239999994</v>
      </c>
      <c r="Q154" s="105">
        <f>H154*K154*'Maintenance Model'!B$86</f>
        <v>1.5620503080000001</v>
      </c>
      <c r="R154" s="105">
        <f>'Maintenance Model'!B$106*I154</f>
        <v>13.483946666666666</v>
      </c>
      <c r="S154" s="193">
        <f>SUM(O154:R154)</f>
        <v>72.487437923610671</v>
      </c>
      <c r="T154" s="104">
        <f>'Maintenance Model'!B$110*N154</f>
        <v>10.72163397329544</v>
      </c>
      <c r="U154" s="240">
        <f t="shared" si="39"/>
        <v>4.0284073396319995</v>
      </c>
      <c r="V154" s="104">
        <f>'Maintenance Model'!B$106*N154</f>
        <v>2.7396927999999998</v>
      </c>
      <c r="W154" s="104">
        <f>'Maintenance Model'!B$111*M154</f>
        <v>12.300388886933334</v>
      </c>
      <c r="X154" s="240">
        <f t="shared" si="38"/>
        <v>3.4034395200000001</v>
      </c>
      <c r="Y154" s="105">
        <f>M154*'Maintenance Model'!B$107</f>
        <v>3.1431111111111112</v>
      </c>
      <c r="Z154" s="105">
        <f>SUM(T154:Y154)</f>
        <v>36.336673630971887</v>
      </c>
      <c r="AA154" s="203">
        <f>'Other Maintenance'!B$94</f>
        <v>2.9107349228680333</v>
      </c>
      <c r="AB154" s="104">
        <f>(S154+AA154)</f>
        <v>75.398172846478701</v>
      </c>
      <c r="AC154" s="142">
        <f>(Z154+AA154)</f>
        <v>39.247408553839918</v>
      </c>
      <c r="AD154" s="127">
        <f>'Maintenance Model'!B$114 + 'Maintenance Model'!B$115</f>
        <v>0.99616182311111112</v>
      </c>
      <c r="AE154" s="138" t="e">
        <f>AB154+#REF!+#REF!</f>
        <v>#REF!</v>
      </c>
      <c r="AF154" s="142">
        <f t="shared" si="36"/>
        <v>76.39433466958981</v>
      </c>
      <c r="AG154" s="143">
        <f t="shared" si="37"/>
        <v>39.911516435913995</v>
      </c>
      <c r="AH154" s="61" t="e">
        <f>S154+#REF!+AD154</f>
        <v>#REF!</v>
      </c>
      <c r="AI154" s="61"/>
      <c r="AJ154" s="61"/>
      <c r="AK154" s="61"/>
      <c r="AL154" s="61"/>
      <c r="AM154" s="61"/>
      <c r="AN154" s="61"/>
      <c r="AO154" s="61"/>
      <c r="AP154" s="61"/>
      <c r="AQ154" s="61"/>
      <c r="AR154" s="61"/>
      <c r="AS154" s="61" t="s">
        <v>1176</v>
      </c>
      <c r="AT154" s="61"/>
      <c r="AU154" s="61">
        <v>31.462377685040014</v>
      </c>
      <c r="AV154" s="61" t="s">
        <v>2041</v>
      </c>
      <c r="AW154" s="25"/>
      <c r="AX154" s="61" t="b">
        <f>AF154 &gt; AG154</f>
        <v>1</v>
      </c>
      <c r="AY154" s="128"/>
      <c r="AZ154" s="129"/>
      <c r="BA154" s="25"/>
      <c r="BB154" s="25"/>
      <c r="BC154" s="61"/>
      <c r="BD154" s="61"/>
      <c r="BE154" s="61"/>
      <c r="BF154" s="61"/>
      <c r="BG154" s="25"/>
      <c r="BH154" s="25"/>
      <c r="BI154" s="25"/>
      <c r="BJ154" s="25"/>
      <c r="BK154" s="25"/>
      <c r="BL154" s="25"/>
      <c r="BM154" s="25"/>
      <c r="BN154" s="25"/>
      <c r="BO154" s="25"/>
      <c r="BP154" s="25"/>
      <c r="BQ154" s="25"/>
      <c r="BR154" s="25"/>
      <c r="BS154" s="25"/>
      <c r="BT154" s="25"/>
      <c r="BU154" s="25"/>
      <c r="BV154" s="25"/>
      <c r="BW154" s="25"/>
      <c r="BX154" s="25"/>
      <c r="BY154" s="25"/>
      <c r="BZ154" s="25"/>
    </row>
    <row r="155" spans="1:78" ht="13.7" customHeight="1" x14ac:dyDescent="0.2">
      <c r="A155" s="98" t="s">
        <v>2139</v>
      </c>
      <c r="B155" s="99">
        <f>VLOOKUP(LEFT(A155,7),'Tariff Schedule Lookup Table'!A$8:D$142,3,FALSE)</f>
        <v>175</v>
      </c>
      <c r="C155" s="100">
        <v>1</v>
      </c>
      <c r="D155" s="100">
        <v>1</v>
      </c>
      <c r="E155" s="100" t="s">
        <v>121</v>
      </c>
      <c r="F155" s="169">
        <f>VLOOKUP(E155,'Lamp Stock'!A$14:H$49,4,FALSE)*(1+'Public Lighting Charges'!$R$11)</f>
        <v>5.0034841999999999</v>
      </c>
      <c r="G155" s="169">
        <f>VLOOKUP(E155,'Lamp Stock'!A$14:G$49,6,FALSE)*(1+'Public Lighting Charges'!$R$11)</f>
        <v>35.720060999999994</v>
      </c>
      <c r="H155" s="169">
        <f>VLOOKUP(E155,'Lamp Stock'!A$14:H$49,8,FALSE)*(1+'Public Lighting Charges'!$R$11)</f>
        <v>26.034171799999999</v>
      </c>
      <c r="I155" s="102">
        <v>0.22</v>
      </c>
      <c r="J155" s="102">
        <v>0.1</v>
      </c>
      <c r="K155" s="102">
        <v>0.2</v>
      </c>
      <c r="L155" s="101">
        <v>3</v>
      </c>
      <c r="M155" s="103">
        <f t="shared" si="27"/>
        <v>0.33333333333333331</v>
      </c>
      <c r="N155" s="451">
        <v>4.4699999999999997E-2</v>
      </c>
      <c r="O155" s="192">
        <f>'Maintenance Model'!B$110*I155</f>
        <v>52.768668324944002</v>
      </c>
      <c r="P155" s="105">
        <f t="shared" si="30"/>
        <v>4.6727726239999994</v>
      </c>
      <c r="Q155" s="105">
        <f>H155*K155*'Maintenance Model'!B$86</f>
        <v>1.5620503080000001</v>
      </c>
      <c r="R155" s="105">
        <f>'Maintenance Model'!B$106*I155</f>
        <v>13.483946666666666</v>
      </c>
      <c r="S155" s="193">
        <f t="shared" si="28"/>
        <v>72.487437923610671</v>
      </c>
      <c r="T155" s="104">
        <f>'Maintenance Model'!B$110*N155</f>
        <v>10.72163397329544</v>
      </c>
      <c r="U155" s="240">
        <f t="shared" si="39"/>
        <v>4.0284073396319995</v>
      </c>
      <c r="V155" s="104">
        <f>'Maintenance Model'!B$106*N155</f>
        <v>2.7396927999999998</v>
      </c>
      <c r="W155" s="104">
        <f>'Maintenance Model'!B$111*M155</f>
        <v>12.300388886933334</v>
      </c>
      <c r="X155" s="240">
        <f t="shared" si="38"/>
        <v>3.4034395200000001</v>
      </c>
      <c r="Y155" s="105">
        <f>M155*'Maintenance Model'!B$107</f>
        <v>3.1431111111111112</v>
      </c>
      <c r="Z155" s="105">
        <f t="shared" si="29"/>
        <v>36.336673630971887</v>
      </c>
      <c r="AA155" s="203">
        <f>'Other Maintenance'!B$94</f>
        <v>2.9107349228680333</v>
      </c>
      <c r="AB155" s="104">
        <f t="shared" si="31"/>
        <v>75.398172846478701</v>
      </c>
      <c r="AC155" s="142">
        <f t="shared" si="32"/>
        <v>39.247408553839918</v>
      </c>
      <c r="AD155" s="127">
        <f>'Maintenance Model'!B$114 + 'Maintenance Model'!B$115</f>
        <v>0.99616182311111112</v>
      </c>
      <c r="AE155" s="138" t="e">
        <f>AB155+#REF!+#REF!</f>
        <v>#REF!</v>
      </c>
      <c r="AF155" s="142">
        <f t="shared" si="36"/>
        <v>76.39433466958981</v>
      </c>
      <c r="AG155" s="143">
        <f t="shared" si="37"/>
        <v>39.911516435913995</v>
      </c>
      <c r="AH155" s="61" t="e">
        <f>S155+#REF!+AD155</f>
        <v>#REF!</v>
      </c>
      <c r="AI155" s="61"/>
      <c r="AJ155" s="61"/>
      <c r="AK155" s="61"/>
      <c r="AL155" s="61"/>
      <c r="AM155" s="61"/>
      <c r="AN155" s="61"/>
      <c r="AO155" s="61"/>
      <c r="AP155" s="61"/>
      <c r="AQ155" s="61"/>
      <c r="AR155" s="61"/>
      <c r="AS155" s="61" t="s">
        <v>1179</v>
      </c>
      <c r="AT155" s="61"/>
      <c r="AU155" s="61">
        <v>30.426356532199009</v>
      </c>
      <c r="AV155" s="61" t="s">
        <v>2041</v>
      </c>
      <c r="AW155" s="25"/>
      <c r="AX155" s="61" t="b">
        <f t="shared" si="33"/>
        <v>1</v>
      </c>
      <c r="AY155" s="128"/>
      <c r="AZ155" s="129"/>
      <c r="BA155" s="25"/>
      <c r="BB155" s="25"/>
      <c r="BC155" s="61"/>
      <c r="BD155" s="61"/>
      <c r="BE155" s="61"/>
      <c r="BF155" s="61"/>
      <c r="BG155" s="25"/>
      <c r="BH155" s="25"/>
      <c r="BI155" s="25"/>
      <c r="BJ155" s="25"/>
      <c r="BK155" s="25"/>
      <c r="BL155" s="25"/>
      <c r="BM155" s="25"/>
      <c r="BN155" s="25"/>
      <c r="BO155" s="25"/>
      <c r="BP155" s="25"/>
      <c r="BQ155" s="25"/>
      <c r="BR155" s="25"/>
      <c r="BS155" s="25"/>
      <c r="BT155" s="25"/>
      <c r="BU155" s="25"/>
      <c r="BV155" s="25"/>
      <c r="BW155" s="25"/>
      <c r="BX155" s="25"/>
      <c r="BY155" s="25"/>
      <c r="BZ155" s="25"/>
    </row>
    <row r="156" spans="1:78" ht="13.7" customHeight="1" x14ac:dyDescent="0.2">
      <c r="A156" s="98" t="s">
        <v>245</v>
      </c>
      <c r="B156" s="99" t="str">
        <f>VLOOKUP(LEFT(A156,7),'Tariff Schedule Lookup Table'!A$8:D$142,3,FALSE)</f>
        <v>2x175</v>
      </c>
      <c r="C156" s="100">
        <v>2</v>
      </c>
      <c r="D156" s="100">
        <v>0</v>
      </c>
      <c r="E156" s="100" t="s">
        <v>121</v>
      </c>
      <c r="F156" s="169">
        <f>VLOOKUP(E156,'Lamp Stock'!A$14:H$49,4,FALSE)*(1+'Public Lighting Charges'!$R$11)</f>
        <v>5.0034841999999999</v>
      </c>
      <c r="G156" s="169">
        <f>VLOOKUP(E156,'Lamp Stock'!A$14:G$49,6,FALSE)*(1+'Public Lighting Charges'!$R$11)</f>
        <v>35.720060999999994</v>
      </c>
      <c r="H156" s="169">
        <f>VLOOKUP(E156,'Lamp Stock'!A$14:H$49,8,FALSE)*(1+'Public Lighting Charges'!$R$11)</f>
        <v>26.034171799999999</v>
      </c>
      <c r="I156" s="102">
        <v>0.22</v>
      </c>
      <c r="J156" s="102">
        <v>0.1</v>
      </c>
      <c r="K156" s="102">
        <v>0.2</v>
      </c>
      <c r="L156" s="101">
        <v>3</v>
      </c>
      <c r="M156" s="103">
        <f t="shared" si="27"/>
        <v>0.33333333333333331</v>
      </c>
      <c r="N156" s="451">
        <v>4.4699999999999997E-2</v>
      </c>
      <c r="O156" s="192">
        <f>'Maintenance Model'!B$110*I156</f>
        <v>52.768668324944002</v>
      </c>
      <c r="P156" s="105">
        <f>C156*(F156*I156+G156*J156)</f>
        <v>9.3455452479999988</v>
      </c>
      <c r="Q156" s="105">
        <f>H156*K156*'Maintenance Model'!B$86</f>
        <v>1.5620503080000001</v>
      </c>
      <c r="R156" s="105">
        <f>'Maintenance Model'!B$106*I156</f>
        <v>13.483946666666666</v>
      </c>
      <c r="S156" s="193">
        <f>SUM(O156:R156)</f>
        <v>77.160210547610674</v>
      </c>
      <c r="T156" s="104">
        <f>'Maintenance Model'!B$110*N156</f>
        <v>10.72163397329544</v>
      </c>
      <c r="U156" s="240">
        <f t="shared" si="39"/>
        <v>7.8240691833719991</v>
      </c>
      <c r="V156" s="104">
        <f>'Maintenance Model'!B$106*N156</f>
        <v>2.7396927999999998</v>
      </c>
      <c r="W156" s="104">
        <f>'Maintenance Model'!B$111*M156</f>
        <v>12.300388886933334</v>
      </c>
      <c r="X156" s="240">
        <f t="shared" si="38"/>
        <v>6.8068790400000001</v>
      </c>
      <c r="Y156" s="105">
        <f>M156*'Maintenance Model'!B$107</f>
        <v>3.1431111111111112</v>
      </c>
      <c r="Z156" s="105">
        <f>SUM(T156:Y156)</f>
        <v>43.535774994711886</v>
      </c>
      <c r="AA156" s="203">
        <f>'Other Maintenance'!B$94</f>
        <v>2.9107349228680333</v>
      </c>
      <c r="AB156" s="104">
        <f>(S156+AA156)</f>
        <v>80.070945470478705</v>
      </c>
      <c r="AC156" s="142">
        <f>(Z156+AA156)</f>
        <v>46.446509917579917</v>
      </c>
      <c r="AD156" s="127">
        <f>'Maintenance Model'!B$114 + 'Maintenance Model'!B$115</f>
        <v>0.99616182311111112</v>
      </c>
      <c r="AE156" s="138" t="e">
        <f>AB156+#REF!+#REF!</f>
        <v>#REF!</v>
      </c>
      <c r="AF156" s="142">
        <f t="shared" si="36"/>
        <v>81.067107293589814</v>
      </c>
      <c r="AG156" s="143">
        <f t="shared" si="37"/>
        <v>47.110617799653994</v>
      </c>
      <c r="AH156" s="61" t="e">
        <f>S156+#REF!+AD156</f>
        <v>#REF!</v>
      </c>
      <c r="AI156" s="61"/>
      <c r="AJ156" s="61"/>
      <c r="AK156" s="61"/>
      <c r="AL156" s="61"/>
      <c r="AM156" s="61"/>
      <c r="AN156" s="61"/>
      <c r="AO156" s="61"/>
      <c r="AP156" s="61"/>
      <c r="AQ156" s="61"/>
      <c r="AR156" s="61"/>
      <c r="AS156" s="61" t="s">
        <v>1179</v>
      </c>
      <c r="AT156" s="61"/>
      <c r="AU156" s="61">
        <v>30.426356532199009</v>
      </c>
      <c r="AV156" s="61" t="s">
        <v>2041</v>
      </c>
      <c r="AW156" s="25"/>
      <c r="AX156" s="61" t="b">
        <f>AF156 &gt; AG156</f>
        <v>1</v>
      </c>
      <c r="AY156" s="128"/>
      <c r="AZ156" s="129"/>
      <c r="BA156" s="25"/>
      <c r="BB156" s="25"/>
      <c r="BC156" s="61"/>
      <c r="BD156" s="61"/>
      <c r="BE156" s="61"/>
      <c r="BF156" s="61"/>
      <c r="BG156" s="25"/>
      <c r="BH156" s="25"/>
      <c r="BI156" s="25"/>
      <c r="BJ156" s="25"/>
      <c r="BK156" s="25"/>
      <c r="BL156" s="25"/>
      <c r="BM156" s="25"/>
      <c r="BN156" s="25"/>
      <c r="BO156" s="25"/>
      <c r="BP156" s="25"/>
      <c r="BQ156" s="25"/>
      <c r="BR156" s="25"/>
      <c r="BS156" s="25"/>
      <c r="BT156" s="25"/>
      <c r="BU156" s="25"/>
      <c r="BV156" s="25"/>
      <c r="BW156" s="25"/>
      <c r="BX156" s="25"/>
      <c r="BY156" s="25"/>
      <c r="BZ156" s="25"/>
    </row>
    <row r="157" spans="1:78" ht="12.75" customHeight="1" x14ac:dyDescent="0.2">
      <c r="A157" s="98" t="s">
        <v>2140</v>
      </c>
      <c r="B157" s="99">
        <f>VLOOKUP(LEFT(A157,7),'Tariff Schedule Lookup Table'!A$8:D$142,3,FALSE)</f>
        <v>250</v>
      </c>
      <c r="C157" s="100">
        <v>1</v>
      </c>
      <c r="D157" s="100">
        <v>2917</v>
      </c>
      <c r="E157" s="100" t="s">
        <v>132</v>
      </c>
      <c r="F157" s="169">
        <f>VLOOKUP(E157,'Lamp Stock'!A$14:H$49,4,FALSE)*(1+'Public Lighting Charges'!$R$11)</f>
        <v>13.311408499999997</v>
      </c>
      <c r="G157" s="169">
        <f>VLOOKUP(E157,'Lamp Stock'!A$14:G$49,6,FALSE)*(1+'Public Lighting Charges'!$R$11)</f>
        <v>52.376044499999999</v>
      </c>
      <c r="H157" s="169">
        <f>VLOOKUP(E157,'Lamp Stock'!A$14:H$49,8,FALSE)*(1+'Public Lighting Charges'!$R$11)</f>
        <v>26.034171799999999</v>
      </c>
      <c r="I157" s="102">
        <v>0.22</v>
      </c>
      <c r="J157" s="102">
        <v>0.1</v>
      </c>
      <c r="K157" s="102">
        <v>0.2</v>
      </c>
      <c r="L157" s="101">
        <v>3</v>
      </c>
      <c r="M157" s="103">
        <f t="shared" si="27"/>
        <v>0.33333333333333331</v>
      </c>
      <c r="N157" s="451">
        <v>4.4699999999999997E-2</v>
      </c>
      <c r="O157" s="192">
        <f>'Maintenance Model'!B$110*I157</f>
        <v>52.768668324944002</v>
      </c>
      <c r="P157" s="105">
        <f t="shared" si="30"/>
        <v>8.1661143199999984</v>
      </c>
      <c r="Q157" s="105">
        <f>H157*K157*'Maintenance Model'!B$86</f>
        <v>1.5620503080000001</v>
      </c>
      <c r="R157" s="105">
        <f>'Maintenance Model'!B$106*I157</f>
        <v>13.483946666666666</v>
      </c>
      <c r="S157" s="193">
        <f t="shared" si="28"/>
        <v>75.980779619610672</v>
      </c>
      <c r="T157" s="104">
        <f>'Maintenance Model'!B$110*N157</f>
        <v>10.72163397329544</v>
      </c>
      <c r="U157" s="240">
        <f t="shared" si="39"/>
        <v>6.0653699058420001</v>
      </c>
      <c r="V157" s="104">
        <f>'Maintenance Model'!B$106*N157</f>
        <v>2.7396927999999998</v>
      </c>
      <c r="W157" s="104">
        <f>'Maintenance Model'!B$111*M157</f>
        <v>12.300388886933334</v>
      </c>
      <c r="X157" s="240">
        <f t="shared" si="38"/>
        <v>6.1727476199999991</v>
      </c>
      <c r="Y157" s="105">
        <f>M157*'Maintenance Model'!B$107</f>
        <v>3.1431111111111112</v>
      </c>
      <c r="Z157" s="105">
        <f t="shared" si="29"/>
        <v>41.142944297181884</v>
      </c>
      <c r="AA157" s="203">
        <f>'Other Maintenance'!B$94</f>
        <v>2.9107349228680333</v>
      </c>
      <c r="AB157" s="104">
        <f t="shared" si="31"/>
        <v>78.891514542478703</v>
      </c>
      <c r="AC157" s="142">
        <f t="shared" si="32"/>
        <v>44.053679220049915</v>
      </c>
      <c r="AD157" s="127">
        <f>'Maintenance Model'!B$114 + 'Maintenance Model'!B$115</f>
        <v>0.99616182311111112</v>
      </c>
      <c r="AE157" s="138" t="e">
        <f>AB157+#REF!+#REF!</f>
        <v>#REF!</v>
      </c>
      <c r="AF157" s="142">
        <f t="shared" si="36"/>
        <v>79.887676365589812</v>
      </c>
      <c r="AG157" s="143">
        <f t="shared" si="37"/>
        <v>44.717787102123992</v>
      </c>
      <c r="AH157" s="61" t="e">
        <f>S157+#REF!+AD157</f>
        <v>#REF!</v>
      </c>
      <c r="AI157" s="61">
        <v>36.917492935424725</v>
      </c>
      <c r="AJ157" s="61">
        <v>27.182040207324732</v>
      </c>
      <c r="AK157" s="61">
        <f t="shared" ref="AK157:AK169" si="40">1-AJ157/AI157</f>
        <v>0.26370839279712288</v>
      </c>
      <c r="AL157" s="61">
        <f t="shared" ref="AL157:AL169" si="41">1-AJ157/AF157</f>
        <v>0.65974676641073371</v>
      </c>
      <c r="AM157" s="61">
        <v>31.774364614104734</v>
      </c>
      <c r="AN157" s="61">
        <f t="shared" ref="AN157:AN169" si="42">1-AM157/AI157</f>
        <v>0.13931412759572381</v>
      </c>
      <c r="AO157" s="61">
        <f t="shared" ref="AO157:AO169" si="43">1-AM157/AF157</f>
        <v>0.60226200010254682</v>
      </c>
      <c r="AP157" s="61"/>
      <c r="AQ157" s="61"/>
      <c r="AR157" s="61"/>
      <c r="AS157" s="61" t="s">
        <v>1181</v>
      </c>
      <c r="AT157" s="61"/>
      <c r="AU157" s="61">
        <v>33.561328697185459</v>
      </c>
      <c r="AV157" s="61">
        <v>37.566599662718794</v>
      </c>
      <c r="AW157" s="25"/>
      <c r="AX157" s="61" t="b">
        <f t="shared" si="33"/>
        <v>1</v>
      </c>
      <c r="AY157" s="128"/>
      <c r="AZ157" s="129"/>
      <c r="BA157" s="25"/>
      <c r="BB157" s="25"/>
      <c r="BC157" s="61"/>
      <c r="BD157" s="61"/>
      <c r="BE157" s="61"/>
      <c r="BF157" s="61"/>
      <c r="BG157" s="25"/>
      <c r="BH157" s="25"/>
      <c r="BI157" s="25"/>
      <c r="BJ157" s="25"/>
      <c r="BK157" s="25"/>
      <c r="BL157" s="25"/>
      <c r="BM157" s="25"/>
      <c r="BN157" s="25"/>
      <c r="BO157" s="25"/>
      <c r="BP157" s="25"/>
      <c r="BQ157" s="25"/>
      <c r="BR157" s="25"/>
      <c r="BS157" s="25"/>
      <c r="BT157" s="25"/>
      <c r="BU157" s="25"/>
      <c r="BV157" s="25"/>
      <c r="BW157" s="25"/>
      <c r="BX157" s="25"/>
      <c r="BY157" s="25"/>
      <c r="BZ157" s="25"/>
    </row>
    <row r="158" spans="1:78" x14ac:dyDescent="0.2">
      <c r="A158" s="98" t="s">
        <v>169</v>
      </c>
      <c r="B158" s="99" t="str">
        <f>VLOOKUP(LEFT(A158,7),'Tariff Schedule Lookup Table'!A$8:D$142,3,FALSE)</f>
        <v>2x250</v>
      </c>
      <c r="C158" s="100">
        <v>2</v>
      </c>
      <c r="D158" s="100">
        <v>0</v>
      </c>
      <c r="E158" s="100" t="s">
        <v>132</v>
      </c>
      <c r="F158" s="169">
        <f>VLOOKUP(E158,'Lamp Stock'!A$14:H$49,4,FALSE)*(1+'Public Lighting Charges'!$R$11)</f>
        <v>13.311408499999997</v>
      </c>
      <c r="G158" s="169">
        <f>VLOOKUP(E158,'Lamp Stock'!A$14:G$49,6,FALSE)*(1+'Public Lighting Charges'!$R$11)</f>
        <v>52.376044499999999</v>
      </c>
      <c r="H158" s="169">
        <f>VLOOKUP(E158,'Lamp Stock'!A$14:H$49,8,FALSE)*(1+'Public Lighting Charges'!$R$11)</f>
        <v>26.034171799999999</v>
      </c>
      <c r="I158" s="102">
        <v>0.22</v>
      </c>
      <c r="J158" s="102">
        <v>0.1</v>
      </c>
      <c r="K158" s="102">
        <v>0.2</v>
      </c>
      <c r="L158" s="101">
        <v>3</v>
      </c>
      <c r="M158" s="103">
        <f t="shared" si="27"/>
        <v>0.33333333333333331</v>
      </c>
      <c r="N158" s="451">
        <v>4.4699999999999997E-2</v>
      </c>
      <c r="O158" s="192">
        <f>'Maintenance Model'!B$110*I158</f>
        <v>52.768668324944002</v>
      </c>
      <c r="P158" s="105">
        <f t="shared" si="30"/>
        <v>16.332228639999997</v>
      </c>
      <c r="Q158" s="105">
        <f>H158*K158*'Maintenance Model'!B$86</f>
        <v>1.5620503080000001</v>
      </c>
      <c r="R158" s="105">
        <f>'Maintenance Model'!B$106*I158</f>
        <v>13.483946666666666</v>
      </c>
      <c r="S158" s="193">
        <f t="shared" si="28"/>
        <v>84.146893939610663</v>
      </c>
      <c r="T158" s="104">
        <f>'Maintenance Model'!B$110*N158</f>
        <v>10.72163397329544</v>
      </c>
      <c r="U158" s="240">
        <f t="shared" si="39"/>
        <v>11.897994315791999</v>
      </c>
      <c r="V158" s="104">
        <f>'Maintenance Model'!B$106*N158</f>
        <v>2.7396927999999998</v>
      </c>
      <c r="W158" s="104">
        <f>'Maintenance Model'!B$111*M158</f>
        <v>12.300388886933334</v>
      </c>
      <c r="X158" s="240">
        <f t="shared" si="38"/>
        <v>12.345495239999998</v>
      </c>
      <c r="Y158" s="105">
        <f>M158*'Maintenance Model'!B$107</f>
        <v>3.1431111111111112</v>
      </c>
      <c r="Z158" s="105">
        <f t="shared" si="29"/>
        <v>53.14831632713188</v>
      </c>
      <c r="AA158" s="203">
        <f>'Other Maintenance'!B$94</f>
        <v>2.9107349228680333</v>
      </c>
      <c r="AB158" s="104">
        <f t="shared" si="31"/>
        <v>87.057628862478694</v>
      </c>
      <c r="AC158" s="142">
        <f t="shared" si="32"/>
        <v>56.059051249999911</v>
      </c>
      <c r="AD158" s="127">
        <f>'Maintenance Model'!B$114 + 'Maintenance Model'!B$115</f>
        <v>0.99616182311111112</v>
      </c>
      <c r="AE158" s="138" t="e">
        <f>AB158+#REF!+#REF!</f>
        <v>#REF!</v>
      </c>
      <c r="AF158" s="142">
        <f t="shared" si="36"/>
        <v>88.053790685589803</v>
      </c>
      <c r="AG158" s="143">
        <f t="shared" si="37"/>
        <v>56.723159132073988</v>
      </c>
      <c r="AH158" s="61" t="e">
        <f>S158+#REF!+AD158</f>
        <v>#REF!</v>
      </c>
      <c r="AI158" s="61">
        <v>41.910420770438286</v>
      </c>
      <c r="AJ158" s="61">
        <v>30.548068042338279</v>
      </c>
      <c r="AK158" s="61">
        <f t="shared" si="40"/>
        <v>0.27111044268289708</v>
      </c>
      <c r="AL158" s="61">
        <f t="shared" si="41"/>
        <v>0.65307492381088894</v>
      </c>
      <c r="AM158" s="61">
        <v>35.959452449118274</v>
      </c>
      <c r="AN158" s="61">
        <f t="shared" si="42"/>
        <v>0.14199256919695624</v>
      </c>
      <c r="AO158" s="61">
        <f t="shared" si="43"/>
        <v>0.59161948430457389</v>
      </c>
      <c r="AP158" s="61"/>
      <c r="AQ158" s="61"/>
      <c r="AR158" s="61"/>
      <c r="AS158" s="61"/>
      <c r="AT158" s="61"/>
      <c r="AU158" s="61">
        <v>36.198056532199004</v>
      </c>
      <c r="AV158" s="61">
        <v>42.55952749773234</v>
      </c>
      <c r="AW158" s="25"/>
      <c r="AX158" s="61" t="b">
        <f t="shared" si="33"/>
        <v>1</v>
      </c>
      <c r="AY158" s="128"/>
      <c r="AZ158" s="129"/>
      <c r="BA158" s="25"/>
      <c r="BB158" s="25"/>
      <c r="BC158" s="61"/>
      <c r="BD158" s="61"/>
      <c r="BE158" s="61"/>
      <c r="BF158" s="61"/>
      <c r="BG158" s="25"/>
      <c r="BH158" s="25"/>
      <c r="BI158" s="25"/>
      <c r="BJ158" s="25"/>
      <c r="BK158" s="25"/>
      <c r="BL158" s="25"/>
      <c r="BM158" s="25"/>
      <c r="BN158" s="25"/>
      <c r="BO158" s="25"/>
      <c r="BP158" s="25"/>
      <c r="BQ158" s="25"/>
      <c r="BR158" s="25"/>
      <c r="BS158" s="25"/>
      <c r="BT158" s="25"/>
      <c r="BU158" s="25"/>
      <c r="BV158" s="25"/>
      <c r="BW158" s="25"/>
      <c r="BX158" s="25"/>
      <c r="BY158" s="25"/>
      <c r="BZ158" s="25"/>
    </row>
    <row r="159" spans="1:78" ht="12.75" customHeight="1" x14ac:dyDescent="0.2">
      <c r="A159" s="98" t="s">
        <v>246</v>
      </c>
      <c r="B159" s="99" t="str">
        <f>VLOOKUP(LEFT(A159,7),'Tariff Schedule Lookup Table'!A$8:D$142,3,FALSE)</f>
        <v>3x250</v>
      </c>
      <c r="C159" s="100">
        <v>3</v>
      </c>
      <c r="D159" s="100">
        <v>0</v>
      </c>
      <c r="E159" s="100" t="s">
        <v>132</v>
      </c>
      <c r="F159" s="169">
        <f>VLOOKUP(E159,'Lamp Stock'!A$14:H$49,4,FALSE)*(1+'Public Lighting Charges'!$R$11)</f>
        <v>13.311408499999997</v>
      </c>
      <c r="G159" s="169">
        <f>VLOOKUP(E159,'Lamp Stock'!A$14:G$49,6,FALSE)*(1+'Public Lighting Charges'!$R$11)</f>
        <v>52.376044499999999</v>
      </c>
      <c r="H159" s="169">
        <f>VLOOKUP(E159,'Lamp Stock'!A$14:H$49,8,FALSE)*(1+'Public Lighting Charges'!$R$11)</f>
        <v>26.034171799999999</v>
      </c>
      <c r="I159" s="102">
        <v>0.22</v>
      </c>
      <c r="J159" s="102">
        <v>0.1</v>
      </c>
      <c r="K159" s="102">
        <v>0.2</v>
      </c>
      <c r="L159" s="101">
        <v>3</v>
      </c>
      <c r="M159" s="103">
        <f t="shared" si="27"/>
        <v>0.33333333333333331</v>
      </c>
      <c r="N159" s="451">
        <v>4.4699999999999997E-2</v>
      </c>
      <c r="O159" s="192">
        <f>'Maintenance Model'!B$110*I159</f>
        <v>52.768668324944002</v>
      </c>
      <c r="P159" s="105">
        <f t="shared" si="30"/>
        <v>24.498342959999995</v>
      </c>
      <c r="Q159" s="105">
        <f>H159*K159*'Maintenance Model'!B$86</f>
        <v>1.5620503080000001</v>
      </c>
      <c r="R159" s="105">
        <f>'Maintenance Model'!B$106*I159</f>
        <v>13.483946666666666</v>
      </c>
      <c r="S159" s="193">
        <f t="shared" si="28"/>
        <v>92.313008259610669</v>
      </c>
      <c r="T159" s="104">
        <f>'Maintenance Model'!B$110*N159</f>
        <v>10.72163397329544</v>
      </c>
      <c r="U159" s="240">
        <f t="shared" si="39"/>
        <v>17.730618725741998</v>
      </c>
      <c r="V159" s="104">
        <f>'Maintenance Model'!B$106*N159</f>
        <v>2.7396927999999998</v>
      </c>
      <c r="W159" s="104">
        <f>'Maintenance Model'!B$111*M159</f>
        <v>12.300388886933334</v>
      </c>
      <c r="X159" s="240">
        <f t="shared" si="38"/>
        <v>18.518242859999994</v>
      </c>
      <c r="Y159" s="105">
        <f>M159*'Maintenance Model'!B$107</f>
        <v>3.1431111111111112</v>
      </c>
      <c r="Z159" s="105">
        <f t="shared" si="29"/>
        <v>65.153688357081876</v>
      </c>
      <c r="AA159" s="203">
        <f>'Other Maintenance'!B$94</f>
        <v>2.9107349228680333</v>
      </c>
      <c r="AB159" s="104">
        <f t="shared" si="31"/>
        <v>95.2237431824787</v>
      </c>
      <c r="AC159" s="142">
        <f t="shared" si="32"/>
        <v>68.064423279949906</v>
      </c>
      <c r="AD159" s="127">
        <f>'Maintenance Model'!B$114 + 'Maintenance Model'!B$115</f>
        <v>0.99616182311111112</v>
      </c>
      <c r="AE159" s="138" t="e">
        <f>AB159+#REF!+#REF!</f>
        <v>#REF!</v>
      </c>
      <c r="AF159" s="142">
        <f t="shared" si="36"/>
        <v>96.219905005589808</v>
      </c>
      <c r="AG159" s="143">
        <f t="shared" si="37"/>
        <v>68.728531162023984</v>
      </c>
      <c r="AH159" s="61" t="e">
        <f>S159+#REF!+AD159</f>
        <v>#REF!</v>
      </c>
      <c r="AI159" s="61">
        <v>37.975060770438269</v>
      </c>
      <c r="AJ159" s="61">
        <v>27.93974804233828</v>
      </c>
      <c r="AK159" s="61">
        <f t="shared" si="40"/>
        <v>0.26426061010841062</v>
      </c>
      <c r="AL159" s="61">
        <f t="shared" si="41"/>
        <v>0.70962611072298243</v>
      </c>
      <c r="AM159" s="61">
        <v>32.683036449118276</v>
      </c>
      <c r="AN159" s="61">
        <f t="shared" si="42"/>
        <v>0.13935525615905198</v>
      </c>
      <c r="AO159" s="61">
        <f t="shared" si="43"/>
        <v>0.66032977846715202</v>
      </c>
      <c r="AP159" s="61"/>
      <c r="AQ159" s="61"/>
      <c r="AR159" s="61"/>
      <c r="AS159" s="61" t="s">
        <v>1184</v>
      </c>
      <c r="AT159" s="61"/>
      <c r="AU159" s="61">
        <v>34.184616532199009</v>
      </c>
      <c r="AV159" s="61">
        <v>38.624167497732337</v>
      </c>
      <c r="AW159" s="25"/>
      <c r="AX159" s="61" t="b">
        <f t="shared" si="33"/>
        <v>1</v>
      </c>
      <c r="AY159" s="128"/>
      <c r="AZ159" s="129"/>
      <c r="BA159" s="25"/>
      <c r="BB159" s="25"/>
      <c r="BC159" s="61"/>
      <c r="BD159" s="61"/>
      <c r="BE159" s="61"/>
      <c r="BF159" s="61"/>
      <c r="BG159" s="25"/>
      <c r="BH159" s="25"/>
      <c r="BI159" s="25"/>
      <c r="BJ159" s="25"/>
      <c r="BK159" s="25"/>
      <c r="BL159" s="25"/>
      <c r="BM159" s="25"/>
      <c r="BN159" s="25"/>
      <c r="BO159" s="25"/>
      <c r="BP159" s="25"/>
      <c r="BQ159" s="25"/>
      <c r="BR159" s="25"/>
      <c r="BS159" s="25"/>
      <c r="BT159" s="25"/>
      <c r="BU159" s="25"/>
      <c r="BV159" s="25"/>
      <c r="BW159" s="25"/>
      <c r="BX159" s="25"/>
      <c r="BY159" s="25"/>
      <c r="BZ159" s="25"/>
    </row>
    <row r="160" spans="1:78" x14ac:dyDescent="0.2">
      <c r="A160" s="98" t="s">
        <v>2141</v>
      </c>
      <c r="B160" s="99">
        <f>VLOOKUP(LEFT(A160,7),'Tariff Schedule Lookup Table'!A$8:D$142,3,FALSE)</f>
        <v>400</v>
      </c>
      <c r="C160" s="100">
        <v>2</v>
      </c>
      <c r="D160" s="100">
        <v>4994</v>
      </c>
      <c r="E160" s="100" t="s">
        <v>135</v>
      </c>
      <c r="F160" s="169">
        <f>VLOOKUP(E160,'Lamp Stock'!A$14:H$49,4,FALSE)*(1+'Public Lighting Charges'!$R$11)</f>
        <v>13.191003799999999</v>
      </c>
      <c r="G160" s="169">
        <f>VLOOKUP(E160,'Lamp Stock'!A$14:G$49,6,FALSE)*(1+'Public Lighting Charges'!$R$11)</f>
        <v>64.082056999999992</v>
      </c>
      <c r="H160" s="169">
        <f>VLOOKUP(E160,'Lamp Stock'!A$14:H$49,8,FALSE)*(1+'Public Lighting Charges'!$R$11)</f>
        <v>26.034171799999999</v>
      </c>
      <c r="I160" s="102">
        <v>0.22</v>
      </c>
      <c r="J160" s="102">
        <v>0.1</v>
      </c>
      <c r="K160" s="102">
        <v>0.2</v>
      </c>
      <c r="L160" s="101">
        <v>3</v>
      </c>
      <c r="M160" s="103">
        <f t="shared" si="27"/>
        <v>0.33333333333333331</v>
      </c>
      <c r="N160" s="451">
        <v>4.4699999999999997E-2</v>
      </c>
      <c r="O160" s="192">
        <f>'Maintenance Model'!B$110*I160</f>
        <v>52.768668324944002</v>
      </c>
      <c r="P160" s="105">
        <f t="shared" si="30"/>
        <v>18.620453072</v>
      </c>
      <c r="Q160" s="105">
        <f>H160*K160*'Maintenance Model'!B$86</f>
        <v>1.5620503080000001</v>
      </c>
      <c r="R160" s="105">
        <f>'Maintenance Model'!B$106*I160</f>
        <v>13.483946666666666</v>
      </c>
      <c r="S160" s="193">
        <f t="shared" si="28"/>
        <v>86.43511837161067</v>
      </c>
      <c r="T160" s="104">
        <f>'Maintenance Model'!B$110*N160</f>
        <v>10.72163397329544</v>
      </c>
      <c r="U160" s="240">
        <f t="shared" si="39"/>
        <v>14.228432635612</v>
      </c>
      <c r="V160" s="104">
        <f>'Maintenance Model'!B$106*N160</f>
        <v>2.7396927999999998</v>
      </c>
      <c r="W160" s="104">
        <f>'Maintenance Model'!B$111*M160</f>
        <v>12.300388886933334</v>
      </c>
      <c r="X160" s="240">
        <f t="shared" si="38"/>
        <v>12.265225439999998</v>
      </c>
      <c r="Y160" s="105">
        <f>M160*'Maintenance Model'!B$107</f>
        <v>3.1431111111111112</v>
      </c>
      <c r="Z160" s="105">
        <f t="shared" si="29"/>
        <v>55.398484846951888</v>
      </c>
      <c r="AA160" s="203">
        <f>'Other Maintenance'!B$94</f>
        <v>2.9107349228680333</v>
      </c>
      <c r="AB160" s="104">
        <f t="shared" si="31"/>
        <v>89.345853294478701</v>
      </c>
      <c r="AC160" s="142">
        <f t="shared" si="32"/>
        <v>58.309219769819919</v>
      </c>
      <c r="AD160" s="127">
        <f>'Maintenance Model'!B$114 + 'Maintenance Model'!B$115</f>
        <v>0.99616182311111112</v>
      </c>
      <c r="AE160" s="138" t="e">
        <f>AB160+#REF!+#REF!</f>
        <v>#REF!</v>
      </c>
      <c r="AF160" s="142">
        <f t="shared" si="36"/>
        <v>90.34201511758981</v>
      </c>
      <c r="AG160" s="143">
        <f t="shared" si="37"/>
        <v>58.973327651893996</v>
      </c>
      <c r="AH160" s="61" t="e">
        <f>S160+#REF!+AD160</f>
        <v>#REF!</v>
      </c>
      <c r="AI160" s="61">
        <v>41.609585036642962</v>
      </c>
      <c r="AJ160" s="61">
        <v>29.647512308542968</v>
      </c>
      <c r="AK160" s="61">
        <f t="shared" si="40"/>
        <v>0.28748358623537684</v>
      </c>
      <c r="AL160" s="61">
        <f t="shared" si="41"/>
        <v>0.67183029656850635</v>
      </c>
      <c r="AM160" s="61">
        <v>35.360824715322963</v>
      </c>
      <c r="AN160" s="61">
        <f t="shared" si="42"/>
        <v>0.15017598266882759</v>
      </c>
      <c r="AO160" s="61">
        <f t="shared" si="43"/>
        <v>0.60858937373383726</v>
      </c>
      <c r="AP160" s="61"/>
      <c r="AQ160" s="61"/>
      <c r="AR160" s="61"/>
      <c r="AS160" s="61"/>
      <c r="AT160" s="61"/>
      <c r="AU160" s="61">
        <v>35.028660798403692</v>
      </c>
      <c r="AV160" s="61">
        <v>42.25869176393703</v>
      </c>
      <c r="AW160" s="25"/>
      <c r="AX160" s="61" t="b">
        <f t="shared" si="33"/>
        <v>1</v>
      </c>
      <c r="AY160" s="128"/>
      <c r="AZ160" s="129"/>
      <c r="BA160" s="25"/>
      <c r="BB160" s="25"/>
      <c r="BC160" s="61"/>
      <c r="BD160" s="61"/>
      <c r="BE160" s="61"/>
      <c r="BF160" s="61"/>
      <c r="BG160" s="25"/>
      <c r="BH160" s="25"/>
      <c r="BI160" s="25"/>
      <c r="BJ160" s="25"/>
      <c r="BK160" s="25"/>
      <c r="BL160" s="25"/>
      <c r="BM160" s="25"/>
      <c r="BN160" s="25"/>
      <c r="BO160" s="25"/>
      <c r="BP160" s="25"/>
      <c r="BQ160" s="25"/>
      <c r="BR160" s="25"/>
      <c r="BS160" s="25"/>
      <c r="BT160" s="25"/>
      <c r="BU160" s="25"/>
      <c r="BV160" s="25"/>
      <c r="BW160" s="25"/>
      <c r="BX160" s="25"/>
      <c r="BY160" s="25"/>
      <c r="BZ160" s="25"/>
    </row>
    <row r="161" spans="1:78" ht="13.7" customHeight="1" x14ac:dyDescent="0.2">
      <c r="A161" s="98" t="s">
        <v>170</v>
      </c>
      <c r="B161" s="99" t="str">
        <f>VLOOKUP(LEFT(A161,7),'Tariff Schedule Lookup Table'!A$8:D$142,3,FALSE)</f>
        <v>2x400</v>
      </c>
      <c r="C161" s="100">
        <v>2</v>
      </c>
      <c r="D161" s="100">
        <v>0</v>
      </c>
      <c r="E161" s="100" t="s">
        <v>136</v>
      </c>
      <c r="F161" s="169">
        <f>VLOOKUP(E161,'Lamp Stock'!A$14:H$49,4,FALSE)*(1+'Public Lighting Charges'!$R$11)</f>
        <v>13.191003799999999</v>
      </c>
      <c r="G161" s="169">
        <f>VLOOKUP(E161,'Lamp Stock'!A$14:G$49,6,FALSE)*(1+'Public Lighting Charges'!$R$11)</f>
        <v>64.082056999999992</v>
      </c>
      <c r="H161" s="169">
        <f>VLOOKUP(E161,'Lamp Stock'!A$14:H$49,8,FALSE)*(1+'Public Lighting Charges'!$R$11)</f>
        <v>26.034171799999999</v>
      </c>
      <c r="I161" s="102">
        <v>0.22</v>
      </c>
      <c r="J161" s="102">
        <v>0.1</v>
      </c>
      <c r="K161" s="102">
        <v>0.2</v>
      </c>
      <c r="L161" s="101">
        <v>3</v>
      </c>
      <c r="M161" s="103">
        <f t="shared" si="27"/>
        <v>0.33333333333333331</v>
      </c>
      <c r="N161" s="451">
        <v>4.4699999999999997E-2</v>
      </c>
      <c r="O161" s="192">
        <f>'Maintenance Model'!B$110*I161</f>
        <v>52.768668324944002</v>
      </c>
      <c r="P161" s="105">
        <f t="shared" si="30"/>
        <v>18.620453072</v>
      </c>
      <c r="Q161" s="105">
        <f>H161*K161*'Maintenance Model'!B$86</f>
        <v>1.5620503080000001</v>
      </c>
      <c r="R161" s="105">
        <f>'Maintenance Model'!B$106*I161</f>
        <v>13.483946666666666</v>
      </c>
      <c r="S161" s="193">
        <f t="shared" si="28"/>
        <v>86.43511837161067</v>
      </c>
      <c r="T161" s="104">
        <f>'Maintenance Model'!B$110*N161</f>
        <v>10.72163397329544</v>
      </c>
      <c r="U161" s="240">
        <f t="shared" si="39"/>
        <v>14.228432635612</v>
      </c>
      <c r="V161" s="104">
        <f>'Maintenance Model'!B$106*N161</f>
        <v>2.7396927999999998</v>
      </c>
      <c r="W161" s="104">
        <f>'Maintenance Model'!B$111*M161</f>
        <v>12.300388886933334</v>
      </c>
      <c r="X161" s="240">
        <f t="shared" si="38"/>
        <v>12.265225439999998</v>
      </c>
      <c r="Y161" s="105">
        <f>M161*'Maintenance Model'!B$107</f>
        <v>3.1431111111111112</v>
      </c>
      <c r="Z161" s="105">
        <f t="shared" si="29"/>
        <v>55.398484846951888</v>
      </c>
      <c r="AA161" s="203">
        <f>'Other Maintenance'!B$94</f>
        <v>2.9107349228680333</v>
      </c>
      <c r="AB161" s="104">
        <f t="shared" si="31"/>
        <v>89.345853294478701</v>
      </c>
      <c r="AC161" s="142">
        <f t="shared" si="32"/>
        <v>58.309219769819919</v>
      </c>
      <c r="AD161" s="127">
        <f>'Maintenance Model'!B$114 + 'Maintenance Model'!B$115</f>
        <v>0.99616182311111112</v>
      </c>
      <c r="AE161" s="138" t="e">
        <f>AB161+#REF!+#REF!</f>
        <v>#REF!</v>
      </c>
      <c r="AF161" s="142">
        <f t="shared" si="36"/>
        <v>90.34201511758981</v>
      </c>
      <c r="AG161" s="143">
        <f t="shared" si="37"/>
        <v>58.973327651893996</v>
      </c>
      <c r="AH161" s="61" t="e">
        <f>S161+#REF!+AD161</f>
        <v>#REF!</v>
      </c>
      <c r="AI161" s="61">
        <v>38.695905036642962</v>
      </c>
      <c r="AJ161" s="61">
        <v>27.716352308542966</v>
      </c>
      <c r="AK161" s="61">
        <f t="shared" si="40"/>
        <v>0.28373939613772936</v>
      </c>
      <c r="AL161" s="61">
        <f t="shared" si="41"/>
        <v>0.69320639712909693</v>
      </c>
      <c r="AM161" s="61">
        <v>32.935016715322966</v>
      </c>
      <c r="AN161" s="61">
        <f t="shared" si="42"/>
        <v>0.14887591634992747</v>
      </c>
      <c r="AO161" s="61">
        <f t="shared" si="43"/>
        <v>0.63544075619240381</v>
      </c>
      <c r="AP161" s="61"/>
      <c r="AQ161" s="61"/>
      <c r="AR161" s="61"/>
      <c r="AS161" s="61" t="s">
        <v>1186</v>
      </c>
      <c r="AT161" s="61"/>
      <c r="AU161" s="61">
        <v>33.537940798403696</v>
      </c>
      <c r="AV161" s="61">
        <v>39.34501176393703</v>
      </c>
      <c r="AW161" s="25"/>
      <c r="AX161" s="61" t="b">
        <f t="shared" si="33"/>
        <v>1</v>
      </c>
      <c r="AY161" s="128"/>
      <c r="AZ161" s="129"/>
      <c r="BA161" s="25"/>
      <c r="BB161" s="25"/>
      <c r="BC161" s="61"/>
      <c r="BD161" s="61"/>
      <c r="BE161" s="61"/>
      <c r="BF161" s="61"/>
      <c r="BG161" s="25"/>
      <c r="BH161" s="25"/>
      <c r="BI161" s="25"/>
      <c r="BJ161" s="25"/>
      <c r="BK161" s="25"/>
      <c r="BL161" s="25"/>
      <c r="BM161" s="25"/>
      <c r="BN161" s="25"/>
      <c r="BO161" s="25"/>
      <c r="BP161" s="25"/>
      <c r="BQ161" s="25"/>
      <c r="BR161" s="25"/>
      <c r="BS161" s="25"/>
      <c r="BT161" s="25"/>
      <c r="BU161" s="25"/>
      <c r="BV161" s="25"/>
      <c r="BW161" s="25"/>
      <c r="BX161" s="25"/>
      <c r="BY161" s="25"/>
      <c r="BZ161" s="25"/>
    </row>
    <row r="162" spans="1:78" x14ac:dyDescent="0.2">
      <c r="A162" s="98" t="s">
        <v>247</v>
      </c>
      <c r="B162" s="99" t="str">
        <f>VLOOKUP(LEFT(A162,7),'Tariff Schedule Lookup Table'!A$8:D$142,3,FALSE)</f>
        <v>3x400</v>
      </c>
      <c r="C162" s="100">
        <v>3</v>
      </c>
      <c r="D162" s="100">
        <v>0</v>
      </c>
      <c r="E162" s="100" t="s">
        <v>136</v>
      </c>
      <c r="F162" s="169">
        <f>VLOOKUP(E162,'Lamp Stock'!A$14:H$49,4,FALSE)*(1+'Public Lighting Charges'!$R$11)</f>
        <v>13.191003799999999</v>
      </c>
      <c r="G162" s="169">
        <f>VLOOKUP(E162,'Lamp Stock'!A$14:G$49,6,FALSE)*(1+'Public Lighting Charges'!$R$11)</f>
        <v>64.082056999999992</v>
      </c>
      <c r="H162" s="169">
        <f>VLOOKUP(E162,'Lamp Stock'!A$14:H$49,8,FALSE)*(1+'Public Lighting Charges'!$R$11)</f>
        <v>26.034171799999999</v>
      </c>
      <c r="I162" s="102">
        <v>0.22</v>
      </c>
      <c r="J162" s="102">
        <v>0.1</v>
      </c>
      <c r="K162" s="102">
        <v>0.2</v>
      </c>
      <c r="L162" s="101">
        <v>3</v>
      </c>
      <c r="M162" s="103">
        <f t="shared" si="27"/>
        <v>0.33333333333333331</v>
      </c>
      <c r="N162" s="451">
        <v>4.4699999999999997E-2</v>
      </c>
      <c r="O162" s="192">
        <f>'Maintenance Model'!B$110*I162</f>
        <v>52.768668324944002</v>
      </c>
      <c r="P162" s="105">
        <f>C162*(F162*I162+G162*J162)</f>
        <v>27.930679607999998</v>
      </c>
      <c r="Q162" s="105">
        <f>H162*K162*'Maintenance Model'!B$86</f>
        <v>1.5620503080000001</v>
      </c>
      <c r="R162" s="105">
        <f>'Maintenance Model'!B$106*I162</f>
        <v>13.483946666666666</v>
      </c>
      <c r="S162" s="193">
        <f>SUM(O162:R162)</f>
        <v>95.745344907610658</v>
      </c>
      <c r="T162" s="104">
        <f>'Maintenance Model'!B$110*N162</f>
        <v>10.72163397329544</v>
      </c>
      <c r="U162" s="240">
        <f t="shared" si="39"/>
        <v>21.226276205472001</v>
      </c>
      <c r="V162" s="104">
        <f>'Maintenance Model'!B$106*N162</f>
        <v>2.7396927999999998</v>
      </c>
      <c r="W162" s="104">
        <f>'Maintenance Model'!B$111*M162</f>
        <v>12.300388886933334</v>
      </c>
      <c r="X162" s="240">
        <f t="shared" si="38"/>
        <v>18.397838159999999</v>
      </c>
      <c r="Y162" s="105">
        <f>M162*'Maintenance Model'!B$107</f>
        <v>3.1431111111111112</v>
      </c>
      <c r="Z162" s="105">
        <f>SUM(T162:Y162)</f>
        <v>68.528941136811881</v>
      </c>
      <c r="AA162" s="203">
        <f>'Other Maintenance'!B$94</f>
        <v>2.9107349228680333</v>
      </c>
      <c r="AB162" s="104">
        <f>(S162+AA162)</f>
        <v>98.656079830478689</v>
      </c>
      <c r="AC162" s="142">
        <f>(Z162+AA162)</f>
        <v>71.439676059679911</v>
      </c>
      <c r="AD162" s="127">
        <f>'Maintenance Model'!B$114 + 'Maintenance Model'!B$115</f>
        <v>0.99616182311111112</v>
      </c>
      <c r="AE162" s="138" t="e">
        <f>AB162+#REF!+#REF!</f>
        <v>#REF!</v>
      </c>
      <c r="AF162" s="142">
        <f t="shared" si="36"/>
        <v>99.652241653589797</v>
      </c>
      <c r="AG162" s="143">
        <f t="shared" si="37"/>
        <v>72.103783941753989</v>
      </c>
      <c r="AH162" s="61" t="e">
        <f>S162+#REF!+AD162</f>
        <v>#REF!</v>
      </c>
      <c r="AI162" s="61">
        <v>41.609585036642962</v>
      </c>
      <c r="AJ162" s="61">
        <v>29.647512308542968</v>
      </c>
      <c r="AK162" s="61">
        <f>1-AJ162/AI162</f>
        <v>0.28748358623537684</v>
      </c>
      <c r="AL162" s="61">
        <f>1-AJ162/AF162</f>
        <v>0.70249026196918507</v>
      </c>
      <c r="AM162" s="61">
        <v>35.360824715322963</v>
      </c>
      <c r="AN162" s="61">
        <f>1-AM162/AI162</f>
        <v>0.15017598266882759</v>
      </c>
      <c r="AO162" s="61">
        <f>1-AM162/AF162</f>
        <v>0.64515775933828023</v>
      </c>
      <c r="AP162" s="61"/>
      <c r="AQ162" s="61"/>
      <c r="AR162" s="61"/>
      <c r="AS162" s="61"/>
      <c r="AT162" s="61"/>
      <c r="AU162" s="61">
        <v>35.028660798403692</v>
      </c>
      <c r="AV162" s="61">
        <v>42.25869176393703</v>
      </c>
      <c r="AW162" s="25"/>
      <c r="AX162" s="61" t="b">
        <f>AF162 &gt; AG162</f>
        <v>1</v>
      </c>
      <c r="AY162" s="128"/>
      <c r="AZ162" s="129"/>
      <c r="BA162" s="25"/>
      <c r="BB162" s="25"/>
      <c r="BC162" s="61"/>
      <c r="BD162" s="61"/>
      <c r="BE162" s="61"/>
      <c r="BF162" s="61"/>
      <c r="BG162" s="25"/>
      <c r="BH162" s="25"/>
      <c r="BI162" s="25"/>
      <c r="BJ162" s="25"/>
      <c r="BK162" s="25"/>
      <c r="BL162" s="25"/>
      <c r="BM162" s="25"/>
      <c r="BN162" s="25"/>
      <c r="BO162" s="25"/>
      <c r="BP162" s="25"/>
      <c r="BQ162" s="25"/>
      <c r="BR162" s="25"/>
      <c r="BS162" s="25"/>
      <c r="BT162" s="25"/>
      <c r="BU162" s="25"/>
      <c r="BV162" s="25"/>
      <c r="BW162" s="25"/>
      <c r="BX162" s="25"/>
      <c r="BY162" s="25"/>
      <c r="BZ162" s="25"/>
    </row>
    <row r="163" spans="1:78" ht="13.7" customHeight="1" x14ac:dyDescent="0.2">
      <c r="A163" s="98" t="s">
        <v>2142</v>
      </c>
      <c r="B163" s="99">
        <f>VLOOKUP(LEFT(A163,7),'Tariff Schedule Lookup Table'!A$8:D$142,3,FALSE)</f>
        <v>500</v>
      </c>
      <c r="C163" s="100">
        <v>1</v>
      </c>
      <c r="D163" s="100">
        <v>0</v>
      </c>
      <c r="E163" s="100" t="s">
        <v>135</v>
      </c>
      <c r="F163" s="169">
        <f>VLOOKUP(E163,'Lamp Stock'!A$14:H$49,4,FALSE)*(1+'Public Lighting Charges'!$R$11)</f>
        <v>13.191003799999999</v>
      </c>
      <c r="G163" s="169">
        <f>VLOOKUP(E163,'Lamp Stock'!A$14:G$49,6,FALSE)*(1+'Public Lighting Charges'!$R$11)</f>
        <v>64.082056999999992</v>
      </c>
      <c r="H163" s="169">
        <f>VLOOKUP(E163,'Lamp Stock'!A$14:H$49,8,FALSE)*(1+'Public Lighting Charges'!$R$11)</f>
        <v>26.034171799999999</v>
      </c>
      <c r="I163" s="102">
        <v>0.22</v>
      </c>
      <c r="J163" s="102">
        <v>0.1</v>
      </c>
      <c r="K163" s="102">
        <v>0.2</v>
      </c>
      <c r="L163" s="101">
        <v>3</v>
      </c>
      <c r="M163" s="103">
        <f t="shared" si="27"/>
        <v>0.33333333333333331</v>
      </c>
      <c r="N163" s="451">
        <v>4.4699999999999997E-2</v>
      </c>
      <c r="O163" s="192">
        <f>'Maintenance Model'!B$110*I163</f>
        <v>52.768668324944002</v>
      </c>
      <c r="P163" s="105">
        <f>C163*(F163*I163+G163*J163)</f>
        <v>9.3102265360000001</v>
      </c>
      <c r="Q163" s="105">
        <f>H163*K163*'Maintenance Model'!B$86</f>
        <v>1.5620503080000001</v>
      </c>
      <c r="R163" s="105">
        <f>'Maintenance Model'!B$106*I163</f>
        <v>13.483946666666666</v>
      </c>
      <c r="S163" s="193">
        <f>SUM(O163:R163)</f>
        <v>77.124891835610669</v>
      </c>
      <c r="T163" s="104">
        <f>'Maintenance Model'!B$110*N163</f>
        <v>10.72163397329544</v>
      </c>
      <c r="U163" s="240">
        <f t="shared" si="39"/>
        <v>7.2305890657519996</v>
      </c>
      <c r="V163" s="104">
        <f>'Maintenance Model'!B$106*N163</f>
        <v>2.7396927999999998</v>
      </c>
      <c r="W163" s="104">
        <f>'Maintenance Model'!B$111*M163</f>
        <v>12.300388886933334</v>
      </c>
      <c r="X163" s="240">
        <f t="shared" si="38"/>
        <v>6.1326127199999991</v>
      </c>
      <c r="Y163" s="105">
        <f>M163*'Maintenance Model'!B$107</f>
        <v>3.1431111111111112</v>
      </c>
      <c r="Z163" s="105">
        <f>SUM(T163:Y163)</f>
        <v>42.268028557091881</v>
      </c>
      <c r="AA163" s="203">
        <f>'Other Maintenance'!B$94</f>
        <v>2.9107349228680333</v>
      </c>
      <c r="AB163" s="104">
        <f>(S163+AA163)</f>
        <v>80.035626758478699</v>
      </c>
      <c r="AC163" s="142">
        <f>(Z163+AA163)</f>
        <v>45.178763479959912</v>
      </c>
      <c r="AD163" s="127">
        <f>'Maintenance Model'!B$114 + 'Maintenance Model'!B$115</f>
        <v>0.99616182311111112</v>
      </c>
      <c r="AE163" s="138" t="e">
        <f>AB163+#REF!+#REF!</f>
        <v>#REF!</v>
      </c>
      <c r="AF163" s="142">
        <f t="shared" si="36"/>
        <v>81.031788581589808</v>
      </c>
      <c r="AG163" s="143">
        <f t="shared" si="37"/>
        <v>45.842871362033989</v>
      </c>
      <c r="AH163" s="61" t="e">
        <f>S163+#REF!+AD163</f>
        <v>#REF!</v>
      </c>
      <c r="AI163" s="61">
        <v>38.695905036642962</v>
      </c>
      <c r="AJ163" s="61">
        <v>27.716352308542966</v>
      </c>
      <c r="AK163" s="61">
        <f>1-AJ163/AI163</f>
        <v>0.28373939613772936</v>
      </c>
      <c r="AL163" s="61">
        <f>1-AJ163/AF163</f>
        <v>0.65795704631848584</v>
      </c>
      <c r="AM163" s="61">
        <v>32.935016715322966</v>
      </c>
      <c r="AN163" s="61">
        <f>1-AM163/AI163</f>
        <v>0.14887591634992747</v>
      </c>
      <c r="AO163" s="61">
        <f>1-AM163/AF163</f>
        <v>0.59355436561589481</v>
      </c>
      <c r="AP163" s="61"/>
      <c r="AQ163" s="61"/>
      <c r="AR163" s="61"/>
      <c r="AS163" s="61" t="s">
        <v>1186</v>
      </c>
      <c r="AT163" s="61"/>
      <c r="AU163" s="61">
        <v>33.537940798403696</v>
      </c>
      <c r="AV163" s="61">
        <v>39.34501176393703</v>
      </c>
      <c r="AW163" s="25"/>
      <c r="AX163" s="61" t="b">
        <f>AF163 &gt; AG163</f>
        <v>1</v>
      </c>
      <c r="AY163" s="128"/>
      <c r="AZ163" s="129"/>
      <c r="BA163" s="25"/>
      <c r="BB163" s="25"/>
      <c r="BC163" s="61"/>
      <c r="BD163" s="61"/>
      <c r="BE163" s="61"/>
      <c r="BF163" s="61"/>
      <c r="BG163" s="25"/>
      <c r="BH163" s="25"/>
      <c r="BI163" s="25"/>
      <c r="BJ163" s="25"/>
      <c r="BK163" s="25"/>
      <c r="BL163" s="25"/>
      <c r="BM163" s="25"/>
      <c r="BN163" s="25"/>
      <c r="BO163" s="25"/>
      <c r="BP163" s="25"/>
      <c r="BQ163" s="25"/>
      <c r="BR163" s="25"/>
      <c r="BS163" s="25"/>
      <c r="BT163" s="25"/>
      <c r="BU163" s="25"/>
      <c r="BV163" s="25"/>
      <c r="BW163" s="25"/>
      <c r="BX163" s="25"/>
      <c r="BY163" s="25"/>
      <c r="BZ163" s="25"/>
    </row>
    <row r="164" spans="1:78" ht="14.25" customHeight="1" x14ac:dyDescent="0.2">
      <c r="A164" s="98" t="s">
        <v>9</v>
      </c>
      <c r="B164" s="99">
        <f>VLOOKUP(LEFT(A164,7),'Tariff Schedule Lookup Table'!A$8:D$142,3,FALSE)</f>
        <v>700</v>
      </c>
      <c r="C164" s="100">
        <v>1</v>
      </c>
      <c r="D164" s="100">
        <v>10</v>
      </c>
      <c r="E164" s="100" t="s">
        <v>61</v>
      </c>
      <c r="F164" s="169">
        <f>VLOOKUP(E164,'Lamp Stock'!A$14:H$49,4,FALSE)*(1+'Public Lighting Charges'!$R$11)</f>
        <v>28.642940299999999</v>
      </c>
      <c r="G164" s="169">
        <f>VLOOKUP(E164,'Lamp Stock'!A$14:G$49,6,FALSE)*(1+'Public Lighting Charges'!$R$11)</f>
        <v>81.233037600000003</v>
      </c>
      <c r="H164" s="169">
        <f>VLOOKUP(E164,'Lamp Stock'!A$14:H$49,8,FALSE)*(1+'Public Lighting Charges'!$R$11)</f>
        <v>26.034171799999999</v>
      </c>
      <c r="I164" s="102">
        <v>0.22</v>
      </c>
      <c r="J164" s="102">
        <v>0.1</v>
      </c>
      <c r="K164" s="102">
        <v>0.2</v>
      </c>
      <c r="L164" s="101">
        <v>3</v>
      </c>
      <c r="M164" s="103">
        <f t="shared" si="27"/>
        <v>0.33333333333333331</v>
      </c>
      <c r="N164" s="451">
        <v>4.4699999999999997E-2</v>
      </c>
      <c r="O164" s="192">
        <f>'Maintenance Model'!B$110*I164</f>
        <v>52.768668324944002</v>
      </c>
      <c r="P164" s="105">
        <f t="shared" si="30"/>
        <v>14.424750626000002</v>
      </c>
      <c r="Q164" s="105">
        <f>H164*K164*'Maintenance Model'!B$86</f>
        <v>1.5620503080000001</v>
      </c>
      <c r="R164" s="105">
        <f>'Maintenance Model'!B$106*I164</f>
        <v>13.483946666666666</v>
      </c>
      <c r="S164" s="193">
        <f t="shared" si="28"/>
        <v>82.239415925610672</v>
      </c>
      <c r="T164" s="104">
        <f>'Maintenance Model'!B$110*N164</f>
        <v>10.72163397329544</v>
      </c>
      <c r="U164" s="240">
        <f t="shared" si="39"/>
        <v>9.6363886873020004</v>
      </c>
      <c r="V164" s="104">
        <f>'Maintenance Model'!B$106*N164</f>
        <v>2.7396927999999998</v>
      </c>
      <c r="W164" s="104">
        <f>'Maintenance Model'!B$111*M164</f>
        <v>12.300388886933334</v>
      </c>
      <c r="X164" s="240">
        <f t="shared" si="38"/>
        <v>11.28325822</v>
      </c>
      <c r="Y164" s="105">
        <f>M164*'Maintenance Model'!B$107</f>
        <v>3.1431111111111112</v>
      </c>
      <c r="Z164" s="105">
        <f t="shared" si="29"/>
        <v>49.824473678641887</v>
      </c>
      <c r="AA164" s="203">
        <f>'Other Maintenance'!B$94</f>
        <v>2.9107349228680333</v>
      </c>
      <c r="AB164" s="104">
        <f t="shared" si="31"/>
        <v>85.150150848478702</v>
      </c>
      <c r="AC164" s="142">
        <f t="shared" si="32"/>
        <v>52.735208601509918</v>
      </c>
      <c r="AD164" s="127">
        <f>'Maintenance Model'!B$114 + 'Maintenance Model'!B$115</f>
        <v>0.99616182311111112</v>
      </c>
      <c r="AE164" s="138" t="e">
        <f>AB164+#REF!+#REF!</f>
        <v>#REF!</v>
      </c>
      <c r="AF164" s="142">
        <f t="shared" si="36"/>
        <v>86.146312671589811</v>
      </c>
      <c r="AG164" s="143">
        <f t="shared" si="37"/>
        <v>53.399316483583995</v>
      </c>
      <c r="AH164" s="61" t="e">
        <f>S164+#REF!+AD164</f>
        <v>#REF!</v>
      </c>
      <c r="AI164" s="61">
        <v>50.235220770438282</v>
      </c>
      <c r="AJ164" s="61">
        <v>36.065668042338281</v>
      </c>
      <c r="AK164" s="61">
        <f t="shared" si="40"/>
        <v>0.28206410782687952</v>
      </c>
      <c r="AL164" s="61">
        <f t="shared" si="41"/>
        <v>0.58134403059328643</v>
      </c>
      <c r="AM164" s="61">
        <v>42.890332449118276</v>
      </c>
      <c r="AN164" s="61">
        <f t="shared" si="42"/>
        <v>0.1462099341592269</v>
      </c>
      <c r="AO164" s="61">
        <f t="shared" si="43"/>
        <v>0.50212224854444554</v>
      </c>
      <c r="AP164" s="61"/>
      <c r="AQ164" s="61"/>
      <c r="AR164" s="61"/>
      <c r="AS164" s="61" t="s">
        <v>1188</v>
      </c>
      <c r="AT164" s="61"/>
      <c r="AU164" s="61">
        <v>40.457256532199004</v>
      </c>
      <c r="AV164" s="61">
        <v>50.884327497732343</v>
      </c>
      <c r="AW164" s="25"/>
      <c r="AX164" s="61" t="b">
        <f t="shared" si="33"/>
        <v>1</v>
      </c>
      <c r="AY164" s="128"/>
      <c r="AZ164" s="129"/>
      <c r="BA164" s="25"/>
      <c r="BB164" s="25"/>
      <c r="BC164" s="61"/>
      <c r="BD164" s="61"/>
      <c r="BE164" s="61"/>
      <c r="BF164" s="61"/>
      <c r="BG164" s="25"/>
      <c r="BH164" s="25"/>
      <c r="BI164" s="25"/>
      <c r="BJ164" s="25"/>
      <c r="BK164" s="25"/>
      <c r="BL164" s="25"/>
      <c r="BM164" s="25"/>
      <c r="BN164" s="25"/>
      <c r="BO164" s="25"/>
      <c r="BP164" s="25"/>
      <c r="BQ164" s="25"/>
      <c r="BR164" s="25"/>
      <c r="BS164" s="25"/>
      <c r="BT164" s="25"/>
      <c r="BU164" s="25"/>
      <c r="BV164" s="25"/>
      <c r="BW164" s="25"/>
      <c r="BX164" s="25"/>
      <c r="BY164" s="25"/>
      <c r="BZ164" s="25"/>
    </row>
    <row r="165" spans="1:78" ht="14.25" customHeight="1" x14ac:dyDescent="0.2">
      <c r="A165" s="98" t="s">
        <v>248</v>
      </c>
      <c r="B165" s="99" t="str">
        <f>VLOOKUP(LEFT(A165,7),'Tariff Schedule Lookup Table'!A$8:D$142,3,FALSE)</f>
        <v>2x700</v>
      </c>
      <c r="C165" s="100">
        <v>2</v>
      </c>
      <c r="D165" s="100">
        <v>0</v>
      </c>
      <c r="E165" s="100" t="s">
        <v>61</v>
      </c>
      <c r="F165" s="169">
        <f>VLOOKUP(E165,'Lamp Stock'!A$14:H$49,4,FALSE)*(1+'Public Lighting Charges'!$R$11)</f>
        <v>28.642940299999999</v>
      </c>
      <c r="G165" s="169">
        <f>VLOOKUP(E165,'Lamp Stock'!A$14:G$49,6,FALSE)*(1+'Public Lighting Charges'!$R$11)</f>
        <v>81.233037600000003</v>
      </c>
      <c r="H165" s="169">
        <f>VLOOKUP(E165,'Lamp Stock'!A$14:H$49,8,FALSE)*(1+'Public Lighting Charges'!$R$11)</f>
        <v>26.034171799999999</v>
      </c>
      <c r="I165" s="102">
        <v>0.22</v>
      </c>
      <c r="J165" s="102">
        <v>0.1</v>
      </c>
      <c r="K165" s="102">
        <v>0.2</v>
      </c>
      <c r="L165" s="101">
        <v>3</v>
      </c>
      <c r="M165" s="103">
        <f t="shared" si="27"/>
        <v>0.33333333333333331</v>
      </c>
      <c r="N165" s="451">
        <v>4.4699999999999997E-2</v>
      </c>
      <c r="O165" s="192">
        <f>'Maintenance Model'!B$110*I165</f>
        <v>52.768668324944002</v>
      </c>
      <c r="P165" s="105">
        <f>C165*(F165*I165+G165*J165)</f>
        <v>28.849501252000003</v>
      </c>
      <c r="Q165" s="105">
        <f>H165*K165*'Maintenance Model'!B$86</f>
        <v>1.5620503080000001</v>
      </c>
      <c r="R165" s="105">
        <f>'Maintenance Model'!B$106*I165</f>
        <v>13.483946666666666</v>
      </c>
      <c r="S165" s="193">
        <f>SUM(O165:R165)</f>
        <v>96.664166551610677</v>
      </c>
      <c r="T165" s="104">
        <f>'Maintenance Model'!B$110*N165</f>
        <v>10.72163397329544</v>
      </c>
      <c r="U165" s="240">
        <f t="shared" si="39"/>
        <v>19.040031878712</v>
      </c>
      <c r="V165" s="104">
        <f>'Maintenance Model'!B$106*N165</f>
        <v>2.7396927999999998</v>
      </c>
      <c r="W165" s="104">
        <f>'Maintenance Model'!B$111*M165</f>
        <v>12.300388886933334</v>
      </c>
      <c r="X165" s="240">
        <f t="shared" si="38"/>
        <v>22.566516440000001</v>
      </c>
      <c r="Y165" s="105">
        <f>M165*'Maintenance Model'!B$107</f>
        <v>3.1431111111111112</v>
      </c>
      <c r="Z165" s="105">
        <f>SUM(T165:Y165)</f>
        <v>70.511375090051885</v>
      </c>
      <c r="AA165" s="203">
        <f>'Other Maintenance'!B$94</f>
        <v>2.9107349228680333</v>
      </c>
      <c r="AB165" s="104">
        <f>(S165+AA165)</f>
        <v>99.574901474478708</v>
      </c>
      <c r="AC165" s="142">
        <f>(Z165+AA165)</f>
        <v>73.422110012919916</v>
      </c>
      <c r="AD165" s="127">
        <f>'Maintenance Model'!B$114 + 'Maintenance Model'!B$115</f>
        <v>0.99616182311111112</v>
      </c>
      <c r="AE165" s="138" t="e">
        <f>AB165+#REF!+#REF!</f>
        <v>#REF!</v>
      </c>
      <c r="AF165" s="142">
        <f t="shared" si="36"/>
        <v>100.57106329758982</v>
      </c>
      <c r="AG165" s="143">
        <f t="shared" si="37"/>
        <v>74.086217894993993</v>
      </c>
      <c r="AH165" s="61" t="e">
        <f>S165+#REF!+AD165</f>
        <v>#REF!</v>
      </c>
      <c r="AI165" s="61">
        <v>50.235220770438282</v>
      </c>
      <c r="AJ165" s="61">
        <v>36.065668042338281</v>
      </c>
      <c r="AK165" s="61">
        <f>1-AJ165/AI165</f>
        <v>0.28206410782687952</v>
      </c>
      <c r="AL165" s="61">
        <f>1-AJ165/AF165</f>
        <v>0.64139120279935835</v>
      </c>
      <c r="AM165" s="61">
        <v>42.890332449118276</v>
      </c>
      <c r="AN165" s="61">
        <f>1-AM165/AI165</f>
        <v>0.1462099341592269</v>
      </c>
      <c r="AO165" s="61">
        <f>1-AM165/AF165</f>
        <v>0.57353207729139977</v>
      </c>
      <c r="AP165" s="61"/>
      <c r="AQ165" s="61"/>
      <c r="AR165" s="61"/>
      <c r="AS165" s="61" t="s">
        <v>1188</v>
      </c>
      <c r="AT165" s="61"/>
      <c r="AU165" s="61">
        <v>40.457256532199004</v>
      </c>
      <c r="AV165" s="61">
        <v>50.884327497732343</v>
      </c>
      <c r="AW165" s="25"/>
      <c r="AX165" s="61" t="b">
        <f>AF165 &gt; AG165</f>
        <v>1</v>
      </c>
      <c r="AY165" s="128"/>
      <c r="AZ165" s="129"/>
      <c r="BA165" s="25"/>
      <c r="BB165" s="25"/>
      <c r="BC165" s="61"/>
      <c r="BD165" s="61"/>
      <c r="BE165" s="61"/>
      <c r="BF165" s="61"/>
      <c r="BG165" s="25"/>
      <c r="BH165" s="25"/>
      <c r="BI165" s="25"/>
      <c r="BJ165" s="25"/>
      <c r="BK165" s="25"/>
      <c r="BL165" s="25"/>
      <c r="BM165" s="25"/>
      <c r="BN165" s="25"/>
      <c r="BO165" s="25"/>
      <c r="BP165" s="25"/>
      <c r="BQ165" s="25"/>
      <c r="BR165" s="25"/>
      <c r="BS165" s="25"/>
      <c r="BT165" s="25"/>
      <c r="BU165" s="25"/>
      <c r="BV165" s="25"/>
      <c r="BW165" s="25"/>
      <c r="BX165" s="25"/>
      <c r="BY165" s="25"/>
      <c r="BZ165" s="25"/>
    </row>
    <row r="166" spans="1:78" ht="14.25" customHeight="1" x14ac:dyDescent="0.2">
      <c r="A166" s="98" t="s">
        <v>249</v>
      </c>
      <c r="B166" s="99">
        <f>VLOOKUP(LEFT(A166,7),'Tariff Schedule Lookup Table'!A$8:D$142,3,FALSE)</f>
        <v>800</v>
      </c>
      <c r="C166" s="100">
        <v>1</v>
      </c>
      <c r="D166" s="100">
        <v>0</v>
      </c>
      <c r="E166" s="100" t="s">
        <v>61</v>
      </c>
      <c r="F166" s="169">
        <f>VLOOKUP(E166,'Lamp Stock'!A$14:H$49,4,FALSE)*(1+'Public Lighting Charges'!$R$11)</f>
        <v>28.642940299999999</v>
      </c>
      <c r="G166" s="169">
        <f>VLOOKUP(E166,'Lamp Stock'!A$14:G$49,6,FALSE)*(1+'Public Lighting Charges'!$R$11)</f>
        <v>81.233037600000003</v>
      </c>
      <c r="H166" s="169">
        <f>VLOOKUP(E166,'Lamp Stock'!A$14:H$49,8,FALSE)*(1+'Public Lighting Charges'!$R$11)</f>
        <v>26.034171799999999</v>
      </c>
      <c r="I166" s="102">
        <v>0.22</v>
      </c>
      <c r="J166" s="102">
        <v>0.1</v>
      </c>
      <c r="K166" s="102">
        <v>0.2</v>
      </c>
      <c r="L166" s="101">
        <v>3</v>
      </c>
      <c r="M166" s="103">
        <f t="shared" si="27"/>
        <v>0.33333333333333331</v>
      </c>
      <c r="N166" s="451">
        <v>4.4699999999999997E-2</v>
      </c>
      <c r="O166" s="192">
        <f>'Maintenance Model'!B$110*I166</f>
        <v>52.768668324944002</v>
      </c>
      <c r="P166" s="105">
        <f>C166*(F166*I166+G166*J166)</f>
        <v>14.424750626000002</v>
      </c>
      <c r="Q166" s="105">
        <f>H166*K166*'Maintenance Model'!B$86</f>
        <v>1.5620503080000001</v>
      </c>
      <c r="R166" s="105">
        <f>'Maintenance Model'!B$106*I166</f>
        <v>13.483946666666666</v>
      </c>
      <c r="S166" s="193">
        <f>SUM(O166:R166)</f>
        <v>82.239415925610672</v>
      </c>
      <c r="T166" s="104">
        <f>'Maintenance Model'!B$110*N166</f>
        <v>10.72163397329544</v>
      </c>
      <c r="U166" s="240">
        <f t="shared" si="39"/>
        <v>9.6363886873020004</v>
      </c>
      <c r="V166" s="104">
        <f>'Maintenance Model'!B$106*N166</f>
        <v>2.7396927999999998</v>
      </c>
      <c r="W166" s="104">
        <f>'Maintenance Model'!B$111*M166</f>
        <v>12.300388886933334</v>
      </c>
      <c r="X166" s="240">
        <f t="shared" si="38"/>
        <v>11.28325822</v>
      </c>
      <c r="Y166" s="105">
        <f>M166*'Maintenance Model'!B$107</f>
        <v>3.1431111111111112</v>
      </c>
      <c r="Z166" s="105">
        <f>SUM(T166:Y166)</f>
        <v>49.824473678641887</v>
      </c>
      <c r="AA166" s="203">
        <f>'Other Maintenance'!B$94</f>
        <v>2.9107349228680333</v>
      </c>
      <c r="AB166" s="104">
        <f>(S166+AA166)</f>
        <v>85.150150848478702</v>
      </c>
      <c r="AC166" s="142">
        <f>(Z166+AA166)</f>
        <v>52.735208601509918</v>
      </c>
      <c r="AD166" s="127">
        <f>'Maintenance Model'!B$114 + 'Maintenance Model'!B$115</f>
        <v>0.99616182311111112</v>
      </c>
      <c r="AE166" s="138" t="e">
        <f>AB166+#REF!+#REF!</f>
        <v>#REF!</v>
      </c>
      <c r="AF166" s="142">
        <f t="shared" si="36"/>
        <v>86.146312671589811</v>
      </c>
      <c r="AG166" s="143">
        <f t="shared" si="37"/>
        <v>53.399316483583995</v>
      </c>
      <c r="AH166" s="61" t="e">
        <f>S166+#REF!+AD166</f>
        <v>#REF!</v>
      </c>
      <c r="AI166" s="61">
        <v>50.235220770438282</v>
      </c>
      <c r="AJ166" s="61">
        <v>36.065668042338281</v>
      </c>
      <c r="AK166" s="61">
        <f>1-AJ166/AI166</f>
        <v>0.28206410782687952</v>
      </c>
      <c r="AL166" s="61">
        <f>1-AJ166/AF166</f>
        <v>0.58134403059328643</v>
      </c>
      <c r="AM166" s="61">
        <v>42.890332449118276</v>
      </c>
      <c r="AN166" s="61">
        <f>1-AM166/AI166</f>
        <v>0.1462099341592269</v>
      </c>
      <c r="AO166" s="61">
        <f>1-AM166/AF166</f>
        <v>0.50212224854444554</v>
      </c>
      <c r="AP166" s="61"/>
      <c r="AQ166" s="61"/>
      <c r="AR166" s="61"/>
      <c r="AS166" s="61" t="s">
        <v>1188</v>
      </c>
      <c r="AT166" s="61"/>
      <c r="AU166" s="61">
        <v>40.457256532199004</v>
      </c>
      <c r="AV166" s="61">
        <v>50.884327497732343</v>
      </c>
      <c r="AW166" s="25"/>
      <c r="AX166" s="61" t="b">
        <f>AF166 &gt; AG166</f>
        <v>1</v>
      </c>
      <c r="AY166" s="128"/>
      <c r="AZ166" s="129"/>
      <c r="BA166" s="25"/>
      <c r="BB166" s="25"/>
      <c r="BC166" s="61"/>
      <c r="BD166" s="61"/>
      <c r="BE166" s="61"/>
      <c r="BF166" s="61"/>
      <c r="BG166" s="25"/>
      <c r="BH166" s="25"/>
      <c r="BI166" s="25"/>
      <c r="BJ166" s="25"/>
      <c r="BK166" s="25"/>
      <c r="BL166" s="25"/>
      <c r="BM166" s="25"/>
      <c r="BN166" s="25"/>
      <c r="BO166" s="25"/>
      <c r="BP166" s="25"/>
      <c r="BQ166" s="25"/>
      <c r="BR166" s="25"/>
      <c r="BS166" s="25"/>
      <c r="BT166" s="25"/>
      <c r="BU166" s="25"/>
      <c r="BV166" s="25"/>
      <c r="BW166" s="25"/>
      <c r="BX166" s="25"/>
      <c r="BY166" s="25"/>
      <c r="BZ166" s="25"/>
    </row>
    <row r="167" spans="1:78" ht="14.25" customHeight="1" x14ac:dyDescent="0.2">
      <c r="A167" s="98" t="s">
        <v>10</v>
      </c>
      <c r="B167" s="99">
        <f>VLOOKUP(LEFT(A167,7),'Tariff Schedule Lookup Table'!A$8:D$142,3,FALSE)</f>
        <v>1000</v>
      </c>
      <c r="C167" s="100">
        <v>1</v>
      </c>
      <c r="D167" s="100">
        <v>0</v>
      </c>
      <c r="E167" s="100" t="s">
        <v>65</v>
      </c>
      <c r="F167" s="169">
        <f>VLOOKUP(E167,'Lamp Stock'!A$14:H$49,4,FALSE)*(1+'Public Lighting Charges'!$R$11)</f>
        <v>125.63561529999998</v>
      </c>
      <c r="G167" s="169">
        <f>VLOOKUP(E167,'Lamp Stock'!A$14:G$49,6,FALSE)*(1+'Public Lighting Charges'!$R$11)</f>
        <v>98.089695599999985</v>
      </c>
      <c r="H167" s="169">
        <f>VLOOKUP(E167,'Lamp Stock'!A$14:H$49,8,FALSE)*(1+'Public Lighting Charges'!$R$11)</f>
        <v>26.034171799999999</v>
      </c>
      <c r="I167" s="102">
        <v>0.22</v>
      </c>
      <c r="J167" s="102">
        <v>0.1</v>
      </c>
      <c r="K167" s="102">
        <v>0.2</v>
      </c>
      <c r="L167" s="101">
        <v>3</v>
      </c>
      <c r="M167" s="103">
        <f t="shared" si="27"/>
        <v>0.33333333333333331</v>
      </c>
      <c r="N167" s="451">
        <v>4.4699999999999997E-2</v>
      </c>
      <c r="O167" s="192">
        <f>'Maintenance Model'!B$110*I167</f>
        <v>52.768668324944002</v>
      </c>
      <c r="P167" s="105">
        <f t="shared" si="30"/>
        <v>37.448804925999994</v>
      </c>
      <c r="Q167" s="105">
        <f>H167*K167*'Maintenance Model'!B$86</f>
        <v>1.5620503080000001</v>
      </c>
      <c r="R167" s="105">
        <f>'Maintenance Model'!B$106*I167</f>
        <v>13.483946666666666</v>
      </c>
      <c r="S167" s="193">
        <f t="shared" si="28"/>
        <v>105.26347022561066</v>
      </c>
      <c r="T167" s="104">
        <f>'Maintenance Model'!B$110*N167</f>
        <v>10.72163397329544</v>
      </c>
      <c r="U167" s="240">
        <f t="shared" si="39"/>
        <v>15.657627059801998</v>
      </c>
      <c r="V167" s="104">
        <f>'Maintenance Model'!B$106*N167</f>
        <v>2.7396927999999998</v>
      </c>
      <c r="W167" s="104">
        <f>'Maintenance Model'!B$111*M167</f>
        <v>12.300388886933334</v>
      </c>
      <c r="X167" s="240">
        <f t="shared" si="38"/>
        <v>43.614149886666652</v>
      </c>
      <c r="Y167" s="105">
        <f>M167*'Maintenance Model'!B$107</f>
        <v>3.1431111111111112</v>
      </c>
      <c r="Z167" s="105">
        <f t="shared" si="29"/>
        <v>88.176603717808533</v>
      </c>
      <c r="AA167" s="203">
        <f>'Other Maintenance'!B$94</f>
        <v>2.9107349228680333</v>
      </c>
      <c r="AB167" s="104">
        <f t="shared" si="31"/>
        <v>108.17420514847869</v>
      </c>
      <c r="AC167" s="142">
        <f t="shared" si="32"/>
        <v>91.087338640676563</v>
      </c>
      <c r="AD167" s="127">
        <f>'Maintenance Model'!B$114 + 'Maintenance Model'!B$115</f>
        <v>0.99616182311111112</v>
      </c>
      <c r="AE167" s="138" t="e">
        <f>AB167+#REF!+#REF!</f>
        <v>#REF!</v>
      </c>
      <c r="AF167" s="142">
        <f t="shared" si="36"/>
        <v>109.1703669715898</v>
      </c>
      <c r="AG167" s="143">
        <f t="shared" si="37"/>
        <v>91.751446522750641</v>
      </c>
      <c r="AH167" s="61" t="e">
        <f>S167+#REF!+AD167</f>
        <v>#REF!</v>
      </c>
      <c r="AI167" s="61">
        <v>57.353493923279281</v>
      </c>
      <c r="AJ167" s="61">
        <v>40.472441195179279</v>
      </c>
      <c r="AK167" s="61">
        <f t="shared" si="40"/>
        <v>0.29433346729811227</v>
      </c>
      <c r="AL167" s="61">
        <f t="shared" si="41"/>
        <v>0.62927264680064954</v>
      </c>
      <c r="AM167" s="61">
        <v>48.662205601959272</v>
      </c>
      <c r="AN167" s="61">
        <f t="shared" si="42"/>
        <v>0.15153895127899597</v>
      </c>
      <c r="AO167" s="61">
        <f t="shared" si="43"/>
        <v>0.55425444695424542</v>
      </c>
      <c r="AP167" s="61"/>
      <c r="AQ167" s="61"/>
      <c r="AR167" s="61"/>
      <c r="AS167" s="61" t="s">
        <v>1190</v>
      </c>
      <c r="AT167" s="61"/>
      <c r="AU167" s="61">
        <v>43.648529685040018</v>
      </c>
      <c r="AV167" s="61">
        <v>58.002600650573349</v>
      </c>
      <c r="AW167" s="25"/>
      <c r="AX167" s="61" t="b">
        <f t="shared" si="33"/>
        <v>1</v>
      </c>
      <c r="AY167" s="128"/>
      <c r="AZ167" s="129"/>
      <c r="BA167" s="25"/>
      <c r="BB167" s="25"/>
      <c r="BC167" s="61"/>
      <c r="BD167" s="61"/>
      <c r="BE167" s="61"/>
      <c r="BF167" s="61"/>
      <c r="BG167" s="25"/>
      <c r="BH167" s="25"/>
      <c r="BI167" s="25"/>
      <c r="BJ167" s="25"/>
      <c r="BK167" s="25"/>
      <c r="BL167" s="25"/>
      <c r="BM167" s="25"/>
      <c r="BN167" s="25"/>
      <c r="BO167" s="25"/>
      <c r="BP167" s="25"/>
      <c r="BQ167" s="25"/>
      <c r="BR167" s="25"/>
      <c r="BS167" s="25"/>
      <c r="BT167" s="25"/>
      <c r="BU167" s="25"/>
      <c r="BV167" s="25"/>
      <c r="BW167" s="25"/>
      <c r="BX167" s="25"/>
      <c r="BY167" s="25"/>
      <c r="BZ167" s="25"/>
    </row>
    <row r="168" spans="1:78" ht="14.25" customHeight="1" x14ac:dyDescent="0.2">
      <c r="A168" s="98" t="s">
        <v>250</v>
      </c>
      <c r="B168" s="99" t="str">
        <f>VLOOKUP(LEFT(A168,7),'Tariff Schedule Lookup Table'!A$8:D$142,3,FALSE)</f>
        <v>4x1000</v>
      </c>
      <c r="C168" s="100">
        <v>4</v>
      </c>
      <c r="D168" s="100">
        <v>0</v>
      </c>
      <c r="E168" s="100" t="s">
        <v>65</v>
      </c>
      <c r="F168" s="169">
        <f>VLOOKUP(E168,'Lamp Stock'!A$14:H$49,4,FALSE)*(1+'Public Lighting Charges'!$R$11)</f>
        <v>125.63561529999998</v>
      </c>
      <c r="G168" s="169">
        <f>VLOOKUP(E168,'Lamp Stock'!A$14:G$49,6,FALSE)*(1+'Public Lighting Charges'!$R$11)</f>
        <v>98.089695599999985</v>
      </c>
      <c r="H168" s="169">
        <f>VLOOKUP(E168,'Lamp Stock'!A$14:H$49,8,FALSE)*(1+'Public Lighting Charges'!$R$11)</f>
        <v>26.034171799999999</v>
      </c>
      <c r="I168" s="102">
        <v>0.22</v>
      </c>
      <c r="J168" s="102">
        <v>0.1</v>
      </c>
      <c r="K168" s="102">
        <v>0.2</v>
      </c>
      <c r="L168" s="101">
        <v>3</v>
      </c>
      <c r="M168" s="103">
        <f t="shared" si="27"/>
        <v>0.33333333333333331</v>
      </c>
      <c r="N168" s="451">
        <v>4.4699999999999997E-2</v>
      </c>
      <c r="O168" s="192">
        <f>'Maintenance Model'!B$110*I168</f>
        <v>52.768668324944002</v>
      </c>
      <c r="P168" s="105">
        <f t="shared" si="30"/>
        <v>149.79521970399998</v>
      </c>
      <c r="Q168" s="105">
        <f>H168*K168*'Maintenance Model'!B$86</f>
        <v>1.5620503080000001</v>
      </c>
      <c r="R168" s="105">
        <f>'Maintenance Model'!B$106*I168</f>
        <v>13.483946666666666</v>
      </c>
      <c r="S168" s="193">
        <f t="shared" ref="S168:S173" si="44">SUM(O168:R168)</f>
        <v>217.60988500361066</v>
      </c>
      <c r="T168" s="104">
        <f>'Maintenance Model'!B$110*N168</f>
        <v>10.72163397329544</v>
      </c>
      <c r="U168" s="240">
        <f t="shared" si="39"/>
        <v>61.932271751531999</v>
      </c>
      <c r="V168" s="104">
        <f>'Maintenance Model'!B$106*N168</f>
        <v>2.7396927999999998</v>
      </c>
      <c r="W168" s="104">
        <f>'Maintenance Model'!B$111*M168</f>
        <v>12.300388886933334</v>
      </c>
      <c r="X168" s="240">
        <f t="shared" si="38"/>
        <v>174.45659954666661</v>
      </c>
      <c r="Y168" s="105">
        <f>M168*'Maintenance Model'!B$107</f>
        <v>3.1431111111111112</v>
      </c>
      <c r="Z168" s="105">
        <f t="shared" ref="Z168:Z173" si="45">SUM(T168:Y168)</f>
        <v>265.29369806953849</v>
      </c>
      <c r="AA168" s="203">
        <f>'Other Maintenance'!B$94</f>
        <v>2.9107349228680333</v>
      </c>
      <c r="AB168" s="104">
        <f t="shared" si="31"/>
        <v>220.5206199264787</v>
      </c>
      <c r="AC168" s="142">
        <f t="shared" si="32"/>
        <v>268.20443299240651</v>
      </c>
      <c r="AD168" s="127">
        <f>'Maintenance Model'!B$114 + 'Maintenance Model'!B$115</f>
        <v>0.99616182311111112</v>
      </c>
      <c r="AE168" s="138" t="e">
        <f>AB168+#REF!+#REF!</f>
        <v>#REF!</v>
      </c>
      <c r="AF168" s="142">
        <f t="shared" si="36"/>
        <v>221.51678174958982</v>
      </c>
      <c r="AG168" s="143">
        <f t="shared" si="37"/>
        <v>268.86854087448057</v>
      </c>
      <c r="AH168" s="61" t="e">
        <f>S168+#REF!+AD168</f>
        <v>#REF!</v>
      </c>
      <c r="AI168" s="61">
        <v>50.235220770438282</v>
      </c>
      <c r="AJ168" s="61">
        <v>36.065668042338281</v>
      </c>
      <c r="AK168" s="61">
        <f t="shared" si="40"/>
        <v>0.28206410782687952</v>
      </c>
      <c r="AL168" s="61">
        <f t="shared" si="41"/>
        <v>0.83718764891091568</v>
      </c>
      <c r="AM168" s="61">
        <v>42.890332449118276</v>
      </c>
      <c r="AN168" s="61">
        <f t="shared" si="42"/>
        <v>0.1462099341592269</v>
      </c>
      <c r="AO168" s="61">
        <f t="shared" si="43"/>
        <v>0.80637885712152058</v>
      </c>
      <c r="AP168" s="61"/>
      <c r="AQ168" s="61"/>
      <c r="AR168" s="61"/>
      <c r="AS168" s="61" t="s">
        <v>1188</v>
      </c>
      <c r="AT168" s="61"/>
      <c r="AU168" s="61">
        <v>40.457256532199004</v>
      </c>
      <c r="AV168" s="61">
        <v>50.884327497732343</v>
      </c>
      <c r="AW168" s="25"/>
      <c r="AX168" s="61" t="b">
        <f t="shared" si="33"/>
        <v>0</v>
      </c>
      <c r="AY168" s="128"/>
      <c r="AZ168" s="129"/>
      <c r="BA168" s="25"/>
      <c r="BB168" s="25"/>
      <c r="BC168" s="61"/>
      <c r="BD168" s="61"/>
      <c r="BE168" s="61"/>
      <c r="BF168" s="61"/>
      <c r="BG168" s="25"/>
      <c r="BH168" s="25"/>
      <c r="BI168" s="25"/>
      <c r="BJ168" s="25"/>
      <c r="BK168" s="25"/>
      <c r="BL168" s="25"/>
      <c r="BM168" s="25"/>
      <c r="BN168" s="25"/>
      <c r="BO168" s="25"/>
      <c r="BP168" s="25"/>
      <c r="BQ168" s="25"/>
      <c r="BR168" s="25"/>
      <c r="BS168" s="25"/>
      <c r="BT168" s="25"/>
      <c r="BU168" s="25"/>
      <c r="BV168" s="25"/>
      <c r="BW168" s="25"/>
      <c r="BX168" s="25"/>
      <c r="BY168" s="25"/>
      <c r="BZ168" s="25"/>
    </row>
    <row r="169" spans="1:78" ht="14.25" customHeight="1" x14ac:dyDescent="0.2">
      <c r="A169" s="98" t="s">
        <v>251</v>
      </c>
      <c r="B169" s="99" t="str">
        <f>VLOOKUP(LEFT(A169,7),'Tariff Schedule Lookup Table'!A$8:D$142,3,FALSE)</f>
        <v>6x1000</v>
      </c>
      <c r="C169" s="100">
        <v>6</v>
      </c>
      <c r="D169" s="100">
        <v>0</v>
      </c>
      <c r="E169" s="100" t="s">
        <v>65</v>
      </c>
      <c r="F169" s="169">
        <f>VLOOKUP(E169,'Lamp Stock'!A$14:H$49,4,FALSE)*(1+'Public Lighting Charges'!$R$11)</f>
        <v>125.63561529999998</v>
      </c>
      <c r="G169" s="169">
        <f>VLOOKUP(E169,'Lamp Stock'!A$14:G$49,6,FALSE)*(1+'Public Lighting Charges'!$R$11)</f>
        <v>98.089695599999985</v>
      </c>
      <c r="H169" s="169">
        <f>VLOOKUP(E169,'Lamp Stock'!A$14:H$49,8,FALSE)*(1+'Public Lighting Charges'!$R$11)</f>
        <v>26.034171799999999</v>
      </c>
      <c r="I169" s="102">
        <v>0.22</v>
      </c>
      <c r="J169" s="102">
        <v>0.1</v>
      </c>
      <c r="K169" s="102">
        <v>0.2</v>
      </c>
      <c r="L169" s="101">
        <v>3</v>
      </c>
      <c r="M169" s="103">
        <f t="shared" si="27"/>
        <v>0.33333333333333331</v>
      </c>
      <c r="N169" s="451">
        <v>4.4699999999999997E-2</v>
      </c>
      <c r="O169" s="192">
        <f>'Maintenance Model'!B$110*I169</f>
        <v>52.768668324944002</v>
      </c>
      <c r="P169" s="105">
        <f t="shared" si="30"/>
        <v>224.69282955599996</v>
      </c>
      <c r="Q169" s="105">
        <f>H169*K169*'Maintenance Model'!B$86</f>
        <v>1.5620503080000001</v>
      </c>
      <c r="R169" s="105">
        <f>'Maintenance Model'!B$106*I169</f>
        <v>13.483946666666666</v>
      </c>
      <c r="S169" s="193">
        <f t="shared" si="44"/>
        <v>292.50749485561062</v>
      </c>
      <c r="T169" s="104">
        <f>'Maintenance Model'!B$110*N169</f>
        <v>10.72163397329544</v>
      </c>
      <c r="U169" s="240">
        <f t="shared" si="39"/>
        <v>92.782034879351983</v>
      </c>
      <c r="V169" s="104">
        <f>'Maintenance Model'!B$106*N169</f>
        <v>2.7396927999999998</v>
      </c>
      <c r="W169" s="104">
        <f>'Maintenance Model'!B$111*M169</f>
        <v>12.300388886933334</v>
      </c>
      <c r="X169" s="240">
        <f t="shared" si="38"/>
        <v>261.68489931999994</v>
      </c>
      <c r="Y169" s="105">
        <f>M169*'Maintenance Model'!B$107</f>
        <v>3.1431111111111112</v>
      </c>
      <c r="Z169" s="105">
        <f t="shared" si="45"/>
        <v>383.37176097069181</v>
      </c>
      <c r="AA169" s="203">
        <f>'Other Maintenance'!B$94</f>
        <v>2.9107349228680333</v>
      </c>
      <c r="AB169" s="104">
        <f t="shared" si="31"/>
        <v>295.41822977847863</v>
      </c>
      <c r="AC169" s="142">
        <f t="shared" si="32"/>
        <v>386.28249589355983</v>
      </c>
      <c r="AD169" s="127">
        <f>'Maintenance Model'!B$114 + 'Maintenance Model'!B$115</f>
        <v>0.99616182311111112</v>
      </c>
      <c r="AE169" s="138" t="e">
        <f>AB169+#REF!+#REF!</f>
        <v>#REF!</v>
      </c>
      <c r="AF169" s="142">
        <f t="shared" si="36"/>
        <v>296.41439160158973</v>
      </c>
      <c r="AG169" s="143">
        <f t="shared" si="37"/>
        <v>386.94660377563389</v>
      </c>
      <c r="AH169" s="61" t="e">
        <f>S169+#REF!+AD169</f>
        <v>#REF!</v>
      </c>
      <c r="AI169" s="61">
        <v>50.235220770438282</v>
      </c>
      <c r="AJ169" s="61">
        <v>36.065668042338281</v>
      </c>
      <c r="AK169" s="61">
        <f t="shared" si="40"/>
        <v>0.28206410782687952</v>
      </c>
      <c r="AL169" s="61">
        <f t="shared" si="41"/>
        <v>0.87832686581961206</v>
      </c>
      <c r="AM169" s="61">
        <v>42.890332449118276</v>
      </c>
      <c r="AN169" s="61">
        <f t="shared" si="42"/>
        <v>0.1462099341592269</v>
      </c>
      <c r="AO169" s="61">
        <f t="shared" si="43"/>
        <v>0.85530280018668214</v>
      </c>
      <c r="AP169" s="61"/>
      <c r="AQ169" s="61"/>
      <c r="AR169" s="61"/>
      <c r="AS169" s="61" t="s">
        <v>1188</v>
      </c>
      <c r="AT169" s="61"/>
      <c r="AU169" s="61">
        <v>40.457256532199004</v>
      </c>
      <c r="AV169" s="61">
        <v>50.884327497732343</v>
      </c>
      <c r="AW169" s="25"/>
      <c r="AX169" s="61" t="b">
        <f t="shared" si="33"/>
        <v>0</v>
      </c>
      <c r="AY169" s="128"/>
      <c r="AZ169" s="129"/>
      <c r="BA169" s="25"/>
      <c r="BB169" s="25"/>
      <c r="BC169" s="61"/>
      <c r="BD169" s="61"/>
      <c r="BE169" s="61"/>
      <c r="BF169" s="61"/>
      <c r="BG169" s="25"/>
      <c r="BH169" s="25"/>
      <c r="BI169" s="25"/>
      <c r="BJ169" s="25"/>
      <c r="BK169" s="25"/>
      <c r="BL169" s="25"/>
      <c r="BM169" s="25"/>
      <c r="BN169" s="25"/>
      <c r="BO169" s="25"/>
      <c r="BP169" s="25"/>
      <c r="BQ169" s="25"/>
      <c r="BR169" s="25"/>
      <c r="BS169" s="25"/>
      <c r="BT169" s="25"/>
      <c r="BU169" s="25"/>
      <c r="BV169" s="25"/>
      <c r="BW169" s="25"/>
      <c r="BX169" s="25"/>
      <c r="BY169" s="25"/>
      <c r="BZ169" s="25"/>
    </row>
    <row r="170" spans="1:78" ht="14.25" customHeight="1" x14ac:dyDescent="0.2">
      <c r="A170" s="106" t="s">
        <v>252</v>
      </c>
      <c r="B170" s="107">
        <f>VLOOKUP(LEFT(A170,7),'Tariff Schedule Lookup Table'!A$8:D$142,3,FALSE)</f>
        <v>1625</v>
      </c>
      <c r="C170" s="108">
        <v>1</v>
      </c>
      <c r="D170" s="108">
        <v>0</v>
      </c>
      <c r="E170" s="108" t="s">
        <v>65</v>
      </c>
      <c r="F170" s="169">
        <f>VLOOKUP(E170,'Lamp Stock'!A$14:H$49,4,FALSE)*(1+'Public Lighting Charges'!$R$11)</f>
        <v>125.63561529999998</v>
      </c>
      <c r="G170" s="169">
        <f>VLOOKUP(E170,'Lamp Stock'!A$14:G$49,6,FALSE)*(1+'Public Lighting Charges'!$R$11)</f>
        <v>98.089695599999985</v>
      </c>
      <c r="H170" s="169">
        <f>VLOOKUP(E170,'Lamp Stock'!A$14:H$49,8,FALSE)*(1+'Public Lighting Charges'!$R$11)</f>
        <v>26.034171799999999</v>
      </c>
      <c r="I170" s="110">
        <v>0.22</v>
      </c>
      <c r="J170" s="110">
        <v>0.1</v>
      </c>
      <c r="K170" s="110">
        <v>0.2</v>
      </c>
      <c r="L170" s="109">
        <v>3</v>
      </c>
      <c r="M170" s="111">
        <f t="shared" si="27"/>
        <v>0.33333333333333331</v>
      </c>
      <c r="N170" s="451">
        <v>4.4699999999999997E-2</v>
      </c>
      <c r="O170" s="194">
        <f>'Maintenance Model'!B$110*I170</f>
        <v>52.768668324944002</v>
      </c>
      <c r="P170" s="113">
        <f>C170*(F170*I170+G170*J170)</f>
        <v>37.448804925999994</v>
      </c>
      <c r="Q170" s="113">
        <f>H170*K170*'Maintenance Model'!B$86</f>
        <v>1.5620503080000001</v>
      </c>
      <c r="R170" s="113">
        <f>'Maintenance Model'!B$106*I170</f>
        <v>13.483946666666666</v>
      </c>
      <c r="S170" s="195">
        <f t="shared" si="44"/>
        <v>105.26347022561066</v>
      </c>
      <c r="T170" s="112">
        <f>'Maintenance Model'!B$110*N170</f>
        <v>10.72163397329544</v>
      </c>
      <c r="U170" s="240">
        <f t="shared" si="39"/>
        <v>15.657627059801998</v>
      </c>
      <c r="V170" s="112">
        <f>'Maintenance Model'!B$106*N170</f>
        <v>2.7396927999999998</v>
      </c>
      <c r="W170" s="112">
        <f>'Maintenance Model'!B$111*M170</f>
        <v>12.300388886933334</v>
      </c>
      <c r="X170" s="240">
        <f t="shared" si="38"/>
        <v>43.614149886666652</v>
      </c>
      <c r="Y170" s="113">
        <f>M170*'Maintenance Model'!B$107</f>
        <v>3.1431111111111112</v>
      </c>
      <c r="Z170" s="113">
        <f t="shared" si="45"/>
        <v>88.176603717808533</v>
      </c>
      <c r="AA170" s="202">
        <f>'Other Maintenance'!B$94</f>
        <v>2.9107349228680333</v>
      </c>
      <c r="AB170" s="112">
        <f>(S170+AA170)</f>
        <v>108.17420514847869</v>
      </c>
      <c r="AC170" s="162">
        <f>(Z170+AA170)</f>
        <v>91.087338640676563</v>
      </c>
      <c r="AD170" s="130">
        <f>'Maintenance Model'!B$114 + 'Maintenance Model'!B$115</f>
        <v>0.99616182311111112</v>
      </c>
      <c r="AE170" s="140" t="e">
        <f>AB170+#REF!+#REF!</f>
        <v>#REF!</v>
      </c>
      <c r="AF170" s="162">
        <f t="shared" si="36"/>
        <v>109.1703669715898</v>
      </c>
      <c r="AG170" s="163">
        <f t="shared" si="37"/>
        <v>91.751446522750641</v>
      </c>
      <c r="AH170" s="61" t="e">
        <f>S170+#REF!+AD170</f>
        <v>#REF!</v>
      </c>
      <c r="AI170" s="61">
        <v>57.353493923279281</v>
      </c>
      <c r="AJ170" s="61">
        <v>40.472441195179279</v>
      </c>
      <c r="AK170" s="61">
        <f>1-AJ170/AI170</f>
        <v>0.29433346729811227</v>
      </c>
      <c r="AL170" s="61">
        <f>1-AJ170/AF170</f>
        <v>0.62927264680064954</v>
      </c>
      <c r="AM170" s="61">
        <v>48.662205601959272</v>
      </c>
      <c r="AN170" s="61">
        <f>1-AM170/AI170</f>
        <v>0.15153895127899597</v>
      </c>
      <c r="AO170" s="61">
        <f>1-AM170/AF170</f>
        <v>0.55425444695424542</v>
      </c>
      <c r="AP170" s="61"/>
      <c r="AQ170" s="61"/>
      <c r="AR170" s="61"/>
      <c r="AS170" s="61" t="s">
        <v>1190</v>
      </c>
      <c r="AT170" s="61"/>
      <c r="AU170" s="61">
        <v>43.648529685040018</v>
      </c>
      <c r="AV170" s="61">
        <v>58.002600650573349</v>
      </c>
      <c r="AW170" s="25"/>
      <c r="AX170" s="61" t="b">
        <f>AF170 &gt; AG170</f>
        <v>1</v>
      </c>
      <c r="AY170" s="128"/>
      <c r="AZ170" s="129"/>
      <c r="BA170" s="25"/>
      <c r="BB170" s="25"/>
      <c r="BC170" s="61"/>
      <c r="BD170" s="61"/>
      <c r="BE170" s="61"/>
      <c r="BF170" s="61"/>
      <c r="BG170" s="25"/>
      <c r="BH170" s="25"/>
      <c r="BI170" s="25"/>
      <c r="BJ170" s="25"/>
      <c r="BK170" s="25"/>
      <c r="BL170" s="25"/>
      <c r="BM170" s="25"/>
      <c r="BN170" s="25"/>
      <c r="BO170" s="25"/>
      <c r="BP170" s="25"/>
      <c r="BQ170" s="25"/>
      <c r="BR170" s="25"/>
      <c r="BS170" s="25"/>
      <c r="BT170" s="25"/>
      <c r="BU170" s="25"/>
      <c r="BV170" s="25"/>
      <c r="BW170" s="25"/>
      <c r="BX170" s="25"/>
      <c r="BY170" s="25"/>
      <c r="BZ170" s="25"/>
    </row>
    <row r="171" spans="1:78" x14ac:dyDescent="0.2">
      <c r="A171" s="184" t="s">
        <v>58</v>
      </c>
      <c r="B171" s="99">
        <f>VLOOKUP(LEFT(A171,7),'Tariff Schedule Lookup Table'!A$8:D$142,3,FALSE)</f>
        <v>42</v>
      </c>
      <c r="C171" s="177">
        <v>1</v>
      </c>
      <c r="D171" s="177">
        <v>0</v>
      </c>
      <c r="E171" s="177" t="s">
        <v>59</v>
      </c>
      <c r="F171" s="169">
        <f>VLOOKUP(E171,'Lamp Stock'!A$14:H$49,4,FALSE)*(1+'Public Lighting Charges'!$R$11)</f>
        <v>8.6958950000000002</v>
      </c>
      <c r="G171" s="169">
        <f>VLOOKUP(E171,'Lamp Stock'!A$14:G$49,6,FALSE)*(1+'Public Lighting Charges'!$R$11)</f>
        <v>61.540179999999999</v>
      </c>
      <c r="H171" s="169">
        <f>VLOOKUP(E171,'Lamp Stock'!A$14:H$49,8,FALSE)*(1+'Public Lighting Charges'!$R$11)</f>
        <v>31.974136999999999</v>
      </c>
      <c r="I171" s="178">
        <v>0.22</v>
      </c>
      <c r="J171" s="178">
        <v>0.1</v>
      </c>
      <c r="K171" s="178">
        <v>0.2</v>
      </c>
      <c r="L171" s="101">
        <v>3</v>
      </c>
      <c r="M171" s="179">
        <f t="shared" si="27"/>
        <v>0.33333333333333331</v>
      </c>
      <c r="N171" s="452">
        <v>7.9299999999999995E-2</v>
      </c>
      <c r="O171" s="190">
        <f>'Maintenance Model'!B$110*I171</f>
        <v>52.768668324944002</v>
      </c>
      <c r="P171" s="105">
        <f>C171*(F171*I171)+G171*J171</f>
        <v>8.0671149</v>
      </c>
      <c r="Q171" s="181">
        <f>H171*K171*'Maintenance Model'!B$86</f>
        <v>1.9184482200000001</v>
      </c>
      <c r="R171" s="181">
        <f>'Maintenance Model'!B$106*I171</f>
        <v>13.483946666666666</v>
      </c>
      <c r="S171" s="191">
        <f t="shared" si="44"/>
        <v>76.238178111610665</v>
      </c>
      <c r="T171" s="180">
        <f>'Maintenance Model'!B$110*N171</f>
        <v>19.020706355309361</v>
      </c>
      <c r="U171" s="240">
        <f>N171*((C171*F171)+K171*H171)+G171*J171</f>
        <v>7.3507122863200003</v>
      </c>
      <c r="V171" s="180">
        <f>'Maintenance Model'!B$106*N171</f>
        <v>4.8603498666666667</v>
      </c>
      <c r="W171" s="180">
        <f>'Maintenance Model'!B$111*M171</f>
        <v>12.300388886933334</v>
      </c>
      <c r="X171" s="240">
        <f t="shared" si="38"/>
        <v>5.0302407999999996</v>
      </c>
      <c r="Y171" s="181">
        <f>M171*'Maintenance Model'!B$107</f>
        <v>3.1431111111111112</v>
      </c>
      <c r="Z171" s="181">
        <f t="shared" si="45"/>
        <v>51.705509306340474</v>
      </c>
      <c r="AA171" s="204">
        <f>'Other Maintenance'!B$94</f>
        <v>2.9107349228680333</v>
      </c>
      <c r="AB171" s="104">
        <f t="shared" si="31"/>
        <v>79.148913034478696</v>
      </c>
      <c r="AC171" s="142">
        <f t="shared" si="32"/>
        <v>54.616244229208505</v>
      </c>
      <c r="AD171" s="183">
        <f>'Maintenance Model'!B$114 + 'Maintenance Model'!B$115</f>
        <v>0.99616182311111112</v>
      </c>
      <c r="AE171" s="182" t="e">
        <f>AB171+#REF!+#REF!</f>
        <v>#REF!</v>
      </c>
      <c r="AF171" s="142">
        <f t="shared" si="36"/>
        <v>80.145074857589805</v>
      </c>
      <c r="AG171" s="143">
        <f t="shared" si="37"/>
        <v>55.280352111282582</v>
      </c>
      <c r="AH171" s="114"/>
      <c r="AI171" s="114"/>
      <c r="AJ171" s="114"/>
      <c r="AK171" s="114"/>
      <c r="AL171" s="114"/>
      <c r="AM171" s="114"/>
      <c r="AN171" s="114"/>
      <c r="AO171" s="114"/>
      <c r="AP171" s="114"/>
      <c r="AQ171" s="114"/>
      <c r="AR171" s="114"/>
      <c r="AS171" s="114"/>
      <c r="AT171" s="114"/>
      <c r="AU171" s="114"/>
      <c r="AV171" s="114"/>
      <c r="AW171" s="25"/>
      <c r="AX171" s="61" t="b">
        <f t="shared" si="33"/>
        <v>1</v>
      </c>
      <c r="AY171" s="61"/>
      <c r="AZ171" s="61"/>
      <c r="BA171" s="25"/>
      <c r="BB171" s="25"/>
      <c r="BC171" s="61"/>
      <c r="BD171" s="61"/>
      <c r="BE171" s="61"/>
      <c r="BF171" s="61"/>
      <c r="BG171" s="25"/>
      <c r="BH171" s="25"/>
      <c r="BI171" s="25"/>
      <c r="BJ171" s="25"/>
      <c r="BK171" s="25"/>
      <c r="BL171" s="25"/>
      <c r="BM171" s="25"/>
      <c r="BN171" s="25"/>
      <c r="BO171" s="25"/>
      <c r="BP171" s="25"/>
      <c r="BQ171" s="25"/>
      <c r="BR171" s="25"/>
      <c r="BS171" s="25"/>
      <c r="BT171" s="25"/>
      <c r="BU171" s="25"/>
      <c r="BV171" s="25"/>
      <c r="BW171" s="25"/>
      <c r="BX171" s="25"/>
      <c r="BY171" s="25"/>
      <c r="BZ171" s="25"/>
    </row>
    <row r="172" spans="1:78" x14ac:dyDescent="0.2">
      <c r="A172" s="100" t="s">
        <v>1783</v>
      </c>
      <c r="B172" s="99" t="str">
        <f>VLOOKUP(LEFT(A172,7),'Tariff Schedule Lookup Table'!A$8:D$142,3,FALSE)</f>
        <v>2x14</v>
      </c>
      <c r="C172" s="100">
        <v>2</v>
      </c>
      <c r="D172" s="100">
        <v>0</v>
      </c>
      <c r="E172" s="100" t="s">
        <v>1769</v>
      </c>
      <c r="F172" s="169">
        <f>VLOOKUP(E172,'Lamp Stock'!A$14:H$49,4,FALSE)*(1+'Public Lighting Charges'!$R$11)</f>
        <v>7.7594139999999996</v>
      </c>
      <c r="G172" s="169">
        <f>VLOOKUP(E172,'Lamp Stock'!A$14:G$49,6,FALSE)*(1+'Public Lighting Charges'!$R$11)</f>
        <v>29.191450599999996</v>
      </c>
      <c r="H172" s="169">
        <f>VLOOKUP(E172,'Lamp Stock'!A$14:H$49,8,FALSE)*(1+'Public Lighting Charges'!$R$11)</f>
        <v>31.974136999999999</v>
      </c>
      <c r="I172" s="102">
        <v>0.22</v>
      </c>
      <c r="J172" s="102">
        <v>0.1</v>
      </c>
      <c r="K172" s="102">
        <v>0.2</v>
      </c>
      <c r="L172" s="101">
        <v>3</v>
      </c>
      <c r="M172" s="103">
        <f t="shared" si="27"/>
        <v>0.33333333333333331</v>
      </c>
      <c r="N172" s="452">
        <v>7.9299999999999995E-2</v>
      </c>
      <c r="O172" s="192">
        <f>'Maintenance Model'!B$110*I172</f>
        <v>52.768668324944002</v>
      </c>
      <c r="P172" s="105">
        <f>C172*(F172*I172)+G172*J172</f>
        <v>6.3332872199999999</v>
      </c>
      <c r="Q172" s="105">
        <f>H172*K172*'Maintenance Model'!B$86</f>
        <v>1.9184482200000001</v>
      </c>
      <c r="R172" s="105">
        <f>'Maintenance Model'!B$106*I172</f>
        <v>13.483946666666666</v>
      </c>
      <c r="S172" s="193">
        <f t="shared" si="44"/>
        <v>74.504350431610675</v>
      </c>
      <c r="T172" s="104">
        <f>'Maintenance Model'!B$110*N172</f>
        <v>19.020706355309361</v>
      </c>
      <c r="U172" s="240">
        <f>N172*((C172*F172)+K172*H172)+G172*J172</f>
        <v>4.6568979332199998</v>
      </c>
      <c r="V172" s="104">
        <f>'Maintenance Model'!B$106*N172</f>
        <v>4.8603498666666667</v>
      </c>
      <c r="W172" s="104">
        <f>'Maintenance Model'!B$111*M172</f>
        <v>12.300388886933334</v>
      </c>
      <c r="X172" s="240">
        <f t="shared" si="38"/>
        <v>9.4361609333333334</v>
      </c>
      <c r="Y172" s="105">
        <f>M172*'Maintenance Model'!B$107</f>
        <v>3.1431111111111112</v>
      </c>
      <c r="Z172" s="105">
        <f t="shared" si="45"/>
        <v>53.417615086573804</v>
      </c>
      <c r="AA172" s="203">
        <f>'Other Maintenance'!B$94</f>
        <v>2.9107349228680333</v>
      </c>
      <c r="AB172" s="104">
        <f t="shared" si="31"/>
        <v>77.415085354478705</v>
      </c>
      <c r="AC172" s="142">
        <f t="shared" si="32"/>
        <v>56.328350009441834</v>
      </c>
      <c r="AD172" s="127">
        <f>'Maintenance Model'!B$114 + 'Maintenance Model'!B$115</f>
        <v>0.99616182311111112</v>
      </c>
      <c r="AE172" s="138" t="e">
        <f>AB172+#REF!+#REF!</f>
        <v>#REF!</v>
      </c>
      <c r="AF172" s="142">
        <f t="shared" si="36"/>
        <v>78.411247177589814</v>
      </c>
      <c r="AG172" s="143">
        <f t="shared" si="37"/>
        <v>56.992457891515912</v>
      </c>
      <c r="AH172" s="114"/>
      <c r="AI172" s="114"/>
      <c r="AJ172" s="114"/>
      <c r="AK172" s="114"/>
      <c r="AL172" s="114"/>
      <c r="AM172" s="114"/>
      <c r="AN172" s="114"/>
      <c r="AO172" s="114"/>
      <c r="AP172" s="114"/>
      <c r="AQ172" s="114"/>
      <c r="AR172" s="114"/>
      <c r="AS172" s="114"/>
      <c r="AT172" s="114"/>
      <c r="AU172" s="114"/>
      <c r="AV172" s="114"/>
      <c r="AW172" s="25"/>
      <c r="AX172" s="61" t="b">
        <f t="shared" si="33"/>
        <v>1</v>
      </c>
      <c r="AY172" s="61"/>
      <c r="AZ172" s="61"/>
      <c r="BA172" s="25"/>
      <c r="BB172" s="25"/>
      <c r="BC172" s="61"/>
      <c r="BD172" s="61"/>
      <c r="BE172" s="61"/>
      <c r="BF172" s="61"/>
      <c r="BG172" s="25"/>
      <c r="BH172" s="25"/>
      <c r="BI172" s="25"/>
      <c r="BJ172" s="25"/>
      <c r="BK172" s="25"/>
      <c r="BL172" s="25"/>
      <c r="BM172" s="25"/>
      <c r="BN172" s="25"/>
      <c r="BO172" s="25"/>
      <c r="BP172" s="25"/>
      <c r="BQ172" s="25"/>
      <c r="BR172" s="25"/>
      <c r="BS172" s="25"/>
      <c r="BT172" s="25"/>
      <c r="BU172" s="25"/>
      <c r="BV172" s="25"/>
      <c r="BW172" s="25"/>
      <c r="BX172" s="25"/>
      <c r="BY172" s="25"/>
      <c r="BZ172" s="25"/>
    </row>
    <row r="173" spans="1:78" x14ac:dyDescent="0.2">
      <c r="A173" s="108" t="s">
        <v>1784</v>
      </c>
      <c r="B173" s="107" t="str">
        <f>VLOOKUP(LEFT(A173,7),'Tariff Schedule Lookup Table'!A$8:D$142,3,FALSE)</f>
        <v>2x24</v>
      </c>
      <c r="C173" s="145">
        <v>2</v>
      </c>
      <c r="D173" s="145">
        <v>0</v>
      </c>
      <c r="E173" s="108" t="s">
        <v>1770</v>
      </c>
      <c r="F173" s="169">
        <f>VLOOKUP(E173,'Lamp Stock'!A$14:H$49,4,FALSE)*(1+'Public Lighting Charges'!$R$11)</f>
        <v>16.120851500000001</v>
      </c>
      <c r="G173" s="169">
        <f>VLOOKUP(E173,'Lamp Stock'!A$14:G$49,6,FALSE)*(1+'Public Lighting Charges'!$R$11)</f>
        <v>46.222026499999998</v>
      </c>
      <c r="H173" s="169">
        <f>VLOOKUP(E173,'Lamp Stock'!A$14:H$49,8,FALSE)*(1+'Public Lighting Charges'!$R$11)</f>
        <v>31.974136999999999</v>
      </c>
      <c r="I173" s="110">
        <v>0.22</v>
      </c>
      <c r="J173" s="110">
        <v>0.1</v>
      </c>
      <c r="K173" s="110">
        <v>0.2</v>
      </c>
      <c r="L173" s="109">
        <v>3</v>
      </c>
      <c r="M173" s="111">
        <f t="shared" si="27"/>
        <v>0.33333333333333331</v>
      </c>
      <c r="N173" s="452">
        <v>7.9299999999999995E-2</v>
      </c>
      <c r="O173" s="194">
        <f>'Maintenance Model'!B$110*I173</f>
        <v>52.768668324944002</v>
      </c>
      <c r="P173" s="113">
        <f>C173*(F173*I173)+G173*J173</f>
        <v>11.715377310000001</v>
      </c>
      <c r="Q173" s="113">
        <f>H173*K173*'Maintenance Model'!B$86</f>
        <v>1.9184482200000001</v>
      </c>
      <c r="R173" s="113">
        <f>'Maintenance Model'!B$106*I173</f>
        <v>13.483946666666666</v>
      </c>
      <c r="S173" s="195">
        <f t="shared" si="44"/>
        <v>79.88644052161068</v>
      </c>
      <c r="T173" s="112">
        <f>'Maintenance Model'!B$110*N173</f>
        <v>19.020706355309361</v>
      </c>
      <c r="U173" s="261">
        <f>N173*((C173*F173)+K173*H173)+G173*J173</f>
        <v>7.68607951072</v>
      </c>
      <c r="V173" s="112">
        <f>'Maintenance Model'!B$106*N173</f>
        <v>4.8603498666666667</v>
      </c>
      <c r="W173" s="112">
        <f>'Maintenance Model'!B$111*M173</f>
        <v>12.300388886933334</v>
      </c>
      <c r="X173" s="261">
        <f t="shared" si="38"/>
        <v>15.010452600000001</v>
      </c>
      <c r="Y173" s="113">
        <f>M173*'Maintenance Model'!B$107</f>
        <v>3.1431111111111112</v>
      </c>
      <c r="Z173" s="113">
        <f t="shared" si="45"/>
        <v>62.021088330740476</v>
      </c>
      <c r="AA173" s="202">
        <f>'Other Maintenance'!B$94</f>
        <v>2.9107349228680333</v>
      </c>
      <c r="AB173" s="112">
        <f t="shared" si="31"/>
        <v>82.797175444478711</v>
      </c>
      <c r="AC173" s="162">
        <f t="shared" si="32"/>
        <v>64.931823253608513</v>
      </c>
      <c r="AD173" s="130">
        <f>'Maintenance Model'!B$114 + 'Maintenance Model'!B$115</f>
        <v>0.99616182311111112</v>
      </c>
      <c r="AE173" s="140" t="e">
        <f>AB173+#REF!+#REF!</f>
        <v>#REF!</v>
      </c>
      <c r="AF173" s="162">
        <f t="shared" si="36"/>
        <v>83.79333726758982</v>
      </c>
      <c r="AG173" s="163">
        <f t="shared" si="37"/>
        <v>65.595931135682591</v>
      </c>
      <c r="AH173" s="61"/>
      <c r="AI173" s="61"/>
      <c r="AJ173" s="61"/>
      <c r="AK173" s="61"/>
      <c r="AL173" s="61"/>
      <c r="AM173" s="61"/>
      <c r="AN173" s="61"/>
      <c r="AO173" s="61"/>
      <c r="AP173" s="61"/>
      <c r="AQ173" s="61"/>
      <c r="AR173" s="61"/>
      <c r="AS173" s="61"/>
      <c r="AT173" s="61"/>
      <c r="AU173" s="61"/>
      <c r="AV173" s="61"/>
      <c r="AW173" s="25"/>
      <c r="AX173" s="61" t="b">
        <f t="shared" si="33"/>
        <v>1</v>
      </c>
      <c r="AY173" s="61"/>
      <c r="AZ173" s="61"/>
      <c r="BA173" s="25"/>
      <c r="BB173" s="25"/>
      <c r="BC173" s="61"/>
      <c r="BD173" s="61"/>
      <c r="BE173" s="61"/>
      <c r="BF173" s="61"/>
      <c r="BG173" s="25"/>
      <c r="BH173" s="25"/>
      <c r="BI173" s="25"/>
      <c r="BJ173" s="25"/>
      <c r="BK173" s="25"/>
      <c r="BL173" s="25"/>
      <c r="BM173" s="25"/>
      <c r="BN173" s="25"/>
      <c r="BO173" s="25"/>
      <c r="BP173" s="25"/>
      <c r="BQ173" s="25"/>
      <c r="BR173" s="25"/>
      <c r="BS173" s="25"/>
      <c r="BT173" s="25"/>
      <c r="BU173" s="25"/>
      <c r="BV173" s="25"/>
      <c r="BW173" s="25"/>
      <c r="BX173" s="25"/>
      <c r="BY173" s="25"/>
      <c r="BZ173" s="25"/>
    </row>
    <row r="174" spans="1:78" x14ac:dyDescent="0.2">
      <c r="A174" s="61"/>
      <c r="B174" s="115"/>
      <c r="C174" s="61"/>
      <c r="D174" s="61"/>
      <c r="E174" s="61"/>
      <c r="F174" s="61"/>
      <c r="G174" s="61"/>
      <c r="H174" s="61"/>
      <c r="I174" s="116"/>
      <c r="J174" s="116"/>
      <c r="K174" s="116"/>
      <c r="L174" s="61"/>
      <c r="M174" s="117"/>
      <c r="N174" s="118"/>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25"/>
      <c r="BH174" s="25"/>
      <c r="BI174" s="25"/>
      <c r="BJ174" s="25"/>
      <c r="BK174" s="25"/>
      <c r="BL174" s="25"/>
      <c r="BM174" s="25"/>
      <c r="BN174" s="25"/>
      <c r="BO174" s="25"/>
      <c r="BP174" s="25"/>
      <c r="BQ174" s="25"/>
      <c r="BR174" s="25"/>
      <c r="BS174" s="25"/>
      <c r="BT174" s="25"/>
      <c r="BU174" s="25"/>
      <c r="BV174" s="25"/>
      <c r="BW174" s="25"/>
      <c r="BX174" s="25"/>
      <c r="BY174" s="25"/>
      <c r="BZ174" s="25"/>
    </row>
    <row r="175" spans="1:78" x14ac:dyDescent="0.2">
      <c r="A175" s="61"/>
      <c r="B175" s="115"/>
      <c r="C175" s="61"/>
      <c r="D175" s="61"/>
      <c r="E175" s="61"/>
      <c r="F175" s="61"/>
      <c r="G175" s="61"/>
      <c r="H175" s="61"/>
      <c r="I175" s="116"/>
      <c r="J175" s="116"/>
      <c r="K175" s="116"/>
      <c r="L175" s="61"/>
      <c r="M175" s="117"/>
      <c r="N175" s="118"/>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25"/>
      <c r="BH175" s="25"/>
      <c r="BI175" s="25"/>
      <c r="BJ175" s="25"/>
      <c r="BK175" s="25"/>
      <c r="BL175" s="25"/>
      <c r="BM175" s="25"/>
      <c r="BN175" s="25"/>
      <c r="BO175" s="25"/>
      <c r="BP175" s="25"/>
      <c r="BQ175" s="25"/>
      <c r="BR175" s="25"/>
      <c r="BS175" s="25"/>
      <c r="BT175" s="25"/>
      <c r="BU175" s="25"/>
      <c r="BV175" s="25"/>
      <c r="BW175" s="25"/>
      <c r="BX175" s="25"/>
      <c r="BY175" s="25"/>
      <c r="BZ175" s="25"/>
    </row>
    <row r="176" spans="1:78" x14ac:dyDescent="0.2">
      <c r="A176" s="61"/>
      <c r="B176" s="115"/>
      <c r="C176" s="61"/>
      <c r="D176" s="61"/>
      <c r="E176" s="61"/>
      <c r="F176" s="61"/>
      <c r="G176" s="61"/>
      <c r="H176" s="61"/>
      <c r="I176" s="116"/>
      <c r="J176" s="116"/>
      <c r="K176" s="116"/>
      <c r="L176" s="61"/>
      <c r="M176" s="117"/>
      <c r="N176" s="118"/>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25"/>
      <c r="BH176" s="25"/>
      <c r="BI176" s="25"/>
      <c r="BJ176" s="25"/>
      <c r="BK176" s="25"/>
      <c r="BL176" s="25"/>
      <c r="BM176" s="25"/>
      <c r="BN176" s="25"/>
      <c r="BO176" s="25"/>
      <c r="BP176" s="25"/>
      <c r="BQ176" s="25"/>
      <c r="BR176" s="25"/>
      <c r="BS176" s="25"/>
      <c r="BT176" s="25"/>
      <c r="BU176" s="25"/>
      <c r="BV176" s="25"/>
      <c r="BW176" s="25"/>
      <c r="BX176" s="25"/>
      <c r="BY176" s="25"/>
      <c r="BZ176" s="25"/>
    </row>
    <row r="177" spans="1:58" x14ac:dyDescent="0.2">
      <c r="A177" s="26"/>
      <c r="B177" s="119"/>
      <c r="C177" s="26"/>
      <c r="D177" s="26"/>
      <c r="E177" s="26"/>
      <c r="F177" s="26"/>
      <c r="G177" s="26"/>
      <c r="H177" s="26"/>
      <c r="I177" s="120"/>
      <c r="J177" s="120"/>
      <c r="K177" s="120"/>
      <c r="L177" s="26"/>
      <c r="M177" s="121"/>
      <c r="N177" s="122"/>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row>
    <row r="178" spans="1:58" x14ac:dyDescent="0.2">
      <c r="A178" s="26"/>
      <c r="B178" s="119"/>
      <c r="C178" s="26"/>
      <c r="D178" s="26"/>
      <c r="E178" s="26"/>
      <c r="F178" s="26"/>
      <c r="G178" s="26"/>
      <c r="H178" s="26"/>
      <c r="I178" s="120"/>
      <c r="J178" s="120"/>
      <c r="K178" s="120"/>
      <c r="L178" s="26"/>
      <c r="M178" s="121"/>
      <c r="N178" s="122"/>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row>
    <row r="179" spans="1:58" x14ac:dyDescent="0.2">
      <c r="A179" s="26"/>
      <c r="B179" s="119"/>
      <c r="C179" s="26"/>
      <c r="D179" s="26"/>
      <c r="E179" s="26"/>
      <c r="F179" s="26"/>
      <c r="G179" s="26"/>
      <c r="H179" s="26"/>
      <c r="I179" s="120"/>
      <c r="J179" s="120"/>
      <c r="K179" s="120"/>
      <c r="L179" s="26"/>
      <c r="M179" s="121"/>
      <c r="N179" s="122"/>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row>
    <row r="180" spans="1:58" x14ac:dyDescent="0.2">
      <c r="A180" s="26"/>
      <c r="B180" s="119"/>
      <c r="C180" s="26"/>
      <c r="D180" s="26"/>
      <c r="E180" s="26"/>
      <c r="F180" s="26"/>
      <c r="G180" s="26"/>
      <c r="H180" s="26"/>
      <c r="I180" s="120"/>
      <c r="J180" s="120"/>
      <c r="K180" s="120"/>
      <c r="L180" s="26"/>
      <c r="M180" s="121"/>
      <c r="N180" s="122"/>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row>
    <row r="181" spans="1:58" x14ac:dyDescent="0.2">
      <c r="A181" s="26"/>
      <c r="B181" s="119"/>
      <c r="C181" s="26"/>
      <c r="D181" s="26"/>
      <c r="E181" s="26"/>
      <c r="F181" s="26"/>
      <c r="G181" s="26"/>
      <c r="H181" s="26"/>
      <c r="I181" s="120"/>
      <c r="J181" s="120"/>
      <c r="K181" s="120"/>
      <c r="L181" s="26"/>
      <c r="M181" s="121"/>
      <c r="N181" s="122"/>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row>
    <row r="182" spans="1:58" x14ac:dyDescent="0.2">
      <c r="A182" s="26"/>
      <c r="B182" s="119"/>
      <c r="C182" s="26"/>
      <c r="D182" s="26"/>
      <c r="E182" s="26"/>
      <c r="F182" s="26"/>
      <c r="G182" s="26"/>
      <c r="H182" s="26"/>
      <c r="I182" s="120"/>
      <c r="J182" s="120"/>
      <c r="K182" s="120"/>
      <c r="L182" s="26"/>
      <c r="M182" s="121"/>
      <c r="N182" s="122"/>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row>
    <row r="183" spans="1:58" x14ac:dyDescent="0.2">
      <c r="A183" s="26"/>
      <c r="B183" s="119"/>
      <c r="C183" s="26"/>
      <c r="D183" s="26"/>
      <c r="E183" s="26"/>
      <c r="F183" s="26"/>
      <c r="G183" s="26"/>
      <c r="H183" s="26"/>
      <c r="I183" s="120"/>
      <c r="J183" s="120"/>
      <c r="K183" s="120"/>
      <c r="L183" s="26"/>
      <c r="M183" s="121"/>
      <c r="N183" s="122"/>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row>
    <row r="184" spans="1:58" x14ac:dyDescent="0.2">
      <c r="A184" s="26"/>
      <c r="B184" s="119"/>
      <c r="C184" s="26"/>
      <c r="D184" s="26"/>
      <c r="E184" s="26"/>
      <c r="F184" s="26"/>
      <c r="G184" s="26"/>
      <c r="H184" s="26"/>
      <c r="I184" s="120"/>
      <c r="J184" s="120"/>
      <c r="K184" s="120"/>
      <c r="L184" s="26"/>
      <c r="M184" s="121"/>
      <c r="N184" s="122"/>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row>
    <row r="185" spans="1:58" x14ac:dyDescent="0.2">
      <c r="A185" s="26"/>
      <c r="B185" s="119"/>
      <c r="C185" s="26"/>
      <c r="D185" s="26"/>
      <c r="E185" s="26"/>
      <c r="F185" s="26"/>
      <c r="G185" s="26"/>
      <c r="H185" s="26"/>
      <c r="I185" s="120"/>
      <c r="J185" s="120"/>
      <c r="K185" s="120"/>
      <c r="L185" s="26"/>
      <c r="M185" s="121"/>
      <c r="N185" s="122"/>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row>
    <row r="186" spans="1:58" x14ac:dyDescent="0.2">
      <c r="A186" s="26"/>
      <c r="B186" s="119"/>
      <c r="C186" s="26"/>
      <c r="D186" s="26"/>
      <c r="E186" s="26"/>
      <c r="F186" s="26"/>
      <c r="G186" s="26"/>
      <c r="H186" s="26"/>
      <c r="I186" s="120"/>
      <c r="J186" s="120"/>
      <c r="K186" s="120"/>
      <c r="L186" s="26"/>
      <c r="M186" s="121"/>
      <c r="N186" s="122"/>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row>
    <row r="187" spans="1:58" x14ac:dyDescent="0.2">
      <c r="A187" s="26"/>
      <c r="B187" s="119"/>
      <c r="C187" s="26"/>
      <c r="D187" s="26"/>
      <c r="E187" s="26"/>
      <c r="F187" s="26"/>
      <c r="G187" s="26"/>
      <c r="H187" s="26"/>
      <c r="I187" s="120"/>
      <c r="J187" s="120"/>
      <c r="K187" s="120"/>
      <c r="L187" s="26"/>
      <c r="M187" s="121"/>
      <c r="N187" s="122"/>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row>
    <row r="188" spans="1:58" x14ac:dyDescent="0.2">
      <c r="A188" s="26"/>
      <c r="B188" s="119"/>
      <c r="C188" s="26"/>
      <c r="D188" s="26"/>
      <c r="E188" s="26"/>
      <c r="F188" s="26"/>
      <c r="G188" s="26"/>
      <c r="H188" s="26"/>
      <c r="I188" s="120"/>
      <c r="J188" s="120"/>
      <c r="K188" s="120"/>
      <c r="L188" s="26"/>
      <c r="M188" s="121"/>
      <c r="N188" s="122"/>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row>
    <row r="189" spans="1:58" x14ac:dyDescent="0.2">
      <c r="A189" s="26"/>
      <c r="B189" s="119"/>
      <c r="C189" s="26"/>
      <c r="D189" s="26"/>
      <c r="E189" s="26"/>
      <c r="F189" s="26"/>
      <c r="G189" s="26"/>
      <c r="H189" s="26"/>
      <c r="I189" s="120"/>
      <c r="J189" s="120"/>
      <c r="K189" s="120"/>
      <c r="L189" s="26"/>
      <c r="M189" s="121"/>
      <c r="N189" s="122"/>
      <c r="O189" s="26"/>
      <c r="P189" s="26"/>
      <c r="Q189" s="26"/>
      <c r="R189" s="26"/>
      <c r="S189" s="26"/>
      <c r="T189" s="26"/>
      <c r="U189" s="26"/>
      <c r="V189" s="26"/>
      <c r="W189" s="26"/>
      <c r="X189" s="26"/>
      <c r="Y189" s="26"/>
      <c r="Z189" s="26"/>
    </row>
    <row r="190" spans="1:58" x14ac:dyDescent="0.2">
      <c r="A190" s="26"/>
      <c r="B190" s="119"/>
      <c r="C190" s="26"/>
      <c r="D190" s="26"/>
      <c r="E190" s="26"/>
      <c r="F190" s="26"/>
      <c r="G190" s="26"/>
      <c r="H190" s="26"/>
      <c r="I190" s="120"/>
      <c r="J190" s="120"/>
      <c r="K190" s="120"/>
      <c r="L190" s="26"/>
      <c r="M190" s="121"/>
      <c r="N190" s="122"/>
      <c r="O190" s="26"/>
      <c r="P190" s="26"/>
      <c r="Q190" s="26"/>
      <c r="R190" s="26"/>
      <c r="S190" s="26"/>
      <c r="T190" s="26"/>
      <c r="U190" s="26"/>
      <c r="V190" s="26"/>
      <c r="W190" s="26"/>
      <c r="X190" s="26"/>
      <c r="Y190" s="26"/>
      <c r="Z190" s="26"/>
    </row>
    <row r="191" spans="1:58" x14ac:dyDescent="0.2">
      <c r="A191" s="26"/>
      <c r="B191" s="119"/>
      <c r="C191" s="26"/>
      <c r="D191" s="26"/>
      <c r="E191" s="26"/>
      <c r="F191" s="26"/>
      <c r="G191" s="26"/>
      <c r="H191" s="26"/>
      <c r="I191" s="120"/>
      <c r="J191" s="120"/>
      <c r="K191" s="120"/>
      <c r="L191" s="26"/>
      <c r="M191" s="121"/>
      <c r="N191" s="122"/>
      <c r="O191" s="26"/>
      <c r="P191" s="26"/>
      <c r="Q191" s="26"/>
      <c r="R191" s="26"/>
      <c r="S191" s="26"/>
      <c r="T191" s="26"/>
      <c r="U191" s="26"/>
      <c r="V191" s="26"/>
      <c r="W191" s="26"/>
      <c r="X191" s="26"/>
      <c r="Y191" s="26"/>
      <c r="Z191" s="26"/>
    </row>
    <row r="192" spans="1:58" x14ac:dyDescent="0.2">
      <c r="A192" s="26"/>
      <c r="B192" s="119"/>
      <c r="C192" s="26"/>
      <c r="D192" s="26"/>
      <c r="E192" s="26"/>
      <c r="F192" s="26"/>
      <c r="G192" s="26"/>
      <c r="H192" s="26"/>
      <c r="I192" s="120"/>
      <c r="J192" s="120"/>
      <c r="K192" s="120"/>
      <c r="L192" s="26"/>
      <c r="M192" s="121"/>
      <c r="N192" s="122"/>
      <c r="O192" s="26"/>
      <c r="P192" s="26"/>
      <c r="Q192" s="26"/>
      <c r="R192" s="26"/>
      <c r="S192" s="26"/>
      <c r="T192" s="26"/>
      <c r="U192" s="26"/>
      <c r="V192" s="26"/>
      <c r="W192" s="26"/>
      <c r="X192" s="26"/>
      <c r="Y192" s="26"/>
      <c r="Z192" s="26"/>
    </row>
    <row r="193" spans="1:26" x14ac:dyDescent="0.2">
      <c r="A193" s="26"/>
      <c r="B193" s="119"/>
      <c r="C193" s="26"/>
      <c r="D193" s="26"/>
      <c r="E193" s="26"/>
      <c r="F193" s="26"/>
      <c r="G193" s="26"/>
      <c r="H193" s="26"/>
      <c r="I193" s="120"/>
      <c r="J193" s="120"/>
      <c r="K193" s="120"/>
      <c r="L193" s="26"/>
      <c r="M193" s="121"/>
      <c r="N193" s="122"/>
      <c r="O193" s="26"/>
      <c r="P193" s="26"/>
      <c r="Q193" s="26"/>
      <c r="R193" s="26"/>
      <c r="S193" s="26"/>
      <c r="T193" s="26"/>
      <c r="U193" s="26"/>
      <c r="V193" s="26"/>
      <c r="W193" s="26"/>
      <c r="X193" s="26"/>
      <c r="Y193" s="26"/>
      <c r="Z193" s="26"/>
    </row>
    <row r="194" spans="1:26" x14ac:dyDescent="0.2">
      <c r="A194" s="26"/>
      <c r="B194" s="119"/>
      <c r="C194" s="26"/>
      <c r="D194" s="26"/>
      <c r="E194" s="26"/>
      <c r="F194" s="26"/>
      <c r="G194" s="26"/>
      <c r="H194" s="26"/>
      <c r="I194" s="120"/>
      <c r="J194" s="120"/>
      <c r="K194" s="120"/>
      <c r="L194" s="26"/>
      <c r="M194" s="121"/>
      <c r="N194" s="122"/>
      <c r="O194" s="26"/>
      <c r="P194" s="26"/>
      <c r="Q194" s="26"/>
      <c r="R194" s="26"/>
      <c r="S194" s="26"/>
      <c r="T194" s="26"/>
      <c r="U194" s="26"/>
      <c r="V194" s="26"/>
      <c r="W194" s="26"/>
      <c r="X194" s="26"/>
      <c r="Y194" s="26"/>
      <c r="Z194" s="26"/>
    </row>
    <row r="195" spans="1:26" x14ac:dyDescent="0.2">
      <c r="A195" s="26"/>
      <c r="B195" s="119"/>
      <c r="C195" s="26"/>
      <c r="D195" s="26"/>
      <c r="E195" s="26"/>
      <c r="F195" s="26"/>
      <c r="G195" s="26"/>
      <c r="H195" s="26"/>
      <c r="I195" s="120"/>
      <c r="J195" s="120"/>
      <c r="K195" s="120"/>
      <c r="L195" s="26"/>
      <c r="M195" s="121"/>
      <c r="N195" s="122"/>
      <c r="O195" s="26"/>
      <c r="P195" s="26"/>
      <c r="Q195" s="26"/>
      <c r="R195" s="26"/>
      <c r="S195" s="26"/>
      <c r="T195" s="26"/>
      <c r="U195" s="26"/>
      <c r="V195" s="26"/>
      <c r="W195" s="26"/>
      <c r="X195" s="26"/>
      <c r="Y195" s="26"/>
      <c r="Z195" s="26"/>
    </row>
    <row r="196" spans="1:26" x14ac:dyDescent="0.2">
      <c r="A196" s="26"/>
      <c r="B196" s="119"/>
      <c r="C196" s="26"/>
      <c r="D196" s="26"/>
      <c r="E196" s="26"/>
      <c r="F196" s="26"/>
      <c r="G196" s="26"/>
      <c r="H196" s="26"/>
      <c r="I196" s="120"/>
      <c r="J196" s="120"/>
      <c r="K196" s="120"/>
      <c r="L196" s="26"/>
      <c r="M196" s="121"/>
      <c r="N196" s="122"/>
      <c r="O196" s="26"/>
      <c r="P196" s="26"/>
      <c r="Q196" s="26"/>
      <c r="R196" s="26"/>
      <c r="S196" s="26"/>
      <c r="T196" s="26"/>
      <c r="U196" s="26"/>
      <c r="V196" s="26"/>
      <c r="W196" s="26"/>
      <c r="X196" s="26"/>
      <c r="Y196" s="26"/>
      <c r="Z196" s="26"/>
    </row>
    <row r="197" spans="1:26" x14ac:dyDescent="0.2">
      <c r="A197" s="26"/>
      <c r="B197" s="119"/>
      <c r="C197" s="26"/>
      <c r="D197" s="26"/>
      <c r="E197" s="26"/>
      <c r="F197" s="26"/>
      <c r="G197" s="26"/>
      <c r="H197" s="26"/>
      <c r="I197" s="120"/>
      <c r="J197" s="120"/>
      <c r="K197" s="120"/>
      <c r="L197" s="26"/>
      <c r="M197" s="121"/>
      <c r="N197" s="122"/>
      <c r="O197" s="26"/>
      <c r="P197" s="26"/>
      <c r="Q197" s="26"/>
      <c r="R197" s="26"/>
      <c r="S197" s="26"/>
      <c r="T197" s="26"/>
      <c r="U197" s="26"/>
      <c r="V197" s="26"/>
      <c r="W197" s="26"/>
      <c r="X197" s="26"/>
      <c r="Y197" s="26"/>
      <c r="Z197" s="26"/>
    </row>
    <row r="198" spans="1:26" x14ac:dyDescent="0.2">
      <c r="A198" s="26"/>
      <c r="B198" s="119"/>
      <c r="C198" s="26"/>
      <c r="D198" s="26"/>
      <c r="E198" s="26"/>
      <c r="F198" s="26"/>
      <c r="G198" s="26"/>
      <c r="H198" s="26"/>
      <c r="I198" s="120"/>
      <c r="J198" s="120"/>
      <c r="K198" s="120"/>
      <c r="L198" s="26"/>
      <c r="M198" s="121"/>
      <c r="N198" s="122"/>
      <c r="O198" s="26"/>
      <c r="P198" s="26"/>
      <c r="Q198" s="26"/>
      <c r="R198" s="26"/>
      <c r="S198" s="26"/>
      <c r="T198" s="26"/>
      <c r="U198" s="26"/>
      <c r="V198" s="26"/>
      <c r="W198" s="26"/>
      <c r="X198" s="26"/>
      <c r="Y198" s="26"/>
      <c r="Z198" s="26"/>
    </row>
    <row r="199" spans="1:26" x14ac:dyDescent="0.2">
      <c r="A199" s="26"/>
      <c r="B199" s="119"/>
      <c r="C199" s="26"/>
      <c r="D199" s="26"/>
      <c r="E199" s="26"/>
      <c r="F199" s="26"/>
      <c r="G199" s="26"/>
      <c r="H199" s="26"/>
      <c r="I199" s="120"/>
      <c r="J199" s="120"/>
      <c r="K199" s="120"/>
      <c r="L199" s="26"/>
      <c r="M199" s="121"/>
      <c r="N199" s="122"/>
      <c r="O199" s="26"/>
      <c r="P199" s="26"/>
      <c r="Q199" s="26"/>
      <c r="R199" s="26"/>
      <c r="S199" s="26"/>
      <c r="T199" s="26"/>
      <c r="U199" s="26"/>
      <c r="V199" s="26"/>
      <c r="W199" s="26"/>
      <c r="X199" s="26"/>
      <c r="Y199" s="26"/>
      <c r="Z199" s="26"/>
    </row>
    <row r="200" spans="1:26" x14ac:dyDescent="0.2">
      <c r="A200" s="26"/>
      <c r="B200" s="119"/>
      <c r="C200" s="26"/>
      <c r="D200" s="26"/>
      <c r="E200" s="26"/>
      <c r="F200" s="26"/>
      <c r="G200" s="26"/>
      <c r="H200" s="26"/>
      <c r="I200" s="120"/>
      <c r="J200" s="120"/>
      <c r="K200" s="120"/>
      <c r="L200" s="26"/>
      <c r="M200" s="121"/>
      <c r="N200" s="122"/>
      <c r="O200" s="26"/>
      <c r="P200" s="26"/>
      <c r="Q200" s="26"/>
      <c r="R200" s="26"/>
      <c r="S200" s="26"/>
      <c r="T200" s="26"/>
      <c r="U200" s="26"/>
      <c r="V200" s="26"/>
      <c r="W200" s="26"/>
      <c r="X200" s="26"/>
      <c r="Y200" s="26"/>
      <c r="Z200" s="26"/>
    </row>
    <row r="201" spans="1:26" x14ac:dyDescent="0.2">
      <c r="A201" s="26"/>
      <c r="B201" s="119"/>
      <c r="C201" s="26"/>
      <c r="D201" s="26"/>
      <c r="E201" s="26"/>
      <c r="F201" s="26"/>
      <c r="G201" s="26"/>
      <c r="H201" s="26"/>
      <c r="I201" s="120"/>
      <c r="J201" s="120"/>
      <c r="K201" s="120"/>
      <c r="L201" s="26"/>
      <c r="M201" s="121"/>
      <c r="N201" s="122"/>
      <c r="O201" s="26"/>
      <c r="P201" s="26"/>
      <c r="Q201" s="26"/>
      <c r="R201" s="26"/>
      <c r="S201" s="26"/>
      <c r="T201" s="26"/>
      <c r="U201" s="26"/>
      <c r="V201" s="26"/>
      <c r="W201" s="26"/>
      <c r="X201" s="26"/>
      <c r="Y201" s="26"/>
      <c r="Z201" s="26"/>
    </row>
    <row r="202" spans="1:26" x14ac:dyDescent="0.2">
      <c r="A202" s="26"/>
      <c r="B202" s="119"/>
      <c r="C202" s="26"/>
      <c r="D202" s="26"/>
      <c r="E202" s="26"/>
      <c r="F202" s="26"/>
      <c r="G202" s="26"/>
      <c r="H202" s="26"/>
      <c r="I202" s="120"/>
      <c r="J202" s="120"/>
      <c r="K202" s="120"/>
      <c r="L202" s="26"/>
      <c r="M202" s="121"/>
      <c r="N202" s="122"/>
      <c r="O202" s="26"/>
      <c r="P202" s="26"/>
      <c r="Q202" s="26"/>
      <c r="R202" s="26"/>
      <c r="S202" s="26"/>
      <c r="T202" s="26"/>
      <c r="U202" s="26"/>
      <c r="V202" s="26"/>
      <c r="W202" s="26"/>
      <c r="X202" s="26"/>
      <c r="Y202" s="26"/>
      <c r="Z202" s="26"/>
    </row>
    <row r="203" spans="1:26" x14ac:dyDescent="0.2">
      <c r="A203" s="26"/>
      <c r="B203" s="119"/>
      <c r="C203" s="26"/>
      <c r="D203" s="26"/>
      <c r="E203" s="26"/>
      <c r="F203" s="26"/>
      <c r="G203" s="26"/>
      <c r="H203" s="26"/>
      <c r="I203" s="120"/>
      <c r="J203" s="120"/>
      <c r="K203" s="120"/>
      <c r="L203" s="26"/>
      <c r="M203" s="121"/>
      <c r="N203" s="122"/>
      <c r="O203" s="26"/>
      <c r="P203" s="26"/>
      <c r="Q203" s="26"/>
      <c r="R203" s="26"/>
      <c r="S203" s="26"/>
      <c r="T203" s="26"/>
      <c r="U203" s="26"/>
      <c r="V203" s="26"/>
      <c r="W203" s="26"/>
      <c r="X203" s="26"/>
      <c r="Y203" s="26"/>
      <c r="Z203" s="26"/>
    </row>
    <row r="204" spans="1:26" x14ac:dyDescent="0.2">
      <c r="A204" s="26"/>
      <c r="B204" s="119"/>
      <c r="C204" s="26"/>
      <c r="D204" s="26"/>
      <c r="E204" s="26"/>
      <c r="F204" s="26"/>
      <c r="G204" s="26"/>
      <c r="H204" s="26"/>
      <c r="I204" s="120"/>
      <c r="J204" s="120"/>
      <c r="K204" s="120"/>
      <c r="L204" s="26"/>
      <c r="M204" s="121"/>
      <c r="N204" s="122"/>
      <c r="O204" s="26"/>
      <c r="P204" s="26"/>
      <c r="Q204" s="26"/>
      <c r="R204" s="26"/>
      <c r="S204" s="26"/>
      <c r="T204" s="26"/>
      <c r="U204" s="26"/>
      <c r="V204" s="26"/>
      <c r="W204" s="26"/>
      <c r="X204" s="26"/>
      <c r="Y204" s="26"/>
      <c r="Z204" s="26"/>
    </row>
    <row r="205" spans="1:26" x14ac:dyDescent="0.2">
      <c r="A205" s="26"/>
      <c r="B205" s="119"/>
      <c r="C205" s="26"/>
      <c r="D205" s="26"/>
      <c r="E205" s="26"/>
      <c r="F205" s="26"/>
      <c r="G205" s="26"/>
      <c r="H205" s="26"/>
      <c r="I205" s="120"/>
      <c r="J205" s="120"/>
      <c r="K205" s="120"/>
      <c r="L205" s="26"/>
      <c r="M205" s="121"/>
      <c r="N205" s="122"/>
      <c r="O205" s="26"/>
      <c r="P205" s="26"/>
      <c r="Q205" s="26"/>
      <c r="R205" s="26"/>
      <c r="S205" s="26"/>
      <c r="T205" s="26"/>
      <c r="U205" s="26"/>
      <c r="V205" s="26"/>
      <c r="W205" s="26"/>
      <c r="X205" s="26"/>
      <c r="Y205" s="26"/>
      <c r="Z205" s="26"/>
    </row>
    <row r="206" spans="1:26" x14ac:dyDescent="0.2">
      <c r="A206" s="26"/>
      <c r="B206" s="119"/>
      <c r="C206" s="26"/>
      <c r="D206" s="26"/>
      <c r="E206" s="26"/>
      <c r="F206" s="26"/>
      <c r="G206" s="26"/>
      <c r="H206" s="26"/>
      <c r="I206" s="120"/>
      <c r="J206" s="120"/>
      <c r="K206" s="120"/>
      <c r="L206" s="26"/>
      <c r="M206" s="121"/>
      <c r="N206" s="122"/>
      <c r="O206" s="26"/>
      <c r="P206" s="26"/>
      <c r="Q206" s="26"/>
      <c r="R206" s="26"/>
      <c r="S206" s="26"/>
      <c r="T206" s="26"/>
      <c r="U206" s="26"/>
      <c r="V206" s="26"/>
      <c r="W206" s="26"/>
      <c r="X206" s="26"/>
      <c r="Y206" s="26"/>
      <c r="Z206" s="26"/>
    </row>
    <row r="207" spans="1:26" x14ac:dyDescent="0.2">
      <c r="A207" s="26"/>
      <c r="B207" s="119"/>
      <c r="C207" s="26"/>
      <c r="D207" s="26"/>
      <c r="E207" s="26"/>
      <c r="F207" s="26"/>
      <c r="G207" s="26"/>
      <c r="H207" s="26"/>
      <c r="I207" s="120"/>
      <c r="J207" s="120"/>
      <c r="K207" s="120"/>
      <c r="L207" s="26"/>
      <c r="M207" s="121"/>
      <c r="N207" s="122"/>
      <c r="O207" s="26"/>
      <c r="P207" s="26"/>
      <c r="Q207" s="26"/>
      <c r="R207" s="26"/>
      <c r="S207" s="26"/>
      <c r="T207" s="26"/>
      <c r="U207" s="26"/>
      <c r="V207" s="26"/>
      <c r="W207" s="26"/>
      <c r="X207" s="26"/>
      <c r="Y207" s="26"/>
      <c r="Z207" s="26"/>
    </row>
    <row r="208" spans="1:26" x14ac:dyDescent="0.2">
      <c r="A208" s="26"/>
      <c r="B208" s="119"/>
      <c r="C208" s="26"/>
      <c r="D208" s="26"/>
      <c r="E208" s="26"/>
      <c r="F208" s="26"/>
      <c r="G208" s="26"/>
      <c r="H208" s="26"/>
      <c r="I208" s="120"/>
      <c r="J208" s="120"/>
      <c r="K208" s="120"/>
      <c r="L208" s="26"/>
      <c r="M208" s="121"/>
      <c r="N208" s="122"/>
      <c r="O208" s="26"/>
      <c r="P208" s="26"/>
      <c r="Q208" s="26"/>
      <c r="R208" s="26"/>
      <c r="S208" s="26"/>
      <c r="T208" s="26"/>
      <c r="U208" s="26"/>
      <c r="V208" s="26"/>
      <c r="W208" s="26"/>
      <c r="X208" s="26"/>
      <c r="Y208" s="26"/>
      <c r="Z208" s="26"/>
    </row>
    <row r="209" spans="1:26" x14ac:dyDescent="0.2">
      <c r="A209" s="26"/>
      <c r="B209" s="119"/>
      <c r="C209" s="26"/>
      <c r="D209" s="26"/>
      <c r="E209" s="26"/>
      <c r="F209" s="26"/>
      <c r="G209" s="26"/>
      <c r="H209" s="26"/>
      <c r="I209" s="120"/>
      <c r="J209" s="120"/>
      <c r="K209" s="120"/>
      <c r="L209" s="26"/>
      <c r="M209" s="121"/>
      <c r="N209" s="122"/>
      <c r="O209" s="26"/>
      <c r="P209" s="26"/>
      <c r="Q209" s="26"/>
      <c r="R209" s="26"/>
      <c r="S209" s="26"/>
      <c r="T209" s="26"/>
      <c r="U209" s="26"/>
      <c r="V209" s="26"/>
      <c r="W209" s="26"/>
      <c r="X209" s="26"/>
      <c r="Y209" s="26"/>
      <c r="Z209" s="26"/>
    </row>
    <row r="210" spans="1:26" x14ac:dyDescent="0.2">
      <c r="A210" s="26"/>
      <c r="B210" s="119"/>
      <c r="C210" s="26"/>
      <c r="D210" s="26"/>
      <c r="E210" s="26"/>
      <c r="F210" s="26"/>
      <c r="G210" s="26"/>
      <c r="H210" s="26"/>
      <c r="I210" s="120"/>
      <c r="J210" s="120"/>
      <c r="K210" s="120"/>
      <c r="L210" s="26"/>
      <c r="M210" s="121"/>
      <c r="N210" s="122"/>
      <c r="O210" s="26"/>
      <c r="P210" s="26"/>
      <c r="Q210" s="26"/>
      <c r="R210" s="26"/>
      <c r="S210" s="26"/>
      <c r="T210" s="26"/>
      <c r="U210" s="26"/>
      <c r="V210" s="26"/>
      <c r="W210" s="26"/>
      <c r="X210" s="26"/>
      <c r="Y210" s="26"/>
      <c r="Z210" s="26"/>
    </row>
    <row r="211" spans="1:26" x14ac:dyDescent="0.2">
      <c r="A211" s="26"/>
      <c r="B211" s="119"/>
      <c r="C211" s="26"/>
      <c r="D211" s="26"/>
      <c r="E211" s="26"/>
      <c r="F211" s="26"/>
      <c r="G211" s="26"/>
      <c r="H211" s="26"/>
      <c r="I211" s="120"/>
      <c r="J211" s="120"/>
      <c r="K211" s="120"/>
      <c r="L211" s="26"/>
      <c r="M211" s="121"/>
      <c r="N211" s="122"/>
      <c r="O211" s="26"/>
      <c r="P211" s="26"/>
      <c r="Q211" s="26"/>
      <c r="R211" s="26"/>
      <c r="S211" s="26"/>
      <c r="T211" s="26"/>
      <c r="U211" s="26"/>
      <c r="V211" s="26"/>
      <c r="W211" s="26"/>
      <c r="X211" s="26"/>
      <c r="Y211" s="26"/>
      <c r="Z211" s="26"/>
    </row>
    <row r="212" spans="1:26" x14ac:dyDescent="0.2">
      <c r="A212" s="26"/>
      <c r="B212" s="119"/>
      <c r="C212" s="26"/>
      <c r="D212" s="26"/>
      <c r="E212" s="26"/>
      <c r="F212" s="26"/>
      <c r="G212" s="26"/>
      <c r="H212" s="26"/>
      <c r="I212" s="120"/>
      <c r="J212" s="120"/>
      <c r="K212" s="120"/>
      <c r="L212" s="26"/>
      <c r="M212" s="121"/>
      <c r="N212" s="122"/>
      <c r="O212" s="26"/>
      <c r="P212" s="26"/>
      <c r="Q212" s="26"/>
      <c r="R212" s="26"/>
      <c r="S212" s="26"/>
      <c r="T212" s="26"/>
      <c r="U212" s="26"/>
      <c r="V212" s="26"/>
      <c r="W212" s="26"/>
      <c r="X212" s="26"/>
      <c r="Y212" s="26"/>
      <c r="Z212" s="26"/>
    </row>
    <row r="213" spans="1:26" x14ac:dyDescent="0.2">
      <c r="A213" s="26"/>
      <c r="B213" s="119"/>
      <c r="C213" s="26"/>
      <c r="D213" s="26"/>
      <c r="E213" s="26"/>
      <c r="F213" s="26"/>
      <c r="G213" s="26"/>
      <c r="H213" s="26"/>
      <c r="I213" s="120"/>
      <c r="J213" s="120"/>
      <c r="K213" s="120"/>
      <c r="L213" s="26"/>
      <c r="M213" s="121"/>
      <c r="N213" s="122"/>
      <c r="O213" s="26"/>
      <c r="P213" s="26"/>
      <c r="Q213" s="26"/>
      <c r="R213" s="26"/>
      <c r="S213" s="26"/>
      <c r="T213" s="26"/>
      <c r="U213" s="26"/>
      <c r="V213" s="26"/>
      <c r="W213" s="26"/>
      <c r="X213" s="26"/>
      <c r="Y213" s="26"/>
      <c r="Z213" s="26"/>
    </row>
    <row r="214" spans="1:26" x14ac:dyDescent="0.2">
      <c r="A214" s="26"/>
      <c r="B214" s="119"/>
      <c r="C214" s="26"/>
      <c r="D214" s="26"/>
      <c r="E214" s="26"/>
      <c r="F214" s="26"/>
      <c r="G214" s="26"/>
      <c r="H214" s="26"/>
      <c r="I214" s="120"/>
      <c r="J214" s="120"/>
      <c r="K214" s="120"/>
      <c r="L214" s="26"/>
      <c r="M214" s="121"/>
      <c r="N214" s="122"/>
      <c r="O214" s="26"/>
      <c r="P214" s="26"/>
      <c r="Q214" s="26"/>
      <c r="R214" s="26"/>
      <c r="S214" s="26"/>
      <c r="T214" s="26"/>
      <c r="U214" s="26"/>
      <c r="V214" s="26"/>
      <c r="W214" s="26"/>
      <c r="X214" s="26"/>
      <c r="Y214" s="26"/>
      <c r="Z214" s="26"/>
    </row>
    <row r="215" spans="1:26" x14ac:dyDescent="0.2">
      <c r="A215" s="26"/>
      <c r="B215" s="119"/>
      <c r="C215" s="26"/>
      <c r="D215" s="26"/>
      <c r="E215" s="26"/>
      <c r="F215" s="26"/>
      <c r="G215" s="26"/>
      <c r="H215" s="26"/>
      <c r="I215" s="120"/>
      <c r="J215" s="120"/>
      <c r="K215" s="120"/>
      <c r="L215" s="26"/>
      <c r="M215" s="121"/>
      <c r="N215" s="122"/>
      <c r="O215" s="26"/>
      <c r="P215" s="26"/>
      <c r="Q215" s="26"/>
      <c r="R215" s="26"/>
      <c r="S215" s="26"/>
      <c r="T215" s="26"/>
      <c r="U215" s="26"/>
      <c r="V215" s="26"/>
      <c r="W215" s="26"/>
      <c r="X215" s="26"/>
      <c r="Y215" s="26"/>
      <c r="Z215" s="26"/>
    </row>
    <row r="216" spans="1:26" x14ac:dyDescent="0.2">
      <c r="A216" s="26"/>
      <c r="B216" s="119"/>
      <c r="C216" s="26"/>
      <c r="D216" s="26"/>
      <c r="E216" s="26"/>
      <c r="F216" s="26"/>
      <c r="G216" s="26"/>
      <c r="H216" s="26"/>
      <c r="I216" s="120"/>
      <c r="J216" s="120"/>
      <c r="K216" s="120"/>
      <c r="L216" s="26"/>
      <c r="M216" s="121"/>
      <c r="N216" s="122"/>
      <c r="O216" s="26"/>
      <c r="P216" s="26"/>
      <c r="Q216" s="26"/>
      <c r="R216" s="26"/>
      <c r="S216" s="26"/>
      <c r="T216" s="26"/>
      <c r="U216" s="26"/>
      <c r="V216" s="26"/>
      <c r="W216" s="26"/>
      <c r="X216" s="26"/>
      <c r="Y216" s="26"/>
      <c r="Z216" s="26"/>
    </row>
    <row r="217" spans="1:26" x14ac:dyDescent="0.2">
      <c r="A217" s="26"/>
      <c r="B217" s="119"/>
      <c r="C217" s="26"/>
      <c r="D217" s="26"/>
      <c r="E217" s="26"/>
      <c r="F217" s="26"/>
      <c r="G217" s="26"/>
      <c r="H217" s="26"/>
      <c r="I217" s="120"/>
      <c r="J217" s="120"/>
      <c r="K217" s="120"/>
      <c r="L217" s="26"/>
      <c r="M217" s="121"/>
      <c r="N217" s="122"/>
      <c r="O217" s="26"/>
      <c r="P217" s="26"/>
      <c r="Q217" s="26"/>
      <c r="R217" s="26"/>
      <c r="S217" s="26"/>
      <c r="T217" s="26"/>
      <c r="U217" s="26"/>
      <c r="V217" s="26"/>
      <c r="W217" s="26"/>
      <c r="X217" s="26"/>
      <c r="Y217" s="26"/>
      <c r="Z217" s="26"/>
    </row>
    <row r="218" spans="1:26" x14ac:dyDescent="0.2">
      <c r="A218" s="26"/>
      <c r="B218" s="119"/>
      <c r="C218" s="26"/>
      <c r="D218" s="26"/>
      <c r="E218" s="26"/>
      <c r="F218" s="26"/>
      <c r="G218" s="26"/>
      <c r="H218" s="26"/>
      <c r="I218" s="120"/>
      <c r="J218" s="120"/>
      <c r="K218" s="120"/>
      <c r="L218" s="26"/>
      <c r="M218" s="121"/>
      <c r="N218" s="122"/>
      <c r="O218" s="26"/>
      <c r="P218" s="26"/>
      <c r="Q218" s="26"/>
      <c r="R218" s="26"/>
      <c r="S218" s="26"/>
      <c r="T218" s="26"/>
      <c r="U218" s="26"/>
      <c r="V218" s="26"/>
      <c r="W218" s="26"/>
      <c r="X218" s="26"/>
      <c r="Y218" s="26"/>
      <c r="Z218" s="26"/>
    </row>
    <row r="219" spans="1:26" x14ac:dyDescent="0.2">
      <c r="A219" s="26"/>
      <c r="B219" s="119"/>
      <c r="C219" s="26"/>
      <c r="D219" s="26"/>
      <c r="E219" s="26"/>
      <c r="F219" s="26"/>
      <c r="G219" s="26"/>
      <c r="H219" s="26"/>
      <c r="I219" s="120"/>
      <c r="J219" s="120"/>
      <c r="K219" s="120"/>
      <c r="L219" s="26"/>
      <c r="M219" s="121"/>
      <c r="N219" s="122"/>
      <c r="O219" s="26"/>
      <c r="P219" s="26"/>
      <c r="Q219" s="26"/>
      <c r="R219" s="26"/>
      <c r="S219" s="26"/>
      <c r="T219" s="26"/>
      <c r="U219" s="26"/>
      <c r="V219" s="26"/>
      <c r="W219" s="26"/>
      <c r="X219" s="26"/>
      <c r="Y219" s="26"/>
      <c r="Z219" s="26"/>
    </row>
    <row r="220" spans="1:26" x14ac:dyDescent="0.2">
      <c r="A220" s="26"/>
      <c r="B220" s="119"/>
      <c r="C220" s="26"/>
      <c r="D220" s="26"/>
      <c r="E220" s="26"/>
      <c r="F220" s="26"/>
      <c r="G220" s="26"/>
      <c r="H220" s="26"/>
      <c r="I220" s="120"/>
      <c r="J220" s="120"/>
      <c r="K220" s="120"/>
      <c r="L220" s="26"/>
      <c r="M220" s="121"/>
      <c r="N220" s="122"/>
      <c r="O220" s="26"/>
      <c r="P220" s="26"/>
      <c r="Q220" s="26"/>
      <c r="R220" s="26"/>
      <c r="S220" s="26"/>
      <c r="T220" s="26"/>
      <c r="U220" s="26"/>
      <c r="V220" s="26"/>
      <c r="W220" s="26"/>
      <c r="X220" s="26"/>
      <c r="Y220" s="26"/>
      <c r="Z220" s="26"/>
    </row>
    <row r="221" spans="1:26" x14ac:dyDescent="0.2">
      <c r="A221" s="26"/>
      <c r="B221" s="119"/>
      <c r="C221" s="26"/>
      <c r="D221" s="26"/>
      <c r="E221" s="26"/>
      <c r="F221" s="26"/>
      <c r="G221" s="26"/>
      <c r="H221" s="26"/>
      <c r="I221" s="120"/>
      <c r="J221" s="120"/>
      <c r="K221" s="120"/>
      <c r="L221" s="26"/>
      <c r="M221" s="121"/>
      <c r="N221" s="122"/>
      <c r="O221" s="26"/>
      <c r="P221" s="26"/>
      <c r="Q221" s="26"/>
      <c r="R221" s="26"/>
      <c r="S221" s="26"/>
      <c r="T221" s="26"/>
      <c r="U221" s="26"/>
      <c r="V221" s="26"/>
      <c r="W221" s="26"/>
      <c r="X221" s="26"/>
      <c r="Y221" s="26"/>
      <c r="Z221" s="26"/>
    </row>
    <row r="222" spans="1:26" x14ac:dyDescent="0.2">
      <c r="A222" s="26"/>
      <c r="B222" s="119"/>
      <c r="C222" s="26"/>
      <c r="D222" s="26"/>
      <c r="E222" s="26"/>
      <c r="F222" s="26"/>
      <c r="G222" s="26"/>
      <c r="H222" s="26"/>
      <c r="I222" s="120"/>
      <c r="J222" s="120"/>
      <c r="K222" s="120"/>
      <c r="L222" s="26"/>
      <c r="M222" s="121"/>
      <c r="N222" s="122"/>
      <c r="O222" s="26"/>
      <c r="P222" s="26"/>
      <c r="Q222" s="26"/>
      <c r="R222" s="26"/>
      <c r="S222" s="26"/>
      <c r="T222" s="26"/>
      <c r="U222" s="26"/>
      <c r="V222" s="26"/>
      <c r="W222" s="26"/>
      <c r="X222" s="26"/>
      <c r="Y222" s="26"/>
      <c r="Z222" s="26"/>
    </row>
    <row r="223" spans="1:26" x14ac:dyDescent="0.2">
      <c r="A223" s="26"/>
      <c r="B223" s="119"/>
      <c r="C223" s="26"/>
      <c r="D223" s="26"/>
      <c r="E223" s="26"/>
      <c r="F223" s="26"/>
      <c r="G223" s="26"/>
      <c r="H223" s="26"/>
      <c r="I223" s="120"/>
      <c r="J223" s="120"/>
      <c r="K223" s="120"/>
      <c r="L223" s="26"/>
      <c r="M223" s="121"/>
      <c r="N223" s="122"/>
      <c r="O223" s="26"/>
      <c r="P223" s="26"/>
      <c r="Q223" s="26"/>
      <c r="R223" s="26"/>
      <c r="S223" s="26"/>
      <c r="T223" s="26"/>
      <c r="U223" s="26"/>
      <c r="V223" s="26"/>
      <c r="W223" s="26"/>
      <c r="X223" s="26"/>
      <c r="Y223" s="26"/>
      <c r="Z223" s="26"/>
    </row>
    <row r="224" spans="1:26" x14ac:dyDescent="0.2">
      <c r="A224" s="26"/>
      <c r="B224" s="119"/>
      <c r="C224" s="26"/>
      <c r="D224" s="26"/>
      <c r="E224" s="26"/>
      <c r="F224" s="26"/>
      <c r="G224" s="26"/>
      <c r="H224" s="26"/>
      <c r="I224" s="120"/>
      <c r="J224" s="120"/>
      <c r="K224" s="120"/>
      <c r="L224" s="26"/>
      <c r="M224" s="121"/>
      <c r="N224" s="122"/>
      <c r="O224" s="26"/>
      <c r="P224" s="26"/>
      <c r="Q224" s="26"/>
      <c r="R224" s="26"/>
      <c r="S224" s="26"/>
      <c r="T224" s="26"/>
      <c r="U224" s="26"/>
      <c r="V224" s="26"/>
      <c r="W224" s="26"/>
      <c r="X224" s="26"/>
      <c r="Y224" s="26"/>
      <c r="Z224" s="26"/>
    </row>
    <row r="225" spans="1:26" x14ac:dyDescent="0.2">
      <c r="A225" s="26"/>
      <c r="B225" s="119"/>
      <c r="C225" s="26"/>
      <c r="D225" s="26"/>
      <c r="E225" s="26"/>
      <c r="F225" s="26"/>
      <c r="G225" s="26"/>
      <c r="H225" s="26"/>
      <c r="I225" s="120"/>
      <c r="J225" s="120"/>
      <c r="K225" s="120"/>
      <c r="L225" s="26"/>
      <c r="M225" s="121"/>
      <c r="N225" s="122"/>
      <c r="O225" s="26"/>
      <c r="P225" s="26"/>
      <c r="Q225" s="26"/>
      <c r="R225" s="26"/>
      <c r="S225" s="26"/>
      <c r="T225" s="26"/>
      <c r="U225" s="26"/>
      <c r="V225" s="26"/>
      <c r="W225" s="26"/>
      <c r="X225" s="26"/>
      <c r="Y225" s="26"/>
      <c r="Z225" s="26"/>
    </row>
    <row r="226" spans="1:26" x14ac:dyDescent="0.2">
      <c r="A226" s="26"/>
      <c r="B226" s="119"/>
      <c r="C226" s="26"/>
      <c r="D226" s="26"/>
      <c r="E226" s="26"/>
      <c r="F226" s="26"/>
      <c r="G226" s="26"/>
      <c r="H226" s="26"/>
      <c r="I226" s="120"/>
      <c r="J226" s="120"/>
      <c r="K226" s="120"/>
      <c r="L226" s="26"/>
      <c r="M226" s="121"/>
      <c r="N226" s="122"/>
      <c r="O226" s="26"/>
      <c r="P226" s="26"/>
      <c r="Q226" s="26"/>
      <c r="R226" s="26"/>
      <c r="S226" s="26"/>
      <c r="T226" s="26"/>
      <c r="U226" s="26"/>
      <c r="V226" s="26"/>
      <c r="W226" s="26"/>
      <c r="X226" s="26"/>
      <c r="Y226" s="26"/>
      <c r="Z226" s="26"/>
    </row>
    <row r="227" spans="1:26" x14ac:dyDescent="0.2">
      <c r="A227" s="26"/>
      <c r="B227" s="119"/>
      <c r="C227" s="26"/>
      <c r="D227" s="26"/>
      <c r="E227" s="26"/>
      <c r="F227" s="26"/>
      <c r="G227" s="26"/>
      <c r="H227" s="26"/>
      <c r="I227" s="120"/>
      <c r="J227" s="120"/>
      <c r="K227" s="120"/>
      <c r="L227" s="26"/>
      <c r="M227" s="121"/>
      <c r="N227" s="122"/>
      <c r="O227" s="26"/>
      <c r="P227" s="26"/>
      <c r="Q227" s="26"/>
      <c r="R227" s="26"/>
      <c r="S227" s="26"/>
      <c r="T227" s="26"/>
      <c r="U227" s="26"/>
      <c r="V227" s="26"/>
      <c r="W227" s="26"/>
      <c r="X227" s="26"/>
      <c r="Y227" s="26"/>
      <c r="Z227" s="26"/>
    </row>
    <row r="228" spans="1:26" x14ac:dyDescent="0.2">
      <c r="A228" s="26"/>
      <c r="B228" s="119"/>
      <c r="C228" s="26"/>
      <c r="D228" s="26"/>
      <c r="E228" s="26"/>
      <c r="F228" s="26"/>
      <c r="G228" s="26"/>
      <c r="H228" s="26"/>
      <c r="I228" s="120"/>
      <c r="J228" s="120"/>
      <c r="K228" s="120"/>
      <c r="L228" s="26"/>
      <c r="M228" s="121"/>
      <c r="N228" s="122"/>
      <c r="O228" s="26"/>
      <c r="P228" s="26"/>
      <c r="Q228" s="26"/>
      <c r="R228" s="26"/>
      <c r="S228" s="26"/>
      <c r="T228" s="26"/>
      <c r="U228" s="26"/>
      <c r="V228" s="26"/>
      <c r="W228" s="26"/>
      <c r="X228" s="26"/>
      <c r="Y228" s="26"/>
      <c r="Z228" s="26"/>
    </row>
    <row r="229" spans="1:26" x14ac:dyDescent="0.2">
      <c r="A229" s="26"/>
      <c r="B229" s="119"/>
      <c r="C229" s="26"/>
      <c r="D229" s="26"/>
      <c r="E229" s="26"/>
      <c r="F229" s="26"/>
      <c r="G229" s="26"/>
      <c r="H229" s="26"/>
      <c r="I229" s="120"/>
      <c r="J229" s="120"/>
      <c r="K229" s="120"/>
      <c r="L229" s="26"/>
      <c r="M229" s="121"/>
      <c r="N229" s="122"/>
      <c r="O229" s="26"/>
      <c r="P229" s="26"/>
      <c r="Q229" s="26"/>
      <c r="R229" s="26"/>
      <c r="S229" s="26"/>
      <c r="T229" s="26"/>
      <c r="U229" s="26"/>
      <c r="V229" s="26"/>
      <c r="W229" s="26"/>
      <c r="X229" s="26"/>
      <c r="Y229" s="26"/>
      <c r="Z229" s="26"/>
    </row>
    <row r="230" spans="1:26" x14ac:dyDescent="0.2">
      <c r="A230" s="26"/>
      <c r="B230" s="119"/>
      <c r="C230" s="26"/>
      <c r="D230" s="26"/>
      <c r="E230" s="26"/>
      <c r="F230" s="26"/>
      <c r="G230" s="26"/>
      <c r="H230" s="26"/>
      <c r="I230" s="120"/>
      <c r="J230" s="120"/>
      <c r="K230" s="120"/>
      <c r="L230" s="26"/>
      <c r="M230" s="121"/>
      <c r="N230" s="122"/>
      <c r="O230" s="26"/>
      <c r="P230" s="26"/>
      <c r="Q230" s="26"/>
      <c r="R230" s="26"/>
      <c r="S230" s="26"/>
      <c r="T230" s="26"/>
      <c r="U230" s="26"/>
      <c r="V230" s="26"/>
      <c r="W230" s="26"/>
      <c r="X230" s="26"/>
      <c r="Y230" s="26"/>
      <c r="Z230" s="26"/>
    </row>
    <row r="231" spans="1:26" x14ac:dyDescent="0.2">
      <c r="A231" s="26"/>
      <c r="B231" s="119"/>
      <c r="C231" s="26"/>
      <c r="D231" s="26"/>
      <c r="E231" s="26"/>
      <c r="F231" s="26"/>
      <c r="G231" s="26"/>
      <c r="H231" s="26"/>
      <c r="I231" s="120"/>
      <c r="J231" s="120"/>
      <c r="K231" s="120"/>
      <c r="L231" s="26"/>
      <c r="M231" s="121"/>
      <c r="N231" s="122"/>
      <c r="O231" s="26"/>
      <c r="P231" s="26"/>
      <c r="Q231" s="26"/>
      <c r="R231" s="26"/>
      <c r="S231" s="26"/>
      <c r="T231" s="26"/>
      <c r="U231" s="26"/>
      <c r="V231" s="26"/>
      <c r="W231" s="26"/>
      <c r="X231" s="26"/>
      <c r="Y231" s="26"/>
      <c r="Z231" s="26"/>
    </row>
    <row r="232" spans="1:26" x14ac:dyDescent="0.2">
      <c r="A232" s="26"/>
      <c r="B232" s="119"/>
      <c r="C232" s="26"/>
      <c r="D232" s="26"/>
      <c r="E232" s="26"/>
      <c r="F232" s="26"/>
      <c r="G232" s="26"/>
      <c r="H232" s="26"/>
      <c r="I232" s="120"/>
      <c r="J232" s="120"/>
      <c r="K232" s="120"/>
      <c r="L232" s="26"/>
      <c r="M232" s="121"/>
      <c r="N232" s="122"/>
      <c r="O232" s="26"/>
      <c r="P232" s="26"/>
      <c r="Q232" s="26"/>
      <c r="R232" s="26"/>
      <c r="S232" s="26"/>
      <c r="T232" s="26"/>
      <c r="U232" s="26"/>
      <c r="V232" s="26"/>
      <c r="W232" s="26"/>
      <c r="X232" s="26"/>
      <c r="Y232" s="26"/>
      <c r="Z232" s="26"/>
    </row>
    <row r="233" spans="1:26" x14ac:dyDescent="0.2">
      <c r="A233" s="26"/>
      <c r="B233" s="119"/>
      <c r="C233" s="26"/>
      <c r="D233" s="26"/>
      <c r="E233" s="26"/>
      <c r="F233" s="26"/>
      <c r="G233" s="26"/>
      <c r="H233" s="26"/>
      <c r="I233" s="120"/>
      <c r="J233" s="120"/>
      <c r="K233" s="120"/>
      <c r="L233" s="26"/>
      <c r="M233" s="121"/>
      <c r="N233" s="122"/>
      <c r="O233" s="26"/>
      <c r="P233" s="26"/>
      <c r="Q233" s="26"/>
      <c r="R233" s="26"/>
      <c r="S233" s="26"/>
      <c r="T233" s="26"/>
      <c r="U233" s="26"/>
      <c r="V233" s="26"/>
      <c r="W233" s="26"/>
      <c r="X233" s="26"/>
      <c r="Y233" s="26"/>
      <c r="Z233" s="26"/>
    </row>
    <row r="234" spans="1:26" x14ac:dyDescent="0.2">
      <c r="A234" s="26"/>
      <c r="B234" s="119"/>
      <c r="C234" s="26"/>
      <c r="D234" s="26"/>
      <c r="E234" s="26"/>
      <c r="F234" s="26"/>
      <c r="G234" s="26"/>
      <c r="H234" s="26"/>
      <c r="I234" s="120"/>
      <c r="J234" s="120"/>
      <c r="K234" s="120"/>
      <c r="L234" s="26"/>
      <c r="M234" s="121"/>
      <c r="N234" s="122"/>
      <c r="O234" s="26"/>
      <c r="P234" s="26"/>
      <c r="Q234" s="26"/>
      <c r="R234" s="26"/>
      <c r="S234" s="26"/>
      <c r="T234" s="26"/>
      <c r="U234" s="26"/>
      <c r="V234" s="26"/>
      <c r="W234" s="26"/>
      <c r="X234" s="26"/>
      <c r="Y234" s="26"/>
      <c r="Z234" s="26"/>
    </row>
    <row r="235" spans="1:26" x14ac:dyDescent="0.2">
      <c r="A235" s="26"/>
      <c r="B235" s="119"/>
      <c r="C235" s="26"/>
      <c r="D235" s="26"/>
      <c r="E235" s="26"/>
      <c r="F235" s="26"/>
      <c r="G235" s="26"/>
      <c r="H235" s="26"/>
      <c r="I235" s="120"/>
      <c r="J235" s="120"/>
      <c r="K235" s="120"/>
      <c r="L235" s="26"/>
      <c r="M235" s="121"/>
      <c r="N235" s="122"/>
      <c r="O235" s="26"/>
      <c r="P235" s="26"/>
      <c r="Q235" s="26"/>
      <c r="R235" s="26"/>
      <c r="S235" s="26"/>
      <c r="T235" s="26"/>
      <c r="U235" s="26"/>
      <c r="V235" s="26"/>
      <c r="W235" s="26"/>
      <c r="X235" s="26"/>
      <c r="Y235" s="26"/>
      <c r="Z235" s="26"/>
    </row>
    <row r="236" spans="1:26" x14ac:dyDescent="0.2">
      <c r="A236" s="26"/>
      <c r="B236" s="119"/>
      <c r="C236" s="26"/>
      <c r="D236" s="26"/>
      <c r="E236" s="26"/>
      <c r="F236" s="26"/>
      <c r="G236" s="26"/>
      <c r="H236" s="26"/>
      <c r="I236" s="120"/>
      <c r="J236" s="120"/>
      <c r="K236" s="120"/>
      <c r="L236" s="26"/>
      <c r="M236" s="121"/>
      <c r="N236" s="122"/>
      <c r="O236" s="26"/>
      <c r="P236" s="26"/>
      <c r="Q236" s="26"/>
      <c r="R236" s="26"/>
      <c r="S236" s="26"/>
      <c r="T236" s="26"/>
      <c r="U236" s="26"/>
      <c r="V236" s="26"/>
      <c r="W236" s="26"/>
      <c r="X236" s="26"/>
      <c r="Y236" s="26"/>
      <c r="Z236" s="26"/>
    </row>
    <row r="237" spans="1:26" x14ac:dyDescent="0.2">
      <c r="A237" s="26"/>
      <c r="B237" s="119"/>
      <c r="C237" s="26"/>
      <c r="D237" s="26"/>
      <c r="E237" s="26"/>
      <c r="F237" s="26"/>
      <c r="G237" s="26"/>
      <c r="H237" s="26"/>
      <c r="I237" s="120"/>
      <c r="J237" s="120"/>
      <c r="K237" s="120"/>
      <c r="L237" s="26"/>
      <c r="M237" s="121"/>
      <c r="N237" s="122"/>
      <c r="O237" s="26"/>
      <c r="P237" s="26"/>
      <c r="Q237" s="26"/>
      <c r="R237" s="26"/>
      <c r="S237" s="26"/>
      <c r="T237" s="26"/>
      <c r="U237" s="26"/>
      <c r="V237" s="26"/>
      <c r="W237" s="26"/>
      <c r="X237" s="26"/>
      <c r="Y237" s="26"/>
      <c r="Z237" s="26"/>
    </row>
    <row r="238" spans="1:26" x14ac:dyDescent="0.2">
      <c r="A238" s="26"/>
      <c r="B238" s="119"/>
      <c r="C238" s="26"/>
      <c r="D238" s="26"/>
      <c r="E238" s="26"/>
      <c r="F238" s="26"/>
      <c r="G238" s="26"/>
      <c r="H238" s="26"/>
      <c r="I238" s="120"/>
      <c r="J238" s="120"/>
      <c r="K238" s="120"/>
      <c r="L238" s="26"/>
      <c r="M238" s="121"/>
      <c r="N238" s="122"/>
      <c r="O238" s="26"/>
      <c r="P238" s="26"/>
      <c r="Q238" s="26"/>
      <c r="R238" s="26"/>
      <c r="S238" s="26"/>
      <c r="T238" s="26"/>
      <c r="U238" s="26"/>
      <c r="V238" s="26"/>
      <c r="W238" s="26"/>
      <c r="X238" s="26"/>
      <c r="Y238" s="26"/>
      <c r="Z238" s="26"/>
    </row>
    <row r="239" spans="1:26" x14ac:dyDescent="0.2">
      <c r="A239" s="26"/>
      <c r="B239" s="119"/>
      <c r="C239" s="26"/>
      <c r="D239" s="26"/>
      <c r="E239" s="26"/>
      <c r="F239" s="26"/>
      <c r="G239" s="26"/>
      <c r="H239" s="26"/>
      <c r="I239" s="120"/>
      <c r="J239" s="120"/>
      <c r="K239" s="120"/>
      <c r="L239" s="26"/>
      <c r="M239" s="121"/>
      <c r="N239" s="122"/>
      <c r="O239" s="26"/>
      <c r="P239" s="26"/>
      <c r="Q239" s="26"/>
      <c r="R239" s="26"/>
      <c r="S239" s="26"/>
      <c r="T239" s="26"/>
      <c r="U239" s="26"/>
      <c r="V239" s="26"/>
      <c r="W239" s="26"/>
      <c r="X239" s="26"/>
      <c r="Y239" s="26"/>
      <c r="Z239" s="26"/>
    </row>
    <row r="240" spans="1:26" x14ac:dyDescent="0.2">
      <c r="A240" s="26"/>
      <c r="B240" s="119"/>
      <c r="C240" s="26"/>
      <c r="D240" s="26"/>
      <c r="E240" s="26"/>
      <c r="F240" s="26"/>
      <c r="G240" s="26"/>
      <c r="H240" s="26"/>
      <c r="I240" s="120"/>
      <c r="J240" s="120"/>
      <c r="K240" s="120"/>
      <c r="L240" s="26"/>
      <c r="M240" s="121"/>
      <c r="N240" s="122"/>
      <c r="O240" s="26"/>
      <c r="P240" s="26"/>
      <c r="Q240" s="26"/>
      <c r="R240" s="26"/>
      <c r="S240" s="26"/>
      <c r="T240" s="26"/>
      <c r="U240" s="26"/>
      <c r="V240" s="26"/>
      <c r="W240" s="26"/>
      <c r="X240" s="26"/>
      <c r="Y240" s="26"/>
      <c r="Z240" s="26"/>
    </row>
    <row r="241" spans="1:26" x14ac:dyDescent="0.2">
      <c r="A241" s="26"/>
      <c r="B241" s="119"/>
      <c r="C241" s="26"/>
      <c r="D241" s="26"/>
      <c r="E241" s="26"/>
      <c r="F241" s="26"/>
      <c r="G241" s="26"/>
      <c r="H241" s="26"/>
      <c r="I241" s="120"/>
      <c r="J241" s="120"/>
      <c r="K241" s="120"/>
      <c r="L241" s="26"/>
      <c r="M241" s="121"/>
      <c r="N241" s="122"/>
      <c r="O241" s="26"/>
      <c r="P241" s="26"/>
      <c r="Q241" s="26"/>
      <c r="R241" s="26"/>
      <c r="S241" s="26"/>
      <c r="T241" s="26"/>
      <c r="U241" s="26"/>
      <c r="V241" s="26"/>
      <c r="W241" s="26"/>
      <c r="X241" s="26"/>
      <c r="Y241" s="26"/>
      <c r="Z241" s="26"/>
    </row>
    <row r="242" spans="1:26" x14ac:dyDescent="0.2">
      <c r="A242" s="26"/>
      <c r="B242" s="119"/>
      <c r="C242" s="26"/>
      <c r="D242" s="26"/>
      <c r="E242" s="26"/>
      <c r="F242" s="26"/>
      <c r="G242" s="26"/>
      <c r="H242" s="26"/>
      <c r="I242" s="120"/>
      <c r="J242" s="120"/>
      <c r="K242" s="120"/>
      <c r="L242" s="26"/>
      <c r="M242" s="121"/>
      <c r="N242" s="122"/>
      <c r="O242" s="26"/>
      <c r="P242" s="26"/>
      <c r="Q242" s="26"/>
      <c r="R242" s="26"/>
      <c r="S242" s="26"/>
      <c r="T242" s="26"/>
      <c r="U242" s="26"/>
      <c r="V242" s="26"/>
      <c r="W242" s="26"/>
      <c r="X242" s="26"/>
      <c r="Y242" s="26"/>
      <c r="Z242" s="26"/>
    </row>
    <row r="243" spans="1:26" x14ac:dyDescent="0.2">
      <c r="A243" s="26"/>
      <c r="B243" s="119"/>
      <c r="C243" s="26"/>
      <c r="D243" s="26"/>
      <c r="E243" s="26"/>
      <c r="F243" s="26"/>
      <c r="G243" s="26"/>
      <c r="H243" s="26"/>
      <c r="I243" s="120"/>
      <c r="J243" s="120"/>
      <c r="K243" s="120"/>
      <c r="L243" s="26"/>
      <c r="M243" s="121"/>
      <c r="N243" s="122"/>
      <c r="O243" s="26"/>
      <c r="P243" s="26"/>
      <c r="Q243" s="26"/>
      <c r="R243" s="26"/>
      <c r="S243" s="26"/>
      <c r="T243" s="26"/>
      <c r="U243" s="26"/>
      <c r="V243" s="26"/>
      <c r="W243" s="26"/>
      <c r="X243" s="26"/>
      <c r="Y243" s="26"/>
      <c r="Z243" s="26"/>
    </row>
    <row r="244" spans="1:26" x14ac:dyDescent="0.2">
      <c r="A244" s="26"/>
      <c r="B244" s="119"/>
      <c r="C244" s="26"/>
      <c r="D244" s="26"/>
      <c r="E244" s="26"/>
      <c r="F244" s="26"/>
      <c r="G244" s="26"/>
      <c r="H244" s="26"/>
      <c r="I244" s="120"/>
      <c r="J244" s="120"/>
      <c r="K244" s="120"/>
      <c r="L244" s="26"/>
      <c r="M244" s="121"/>
      <c r="N244" s="122"/>
      <c r="O244" s="26"/>
      <c r="P244" s="26"/>
      <c r="Q244" s="26"/>
      <c r="R244" s="26"/>
      <c r="S244" s="26"/>
      <c r="T244" s="26"/>
      <c r="U244" s="26"/>
      <c r="V244" s="26"/>
      <c r="W244" s="26"/>
      <c r="X244" s="26"/>
      <c r="Y244" s="26"/>
      <c r="Z244" s="26"/>
    </row>
    <row r="245" spans="1:26" x14ac:dyDescent="0.2">
      <c r="A245" s="26"/>
      <c r="B245" s="119"/>
      <c r="C245" s="26"/>
      <c r="D245" s="26"/>
      <c r="E245" s="26"/>
      <c r="F245" s="26"/>
      <c r="G245" s="26"/>
      <c r="H245" s="26"/>
      <c r="I245" s="120"/>
      <c r="J245" s="120"/>
      <c r="K245" s="120"/>
      <c r="L245" s="26"/>
      <c r="M245" s="121"/>
      <c r="N245" s="122"/>
      <c r="O245" s="26"/>
      <c r="P245" s="26"/>
      <c r="Q245" s="26"/>
      <c r="R245" s="26"/>
      <c r="S245" s="26"/>
      <c r="T245" s="26"/>
      <c r="U245" s="26"/>
      <c r="V245" s="26"/>
      <c r="W245" s="26"/>
      <c r="X245" s="26"/>
      <c r="Y245" s="26"/>
      <c r="Z245" s="26"/>
    </row>
    <row r="246" spans="1:26" x14ac:dyDescent="0.2">
      <c r="A246" s="26"/>
      <c r="B246" s="119"/>
      <c r="C246" s="26"/>
      <c r="D246" s="26"/>
      <c r="E246" s="26"/>
      <c r="F246" s="26"/>
      <c r="G246" s="26"/>
      <c r="H246" s="26"/>
      <c r="I246" s="120"/>
      <c r="J246" s="120"/>
      <c r="K246" s="120"/>
      <c r="L246" s="26"/>
      <c r="M246" s="121"/>
      <c r="N246" s="122"/>
      <c r="O246" s="26"/>
      <c r="P246" s="26"/>
      <c r="Q246" s="26"/>
      <c r="R246" s="26"/>
      <c r="S246" s="26"/>
      <c r="T246" s="26"/>
      <c r="U246" s="26"/>
      <c r="V246" s="26"/>
      <c r="W246" s="26"/>
      <c r="X246" s="26"/>
      <c r="Y246" s="26"/>
      <c r="Z246" s="26"/>
    </row>
    <row r="247" spans="1:26" x14ac:dyDescent="0.2">
      <c r="A247" s="26"/>
      <c r="B247" s="119"/>
      <c r="C247" s="26"/>
      <c r="D247" s="26"/>
      <c r="E247" s="26"/>
      <c r="F247" s="26"/>
      <c r="G247" s="26"/>
      <c r="H247" s="26"/>
      <c r="I247" s="120"/>
      <c r="J247" s="120"/>
      <c r="K247" s="120"/>
      <c r="L247" s="26"/>
      <c r="M247" s="121"/>
      <c r="N247" s="122"/>
      <c r="O247" s="26"/>
      <c r="P247" s="26"/>
      <c r="Q247" s="26"/>
      <c r="R247" s="26"/>
      <c r="S247" s="26"/>
      <c r="T247" s="26"/>
      <c r="U247" s="26"/>
      <c r="V247" s="26"/>
      <c r="W247" s="26"/>
      <c r="X247" s="26"/>
      <c r="Y247" s="26"/>
      <c r="Z247" s="26"/>
    </row>
    <row r="248" spans="1:26" x14ac:dyDescent="0.2">
      <c r="A248" s="26"/>
      <c r="B248" s="119"/>
      <c r="C248" s="26"/>
      <c r="D248" s="26"/>
      <c r="E248" s="26"/>
      <c r="F248" s="26"/>
      <c r="G248" s="26"/>
      <c r="H248" s="26"/>
      <c r="I248" s="120"/>
      <c r="J248" s="120"/>
      <c r="K248" s="120"/>
      <c r="L248" s="26"/>
      <c r="M248" s="121"/>
      <c r="N248" s="122"/>
      <c r="O248" s="26"/>
      <c r="P248" s="26"/>
      <c r="Q248" s="26"/>
      <c r="R248" s="26"/>
      <c r="S248" s="26"/>
      <c r="T248" s="26"/>
      <c r="U248" s="26"/>
      <c r="V248" s="26"/>
      <c r="W248" s="26"/>
      <c r="X248" s="26"/>
      <c r="Y248" s="26"/>
      <c r="Z248" s="26"/>
    </row>
    <row r="249" spans="1:26" x14ac:dyDescent="0.2">
      <c r="A249" s="26"/>
      <c r="B249" s="119"/>
      <c r="C249" s="26"/>
      <c r="D249" s="26"/>
      <c r="E249" s="26"/>
      <c r="F249" s="26"/>
      <c r="G249" s="26"/>
      <c r="H249" s="26"/>
      <c r="I249" s="120"/>
      <c r="J249" s="120"/>
      <c r="K249" s="120"/>
      <c r="L249" s="26"/>
      <c r="M249" s="121"/>
      <c r="N249" s="122"/>
      <c r="O249" s="26"/>
      <c r="P249" s="26"/>
      <c r="Q249" s="26"/>
      <c r="R249" s="26"/>
      <c r="S249" s="26"/>
      <c r="T249" s="26"/>
      <c r="U249" s="26"/>
      <c r="V249" s="26"/>
      <c r="W249" s="26"/>
      <c r="X249" s="26"/>
      <c r="Y249" s="26"/>
      <c r="Z249" s="26"/>
    </row>
    <row r="250" spans="1:26" x14ac:dyDescent="0.2">
      <c r="A250" s="26"/>
      <c r="B250" s="119"/>
      <c r="C250" s="26"/>
      <c r="D250" s="26"/>
      <c r="E250" s="26"/>
      <c r="F250" s="26"/>
      <c r="G250" s="26"/>
      <c r="H250" s="26"/>
      <c r="I250" s="120"/>
      <c r="J250" s="120"/>
      <c r="K250" s="120"/>
      <c r="L250" s="26"/>
      <c r="M250" s="121"/>
      <c r="N250" s="122"/>
      <c r="O250" s="26"/>
      <c r="P250" s="26"/>
      <c r="Q250" s="26"/>
      <c r="R250" s="26"/>
      <c r="S250" s="26"/>
      <c r="T250" s="26"/>
      <c r="U250" s="26"/>
      <c r="V250" s="26"/>
      <c r="W250" s="26"/>
      <c r="X250" s="26"/>
      <c r="Y250" s="26"/>
      <c r="Z250" s="26"/>
    </row>
    <row r="251" spans="1:26" x14ac:dyDescent="0.2">
      <c r="A251" s="26"/>
      <c r="B251" s="119"/>
      <c r="C251" s="26"/>
      <c r="D251" s="26"/>
      <c r="E251" s="26"/>
      <c r="F251" s="26"/>
      <c r="G251" s="26"/>
      <c r="H251" s="26"/>
      <c r="I251" s="120"/>
      <c r="J251" s="120"/>
      <c r="K251" s="120"/>
      <c r="L251" s="26"/>
      <c r="M251" s="121"/>
      <c r="N251" s="122"/>
      <c r="O251" s="26"/>
      <c r="P251" s="26"/>
      <c r="Q251" s="26"/>
      <c r="R251" s="26"/>
      <c r="S251" s="26"/>
      <c r="T251" s="26"/>
      <c r="U251" s="26"/>
      <c r="V251" s="26"/>
      <c r="W251" s="26"/>
      <c r="X251" s="26"/>
      <c r="Y251" s="26"/>
      <c r="Z251" s="26"/>
    </row>
    <row r="252" spans="1:26" x14ac:dyDescent="0.2">
      <c r="A252" s="26"/>
      <c r="B252" s="119"/>
      <c r="C252" s="26"/>
      <c r="D252" s="26"/>
      <c r="E252" s="26"/>
      <c r="F252" s="26"/>
      <c r="G252" s="26"/>
      <c r="H252" s="26"/>
      <c r="I252" s="120"/>
      <c r="J252" s="120"/>
      <c r="K252" s="120"/>
      <c r="L252" s="26"/>
      <c r="M252" s="121"/>
      <c r="N252" s="122"/>
      <c r="O252" s="26"/>
      <c r="P252" s="26"/>
      <c r="Q252" s="26"/>
      <c r="R252" s="26"/>
      <c r="S252" s="26"/>
      <c r="T252" s="26"/>
      <c r="U252" s="26"/>
      <c r="V252" s="26"/>
      <c r="W252" s="26"/>
      <c r="X252" s="26"/>
      <c r="Y252" s="26"/>
      <c r="Z252" s="26"/>
    </row>
    <row r="253" spans="1:26" x14ac:dyDescent="0.2">
      <c r="A253" s="26"/>
      <c r="B253" s="119"/>
      <c r="C253" s="26"/>
      <c r="D253" s="26"/>
      <c r="E253" s="26"/>
      <c r="F253" s="26"/>
      <c r="G253" s="26"/>
      <c r="H253" s="26"/>
      <c r="I253" s="120"/>
      <c r="J253" s="120"/>
      <c r="K253" s="120"/>
      <c r="L253" s="26"/>
      <c r="M253" s="121"/>
      <c r="N253" s="122"/>
      <c r="O253" s="26"/>
      <c r="P253" s="26"/>
      <c r="Q253" s="26"/>
      <c r="R253" s="26"/>
      <c r="S253" s="26"/>
      <c r="T253" s="26"/>
      <c r="U253" s="26"/>
      <c r="V253" s="26"/>
      <c r="W253" s="26"/>
      <c r="X253" s="26"/>
      <c r="Y253" s="26"/>
      <c r="Z253" s="26"/>
    </row>
    <row r="254" spans="1:26" x14ac:dyDescent="0.2">
      <c r="A254" s="26"/>
      <c r="B254" s="119"/>
      <c r="C254" s="26"/>
      <c r="D254" s="26"/>
      <c r="E254" s="26"/>
      <c r="F254" s="26"/>
      <c r="G254" s="26"/>
      <c r="H254" s="26"/>
      <c r="I254" s="120"/>
      <c r="J254" s="120"/>
      <c r="K254" s="120"/>
      <c r="L254" s="26"/>
      <c r="M254" s="121"/>
      <c r="N254" s="122"/>
      <c r="O254" s="26"/>
      <c r="P254" s="26"/>
      <c r="Q254" s="26"/>
      <c r="R254" s="26"/>
      <c r="S254" s="26"/>
      <c r="T254" s="26"/>
      <c r="U254" s="26"/>
      <c r="V254" s="26"/>
      <c r="W254" s="26"/>
      <c r="X254" s="26"/>
      <c r="Y254" s="26"/>
      <c r="Z254" s="26"/>
    </row>
    <row r="255" spans="1:26" x14ac:dyDescent="0.2">
      <c r="A255" s="26"/>
      <c r="B255" s="119"/>
      <c r="C255" s="26"/>
      <c r="D255" s="26"/>
      <c r="E255" s="26"/>
      <c r="F255" s="26"/>
      <c r="G255" s="26"/>
      <c r="H255" s="26"/>
      <c r="I255" s="120"/>
      <c r="J255" s="120"/>
      <c r="K255" s="120"/>
      <c r="L255" s="26"/>
      <c r="M255" s="121"/>
      <c r="N255" s="122"/>
      <c r="O255" s="26"/>
      <c r="P255" s="26"/>
      <c r="Q255" s="26"/>
      <c r="R255" s="26"/>
      <c r="S255" s="26"/>
      <c r="T255" s="26"/>
      <c r="U255" s="26"/>
      <c r="V255" s="26"/>
      <c r="W255" s="26"/>
      <c r="X255" s="26"/>
      <c r="Y255" s="26"/>
      <c r="Z255" s="26"/>
    </row>
    <row r="256" spans="1:26" x14ac:dyDescent="0.2">
      <c r="A256" s="26"/>
      <c r="B256" s="119"/>
      <c r="C256" s="26"/>
      <c r="D256" s="26"/>
      <c r="E256" s="26"/>
      <c r="F256" s="26"/>
      <c r="G256" s="26"/>
      <c r="H256" s="26"/>
      <c r="I256" s="120"/>
      <c r="J256" s="120"/>
      <c r="K256" s="120"/>
      <c r="L256" s="26"/>
      <c r="M256" s="121"/>
      <c r="N256" s="122"/>
      <c r="O256" s="26"/>
      <c r="P256" s="26"/>
      <c r="Q256" s="26"/>
      <c r="R256" s="26"/>
      <c r="S256" s="26"/>
      <c r="T256" s="26"/>
      <c r="U256" s="26"/>
      <c r="V256" s="26"/>
      <c r="W256" s="26"/>
      <c r="X256" s="26"/>
      <c r="Y256" s="26"/>
      <c r="Z256" s="26"/>
    </row>
    <row r="257" spans="1:26" x14ac:dyDescent="0.2">
      <c r="A257" s="26"/>
      <c r="B257" s="119"/>
      <c r="C257" s="26"/>
      <c r="D257" s="26"/>
      <c r="E257" s="26"/>
      <c r="F257" s="26"/>
      <c r="G257" s="26"/>
      <c r="H257" s="26"/>
      <c r="I257" s="120"/>
      <c r="J257" s="120"/>
      <c r="K257" s="120"/>
      <c r="L257" s="26"/>
      <c r="M257" s="121"/>
      <c r="N257" s="122"/>
      <c r="O257" s="26"/>
      <c r="P257" s="26"/>
      <c r="Q257" s="26"/>
      <c r="R257" s="26"/>
      <c r="S257" s="26"/>
      <c r="T257" s="26"/>
      <c r="U257" s="26"/>
      <c r="V257" s="26"/>
      <c r="W257" s="26"/>
      <c r="X257" s="26"/>
      <c r="Y257" s="26"/>
      <c r="Z257" s="26"/>
    </row>
    <row r="258" spans="1:26" x14ac:dyDescent="0.2">
      <c r="A258" s="26"/>
      <c r="B258" s="119"/>
      <c r="C258" s="26"/>
      <c r="D258" s="26"/>
      <c r="E258" s="26"/>
      <c r="F258" s="26"/>
      <c r="G258" s="26"/>
      <c r="H258" s="26"/>
      <c r="I258" s="120"/>
      <c r="J258" s="120"/>
      <c r="K258" s="120"/>
      <c r="L258" s="26"/>
      <c r="M258" s="121"/>
      <c r="N258" s="122"/>
      <c r="O258" s="26"/>
      <c r="P258" s="26"/>
      <c r="Q258" s="26"/>
      <c r="R258" s="26"/>
      <c r="S258" s="26"/>
      <c r="T258" s="26"/>
      <c r="U258" s="26"/>
      <c r="V258" s="26"/>
      <c r="W258" s="26"/>
      <c r="X258" s="26"/>
      <c r="Y258" s="26"/>
      <c r="Z258" s="26"/>
    </row>
    <row r="259" spans="1:26" x14ac:dyDescent="0.2">
      <c r="A259" s="26"/>
      <c r="B259" s="119"/>
      <c r="C259" s="26"/>
      <c r="D259" s="26"/>
      <c r="E259" s="26"/>
      <c r="F259" s="26"/>
      <c r="G259" s="26"/>
      <c r="H259" s="26"/>
      <c r="I259" s="120"/>
      <c r="J259" s="120"/>
      <c r="K259" s="120"/>
      <c r="L259" s="26"/>
      <c r="M259" s="121"/>
      <c r="N259" s="122"/>
      <c r="O259" s="26"/>
      <c r="P259" s="26"/>
      <c r="Q259" s="26"/>
      <c r="R259" s="26"/>
      <c r="S259" s="26"/>
      <c r="T259" s="26"/>
      <c r="U259" s="26"/>
      <c r="V259" s="26"/>
      <c r="W259" s="26"/>
      <c r="X259" s="26"/>
      <c r="Y259" s="26"/>
      <c r="Z259" s="26"/>
    </row>
    <row r="260" spans="1:26" x14ac:dyDescent="0.2">
      <c r="A260" s="26"/>
      <c r="B260" s="119"/>
      <c r="C260" s="26"/>
      <c r="D260" s="26"/>
      <c r="E260" s="26"/>
      <c r="F260" s="26"/>
      <c r="G260" s="26"/>
      <c r="H260" s="26"/>
      <c r="I260" s="120"/>
      <c r="J260" s="120"/>
      <c r="K260" s="120"/>
      <c r="L260" s="26"/>
      <c r="M260" s="121"/>
      <c r="N260" s="122"/>
      <c r="O260" s="26"/>
      <c r="P260" s="26"/>
      <c r="Q260" s="26"/>
      <c r="R260" s="26"/>
      <c r="S260" s="26"/>
      <c r="T260" s="26"/>
      <c r="U260" s="26"/>
      <c r="V260" s="26"/>
      <c r="W260" s="26"/>
      <c r="X260" s="26"/>
      <c r="Y260" s="26"/>
      <c r="Z260" s="26"/>
    </row>
    <row r="261" spans="1:26" x14ac:dyDescent="0.2">
      <c r="A261" s="26"/>
      <c r="B261" s="119"/>
      <c r="C261" s="26"/>
      <c r="D261" s="26"/>
      <c r="E261" s="26"/>
      <c r="F261" s="26"/>
      <c r="G261" s="26"/>
      <c r="H261" s="26"/>
      <c r="I261" s="120"/>
      <c r="J261" s="120"/>
      <c r="K261" s="120"/>
      <c r="L261" s="26"/>
      <c r="M261" s="121"/>
      <c r="N261" s="122"/>
      <c r="O261" s="26"/>
      <c r="P261" s="26"/>
      <c r="Q261" s="26"/>
      <c r="R261" s="26"/>
      <c r="S261" s="26"/>
      <c r="T261" s="26"/>
      <c r="U261" s="26"/>
      <c r="V261" s="26"/>
      <c r="W261" s="26"/>
      <c r="X261" s="26"/>
      <c r="Y261" s="26"/>
      <c r="Z261" s="26"/>
    </row>
    <row r="262" spans="1:26" x14ac:dyDescent="0.2">
      <c r="A262" s="26"/>
      <c r="B262" s="119"/>
      <c r="C262" s="26"/>
      <c r="D262" s="26"/>
      <c r="E262" s="26"/>
      <c r="F262" s="26"/>
      <c r="G262" s="26"/>
      <c r="H262" s="26"/>
      <c r="I262" s="120"/>
      <c r="J262" s="120"/>
      <c r="K262" s="120"/>
      <c r="L262" s="26"/>
      <c r="M262" s="121"/>
      <c r="N262" s="122"/>
      <c r="O262" s="26"/>
      <c r="P262" s="26"/>
      <c r="Q262" s="26"/>
      <c r="R262" s="26"/>
      <c r="S262" s="26"/>
      <c r="T262" s="26"/>
      <c r="U262" s="26"/>
      <c r="V262" s="26"/>
      <c r="W262" s="26"/>
      <c r="X262" s="26"/>
      <c r="Y262" s="26"/>
      <c r="Z262" s="26"/>
    </row>
    <row r="263" spans="1:26" x14ac:dyDescent="0.2">
      <c r="A263" s="26"/>
      <c r="B263" s="119"/>
      <c r="C263" s="26"/>
      <c r="D263" s="26"/>
      <c r="E263" s="26"/>
      <c r="F263" s="26"/>
      <c r="G263" s="26"/>
      <c r="H263" s="26"/>
      <c r="I263" s="120"/>
      <c r="J263" s="120"/>
      <c r="K263" s="120"/>
      <c r="L263" s="26"/>
      <c r="M263" s="121"/>
      <c r="N263" s="122"/>
      <c r="O263" s="26"/>
      <c r="P263" s="26"/>
      <c r="Q263" s="26"/>
      <c r="R263" s="26"/>
      <c r="S263" s="26"/>
      <c r="T263" s="26"/>
      <c r="U263" s="26"/>
      <c r="V263" s="26"/>
      <c r="W263" s="26"/>
      <c r="X263" s="26"/>
      <c r="Y263" s="26"/>
      <c r="Z263" s="26"/>
    </row>
    <row r="264" spans="1:26" x14ac:dyDescent="0.2">
      <c r="A264" s="26"/>
      <c r="B264" s="119"/>
      <c r="C264" s="26"/>
      <c r="D264" s="26"/>
      <c r="E264" s="26"/>
      <c r="F264" s="26"/>
      <c r="G264" s="26"/>
      <c r="H264" s="26"/>
      <c r="I264" s="120"/>
      <c r="J264" s="120"/>
      <c r="K264" s="120"/>
      <c r="L264" s="26"/>
      <c r="M264" s="121"/>
      <c r="N264" s="122"/>
      <c r="O264" s="26"/>
      <c r="P264" s="26"/>
      <c r="Q264" s="26"/>
      <c r="R264" s="26"/>
      <c r="S264" s="26"/>
      <c r="T264" s="26"/>
      <c r="U264" s="26"/>
      <c r="V264" s="26"/>
      <c r="W264" s="26"/>
      <c r="X264" s="26"/>
      <c r="Y264" s="26"/>
      <c r="Z264" s="26"/>
    </row>
    <row r="265" spans="1:26" x14ac:dyDescent="0.2">
      <c r="A265" s="26"/>
      <c r="B265" s="119"/>
      <c r="C265" s="26"/>
      <c r="D265" s="26"/>
      <c r="E265" s="26"/>
      <c r="F265" s="26"/>
      <c r="G265" s="26"/>
      <c r="H265" s="26"/>
      <c r="I265" s="120"/>
      <c r="J265" s="120"/>
      <c r="K265" s="120"/>
      <c r="L265" s="26"/>
      <c r="M265" s="121"/>
      <c r="N265" s="122"/>
      <c r="O265" s="26"/>
      <c r="P265" s="26"/>
      <c r="Q265" s="26"/>
      <c r="R265" s="26"/>
      <c r="S265" s="26"/>
      <c r="T265" s="26"/>
      <c r="U265" s="26"/>
      <c r="V265" s="26"/>
      <c r="W265" s="26"/>
      <c r="X265" s="26"/>
      <c r="Y265" s="26"/>
      <c r="Z265" s="26"/>
    </row>
    <row r="266" spans="1:26" x14ac:dyDescent="0.2">
      <c r="A266" s="26"/>
      <c r="B266" s="119"/>
      <c r="C266" s="26"/>
      <c r="D266" s="26"/>
      <c r="E266" s="26"/>
      <c r="F266" s="26"/>
      <c r="G266" s="26"/>
      <c r="H266" s="26"/>
      <c r="I266" s="120"/>
      <c r="J266" s="120"/>
      <c r="K266" s="120"/>
      <c r="L266" s="26"/>
      <c r="M266" s="121"/>
      <c r="N266" s="122"/>
      <c r="O266" s="26"/>
      <c r="P266" s="26"/>
      <c r="Q266" s="26"/>
      <c r="R266" s="26"/>
      <c r="S266" s="26"/>
      <c r="T266" s="26"/>
      <c r="U266" s="26"/>
      <c r="V266" s="26"/>
      <c r="W266" s="26"/>
      <c r="X266" s="26"/>
      <c r="Y266" s="26"/>
      <c r="Z266" s="26"/>
    </row>
    <row r="267" spans="1:26" x14ac:dyDescent="0.2">
      <c r="A267" s="26"/>
      <c r="B267" s="119"/>
      <c r="C267" s="26"/>
      <c r="D267" s="26"/>
      <c r="E267" s="26"/>
      <c r="F267" s="26"/>
      <c r="G267" s="26"/>
      <c r="H267" s="26"/>
      <c r="I267" s="120"/>
      <c r="J267" s="120"/>
      <c r="K267" s="120"/>
      <c r="L267" s="26"/>
      <c r="M267" s="121"/>
      <c r="N267" s="122"/>
      <c r="O267" s="26"/>
      <c r="P267" s="26"/>
      <c r="Q267" s="26"/>
      <c r="R267" s="26"/>
      <c r="S267" s="26"/>
      <c r="T267" s="26"/>
      <c r="U267" s="26"/>
      <c r="V267" s="26"/>
      <c r="W267" s="26"/>
      <c r="X267" s="26"/>
      <c r="Y267" s="26"/>
      <c r="Z267" s="26"/>
    </row>
    <row r="268" spans="1:26" x14ac:dyDescent="0.2">
      <c r="A268" s="26"/>
      <c r="B268" s="119"/>
      <c r="C268" s="26"/>
      <c r="D268" s="26"/>
      <c r="E268" s="26"/>
      <c r="F268" s="26"/>
      <c r="G268" s="26"/>
      <c r="H268" s="26"/>
      <c r="I268" s="120"/>
      <c r="J268" s="120"/>
      <c r="K268" s="120"/>
      <c r="L268" s="26"/>
      <c r="M268" s="121"/>
      <c r="N268" s="122"/>
      <c r="O268" s="26"/>
      <c r="P268" s="26"/>
      <c r="Q268" s="26"/>
      <c r="R268" s="26"/>
      <c r="S268" s="26"/>
      <c r="T268" s="26"/>
      <c r="U268" s="26"/>
      <c r="V268" s="26"/>
      <c r="W268" s="26"/>
      <c r="X268" s="26"/>
      <c r="Y268" s="26"/>
      <c r="Z268" s="26"/>
    </row>
    <row r="269" spans="1:26" x14ac:dyDescent="0.2">
      <c r="A269" s="26"/>
      <c r="B269" s="119"/>
      <c r="C269" s="26"/>
      <c r="D269" s="26"/>
      <c r="E269" s="26"/>
      <c r="F269" s="26"/>
      <c r="G269" s="26"/>
      <c r="H269" s="26"/>
      <c r="I269" s="120"/>
      <c r="J269" s="120"/>
      <c r="K269" s="120"/>
      <c r="L269" s="26"/>
      <c r="M269" s="121"/>
      <c r="N269" s="122"/>
      <c r="O269" s="26"/>
      <c r="P269" s="26"/>
      <c r="Q269" s="26"/>
      <c r="R269" s="26"/>
      <c r="S269" s="26"/>
      <c r="T269" s="26"/>
      <c r="U269" s="26"/>
      <c r="V269" s="26"/>
      <c r="W269" s="26"/>
      <c r="X269" s="26"/>
      <c r="Y269" s="26"/>
      <c r="Z269" s="26"/>
    </row>
    <row r="270" spans="1:26" x14ac:dyDescent="0.2">
      <c r="A270" s="26"/>
      <c r="B270" s="119"/>
      <c r="C270" s="26"/>
      <c r="D270" s="26"/>
      <c r="E270" s="26"/>
      <c r="F270" s="26"/>
      <c r="G270" s="26"/>
      <c r="H270" s="26"/>
      <c r="I270" s="120"/>
      <c r="J270" s="120"/>
      <c r="K270" s="120"/>
      <c r="L270" s="26"/>
      <c r="M270" s="121"/>
      <c r="N270" s="122"/>
      <c r="O270" s="26"/>
      <c r="P270" s="26"/>
      <c r="Q270" s="26"/>
      <c r="R270" s="26"/>
      <c r="S270" s="26"/>
      <c r="T270" s="26"/>
      <c r="U270" s="26"/>
      <c r="V270" s="26"/>
      <c r="W270" s="26"/>
      <c r="X270" s="26"/>
      <c r="Y270" s="26"/>
      <c r="Z270" s="26"/>
    </row>
    <row r="271" spans="1:26" x14ac:dyDescent="0.2">
      <c r="A271" s="26"/>
      <c r="B271" s="119"/>
      <c r="C271" s="26"/>
      <c r="D271" s="26"/>
      <c r="E271" s="26"/>
      <c r="F271" s="26"/>
      <c r="G271" s="26"/>
      <c r="H271" s="26"/>
      <c r="I271" s="120"/>
      <c r="J271" s="120"/>
      <c r="K271" s="120"/>
      <c r="L271" s="26"/>
      <c r="M271" s="121"/>
      <c r="N271" s="122"/>
      <c r="O271" s="26"/>
      <c r="P271" s="26"/>
      <c r="Q271" s="26"/>
      <c r="R271" s="26"/>
      <c r="S271" s="26"/>
      <c r="T271" s="26"/>
      <c r="U271" s="26"/>
      <c r="V271" s="26"/>
      <c r="W271" s="26"/>
      <c r="X271" s="26"/>
      <c r="Y271" s="26"/>
      <c r="Z271" s="26"/>
    </row>
    <row r="272" spans="1:26" x14ac:dyDescent="0.2">
      <c r="A272" s="26"/>
      <c r="B272" s="119"/>
      <c r="C272" s="26"/>
      <c r="D272" s="26"/>
      <c r="E272" s="26"/>
      <c r="F272" s="26"/>
      <c r="G272" s="26"/>
      <c r="H272" s="26"/>
      <c r="I272" s="120"/>
      <c r="J272" s="120"/>
      <c r="K272" s="120"/>
      <c r="L272" s="26"/>
      <c r="M272" s="121"/>
      <c r="N272" s="122"/>
      <c r="O272" s="26"/>
      <c r="P272" s="26"/>
      <c r="Q272" s="26"/>
      <c r="R272" s="26"/>
      <c r="S272" s="26"/>
      <c r="T272" s="26"/>
      <c r="U272" s="26"/>
      <c r="V272" s="26"/>
      <c r="W272" s="26"/>
      <c r="X272" s="26"/>
      <c r="Y272" s="26"/>
      <c r="Z272" s="26"/>
    </row>
    <row r="273" spans="1:26" x14ac:dyDescent="0.2">
      <c r="A273" s="26"/>
      <c r="B273" s="119"/>
      <c r="C273" s="26"/>
      <c r="D273" s="26"/>
      <c r="E273" s="26"/>
      <c r="F273" s="26"/>
      <c r="G273" s="26"/>
      <c r="H273" s="26"/>
      <c r="I273" s="120"/>
      <c r="J273" s="120"/>
      <c r="K273" s="120"/>
      <c r="L273" s="26"/>
      <c r="M273" s="121"/>
      <c r="N273" s="122"/>
      <c r="O273" s="26"/>
      <c r="P273" s="26"/>
      <c r="Q273" s="26"/>
      <c r="R273" s="26"/>
      <c r="S273" s="26"/>
      <c r="T273" s="26"/>
      <c r="U273" s="26"/>
      <c r="V273" s="26"/>
      <c r="W273" s="26"/>
      <c r="X273" s="26"/>
      <c r="Y273" s="26"/>
      <c r="Z273" s="26"/>
    </row>
    <row r="274" spans="1:26" x14ac:dyDescent="0.2">
      <c r="A274" s="26"/>
      <c r="B274" s="119"/>
      <c r="C274" s="26"/>
      <c r="D274" s="26"/>
      <c r="E274" s="26"/>
      <c r="F274" s="26"/>
      <c r="G274" s="26"/>
      <c r="H274" s="26"/>
      <c r="I274" s="120"/>
      <c r="J274" s="120"/>
      <c r="K274" s="120"/>
      <c r="L274" s="26"/>
      <c r="M274" s="121"/>
      <c r="N274" s="122"/>
      <c r="O274" s="26"/>
      <c r="P274" s="26"/>
      <c r="Q274" s="26"/>
      <c r="R274" s="26"/>
      <c r="S274" s="26"/>
      <c r="T274" s="26"/>
      <c r="U274" s="26"/>
      <c r="V274" s="26"/>
      <c r="W274" s="26"/>
      <c r="X274" s="26"/>
      <c r="Y274" s="26"/>
      <c r="Z274" s="26"/>
    </row>
    <row r="275" spans="1:26" x14ac:dyDescent="0.2">
      <c r="A275" s="26"/>
      <c r="B275" s="119"/>
      <c r="C275" s="26"/>
      <c r="D275" s="26"/>
      <c r="E275" s="26"/>
      <c r="F275" s="26"/>
      <c r="G275" s="26"/>
      <c r="H275" s="26"/>
      <c r="I275" s="120"/>
      <c r="J275" s="120"/>
      <c r="K275" s="120"/>
      <c r="L275" s="26"/>
      <c r="M275" s="121"/>
      <c r="N275" s="122"/>
      <c r="O275" s="26"/>
      <c r="P275" s="26"/>
      <c r="Q275" s="26"/>
      <c r="R275" s="26"/>
      <c r="S275" s="26"/>
      <c r="T275" s="26"/>
      <c r="U275" s="26"/>
      <c r="V275" s="26"/>
      <c r="W275" s="26"/>
      <c r="X275" s="26"/>
      <c r="Y275" s="26"/>
      <c r="Z275" s="26"/>
    </row>
    <row r="276" spans="1:26" x14ac:dyDescent="0.2">
      <c r="A276" s="26"/>
      <c r="B276" s="119"/>
      <c r="C276" s="26"/>
      <c r="D276" s="26"/>
      <c r="E276" s="26"/>
      <c r="F276" s="26"/>
      <c r="G276" s="26"/>
      <c r="H276" s="26"/>
      <c r="I276" s="120"/>
      <c r="J276" s="120"/>
      <c r="K276" s="120"/>
      <c r="L276" s="26"/>
      <c r="M276" s="121"/>
      <c r="N276" s="122"/>
      <c r="O276" s="26"/>
      <c r="P276" s="26"/>
      <c r="Q276" s="26"/>
      <c r="R276" s="26"/>
      <c r="S276" s="26"/>
      <c r="T276" s="26"/>
      <c r="U276" s="26"/>
      <c r="V276" s="26"/>
      <c r="W276" s="26"/>
      <c r="X276" s="26"/>
      <c r="Y276" s="26"/>
      <c r="Z276" s="26"/>
    </row>
    <row r="277" spans="1:26" x14ac:dyDescent="0.2">
      <c r="A277" s="26"/>
      <c r="B277" s="119"/>
      <c r="C277" s="26"/>
      <c r="D277" s="26"/>
      <c r="E277" s="26"/>
      <c r="F277" s="26"/>
      <c r="G277" s="26"/>
      <c r="H277" s="26"/>
      <c r="I277" s="120"/>
      <c r="J277" s="120"/>
      <c r="K277" s="120"/>
      <c r="L277" s="26"/>
      <c r="M277" s="121"/>
      <c r="N277" s="122"/>
      <c r="O277" s="26"/>
      <c r="P277" s="26"/>
      <c r="Q277" s="26"/>
      <c r="R277" s="26"/>
      <c r="S277" s="26"/>
      <c r="T277" s="26"/>
      <c r="U277" s="26"/>
      <c r="V277" s="26"/>
      <c r="W277" s="26"/>
      <c r="X277" s="26"/>
      <c r="Y277" s="26"/>
      <c r="Z277" s="26"/>
    </row>
    <row r="278" spans="1:26" x14ac:dyDescent="0.2">
      <c r="A278" s="26"/>
      <c r="B278" s="119"/>
      <c r="C278" s="26"/>
      <c r="D278" s="26"/>
      <c r="E278" s="26"/>
      <c r="F278" s="26"/>
      <c r="G278" s="26"/>
      <c r="H278" s="26"/>
      <c r="I278" s="120"/>
      <c r="J278" s="120"/>
      <c r="K278" s="120"/>
      <c r="L278" s="26"/>
      <c r="M278" s="121"/>
      <c r="N278" s="122"/>
      <c r="O278" s="26"/>
      <c r="P278" s="26"/>
      <c r="Q278" s="26"/>
      <c r="R278" s="26"/>
      <c r="S278" s="26"/>
      <c r="T278" s="26"/>
      <c r="U278" s="26"/>
      <c r="V278" s="26"/>
      <c r="W278" s="26"/>
      <c r="X278" s="26"/>
      <c r="Y278" s="26"/>
      <c r="Z278" s="26"/>
    </row>
    <row r="279" spans="1:26" x14ac:dyDescent="0.2">
      <c r="A279" s="26"/>
      <c r="B279" s="119"/>
      <c r="C279" s="26"/>
      <c r="D279" s="26"/>
      <c r="E279" s="26"/>
      <c r="F279" s="26"/>
      <c r="G279" s="26"/>
      <c r="H279" s="26"/>
      <c r="I279" s="120"/>
      <c r="J279" s="120"/>
      <c r="K279" s="120"/>
      <c r="L279" s="26"/>
      <c r="M279" s="121"/>
      <c r="N279" s="122"/>
      <c r="O279" s="26"/>
      <c r="P279" s="26"/>
      <c r="Q279" s="26"/>
      <c r="R279" s="26"/>
      <c r="S279" s="26"/>
      <c r="T279" s="26"/>
      <c r="U279" s="26"/>
      <c r="V279" s="26"/>
      <c r="W279" s="26"/>
      <c r="X279" s="26"/>
      <c r="Y279" s="26"/>
      <c r="Z279" s="26"/>
    </row>
    <row r="280" spans="1:26" x14ac:dyDescent="0.2">
      <c r="A280" s="26"/>
      <c r="B280" s="119"/>
      <c r="C280" s="26"/>
      <c r="D280" s="26"/>
      <c r="E280" s="26"/>
      <c r="F280" s="26"/>
      <c r="G280" s="26"/>
      <c r="H280" s="26"/>
      <c r="I280" s="120"/>
      <c r="J280" s="120"/>
      <c r="K280" s="120"/>
      <c r="L280" s="26"/>
      <c r="M280" s="121"/>
      <c r="N280" s="122"/>
      <c r="O280" s="26"/>
      <c r="P280" s="26"/>
      <c r="Q280" s="26"/>
      <c r="R280" s="26"/>
      <c r="S280" s="26"/>
      <c r="T280" s="26"/>
      <c r="U280" s="26"/>
      <c r="V280" s="26"/>
      <c r="W280" s="26"/>
      <c r="X280" s="26"/>
      <c r="Y280" s="26"/>
      <c r="Z280" s="26"/>
    </row>
    <row r="281" spans="1:26" x14ac:dyDescent="0.2">
      <c r="A281" s="26"/>
      <c r="B281" s="119"/>
      <c r="C281" s="26"/>
      <c r="D281" s="26"/>
      <c r="E281" s="26"/>
      <c r="F281" s="26"/>
      <c r="G281" s="26"/>
      <c r="H281" s="26"/>
      <c r="I281" s="120"/>
      <c r="J281" s="120"/>
      <c r="K281" s="120"/>
      <c r="L281" s="26"/>
      <c r="M281" s="121"/>
      <c r="N281" s="122"/>
      <c r="O281" s="26"/>
      <c r="P281" s="26"/>
      <c r="Q281" s="26"/>
      <c r="R281" s="26"/>
      <c r="S281" s="26"/>
      <c r="T281" s="26"/>
      <c r="U281" s="26"/>
      <c r="V281" s="26"/>
      <c r="W281" s="26"/>
      <c r="X281" s="26"/>
      <c r="Y281" s="26"/>
      <c r="Z281" s="26"/>
    </row>
    <row r="282" spans="1:26" x14ac:dyDescent="0.2">
      <c r="A282" s="26"/>
      <c r="B282" s="119"/>
      <c r="C282" s="26"/>
      <c r="D282" s="26"/>
      <c r="E282" s="26"/>
      <c r="F282" s="26"/>
      <c r="G282" s="26"/>
      <c r="H282" s="26"/>
      <c r="I282" s="120"/>
      <c r="J282" s="120"/>
      <c r="K282" s="120"/>
      <c r="L282" s="26"/>
      <c r="M282" s="121"/>
      <c r="N282" s="122"/>
      <c r="O282" s="26"/>
      <c r="P282" s="26"/>
      <c r="Q282" s="26"/>
      <c r="R282" s="26"/>
      <c r="S282" s="26"/>
      <c r="T282" s="26"/>
      <c r="U282" s="26"/>
      <c r="V282" s="26"/>
      <c r="W282" s="26"/>
      <c r="X282" s="26"/>
      <c r="Y282" s="26"/>
      <c r="Z282" s="26"/>
    </row>
    <row r="283" spans="1:26" x14ac:dyDescent="0.2">
      <c r="A283" s="26"/>
      <c r="B283" s="119"/>
      <c r="C283" s="26"/>
      <c r="D283" s="26"/>
      <c r="E283" s="26"/>
      <c r="F283" s="26"/>
      <c r="G283" s="26"/>
      <c r="H283" s="26"/>
      <c r="I283" s="120"/>
      <c r="J283" s="120"/>
      <c r="K283" s="120"/>
      <c r="L283" s="26"/>
      <c r="M283" s="121"/>
      <c r="N283" s="122"/>
      <c r="O283" s="26"/>
      <c r="P283" s="26"/>
      <c r="Q283" s="26"/>
      <c r="R283" s="26"/>
      <c r="S283" s="26"/>
      <c r="T283" s="26"/>
      <c r="U283" s="26"/>
      <c r="V283" s="26"/>
      <c r="W283" s="26"/>
      <c r="X283" s="26"/>
      <c r="Y283" s="26"/>
      <c r="Z283" s="26"/>
    </row>
    <row r="284" spans="1:26" x14ac:dyDescent="0.2">
      <c r="A284" s="26"/>
      <c r="B284" s="119"/>
      <c r="C284" s="26"/>
      <c r="D284" s="26"/>
      <c r="E284" s="26"/>
      <c r="F284" s="26"/>
      <c r="G284" s="26"/>
      <c r="H284" s="26"/>
      <c r="I284" s="120"/>
      <c r="J284" s="120"/>
      <c r="K284" s="120"/>
      <c r="L284" s="26"/>
      <c r="M284" s="121"/>
      <c r="N284" s="122"/>
      <c r="O284" s="26"/>
      <c r="P284" s="26"/>
      <c r="Q284" s="26"/>
      <c r="R284" s="26"/>
      <c r="S284" s="26"/>
      <c r="T284" s="26"/>
      <c r="U284" s="26"/>
      <c r="V284" s="26"/>
      <c r="W284" s="26"/>
      <c r="X284" s="26"/>
      <c r="Y284" s="26"/>
      <c r="Z284" s="26"/>
    </row>
    <row r="285" spans="1:26" x14ac:dyDescent="0.2">
      <c r="A285" s="26"/>
      <c r="B285" s="119"/>
      <c r="C285" s="26"/>
      <c r="D285" s="26"/>
      <c r="E285" s="26"/>
      <c r="F285" s="26"/>
      <c r="G285" s="26"/>
      <c r="H285" s="26"/>
      <c r="I285" s="120"/>
      <c r="J285" s="120"/>
      <c r="K285" s="120"/>
      <c r="L285" s="26"/>
      <c r="M285" s="121"/>
      <c r="N285" s="122"/>
      <c r="O285" s="26"/>
      <c r="P285" s="26"/>
      <c r="Q285" s="26"/>
      <c r="R285" s="26"/>
      <c r="S285" s="26"/>
      <c r="T285" s="26"/>
      <c r="U285" s="26"/>
      <c r="V285" s="26"/>
      <c r="W285" s="26"/>
      <c r="X285" s="26"/>
      <c r="Y285" s="26"/>
      <c r="Z285" s="26"/>
    </row>
    <row r="286" spans="1:26" x14ac:dyDescent="0.2">
      <c r="A286" s="26"/>
      <c r="B286" s="119"/>
      <c r="C286" s="26"/>
      <c r="D286" s="26"/>
      <c r="E286" s="26"/>
      <c r="F286" s="26"/>
      <c r="G286" s="26"/>
      <c r="H286" s="26"/>
      <c r="I286" s="120"/>
      <c r="J286" s="120"/>
      <c r="K286" s="120"/>
      <c r="L286" s="26"/>
      <c r="M286" s="121"/>
      <c r="N286" s="122"/>
      <c r="O286" s="26"/>
      <c r="P286" s="26"/>
      <c r="Q286" s="26"/>
      <c r="R286" s="26"/>
      <c r="S286" s="26"/>
      <c r="T286" s="26"/>
      <c r="U286" s="26"/>
      <c r="V286" s="26"/>
      <c r="W286" s="26"/>
      <c r="X286" s="26"/>
      <c r="Y286" s="26"/>
      <c r="Z286" s="26"/>
    </row>
    <row r="287" spans="1:26" x14ac:dyDescent="0.2">
      <c r="A287" s="26"/>
      <c r="B287" s="119"/>
      <c r="C287" s="26"/>
      <c r="D287" s="26"/>
      <c r="E287" s="26"/>
      <c r="F287" s="26"/>
      <c r="G287" s="26"/>
      <c r="H287" s="26"/>
      <c r="I287" s="120"/>
      <c r="J287" s="120"/>
      <c r="K287" s="120"/>
      <c r="L287" s="26"/>
      <c r="M287" s="121"/>
      <c r="N287" s="122"/>
      <c r="O287" s="26"/>
      <c r="P287" s="26"/>
      <c r="Q287" s="26"/>
      <c r="R287" s="26"/>
      <c r="S287" s="26"/>
      <c r="T287" s="26"/>
      <c r="U287" s="26"/>
      <c r="V287" s="26"/>
      <c r="W287" s="26"/>
      <c r="X287" s="26"/>
      <c r="Y287" s="26"/>
      <c r="Z287" s="26"/>
    </row>
    <row r="288" spans="1:26" x14ac:dyDescent="0.2">
      <c r="A288" s="26"/>
      <c r="B288" s="119"/>
      <c r="C288" s="26"/>
      <c r="D288" s="26"/>
      <c r="E288" s="26"/>
      <c r="F288" s="26"/>
      <c r="G288" s="26"/>
      <c r="H288" s="26"/>
      <c r="I288" s="120"/>
      <c r="J288" s="120"/>
      <c r="K288" s="120"/>
      <c r="L288" s="26"/>
      <c r="M288" s="121"/>
      <c r="N288" s="122"/>
      <c r="O288" s="26"/>
      <c r="P288" s="26"/>
      <c r="Q288" s="26"/>
      <c r="R288" s="26"/>
      <c r="S288" s="26"/>
      <c r="T288" s="26"/>
      <c r="U288" s="26"/>
      <c r="V288" s="26"/>
      <c r="W288" s="26"/>
      <c r="X288" s="26"/>
      <c r="Y288" s="26"/>
      <c r="Z288" s="26"/>
    </row>
    <row r="289" spans="1:26" x14ac:dyDescent="0.2">
      <c r="A289" s="26"/>
      <c r="B289" s="119"/>
      <c r="C289" s="26"/>
      <c r="D289" s="26"/>
      <c r="E289" s="26"/>
      <c r="F289" s="26"/>
      <c r="G289" s="26"/>
      <c r="H289" s="26"/>
      <c r="I289" s="120"/>
      <c r="J289" s="120"/>
      <c r="K289" s="120"/>
      <c r="L289" s="26"/>
      <c r="M289" s="121"/>
      <c r="N289" s="122"/>
      <c r="O289" s="26"/>
      <c r="P289" s="26"/>
      <c r="Q289" s="26"/>
      <c r="R289" s="26"/>
      <c r="S289" s="26"/>
      <c r="T289" s="26"/>
      <c r="U289" s="26"/>
      <c r="V289" s="26"/>
      <c r="W289" s="26"/>
      <c r="X289" s="26"/>
      <c r="Y289" s="26"/>
      <c r="Z289" s="26"/>
    </row>
  </sheetData>
  <autoFilter ref="A19:BZ173"/>
  <mergeCells count="33">
    <mergeCell ref="A15:G15"/>
    <mergeCell ref="N17:N19"/>
    <mergeCell ref="A17:A19"/>
    <mergeCell ref="B17:B19"/>
    <mergeCell ref="G17:G19"/>
    <mergeCell ref="L17:L19"/>
    <mergeCell ref="M17:M19"/>
    <mergeCell ref="F17:F19"/>
    <mergeCell ref="C17:C19"/>
    <mergeCell ref="D17:D19"/>
    <mergeCell ref="I1:J1"/>
    <mergeCell ref="AA17:AA19"/>
    <mergeCell ref="E17:E19"/>
    <mergeCell ref="J17:J19"/>
    <mergeCell ref="H17:H19"/>
    <mergeCell ref="K17:K19"/>
    <mergeCell ref="W18:Z18"/>
    <mergeCell ref="A1:G1"/>
    <mergeCell ref="A3:B3"/>
    <mergeCell ref="I17:I19"/>
    <mergeCell ref="O18:O19"/>
    <mergeCell ref="P18:P19"/>
    <mergeCell ref="O17:S17"/>
    <mergeCell ref="R18:R19"/>
    <mergeCell ref="S18:S19"/>
    <mergeCell ref="T18:V18"/>
    <mergeCell ref="Q18:Q19"/>
    <mergeCell ref="T17:Z17"/>
    <mergeCell ref="AG17:AG19"/>
    <mergeCell ref="AC17:AC19"/>
    <mergeCell ref="AD17:AD19"/>
    <mergeCell ref="AF17:AF19"/>
    <mergeCell ref="AB17:AB19"/>
  </mergeCells>
  <phoneticPr fontId="2" type="noConversion"/>
  <printOptions headings="1" gridLines="1"/>
  <pageMargins left="0.75" right="0.75" top="0.47" bottom="0.54" header="0.26" footer="0.32"/>
  <pageSetup paperSize="8" scale="79" fitToWidth="2" fitToHeight="5" orientation="landscape" r:id="rId1"/>
  <headerFooter alignWithMargins="0">
    <oddHeader>&amp;R&amp;D</oddHeader>
    <oddFooter>&amp;L&amp;Z&amp;F&amp;R&amp;A</oddFooter>
  </headerFooter>
  <colBreaks count="1" manualBreakCount="1">
    <brk id="19" max="171" man="1"/>
  </colBreaks>
  <ignoredErrors>
    <ignoredError sqref="R27"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306"/>
  <sheetViews>
    <sheetView topLeftCell="A22" zoomScaleNormal="100" workbookViewId="0">
      <selection activeCell="D5" sqref="D5"/>
    </sheetView>
  </sheetViews>
  <sheetFormatPr defaultRowHeight="12.75" x14ac:dyDescent="0.2"/>
  <cols>
    <col min="1" max="1" width="32.28515625" customWidth="1"/>
    <col min="2" max="2" width="10" bestFit="1" customWidth="1"/>
    <col min="3" max="3" width="12.85546875" customWidth="1"/>
    <col min="4" max="4" width="10.140625" customWidth="1"/>
    <col min="5" max="5" width="28.7109375" customWidth="1"/>
    <col min="8" max="8" width="26.42578125" customWidth="1"/>
  </cols>
  <sheetData>
    <row r="1" spans="1:25" ht="25.5" x14ac:dyDescent="0.35">
      <c r="A1" s="5" t="s">
        <v>268</v>
      </c>
      <c r="F1" s="544"/>
      <c r="G1" s="544"/>
    </row>
    <row r="2" spans="1:25" x14ac:dyDescent="0.2">
      <c r="A2" s="6"/>
      <c r="B2" s="6"/>
      <c r="C2" s="6"/>
      <c r="D2" s="6"/>
      <c r="E2" s="6"/>
      <c r="F2" s="6"/>
      <c r="G2" s="6"/>
      <c r="H2" s="6"/>
      <c r="I2" s="6"/>
      <c r="J2" s="6"/>
      <c r="K2" s="6"/>
      <c r="L2" s="6"/>
      <c r="M2" s="6"/>
      <c r="N2" s="6"/>
      <c r="O2" s="6"/>
      <c r="P2" s="6"/>
      <c r="Q2" s="6"/>
      <c r="R2" s="6"/>
      <c r="S2" s="6"/>
      <c r="T2" s="6"/>
      <c r="U2" s="6"/>
      <c r="V2" s="6"/>
      <c r="W2" s="6"/>
      <c r="X2" s="6"/>
      <c r="Y2" s="6"/>
    </row>
    <row r="3" spans="1:25" x14ac:dyDescent="0.2">
      <c r="A3" s="17" t="s">
        <v>269</v>
      </c>
      <c r="B3" s="7"/>
      <c r="C3" s="7"/>
      <c r="D3" s="7"/>
      <c r="E3" s="7"/>
      <c r="F3" s="7"/>
      <c r="G3" s="7"/>
      <c r="H3" s="7"/>
      <c r="I3" s="7"/>
      <c r="J3" s="7"/>
      <c r="K3" s="7"/>
      <c r="L3" s="7"/>
      <c r="M3" s="7"/>
      <c r="N3" s="6"/>
      <c r="O3" s="6"/>
      <c r="P3" s="6"/>
      <c r="Q3" s="6"/>
      <c r="R3" s="6"/>
      <c r="S3" s="6"/>
      <c r="T3" s="6"/>
      <c r="U3" s="6"/>
      <c r="V3" s="6"/>
      <c r="W3" s="6"/>
      <c r="X3" s="6"/>
      <c r="Y3" s="6"/>
    </row>
    <row r="4" spans="1:25" x14ac:dyDescent="0.2">
      <c r="A4" s="7"/>
      <c r="B4" s="7"/>
      <c r="C4" s="7"/>
      <c r="D4" s="7"/>
      <c r="E4" s="7"/>
      <c r="F4" s="7"/>
      <c r="G4" s="7"/>
      <c r="H4" s="7"/>
      <c r="I4" s="7"/>
      <c r="J4" s="7"/>
      <c r="K4" s="7"/>
      <c r="L4" s="7"/>
      <c r="M4" s="7"/>
      <c r="N4" s="6"/>
      <c r="O4" s="6"/>
      <c r="P4" s="6"/>
      <c r="Q4" s="6"/>
      <c r="R4" s="6"/>
      <c r="S4" s="6"/>
      <c r="T4" s="6"/>
      <c r="U4" s="6"/>
      <c r="V4" s="6"/>
      <c r="W4" s="6"/>
      <c r="X4" s="6"/>
      <c r="Y4" s="6"/>
    </row>
    <row r="5" spans="1:25" ht="63.75" customHeight="1" x14ac:dyDescent="0.2">
      <c r="A5" s="493" t="s">
        <v>1816</v>
      </c>
      <c r="B5" s="493"/>
      <c r="C5" s="493"/>
      <c r="D5" s="493"/>
      <c r="E5" s="493"/>
      <c r="F5" s="7"/>
      <c r="G5" s="7"/>
      <c r="H5" s="7"/>
      <c r="I5" s="7"/>
      <c r="J5" s="7"/>
      <c r="K5" s="7"/>
      <c r="L5" s="7"/>
      <c r="M5" s="7"/>
      <c r="N5" s="6"/>
      <c r="O5" s="6"/>
      <c r="P5" s="6"/>
      <c r="Q5" s="6"/>
      <c r="R5" s="6"/>
      <c r="S5" s="6"/>
      <c r="T5" s="6"/>
      <c r="U5" s="6"/>
      <c r="V5" s="6"/>
      <c r="W5" s="6"/>
      <c r="X5" s="6"/>
      <c r="Y5" s="6"/>
    </row>
    <row r="6" spans="1:25" x14ac:dyDescent="0.2">
      <c r="A6" s="7"/>
      <c r="B6" s="7"/>
      <c r="C6" s="7"/>
      <c r="D6" s="7"/>
      <c r="E6" s="7"/>
      <c r="F6" s="7"/>
      <c r="G6" s="7"/>
      <c r="H6" s="7"/>
      <c r="I6" s="7"/>
      <c r="J6" s="7"/>
      <c r="K6" s="7"/>
      <c r="L6" s="7"/>
      <c r="M6" s="7"/>
      <c r="N6" s="6"/>
      <c r="O6" s="6"/>
      <c r="P6" s="6"/>
      <c r="Q6" s="6"/>
      <c r="R6" s="6"/>
      <c r="S6" s="6"/>
      <c r="T6" s="6"/>
      <c r="U6" s="6"/>
      <c r="V6" s="6"/>
      <c r="W6" s="6"/>
      <c r="X6" s="6"/>
      <c r="Y6" s="6"/>
    </row>
    <row r="7" spans="1:25" ht="22.5" x14ac:dyDescent="0.2">
      <c r="A7" s="17" t="s">
        <v>294</v>
      </c>
      <c r="B7" s="7"/>
      <c r="C7" s="7"/>
      <c r="D7" s="7"/>
      <c r="E7" s="364" t="s">
        <v>1288</v>
      </c>
      <c r="F7" s="7"/>
      <c r="G7" s="7"/>
      <c r="H7" s="7"/>
      <c r="I7" s="7"/>
      <c r="J7" s="7"/>
      <c r="K7" s="7"/>
      <c r="L7" s="7"/>
      <c r="M7" s="7"/>
      <c r="N7" s="6"/>
      <c r="O7" s="6"/>
      <c r="P7" s="6"/>
      <c r="Q7" s="6"/>
      <c r="R7" s="6"/>
      <c r="S7" s="6"/>
      <c r="T7" s="6"/>
      <c r="U7" s="6"/>
      <c r="V7" s="6"/>
      <c r="W7" s="6"/>
      <c r="X7" s="6"/>
      <c r="Y7" s="6"/>
    </row>
    <row r="8" spans="1:25" ht="22.5" x14ac:dyDescent="0.2">
      <c r="A8" s="17"/>
      <c r="B8" s="7"/>
      <c r="C8" s="7"/>
      <c r="D8" s="7"/>
      <c r="E8" s="362" t="s">
        <v>1289</v>
      </c>
      <c r="F8" s="7"/>
      <c r="G8" s="7"/>
      <c r="H8" s="7"/>
      <c r="I8" s="7"/>
      <c r="J8" s="7"/>
      <c r="K8" s="7"/>
      <c r="L8" s="7"/>
      <c r="M8" s="7"/>
      <c r="N8" s="6"/>
      <c r="O8" s="6"/>
      <c r="P8" s="6"/>
      <c r="Q8" s="6"/>
      <c r="R8" s="6"/>
      <c r="S8" s="6"/>
      <c r="T8" s="6"/>
      <c r="U8" s="6"/>
      <c r="V8" s="6"/>
      <c r="W8" s="6"/>
      <c r="X8" s="6"/>
      <c r="Y8" s="6"/>
    </row>
    <row r="9" spans="1:25" ht="13.5" thickBot="1" x14ac:dyDescent="0.25">
      <c r="A9" s="239" t="s">
        <v>1262</v>
      </c>
      <c r="B9" s="7"/>
      <c r="C9" s="7"/>
      <c r="D9" s="7"/>
      <c r="E9" s="7"/>
      <c r="F9" s="7"/>
      <c r="G9" s="7"/>
      <c r="H9" s="7"/>
      <c r="I9" s="7"/>
      <c r="J9" s="7"/>
      <c r="K9" s="7"/>
      <c r="L9" s="7"/>
      <c r="M9" s="7"/>
      <c r="N9" s="6"/>
      <c r="O9" s="6"/>
      <c r="P9" s="6"/>
      <c r="Q9" s="6"/>
      <c r="R9" s="6"/>
      <c r="S9" s="6"/>
      <c r="T9" s="6"/>
      <c r="U9" s="6"/>
      <c r="V9" s="6"/>
      <c r="W9" s="6"/>
      <c r="X9" s="6"/>
      <c r="Y9" s="6"/>
    </row>
    <row r="10" spans="1:25" ht="12.75" customHeight="1" thickTop="1" thickBot="1" x14ac:dyDescent="0.25">
      <c r="A10" s="7" t="s">
        <v>205</v>
      </c>
      <c r="B10" s="356">
        <v>0.3</v>
      </c>
      <c r="C10" s="547" t="s">
        <v>899</v>
      </c>
      <c r="D10" s="547"/>
      <c r="E10" s="547"/>
      <c r="F10" s="7"/>
      <c r="G10" s="7"/>
      <c r="H10" s="7"/>
      <c r="I10" s="7"/>
      <c r="J10" s="7"/>
      <c r="K10" s="7"/>
      <c r="L10" s="7"/>
      <c r="M10" s="7"/>
      <c r="N10" s="7"/>
      <c r="O10" s="7"/>
      <c r="P10" s="7"/>
      <c r="Q10" s="7"/>
      <c r="R10" s="7"/>
      <c r="S10" s="7"/>
      <c r="T10" s="7"/>
      <c r="U10" s="7"/>
    </row>
    <row r="11" spans="1:25" ht="14.25" thickTop="1" thickBot="1" x14ac:dyDescent="0.25">
      <c r="A11" s="7" t="s">
        <v>206</v>
      </c>
      <c r="B11" s="241">
        <v>1.3092520000000001</v>
      </c>
      <c r="C11" s="547"/>
      <c r="D11" s="547"/>
      <c r="E11" s="547"/>
      <c r="F11" s="7"/>
      <c r="G11" s="7"/>
      <c r="H11" s="7"/>
      <c r="I11" s="7"/>
      <c r="J11" s="7"/>
      <c r="K11" s="7"/>
      <c r="L11" s="7"/>
      <c r="M11" s="7"/>
      <c r="N11" s="7"/>
      <c r="O11" s="7"/>
      <c r="P11" s="7"/>
      <c r="Q11" s="7"/>
      <c r="R11" s="7"/>
      <c r="S11" s="7"/>
      <c r="T11" s="7"/>
      <c r="U11" s="7"/>
    </row>
    <row r="12" spans="1:25" ht="14.25" thickTop="1" thickBot="1" x14ac:dyDescent="0.25">
      <c r="A12" s="7" t="s">
        <v>207</v>
      </c>
      <c r="B12" s="356">
        <v>0.3</v>
      </c>
      <c r="C12" s="547"/>
      <c r="D12" s="547"/>
      <c r="E12" s="547"/>
      <c r="F12" s="7"/>
      <c r="G12" s="7"/>
      <c r="H12" s="7"/>
      <c r="I12" s="7"/>
      <c r="J12" s="7"/>
      <c r="K12" s="7"/>
      <c r="L12" s="7"/>
      <c r="M12" s="7"/>
      <c r="N12" s="7"/>
      <c r="O12" s="7"/>
      <c r="P12" s="7"/>
      <c r="Q12" s="7"/>
      <c r="R12" s="7"/>
      <c r="S12" s="7"/>
      <c r="T12" s="7"/>
      <c r="U12" s="7"/>
    </row>
    <row r="13" spans="1:25" ht="13.5" thickTop="1" x14ac:dyDescent="0.2">
      <c r="A13" s="7"/>
      <c r="B13" s="7"/>
      <c r="C13" s="7"/>
      <c r="D13" s="7"/>
      <c r="E13" s="7"/>
      <c r="F13" s="7"/>
      <c r="G13" s="7"/>
      <c r="H13" s="7"/>
      <c r="I13" s="7"/>
      <c r="J13" s="7"/>
      <c r="K13" s="7"/>
      <c r="L13" s="7"/>
      <c r="M13" s="7"/>
      <c r="N13" s="6"/>
      <c r="O13" s="6"/>
      <c r="P13" s="6"/>
      <c r="Q13" s="6"/>
      <c r="R13" s="6"/>
      <c r="S13" s="6"/>
      <c r="T13" s="6"/>
      <c r="U13" s="6"/>
      <c r="V13" s="6"/>
      <c r="W13" s="6"/>
      <c r="X13" s="6"/>
      <c r="Y13" s="6"/>
    </row>
    <row r="14" spans="1:25" ht="13.5" thickBot="1" x14ac:dyDescent="0.25">
      <c r="A14" s="239" t="s">
        <v>1263</v>
      </c>
      <c r="B14" s="360" t="s">
        <v>1420</v>
      </c>
      <c r="C14" s="7"/>
      <c r="D14" s="7"/>
      <c r="E14" s="7"/>
      <c r="F14" s="7"/>
      <c r="G14" s="7"/>
      <c r="H14" s="7"/>
      <c r="I14" s="7"/>
      <c r="J14" s="7"/>
      <c r="K14" s="7"/>
      <c r="L14" s="7"/>
      <c r="M14" s="7"/>
      <c r="N14" s="6"/>
      <c r="O14" s="6"/>
      <c r="P14" s="6"/>
      <c r="Q14" s="6"/>
      <c r="R14" s="6"/>
      <c r="S14" s="6"/>
      <c r="T14" s="6"/>
      <c r="U14" s="6"/>
      <c r="V14" s="6"/>
      <c r="W14" s="6"/>
      <c r="X14" s="6"/>
      <c r="Y14" s="6"/>
    </row>
    <row r="15" spans="1:25" ht="45.75" thickBot="1" x14ac:dyDescent="0.25">
      <c r="A15" s="7" t="s">
        <v>271</v>
      </c>
      <c r="B15" s="357">
        <v>1</v>
      </c>
      <c r="C15" s="7" t="s">
        <v>964</v>
      </c>
      <c r="D15" s="72" t="s">
        <v>599</v>
      </c>
      <c r="E15" s="239" t="s">
        <v>917</v>
      </c>
      <c r="F15" s="7"/>
      <c r="G15" s="7"/>
      <c r="H15" s="7"/>
      <c r="I15" s="7"/>
      <c r="J15" s="7"/>
      <c r="K15" s="7"/>
      <c r="L15" s="7"/>
      <c r="M15" s="7"/>
      <c r="N15" s="6"/>
      <c r="O15" s="6"/>
      <c r="P15" s="6"/>
      <c r="Q15" s="6"/>
      <c r="R15" s="6"/>
      <c r="S15" s="6"/>
      <c r="T15" s="6"/>
      <c r="U15" s="6"/>
      <c r="V15" s="6"/>
      <c r="W15" s="6"/>
      <c r="X15" s="6"/>
      <c r="Y15" s="6"/>
    </row>
    <row r="16" spans="1:25" ht="15" customHeight="1" thickBot="1" x14ac:dyDescent="0.25">
      <c r="A16" s="7" t="s">
        <v>272</v>
      </c>
      <c r="B16" s="357">
        <v>0.13</v>
      </c>
      <c r="C16" s="7" t="s">
        <v>964</v>
      </c>
      <c r="D16" s="72" t="s">
        <v>600</v>
      </c>
      <c r="E16" s="7" t="s">
        <v>916</v>
      </c>
      <c r="F16" s="44">
        <v>20</v>
      </c>
      <c r="G16" s="7"/>
      <c r="H16" s="7" t="s">
        <v>915</v>
      </c>
      <c r="I16" s="7"/>
      <c r="J16" s="7"/>
      <c r="K16" s="7"/>
      <c r="L16" s="7"/>
      <c r="M16" s="7"/>
      <c r="N16" s="6"/>
      <c r="O16" s="6"/>
      <c r="P16" s="6"/>
      <c r="Q16" s="6"/>
      <c r="R16" s="6"/>
      <c r="S16" s="6"/>
      <c r="T16" s="6"/>
      <c r="U16" s="6"/>
      <c r="V16" s="6"/>
      <c r="W16" s="6"/>
      <c r="X16" s="6"/>
      <c r="Y16" s="6"/>
    </row>
    <row r="17" spans="1:25" ht="45.75" thickBot="1" x14ac:dyDescent="0.25">
      <c r="A17" s="7" t="s">
        <v>920</v>
      </c>
      <c r="B17" s="358">
        <v>0.69</v>
      </c>
      <c r="C17" s="7" t="s">
        <v>964</v>
      </c>
      <c r="D17" s="72" t="s">
        <v>599</v>
      </c>
      <c r="E17" s="7" t="s">
        <v>914</v>
      </c>
      <c r="F17" s="44">
        <v>10</v>
      </c>
      <c r="G17" s="7"/>
      <c r="H17" s="7"/>
      <c r="I17" s="7"/>
      <c r="J17" s="7"/>
      <c r="K17" s="7"/>
      <c r="L17" s="7"/>
      <c r="M17" s="7"/>
      <c r="N17" s="6"/>
      <c r="O17" s="6"/>
      <c r="P17" s="6"/>
      <c r="Q17" s="6"/>
      <c r="R17" s="6"/>
      <c r="S17" s="6"/>
      <c r="T17" s="6"/>
      <c r="U17" s="6"/>
      <c r="V17" s="6"/>
      <c r="W17" s="6"/>
      <c r="X17" s="6"/>
      <c r="Y17" s="6"/>
    </row>
    <row r="18" spans="1:25" ht="45.75" thickBot="1" x14ac:dyDescent="0.25">
      <c r="A18" s="7" t="s">
        <v>921</v>
      </c>
      <c r="B18" s="358">
        <v>0.13</v>
      </c>
      <c r="C18" s="7" t="s">
        <v>964</v>
      </c>
      <c r="D18" s="72" t="s">
        <v>600</v>
      </c>
      <c r="E18" s="7" t="s">
        <v>911</v>
      </c>
      <c r="F18" s="44">
        <v>20</v>
      </c>
      <c r="G18" s="7"/>
      <c r="H18" s="7"/>
      <c r="I18" s="7"/>
      <c r="J18" s="7"/>
      <c r="K18" s="7"/>
      <c r="L18" s="7"/>
      <c r="M18" s="7"/>
      <c r="N18" s="6"/>
      <c r="O18" s="6"/>
      <c r="P18" s="6"/>
      <c r="Q18" s="6"/>
      <c r="R18" s="6"/>
      <c r="S18" s="6"/>
      <c r="T18" s="6"/>
      <c r="U18" s="6"/>
      <c r="V18" s="6"/>
      <c r="W18" s="6"/>
      <c r="X18" s="6"/>
      <c r="Y18" s="6"/>
    </row>
    <row r="19" spans="1:25" x14ac:dyDescent="0.2">
      <c r="A19" s="7"/>
      <c r="B19" s="70"/>
      <c r="C19" s="7"/>
      <c r="D19" s="7"/>
      <c r="E19" s="7" t="s">
        <v>912</v>
      </c>
      <c r="F19" s="44">
        <v>10</v>
      </c>
      <c r="G19" s="7"/>
      <c r="H19" s="7"/>
      <c r="I19" s="7"/>
      <c r="J19" s="7"/>
      <c r="K19" s="7"/>
      <c r="L19" s="7"/>
      <c r="M19" s="7"/>
      <c r="N19" s="6"/>
      <c r="O19" s="6"/>
      <c r="P19" s="6"/>
      <c r="Q19" s="6"/>
      <c r="R19" s="6"/>
      <c r="S19" s="6"/>
      <c r="T19" s="6"/>
      <c r="U19" s="6"/>
      <c r="V19" s="6"/>
      <c r="W19" s="6"/>
      <c r="X19" s="6"/>
      <c r="Y19" s="6"/>
    </row>
    <row r="20" spans="1:25" x14ac:dyDescent="0.2">
      <c r="A20" s="7"/>
      <c r="B20" s="70"/>
      <c r="C20" s="7"/>
      <c r="D20" s="7"/>
      <c r="E20" s="7" t="s">
        <v>913</v>
      </c>
      <c r="F20" s="44">
        <v>3</v>
      </c>
      <c r="G20" s="7"/>
      <c r="H20" s="7"/>
      <c r="I20" s="7"/>
      <c r="J20" s="7"/>
      <c r="K20" s="7"/>
      <c r="L20" s="7"/>
      <c r="M20" s="7"/>
      <c r="N20" s="6"/>
      <c r="O20" s="6"/>
      <c r="P20" s="6"/>
      <c r="Q20" s="6"/>
      <c r="R20" s="6"/>
      <c r="S20" s="6"/>
      <c r="T20" s="6"/>
      <c r="U20" s="6"/>
      <c r="V20" s="6"/>
      <c r="W20" s="6"/>
      <c r="X20" s="6"/>
      <c r="Y20" s="6"/>
    </row>
    <row r="21" spans="1:25" x14ac:dyDescent="0.2">
      <c r="A21" s="7"/>
      <c r="B21" s="70"/>
      <c r="C21" s="7"/>
      <c r="D21" s="7"/>
      <c r="E21" s="7"/>
      <c r="F21" s="7"/>
      <c r="G21" s="7"/>
      <c r="H21" s="7"/>
      <c r="I21" s="7"/>
      <c r="J21" s="7"/>
      <c r="K21" s="7"/>
      <c r="L21" s="7"/>
      <c r="M21" s="7"/>
      <c r="N21" s="6"/>
      <c r="O21" s="6"/>
      <c r="P21" s="6"/>
      <c r="Q21" s="6"/>
      <c r="R21" s="6"/>
      <c r="S21" s="6"/>
      <c r="T21" s="6"/>
      <c r="U21" s="6"/>
      <c r="V21" s="6"/>
      <c r="W21" s="6"/>
      <c r="X21" s="6"/>
      <c r="Y21" s="6"/>
    </row>
    <row r="22" spans="1:25" ht="21.75" x14ac:dyDescent="0.2">
      <c r="A22" s="239" t="s">
        <v>256</v>
      </c>
      <c r="B22" s="7"/>
      <c r="C22" s="7"/>
      <c r="D22" s="7"/>
      <c r="E22" s="239" t="s">
        <v>918</v>
      </c>
      <c r="F22" s="7"/>
      <c r="G22" s="7"/>
      <c r="H22" s="7"/>
      <c r="I22" s="7"/>
      <c r="J22" s="7"/>
      <c r="K22" s="7"/>
      <c r="L22" s="7"/>
      <c r="M22" s="7"/>
      <c r="N22" s="6"/>
      <c r="O22" s="6"/>
      <c r="P22" s="6"/>
      <c r="Q22" s="6"/>
      <c r="R22" s="6"/>
      <c r="S22" s="6"/>
      <c r="T22" s="6"/>
      <c r="U22" s="6"/>
      <c r="V22" s="6"/>
      <c r="W22" s="6"/>
      <c r="X22" s="6"/>
      <c r="Y22" s="6"/>
    </row>
    <row r="23" spans="1:25" s="6" customFormat="1" ht="11.25" x14ac:dyDescent="0.2">
      <c r="A23" s="230" t="s">
        <v>277</v>
      </c>
      <c r="B23" s="231" t="s">
        <v>278</v>
      </c>
      <c r="C23" s="211" t="s">
        <v>880</v>
      </c>
      <c r="D23" s="7"/>
      <c r="E23" s="7" t="s">
        <v>916</v>
      </c>
      <c r="F23" s="44">
        <v>20</v>
      </c>
      <c r="G23" s="7"/>
      <c r="H23" s="7"/>
      <c r="I23" s="7"/>
      <c r="J23" s="7"/>
      <c r="K23" s="7"/>
      <c r="L23" s="7"/>
      <c r="M23" s="7"/>
    </row>
    <row r="24" spans="1:25" s="6" customFormat="1" ht="11.25" x14ac:dyDescent="0.2">
      <c r="A24" s="9" t="s">
        <v>279</v>
      </c>
      <c r="B24" s="232">
        <v>47.82</v>
      </c>
      <c r="C24" s="234">
        <f t="shared" ref="C24:C29" si="0">B24*(1 + $B$12)</f>
        <v>62.166000000000004</v>
      </c>
      <c r="D24" s="7"/>
      <c r="E24" s="7" t="s">
        <v>914</v>
      </c>
      <c r="F24" s="44">
        <v>10</v>
      </c>
      <c r="G24" s="7"/>
      <c r="H24" s="7"/>
      <c r="I24" s="7"/>
      <c r="J24" s="7"/>
      <c r="K24" s="7"/>
      <c r="L24" s="7"/>
      <c r="M24" s="7"/>
    </row>
    <row r="25" spans="1:25" s="6" customFormat="1" ht="22.5" x14ac:dyDescent="0.2">
      <c r="A25" s="9" t="s">
        <v>288</v>
      </c>
      <c r="B25" s="232">
        <v>76.510000000000005</v>
      </c>
      <c r="C25" s="234">
        <f t="shared" si="0"/>
        <v>99.463000000000008</v>
      </c>
      <c r="D25" s="7"/>
      <c r="E25" s="7" t="s">
        <v>911</v>
      </c>
      <c r="F25" s="44">
        <f>20/10</f>
        <v>2</v>
      </c>
      <c r="G25" s="7" t="s">
        <v>919</v>
      </c>
      <c r="H25" s="7"/>
      <c r="I25" s="7"/>
      <c r="J25" s="7"/>
      <c r="K25" s="7"/>
      <c r="L25" s="7"/>
      <c r="M25" s="7"/>
    </row>
    <row r="26" spans="1:25" s="6" customFormat="1" ht="22.5" x14ac:dyDescent="0.2">
      <c r="A26" s="9" t="s">
        <v>289</v>
      </c>
      <c r="B26" s="232">
        <v>22.41</v>
      </c>
      <c r="C26" s="234">
        <f t="shared" si="0"/>
        <v>29.133000000000003</v>
      </c>
      <c r="D26" s="7"/>
      <c r="E26" s="7" t="s">
        <v>912</v>
      </c>
      <c r="F26" s="196">
        <f>10/5</f>
        <v>2</v>
      </c>
      <c r="G26" s="7" t="s">
        <v>1264</v>
      </c>
      <c r="H26" s="7"/>
      <c r="I26" s="7"/>
      <c r="J26" s="7"/>
      <c r="K26" s="7"/>
      <c r="L26" s="7"/>
      <c r="M26" s="7"/>
    </row>
    <row r="27" spans="1:25" s="6" customFormat="1" ht="11.25" x14ac:dyDescent="0.2">
      <c r="A27" s="9" t="s">
        <v>290</v>
      </c>
      <c r="B27" s="232">
        <v>20.13</v>
      </c>
      <c r="C27" s="234">
        <f t="shared" si="0"/>
        <v>26.169</v>
      </c>
      <c r="D27" s="7"/>
      <c r="E27" s="7" t="s">
        <v>913</v>
      </c>
      <c r="F27" s="44">
        <v>3</v>
      </c>
      <c r="G27" s="7"/>
      <c r="H27" s="7"/>
      <c r="I27" s="7"/>
      <c r="J27" s="7"/>
      <c r="K27" s="7"/>
      <c r="L27" s="7"/>
      <c r="M27" s="7"/>
    </row>
    <row r="28" spans="1:25" s="6" customFormat="1" ht="12.75" customHeight="1" x14ac:dyDescent="0.2">
      <c r="A28" s="9" t="s">
        <v>267</v>
      </c>
      <c r="B28" s="232">
        <v>7.61</v>
      </c>
      <c r="C28" s="234">
        <f t="shared" si="0"/>
        <v>9.8930000000000007</v>
      </c>
      <c r="D28" s="72"/>
      <c r="E28"/>
      <c r="F28"/>
      <c r="G28" s="7"/>
      <c r="H28" s="7"/>
      <c r="I28" s="7"/>
      <c r="J28" s="7"/>
      <c r="K28" s="7"/>
      <c r="L28" s="7"/>
      <c r="M28" s="7"/>
    </row>
    <row r="29" spans="1:25" s="6" customFormat="1" ht="11.25" x14ac:dyDescent="0.2">
      <c r="A29" s="11" t="s">
        <v>291</v>
      </c>
      <c r="B29" s="233">
        <v>24.17</v>
      </c>
      <c r="C29" s="225">
        <f t="shared" si="0"/>
        <v>31.421000000000003</v>
      </c>
      <c r="D29" s="7"/>
      <c r="E29" s="7"/>
      <c r="F29" s="7"/>
      <c r="G29" s="7"/>
      <c r="H29" s="7"/>
      <c r="I29" s="7"/>
      <c r="J29" s="7"/>
      <c r="K29" s="7"/>
      <c r="L29" s="7"/>
      <c r="M29" s="7"/>
    </row>
    <row r="30" spans="1:25" s="6" customFormat="1" ht="11.25" x14ac:dyDescent="0.2">
      <c r="A30" s="18"/>
      <c r="B30" s="53"/>
      <c r="C30" s="7"/>
      <c r="D30" s="7"/>
      <c r="E30" s="7"/>
      <c r="F30" s="7"/>
      <c r="G30" s="7"/>
      <c r="H30" s="7"/>
      <c r="I30" s="7"/>
      <c r="J30" s="7"/>
      <c r="K30" s="7"/>
      <c r="L30" s="7"/>
      <c r="M30" s="7"/>
    </row>
    <row r="31" spans="1:25" s="6" customFormat="1" ht="11.25" x14ac:dyDescent="0.2">
      <c r="A31" s="258" t="s">
        <v>257</v>
      </c>
      <c r="B31" s="53"/>
      <c r="C31" s="7"/>
      <c r="D31" s="7"/>
      <c r="E31" s="7"/>
      <c r="F31" s="7"/>
      <c r="G31" s="7"/>
      <c r="H31" s="7"/>
      <c r="I31" s="7"/>
      <c r="J31" s="7"/>
      <c r="K31" s="7"/>
      <c r="L31" s="7"/>
      <c r="M31" s="7"/>
    </row>
    <row r="32" spans="1:25" x14ac:dyDescent="0.2">
      <c r="A32" s="43" t="s">
        <v>299</v>
      </c>
      <c r="B32" s="44">
        <v>2</v>
      </c>
      <c r="C32" s="43"/>
      <c r="D32" s="43"/>
      <c r="E32" s="43"/>
      <c r="F32" s="43"/>
      <c r="G32" s="43"/>
      <c r="H32" s="43"/>
      <c r="I32" s="7"/>
      <c r="J32" s="7"/>
      <c r="K32" s="7"/>
      <c r="L32" s="7"/>
      <c r="M32" s="7"/>
      <c r="N32" s="7"/>
      <c r="O32" s="7"/>
      <c r="P32" s="7"/>
      <c r="Q32" s="7"/>
      <c r="R32" s="7"/>
      <c r="S32" s="7"/>
      <c r="T32" s="7"/>
      <c r="U32" s="6"/>
    </row>
    <row r="33" spans="1:25" x14ac:dyDescent="0.2">
      <c r="A33" s="43" t="s">
        <v>300</v>
      </c>
      <c r="B33" s="44">
        <v>80</v>
      </c>
      <c r="C33" s="43"/>
      <c r="D33" s="43"/>
      <c r="E33" s="43"/>
      <c r="F33" s="43"/>
      <c r="G33" s="43"/>
      <c r="H33" s="43"/>
      <c r="I33" s="7"/>
      <c r="J33" s="7"/>
      <c r="K33" s="7"/>
      <c r="L33" s="7"/>
      <c r="M33" s="7"/>
      <c r="N33" s="7"/>
      <c r="O33" s="7"/>
      <c r="P33" s="7"/>
      <c r="Q33" s="7"/>
      <c r="R33" s="7"/>
      <c r="S33" s="7"/>
      <c r="T33" s="7"/>
      <c r="U33" s="6"/>
    </row>
    <row r="34" spans="1:25" x14ac:dyDescent="0.2">
      <c r="A34" s="43" t="s">
        <v>2057</v>
      </c>
      <c r="B34" s="44">
        <v>4</v>
      </c>
      <c r="C34" s="43"/>
      <c r="D34" s="43"/>
      <c r="E34" s="43"/>
      <c r="F34" s="43"/>
      <c r="G34" s="43"/>
      <c r="H34" s="43"/>
      <c r="I34" s="7"/>
      <c r="J34" s="7"/>
      <c r="K34" s="7"/>
      <c r="L34" s="7"/>
      <c r="M34" s="7"/>
      <c r="N34" s="7"/>
      <c r="O34" s="7"/>
      <c r="P34" s="7"/>
      <c r="Q34" s="7"/>
      <c r="R34" s="7"/>
      <c r="S34" s="7"/>
      <c r="T34" s="7"/>
      <c r="U34" s="6"/>
    </row>
    <row r="35" spans="1:25" x14ac:dyDescent="0.2">
      <c r="A35" s="43" t="s">
        <v>204</v>
      </c>
      <c r="B35" s="196">
        <f>4*60/((F24+F26+F27+F25))</f>
        <v>14.117647058823529</v>
      </c>
      <c r="C35" s="43"/>
      <c r="D35" s="43"/>
      <c r="E35" s="43"/>
      <c r="F35" s="43"/>
      <c r="G35" s="43"/>
      <c r="H35" s="43"/>
      <c r="I35" s="7"/>
      <c r="J35" s="7"/>
      <c r="K35" s="7"/>
      <c r="L35" s="7"/>
      <c r="M35" s="7"/>
      <c r="N35" s="7"/>
      <c r="O35" s="7"/>
      <c r="P35" s="7"/>
      <c r="Q35" s="7"/>
      <c r="R35" s="7"/>
      <c r="S35" s="7"/>
      <c r="T35" s="7"/>
      <c r="U35" s="6"/>
    </row>
    <row r="36" spans="1:25" x14ac:dyDescent="0.2">
      <c r="A36" s="43" t="s">
        <v>258</v>
      </c>
      <c r="B36" s="45">
        <f>B32*B33*B34/B35</f>
        <v>45.333333333333336</v>
      </c>
      <c r="C36" s="43"/>
      <c r="D36" s="43"/>
      <c r="E36" s="43"/>
      <c r="F36" s="43"/>
      <c r="G36" s="43"/>
      <c r="H36" s="43"/>
      <c r="I36" s="7"/>
      <c r="J36" s="7"/>
      <c r="K36" s="7"/>
      <c r="L36" s="7"/>
      <c r="M36" s="7"/>
      <c r="N36" s="7"/>
      <c r="O36" s="7"/>
      <c r="P36" s="7"/>
      <c r="Q36" s="7"/>
      <c r="R36" s="7"/>
      <c r="S36" s="7"/>
      <c r="T36" s="7"/>
      <c r="U36" s="6"/>
    </row>
    <row r="37" spans="1:25" ht="56.25" x14ac:dyDescent="0.2">
      <c r="A37" s="7" t="s">
        <v>956</v>
      </c>
      <c r="B37" s="54">
        <v>0.1</v>
      </c>
      <c r="C37" s="7" t="s">
        <v>201</v>
      </c>
      <c r="D37" s="7"/>
      <c r="E37" s="7"/>
      <c r="F37" s="7"/>
      <c r="G37" s="7"/>
      <c r="H37" s="7"/>
      <c r="I37" s="7"/>
      <c r="J37" s="7"/>
      <c r="K37" s="7"/>
      <c r="L37" s="7"/>
      <c r="M37" s="7"/>
      <c r="N37" s="6"/>
      <c r="O37" s="6"/>
      <c r="P37" s="6"/>
      <c r="Q37" s="6"/>
      <c r="R37" s="6"/>
      <c r="S37" s="6"/>
      <c r="T37" s="6"/>
      <c r="U37" s="6"/>
      <c r="V37" s="6"/>
      <c r="W37" s="6"/>
      <c r="X37" s="6"/>
      <c r="Y37" s="6"/>
    </row>
    <row r="38" spans="1:25" ht="22.5" x14ac:dyDescent="0.2">
      <c r="A38" s="7" t="s">
        <v>957</v>
      </c>
      <c r="B38" s="54">
        <v>0.1</v>
      </c>
      <c r="C38" s="7" t="s">
        <v>202</v>
      </c>
      <c r="D38" s="7"/>
      <c r="E38" s="7"/>
      <c r="F38" s="7"/>
      <c r="G38" s="7"/>
      <c r="H38" s="7"/>
      <c r="I38" s="7"/>
      <c r="J38" s="7"/>
      <c r="K38" s="7"/>
      <c r="L38" s="7"/>
      <c r="M38" s="7"/>
      <c r="N38" s="6"/>
      <c r="O38" s="6"/>
      <c r="P38" s="6"/>
      <c r="Q38" s="6"/>
      <c r="R38" s="6"/>
      <c r="S38" s="6"/>
      <c r="T38" s="6"/>
      <c r="U38" s="6"/>
      <c r="V38" s="6"/>
      <c r="W38" s="6"/>
      <c r="X38" s="6"/>
      <c r="Y38" s="6"/>
    </row>
    <row r="39" spans="1:25" ht="45" x14ac:dyDescent="0.2">
      <c r="A39" s="7" t="s">
        <v>958</v>
      </c>
      <c r="B39" s="54">
        <v>0.8</v>
      </c>
      <c r="C39" s="7" t="s">
        <v>203</v>
      </c>
      <c r="D39" s="7"/>
      <c r="E39" s="7"/>
      <c r="F39" s="7"/>
      <c r="G39" s="7"/>
      <c r="H39" s="7"/>
      <c r="I39" s="7"/>
      <c r="J39" s="7"/>
      <c r="K39" s="7"/>
      <c r="L39" s="7"/>
      <c r="M39" s="7"/>
      <c r="N39" s="6"/>
      <c r="O39" s="6"/>
      <c r="P39" s="6"/>
      <c r="Q39" s="6"/>
      <c r="R39" s="6"/>
      <c r="S39" s="6"/>
      <c r="T39" s="6"/>
      <c r="U39" s="6"/>
      <c r="V39" s="6"/>
      <c r="W39" s="6"/>
      <c r="X39" s="6"/>
      <c r="Y39" s="6"/>
    </row>
    <row r="40" spans="1:25" ht="22.5" x14ac:dyDescent="0.2">
      <c r="A40" s="7" t="s">
        <v>959</v>
      </c>
      <c r="B40" s="54">
        <v>0.8</v>
      </c>
      <c r="C40" s="7" t="s">
        <v>202</v>
      </c>
      <c r="D40" s="7"/>
      <c r="E40" s="7"/>
      <c r="F40" s="7"/>
      <c r="G40" s="7"/>
      <c r="H40" s="7"/>
      <c r="I40" s="7"/>
      <c r="J40" s="7"/>
      <c r="K40" s="7"/>
      <c r="L40" s="7"/>
      <c r="M40" s="7"/>
      <c r="N40" s="6"/>
      <c r="O40" s="6"/>
      <c r="P40" s="6"/>
      <c r="Q40" s="6"/>
      <c r="R40" s="6"/>
      <c r="S40" s="6"/>
      <c r="T40" s="6"/>
      <c r="U40" s="6"/>
      <c r="V40" s="6"/>
      <c r="W40" s="6"/>
      <c r="X40" s="6"/>
      <c r="Y40" s="6"/>
    </row>
    <row r="41" spans="1:25" x14ac:dyDescent="0.2">
      <c r="A41" s="7"/>
      <c r="B41" s="7"/>
      <c r="C41" s="7"/>
      <c r="D41" s="7"/>
      <c r="E41" s="7"/>
      <c r="F41" s="7"/>
      <c r="G41" s="7"/>
      <c r="H41" s="7"/>
      <c r="I41" s="7"/>
      <c r="J41" s="7"/>
      <c r="K41" s="7"/>
      <c r="L41" s="7"/>
      <c r="M41" s="7"/>
      <c r="N41" s="6"/>
      <c r="O41" s="6"/>
      <c r="P41" s="6"/>
      <c r="Q41" s="6"/>
      <c r="R41" s="6"/>
      <c r="S41" s="6"/>
      <c r="T41" s="6"/>
      <c r="U41" s="6"/>
      <c r="V41" s="6"/>
      <c r="W41" s="6"/>
      <c r="X41" s="6"/>
      <c r="Y41" s="6"/>
    </row>
    <row r="42" spans="1:25" x14ac:dyDescent="0.2">
      <c r="A42" s="239" t="s">
        <v>259</v>
      </c>
      <c r="B42" s="7"/>
      <c r="C42" s="7"/>
      <c r="D42" s="7"/>
      <c r="E42" s="7"/>
      <c r="F42" s="7"/>
      <c r="G42" s="7"/>
      <c r="H42" s="7"/>
      <c r="I42" s="7"/>
      <c r="J42" s="7"/>
      <c r="K42" s="7"/>
      <c r="L42" s="7"/>
      <c r="M42" s="7"/>
      <c r="N42" s="6"/>
      <c r="O42" s="6"/>
      <c r="P42" s="6"/>
      <c r="Q42" s="6"/>
      <c r="R42" s="6"/>
      <c r="S42" s="6"/>
      <c r="T42" s="6"/>
      <c r="U42" s="6"/>
      <c r="V42" s="6"/>
      <c r="W42" s="6"/>
      <c r="X42" s="6"/>
      <c r="Y42" s="6"/>
    </row>
    <row r="43" spans="1:25" ht="11.25" customHeight="1" x14ac:dyDescent="0.2">
      <c r="A43" s="7" t="s">
        <v>273</v>
      </c>
      <c r="B43" s="47">
        <v>34.54</v>
      </c>
      <c r="C43" s="262"/>
      <c r="D43" s="72"/>
      <c r="E43" s="7"/>
      <c r="F43" s="7"/>
      <c r="G43" s="7"/>
      <c r="H43" s="7"/>
      <c r="I43" s="7"/>
      <c r="J43" s="7"/>
      <c r="K43" s="7"/>
      <c r="L43" s="7"/>
      <c r="M43" s="7"/>
      <c r="N43" s="6"/>
      <c r="O43" s="6"/>
      <c r="P43" s="6"/>
      <c r="Q43" s="6"/>
      <c r="R43" s="6"/>
      <c r="S43" s="6"/>
      <c r="T43" s="6"/>
      <c r="U43" s="6"/>
      <c r="V43" s="6"/>
      <c r="W43" s="6"/>
      <c r="X43" s="6"/>
      <c r="Y43" s="6"/>
    </row>
    <row r="44" spans="1:25" x14ac:dyDescent="0.2">
      <c r="A44" s="7" t="s">
        <v>274</v>
      </c>
      <c r="B44" s="45">
        <f>B43*(1+B11)</f>
        <v>79.761564079999999</v>
      </c>
      <c r="C44" s="7"/>
      <c r="D44" s="7"/>
      <c r="E44" s="7"/>
      <c r="F44" s="7"/>
      <c r="G44" s="7"/>
      <c r="H44" s="7"/>
      <c r="I44" s="7"/>
      <c r="J44" s="7"/>
      <c r="K44" s="7"/>
      <c r="L44" s="7"/>
      <c r="M44" s="7"/>
      <c r="N44" s="6"/>
      <c r="O44" s="6"/>
      <c r="P44" s="6"/>
      <c r="Q44" s="6"/>
      <c r="R44" s="6"/>
      <c r="S44" s="6"/>
      <c r="T44" s="6"/>
      <c r="U44" s="6"/>
      <c r="V44" s="6"/>
      <c r="W44" s="6"/>
      <c r="X44" s="6"/>
      <c r="Y44" s="6"/>
    </row>
    <row r="45" spans="1:25" ht="22.5" x14ac:dyDescent="0.2">
      <c r="A45" s="7" t="s">
        <v>1241</v>
      </c>
      <c r="B45" s="47">
        <f>B44</f>
        <v>79.761564079999999</v>
      </c>
      <c r="C45" s="7"/>
      <c r="D45" s="7"/>
      <c r="E45" s="7"/>
      <c r="F45" s="7"/>
      <c r="G45" s="7"/>
      <c r="H45" s="7"/>
      <c r="I45" s="7"/>
      <c r="J45" s="7"/>
      <c r="K45" s="7"/>
      <c r="L45" s="7"/>
      <c r="M45" s="7"/>
      <c r="N45" s="6"/>
      <c r="O45" s="6"/>
      <c r="P45" s="6"/>
      <c r="Q45" s="6"/>
      <c r="R45" s="6"/>
      <c r="S45" s="6"/>
      <c r="T45" s="6"/>
      <c r="U45" s="6"/>
      <c r="V45" s="6"/>
      <c r="W45" s="6"/>
      <c r="X45" s="6"/>
      <c r="Y45" s="6"/>
    </row>
    <row r="46" spans="1:25" x14ac:dyDescent="0.2">
      <c r="A46" s="7"/>
      <c r="B46" s="70"/>
      <c r="C46" s="7"/>
      <c r="D46" s="7"/>
      <c r="E46" s="7"/>
      <c r="F46" s="7"/>
      <c r="G46" s="7"/>
      <c r="H46" s="7"/>
      <c r="I46" s="7"/>
      <c r="J46" s="7"/>
      <c r="K46" s="7"/>
      <c r="L46" s="7"/>
      <c r="M46" s="7"/>
      <c r="N46" s="6"/>
      <c r="O46" s="6"/>
      <c r="P46" s="6"/>
      <c r="Q46" s="6"/>
      <c r="R46" s="6"/>
      <c r="S46" s="6"/>
      <c r="T46" s="6"/>
      <c r="U46" s="6"/>
      <c r="V46" s="6"/>
      <c r="W46" s="6"/>
      <c r="X46" s="6"/>
      <c r="Y46" s="6"/>
    </row>
    <row r="47" spans="1:25" x14ac:dyDescent="0.2">
      <c r="A47" s="239" t="s">
        <v>177</v>
      </c>
      <c r="B47" s="70"/>
      <c r="C47" s="7"/>
      <c r="D47" s="7"/>
      <c r="E47" s="7"/>
      <c r="F47" s="7"/>
      <c r="G47" s="7"/>
      <c r="H47" s="7"/>
      <c r="I47" s="7"/>
      <c r="J47" s="7"/>
      <c r="K47" s="7"/>
      <c r="L47" s="7"/>
      <c r="M47" s="7"/>
      <c r="N47" s="6"/>
      <c r="O47" s="6"/>
      <c r="P47" s="6"/>
      <c r="Q47" s="6"/>
      <c r="R47" s="6"/>
      <c r="S47" s="6"/>
      <c r="T47" s="6"/>
      <c r="U47" s="6"/>
      <c r="V47" s="6"/>
      <c r="W47" s="6"/>
      <c r="X47" s="6"/>
      <c r="Y47" s="6"/>
    </row>
    <row r="48" spans="1:25" ht="22.5" x14ac:dyDescent="0.2">
      <c r="A48" s="61" t="s">
        <v>178</v>
      </c>
      <c r="B48" s="46">
        <v>84662</v>
      </c>
      <c r="C48" s="7"/>
      <c r="D48" s="7"/>
      <c r="E48" s="7"/>
      <c r="F48" s="7"/>
      <c r="G48" s="7"/>
      <c r="H48" s="7"/>
      <c r="I48" s="7"/>
      <c r="J48" s="7"/>
      <c r="K48" s="7"/>
      <c r="L48" s="7"/>
      <c r="M48" s="7"/>
      <c r="N48" s="6"/>
      <c r="O48" s="6"/>
      <c r="P48" s="6"/>
      <c r="Q48" s="6"/>
      <c r="R48" s="6"/>
      <c r="S48" s="6"/>
      <c r="T48" s="6"/>
      <c r="U48" s="6"/>
      <c r="V48" s="6"/>
      <c r="W48" s="6"/>
      <c r="X48" s="6"/>
      <c r="Y48" s="6"/>
    </row>
    <row r="49" spans="1:25" ht="33.75" x14ac:dyDescent="0.2">
      <c r="A49" s="61" t="s">
        <v>1768</v>
      </c>
      <c r="B49" s="46">
        <v>9618</v>
      </c>
      <c r="C49" s="73"/>
      <c r="D49" s="73"/>
      <c r="E49" s="7"/>
      <c r="F49" s="7"/>
      <c r="G49" s="7"/>
      <c r="H49" s="7"/>
      <c r="I49" s="7"/>
      <c r="J49" s="7"/>
      <c r="K49" s="7"/>
      <c r="L49" s="7"/>
      <c r="M49" s="7"/>
      <c r="N49" s="6"/>
      <c r="O49" s="6"/>
      <c r="P49" s="6"/>
      <c r="Q49" s="6"/>
      <c r="R49" s="6"/>
      <c r="S49" s="6"/>
      <c r="T49" s="6"/>
      <c r="U49" s="6"/>
      <c r="V49" s="6"/>
      <c r="W49" s="6"/>
      <c r="X49" s="6"/>
      <c r="Y49" s="6"/>
    </row>
    <row r="50" spans="1:25" ht="33.75" x14ac:dyDescent="0.2">
      <c r="A50" s="61" t="s">
        <v>1767</v>
      </c>
      <c r="B50" s="71">
        <v>44097</v>
      </c>
      <c r="C50" s="73"/>
      <c r="D50" s="73"/>
      <c r="E50" s="7"/>
      <c r="F50" s="7"/>
      <c r="G50" s="7"/>
      <c r="H50" s="7"/>
      <c r="I50" s="7"/>
      <c r="J50" s="7"/>
      <c r="K50" s="7"/>
      <c r="L50" s="7"/>
      <c r="M50" s="7"/>
      <c r="N50" s="6"/>
      <c r="O50" s="6"/>
      <c r="P50" s="6"/>
      <c r="Q50" s="6"/>
      <c r="R50" s="6"/>
      <c r="S50" s="6"/>
      <c r="T50" s="6"/>
      <c r="U50" s="6"/>
      <c r="V50" s="6"/>
      <c r="W50" s="6"/>
      <c r="X50" s="6"/>
      <c r="Y50" s="6"/>
    </row>
    <row r="51" spans="1:25" ht="33.75" x14ac:dyDescent="0.2">
      <c r="A51" s="61" t="s">
        <v>287</v>
      </c>
      <c r="B51" s="55">
        <f>SUM(B48:B50)</f>
        <v>138377</v>
      </c>
      <c r="C51" s="73"/>
      <c r="D51" s="73"/>
      <c r="E51" s="7"/>
      <c r="F51" s="7"/>
      <c r="G51" s="7"/>
      <c r="H51" s="7"/>
      <c r="I51" s="7"/>
      <c r="J51" s="7"/>
      <c r="K51" s="7"/>
      <c r="L51" s="7"/>
      <c r="M51" s="7"/>
      <c r="N51" s="6"/>
      <c r="O51" s="6"/>
      <c r="P51" s="6"/>
      <c r="Q51" s="6"/>
      <c r="R51" s="6"/>
      <c r="S51" s="6"/>
      <c r="T51" s="6"/>
      <c r="U51" s="6"/>
      <c r="V51" s="6"/>
      <c r="W51" s="6"/>
      <c r="X51" s="6"/>
      <c r="Y51" s="6"/>
    </row>
    <row r="52" spans="1:25" x14ac:dyDescent="0.2">
      <c r="A52" s="61" t="s">
        <v>1242</v>
      </c>
      <c r="B52" s="47">
        <v>5</v>
      </c>
      <c r="C52" s="73"/>
      <c r="D52" s="73"/>
      <c r="E52" s="7"/>
      <c r="F52" s="7"/>
      <c r="G52" s="7"/>
      <c r="H52" s="7"/>
      <c r="I52" s="7"/>
      <c r="J52" s="7"/>
      <c r="K52" s="7"/>
      <c r="L52" s="7"/>
      <c r="M52" s="7"/>
      <c r="N52" s="6"/>
      <c r="O52" s="6"/>
      <c r="P52" s="6"/>
      <c r="Q52" s="6"/>
      <c r="R52" s="6"/>
      <c r="S52" s="6"/>
      <c r="T52" s="6"/>
      <c r="U52" s="6"/>
      <c r="V52" s="6"/>
      <c r="W52" s="6"/>
      <c r="X52" s="6"/>
      <c r="Y52" s="6"/>
    </row>
    <row r="53" spans="1:25" x14ac:dyDescent="0.2">
      <c r="A53" s="61" t="s">
        <v>336</v>
      </c>
      <c r="B53" s="46">
        <v>0.5</v>
      </c>
      <c r="C53" s="43" t="s">
        <v>964</v>
      </c>
      <c r="D53" s="43"/>
      <c r="E53" s="7"/>
      <c r="F53" s="7"/>
      <c r="G53" s="7"/>
      <c r="H53" s="7"/>
      <c r="I53" s="7"/>
      <c r="J53" s="7"/>
      <c r="K53" s="7"/>
      <c r="L53" s="7"/>
      <c r="M53" s="7"/>
      <c r="N53" s="6"/>
      <c r="O53" s="6"/>
      <c r="P53" s="6"/>
      <c r="Q53" s="6"/>
      <c r="R53" s="6"/>
      <c r="S53" s="6"/>
      <c r="T53" s="6"/>
      <c r="U53" s="6"/>
      <c r="V53" s="6"/>
      <c r="W53" s="6"/>
      <c r="X53" s="6"/>
      <c r="Y53" s="6"/>
    </row>
    <row r="54" spans="1:25" ht="33.75" x14ac:dyDescent="0.2">
      <c r="A54" s="61" t="s">
        <v>335</v>
      </c>
      <c r="B54" s="238">
        <v>0.69299999999999995</v>
      </c>
      <c r="C54" s="43"/>
      <c r="D54" s="43"/>
      <c r="E54" s="7"/>
      <c r="F54" s="7"/>
      <c r="G54" s="7"/>
      <c r="H54" s="7"/>
      <c r="I54" s="7"/>
      <c r="J54" s="7"/>
      <c r="K54" s="7"/>
      <c r="L54" s="7"/>
      <c r="M54" s="7"/>
      <c r="N54" s="6"/>
      <c r="O54" s="6"/>
      <c r="P54" s="6"/>
      <c r="Q54" s="6"/>
      <c r="R54" s="6"/>
      <c r="S54" s="6"/>
      <c r="T54" s="6"/>
      <c r="U54" s="6"/>
      <c r="V54" s="6"/>
      <c r="W54" s="6"/>
      <c r="X54" s="6"/>
      <c r="Y54" s="6"/>
    </row>
    <row r="55" spans="1:25" x14ac:dyDescent="0.2">
      <c r="A55" s="61" t="s">
        <v>1764</v>
      </c>
      <c r="B55" s="46">
        <v>4.5</v>
      </c>
      <c r="C55" s="43" t="s">
        <v>1765</v>
      </c>
      <c r="D55" s="43"/>
      <c r="E55" s="7"/>
      <c r="F55" s="7"/>
      <c r="G55" s="7"/>
      <c r="H55" s="7"/>
      <c r="I55" s="7"/>
      <c r="J55" s="7"/>
      <c r="K55" s="7"/>
      <c r="L55" s="7"/>
      <c r="M55" s="7"/>
      <c r="N55" s="6"/>
      <c r="O55" s="6"/>
      <c r="P55" s="6"/>
      <c r="Q55" s="6"/>
      <c r="R55" s="6"/>
      <c r="S55" s="6"/>
      <c r="T55" s="6"/>
      <c r="U55" s="6"/>
      <c r="V55" s="6"/>
      <c r="W55" s="6"/>
      <c r="X55" s="6"/>
      <c r="Y55" s="6"/>
    </row>
    <row r="56" spans="1:25" ht="22.7" customHeight="1" x14ac:dyDescent="0.2">
      <c r="A56" s="268" t="s">
        <v>193</v>
      </c>
      <c r="B56" s="45"/>
      <c r="C56" s="545"/>
      <c r="D56" s="546"/>
      <c r="E56" s="546"/>
      <c r="F56" s="7"/>
      <c r="G56" s="7"/>
      <c r="H56" s="7"/>
      <c r="I56" s="7"/>
      <c r="J56" s="7"/>
      <c r="K56" s="7"/>
      <c r="L56" s="7"/>
      <c r="M56" s="7"/>
      <c r="N56" s="6"/>
      <c r="O56" s="6"/>
      <c r="P56" s="6"/>
      <c r="Q56" s="6"/>
      <c r="R56" s="6"/>
      <c r="S56" s="6"/>
      <c r="T56" s="6"/>
      <c r="U56" s="6"/>
      <c r="V56" s="6"/>
      <c r="W56" s="6"/>
      <c r="X56" s="6"/>
      <c r="Y56" s="6"/>
    </row>
    <row r="57" spans="1:25" x14ac:dyDescent="0.2">
      <c r="A57" s="266" t="s">
        <v>986</v>
      </c>
      <c r="B57" s="267">
        <f>(B53*(B45+C28)+(B52*B54))/B55</f>
        <v>10.731618231111112</v>
      </c>
      <c r="C57" s="43"/>
      <c r="D57" s="25"/>
      <c r="E57" s="25"/>
      <c r="F57" s="7"/>
      <c r="G57" s="7"/>
      <c r="H57" s="7"/>
      <c r="I57" s="7"/>
      <c r="J57" s="7"/>
      <c r="K57" s="7"/>
      <c r="L57" s="7"/>
      <c r="M57" s="7"/>
      <c r="N57" s="6"/>
      <c r="O57" s="6"/>
      <c r="P57" s="6"/>
      <c r="Q57" s="6"/>
      <c r="R57" s="6"/>
      <c r="S57" s="6"/>
      <c r="T57" s="6"/>
      <c r="U57" s="6"/>
      <c r="V57" s="6"/>
      <c r="W57" s="6"/>
      <c r="X57" s="6"/>
      <c r="Y57" s="6"/>
    </row>
    <row r="58" spans="1:25" x14ac:dyDescent="0.2">
      <c r="A58" s="266" t="s">
        <v>987</v>
      </c>
      <c r="B58" s="267">
        <f>B53*(B45+C28)/B55</f>
        <v>9.9616182311111103</v>
      </c>
      <c r="C58" s="43"/>
      <c r="D58" s="25"/>
      <c r="E58" s="25"/>
      <c r="F58" s="7"/>
      <c r="G58" s="7"/>
      <c r="H58" s="7"/>
      <c r="I58" s="7"/>
      <c r="J58" s="7"/>
      <c r="K58" s="7"/>
      <c r="L58" s="7"/>
      <c r="M58" s="7"/>
      <c r="N58" s="6"/>
      <c r="O58" s="6"/>
      <c r="P58" s="6"/>
      <c r="Q58" s="6"/>
      <c r="R58" s="6"/>
      <c r="S58" s="6"/>
      <c r="T58" s="6"/>
      <c r="U58" s="6"/>
      <c r="V58" s="6"/>
      <c r="W58" s="6"/>
      <c r="X58" s="6"/>
      <c r="Y58" s="6"/>
    </row>
    <row r="59" spans="1:25" x14ac:dyDescent="0.2">
      <c r="A59" s="266" t="s">
        <v>313</v>
      </c>
      <c r="B59" s="267">
        <f>B58</f>
        <v>9.9616182311111103</v>
      </c>
      <c r="C59" s="43"/>
      <c r="D59" s="25"/>
      <c r="E59" s="25"/>
      <c r="F59" s="7"/>
      <c r="G59" s="7"/>
      <c r="H59" s="7"/>
      <c r="I59" s="7"/>
      <c r="J59" s="7"/>
      <c r="K59" s="7"/>
      <c r="L59" s="7"/>
      <c r="M59" s="7"/>
      <c r="N59" s="6"/>
      <c r="O59" s="6"/>
      <c r="P59" s="6"/>
      <c r="Q59" s="6"/>
      <c r="R59" s="6"/>
      <c r="S59" s="6"/>
      <c r="T59" s="6"/>
      <c r="U59" s="6"/>
      <c r="V59" s="6"/>
      <c r="W59" s="6"/>
      <c r="X59" s="6"/>
      <c r="Y59" s="6"/>
    </row>
    <row r="60" spans="1:25" x14ac:dyDescent="0.2">
      <c r="A60" s="266" t="s">
        <v>985</v>
      </c>
      <c r="B60" s="267">
        <v>0</v>
      </c>
      <c r="C60" s="43"/>
      <c r="D60" s="25"/>
      <c r="E60" s="25"/>
      <c r="F60" s="7"/>
      <c r="G60" s="7"/>
      <c r="H60" s="7"/>
      <c r="I60" s="7"/>
      <c r="J60" s="7"/>
      <c r="K60" s="7"/>
      <c r="L60" s="7"/>
      <c r="M60" s="7"/>
      <c r="N60" s="6"/>
      <c r="O60" s="6"/>
      <c r="P60" s="6"/>
      <c r="Q60" s="6"/>
      <c r="R60" s="6"/>
      <c r="S60" s="6"/>
      <c r="T60" s="6"/>
      <c r="U60" s="6"/>
      <c r="V60" s="6"/>
      <c r="W60" s="6"/>
      <c r="X60" s="6"/>
      <c r="Y60" s="6"/>
    </row>
    <row r="61" spans="1:25" x14ac:dyDescent="0.2">
      <c r="A61" s="266" t="s">
        <v>983</v>
      </c>
      <c r="B61" s="267">
        <v>0</v>
      </c>
      <c r="C61" s="7"/>
      <c r="D61" s="7"/>
      <c r="E61" s="7"/>
      <c r="F61" s="7"/>
      <c r="G61" s="7"/>
      <c r="H61" s="7"/>
      <c r="I61" s="7"/>
      <c r="J61" s="7"/>
      <c r="K61" s="7"/>
      <c r="L61" s="7"/>
      <c r="M61" s="7"/>
      <c r="N61" s="6"/>
      <c r="O61" s="6"/>
      <c r="P61" s="6"/>
      <c r="Q61" s="6"/>
      <c r="R61" s="6"/>
      <c r="S61" s="6"/>
      <c r="T61" s="6"/>
      <c r="U61" s="6"/>
      <c r="V61" s="6"/>
      <c r="W61" s="6"/>
      <c r="X61" s="6"/>
      <c r="Y61" s="6"/>
    </row>
    <row r="62" spans="1:25" x14ac:dyDescent="0.2">
      <c r="A62" s="50"/>
      <c r="B62" s="70"/>
      <c r="C62" s="7"/>
      <c r="D62" s="7"/>
      <c r="E62" s="7"/>
      <c r="F62" s="7"/>
      <c r="G62" s="7"/>
      <c r="H62" s="7"/>
      <c r="I62" s="7"/>
      <c r="J62" s="7"/>
      <c r="K62" s="7"/>
      <c r="L62" s="7"/>
      <c r="M62" s="7"/>
      <c r="N62" s="6"/>
      <c r="O62" s="6"/>
      <c r="P62" s="6"/>
      <c r="Q62" s="6"/>
      <c r="R62" s="6"/>
      <c r="S62" s="6"/>
      <c r="T62" s="6"/>
      <c r="U62" s="6"/>
      <c r="V62" s="6"/>
      <c r="W62" s="6"/>
      <c r="X62" s="6"/>
      <c r="Y62" s="6"/>
    </row>
    <row r="63" spans="1:25" x14ac:dyDescent="0.2">
      <c r="A63" s="239" t="s">
        <v>260</v>
      </c>
      <c r="B63" s="63"/>
      <c r="C63" s="7"/>
      <c r="D63" s="7"/>
      <c r="E63" s="7"/>
      <c r="F63" s="7"/>
      <c r="G63" s="7"/>
      <c r="H63" s="7"/>
      <c r="I63" s="7"/>
      <c r="J63" s="7"/>
      <c r="K63" s="7"/>
      <c r="L63" s="7"/>
      <c r="M63" s="7"/>
      <c r="N63" s="6"/>
      <c r="O63" s="6"/>
      <c r="P63" s="6"/>
      <c r="Q63" s="6"/>
      <c r="R63" s="6"/>
      <c r="S63" s="6"/>
      <c r="T63" s="6"/>
      <c r="U63" s="6"/>
      <c r="V63" s="6"/>
      <c r="W63" s="6"/>
      <c r="X63" s="6"/>
      <c r="Y63" s="6"/>
    </row>
    <row r="64" spans="1:25" x14ac:dyDescent="0.2">
      <c r="A64" s="61" t="s">
        <v>261</v>
      </c>
      <c r="B64" s="55">
        <v>1</v>
      </c>
      <c r="C64" s="7"/>
      <c r="D64" s="7"/>
      <c r="E64" s="7"/>
      <c r="F64" s="7"/>
      <c r="G64" s="7"/>
      <c r="H64" s="7"/>
      <c r="I64" s="7"/>
      <c r="J64" s="7"/>
      <c r="K64" s="7"/>
      <c r="L64" s="7"/>
      <c r="M64" s="7"/>
      <c r="N64" s="6"/>
      <c r="O64" s="6"/>
      <c r="P64" s="6"/>
      <c r="Q64" s="6"/>
      <c r="R64" s="6"/>
      <c r="S64" s="6"/>
      <c r="T64" s="6"/>
      <c r="U64" s="6"/>
      <c r="V64" s="6"/>
      <c r="W64" s="6"/>
      <c r="X64" s="6"/>
      <c r="Y64" s="6"/>
    </row>
    <row r="65" spans="1:25" x14ac:dyDescent="0.2">
      <c r="A65" s="61" t="s">
        <v>262</v>
      </c>
      <c r="B65" s="55">
        <v>2</v>
      </c>
      <c r="C65" s="15" t="s">
        <v>944</v>
      </c>
      <c r="D65" s="7"/>
      <c r="E65" s="7"/>
      <c r="F65" s="7"/>
      <c r="G65" s="7"/>
      <c r="H65" s="7"/>
      <c r="I65" s="7"/>
      <c r="J65" s="7"/>
      <c r="K65" s="7"/>
      <c r="L65" s="7"/>
      <c r="M65" s="7"/>
      <c r="N65" s="6"/>
      <c r="O65" s="6"/>
      <c r="P65" s="6"/>
      <c r="Q65" s="6"/>
      <c r="R65" s="6"/>
      <c r="S65" s="6"/>
      <c r="T65" s="6"/>
      <c r="U65" s="6"/>
      <c r="V65" s="6"/>
      <c r="W65" s="6"/>
      <c r="X65" s="6"/>
      <c r="Y65" s="6"/>
    </row>
    <row r="66" spans="1:25" x14ac:dyDescent="0.2">
      <c r="A66" s="61" t="s">
        <v>263</v>
      </c>
      <c r="B66" s="55">
        <v>15</v>
      </c>
      <c r="C66" s="7"/>
      <c r="D66" s="7"/>
      <c r="E66" s="7"/>
      <c r="F66" s="7"/>
      <c r="G66" s="7"/>
      <c r="H66" s="7"/>
      <c r="I66" s="7"/>
      <c r="J66" s="7"/>
      <c r="K66" s="7"/>
      <c r="L66" s="7"/>
      <c r="M66" s="7"/>
      <c r="N66" s="6"/>
      <c r="O66" s="6"/>
      <c r="P66" s="6"/>
      <c r="Q66" s="6"/>
      <c r="R66" s="6"/>
      <c r="S66" s="6"/>
      <c r="T66" s="6"/>
      <c r="U66" s="6"/>
      <c r="V66" s="6"/>
      <c r="W66" s="6"/>
      <c r="X66" s="6"/>
      <c r="Y66" s="6"/>
    </row>
    <row r="67" spans="1:25" x14ac:dyDescent="0.2">
      <c r="A67" s="61" t="s">
        <v>264</v>
      </c>
      <c r="B67" s="55">
        <v>180</v>
      </c>
      <c r="C67" s="7"/>
      <c r="D67" s="7"/>
      <c r="E67" s="7"/>
      <c r="F67" s="7"/>
      <c r="G67" s="7"/>
      <c r="H67" s="7"/>
      <c r="I67" s="7"/>
      <c r="J67" s="7"/>
      <c r="K67" s="7"/>
      <c r="L67" s="7"/>
      <c r="M67" s="7"/>
      <c r="N67" s="6"/>
      <c r="O67" s="6"/>
      <c r="P67" s="6"/>
      <c r="Q67" s="6"/>
      <c r="R67" s="6"/>
      <c r="S67" s="6"/>
      <c r="T67" s="6"/>
      <c r="U67" s="6"/>
      <c r="V67" s="6"/>
      <c r="W67" s="6"/>
      <c r="X67" s="6"/>
      <c r="Y67" s="6"/>
    </row>
    <row r="68" spans="1:25" x14ac:dyDescent="0.2">
      <c r="A68" s="61"/>
      <c r="B68" s="63"/>
      <c r="C68" s="7"/>
      <c r="D68" s="7"/>
      <c r="E68" s="7"/>
      <c r="F68" s="7"/>
      <c r="G68" s="7"/>
      <c r="H68" s="7"/>
      <c r="I68" s="7"/>
      <c r="J68" s="7"/>
      <c r="K68" s="7"/>
      <c r="L68" s="7"/>
      <c r="M68" s="7"/>
      <c r="N68" s="6"/>
      <c r="O68" s="6"/>
      <c r="P68" s="6"/>
      <c r="Q68" s="6"/>
      <c r="R68" s="6"/>
      <c r="S68" s="6"/>
      <c r="T68" s="6"/>
      <c r="U68" s="6"/>
      <c r="V68" s="6"/>
      <c r="W68" s="6"/>
      <c r="X68" s="6"/>
      <c r="Y68" s="6"/>
    </row>
    <row r="69" spans="1:25" x14ac:dyDescent="0.2">
      <c r="A69" s="239" t="s">
        <v>181</v>
      </c>
      <c r="B69" s="63"/>
      <c r="C69" s="7"/>
      <c r="D69" s="7"/>
      <c r="E69" s="7"/>
      <c r="F69" s="7"/>
      <c r="G69" s="7"/>
      <c r="H69" s="7"/>
      <c r="I69" s="7"/>
      <c r="J69" s="7"/>
      <c r="K69" s="7"/>
      <c r="L69" s="7"/>
      <c r="M69" s="7"/>
      <c r="N69" s="6"/>
      <c r="O69" s="6"/>
      <c r="P69" s="6"/>
      <c r="Q69" s="6"/>
      <c r="R69" s="6"/>
      <c r="S69" s="6"/>
      <c r="T69" s="6"/>
      <c r="U69" s="6"/>
      <c r="V69" s="6"/>
      <c r="W69" s="6"/>
      <c r="X69" s="6"/>
      <c r="Y69" s="6"/>
    </row>
    <row r="70" spans="1:25" x14ac:dyDescent="0.2">
      <c r="A70" s="50"/>
      <c r="B70" s="63"/>
      <c r="C70" s="7"/>
      <c r="D70" s="7"/>
      <c r="E70" s="7"/>
      <c r="F70" s="7"/>
      <c r="G70" s="7"/>
      <c r="H70" s="7"/>
      <c r="I70" s="7"/>
      <c r="J70" s="7"/>
      <c r="K70" s="7"/>
      <c r="L70" s="7"/>
      <c r="M70" s="7"/>
      <c r="N70" s="6"/>
      <c r="O70" s="6"/>
      <c r="P70" s="6"/>
      <c r="Q70" s="6"/>
      <c r="R70" s="6"/>
      <c r="S70" s="6"/>
      <c r="T70" s="6"/>
      <c r="U70" s="6"/>
      <c r="V70" s="6"/>
      <c r="W70" s="6"/>
      <c r="X70" s="6"/>
      <c r="Y70" s="6"/>
    </row>
    <row r="71" spans="1:25" ht="22.5" x14ac:dyDescent="0.2">
      <c r="A71" s="61" t="s">
        <v>882</v>
      </c>
      <c r="B71" s="63" t="s">
        <v>883</v>
      </c>
      <c r="C71" s="7" t="s">
        <v>884</v>
      </c>
      <c r="D71" s="7"/>
      <c r="E71" s="7" t="s">
        <v>885</v>
      </c>
      <c r="F71" s="7" t="s">
        <v>896</v>
      </c>
      <c r="G71" s="7"/>
      <c r="H71" s="7"/>
      <c r="I71" s="7"/>
      <c r="J71" s="7"/>
      <c r="K71" s="7"/>
      <c r="L71" s="7"/>
      <c r="M71" s="7"/>
      <c r="N71" s="6"/>
      <c r="O71" s="6"/>
      <c r="P71" s="6"/>
      <c r="Q71" s="6"/>
      <c r="R71" s="6"/>
      <c r="S71" s="6"/>
      <c r="T71" s="6"/>
      <c r="U71" s="6"/>
      <c r="V71" s="6"/>
      <c r="W71" s="6"/>
      <c r="X71" s="6"/>
      <c r="Y71" s="6"/>
    </row>
    <row r="72" spans="1:25" x14ac:dyDescent="0.2">
      <c r="A72" s="41" t="s">
        <v>886</v>
      </c>
      <c r="B72" s="226">
        <v>0.6</v>
      </c>
      <c r="C72" s="226">
        <v>0.4</v>
      </c>
      <c r="D72" s="226"/>
      <c r="E72" s="227">
        <v>17050</v>
      </c>
      <c r="F72" s="7">
        <f>B72*E72</f>
        <v>10230</v>
      </c>
      <c r="G72" s="7"/>
      <c r="H72" s="7"/>
      <c r="I72" s="7"/>
      <c r="J72" s="7"/>
      <c r="K72" s="7"/>
      <c r="L72" s="7"/>
      <c r="M72" s="7"/>
      <c r="N72" s="6"/>
      <c r="O72" s="6"/>
      <c r="P72" s="6"/>
      <c r="Q72" s="6"/>
      <c r="R72" s="6"/>
      <c r="S72" s="6"/>
      <c r="T72" s="6"/>
      <c r="U72" s="6"/>
      <c r="V72" s="6"/>
      <c r="W72" s="6"/>
      <c r="X72" s="6"/>
      <c r="Y72" s="6"/>
    </row>
    <row r="73" spans="1:25" x14ac:dyDescent="0.2">
      <c r="A73" s="41" t="s">
        <v>887</v>
      </c>
      <c r="B73" s="226">
        <v>0.8</v>
      </c>
      <c r="C73" s="226">
        <v>0.2</v>
      </c>
      <c r="D73" s="226"/>
      <c r="E73" s="227">
        <v>18941</v>
      </c>
      <c r="F73" s="7">
        <f t="shared" ref="F73:F78" si="1">B73*E73</f>
        <v>15152.800000000001</v>
      </c>
      <c r="G73" s="7"/>
      <c r="H73" s="7"/>
      <c r="I73" s="7"/>
      <c r="J73" s="7"/>
      <c r="K73" s="7"/>
      <c r="L73" s="7"/>
      <c r="M73" s="7"/>
      <c r="N73" s="6"/>
      <c r="O73" s="6"/>
      <c r="P73" s="6"/>
      <c r="Q73" s="6"/>
      <c r="R73" s="6"/>
      <c r="S73" s="6"/>
      <c r="T73" s="6"/>
      <c r="U73" s="6"/>
      <c r="V73" s="6"/>
      <c r="W73" s="6"/>
      <c r="X73" s="6"/>
      <c r="Y73" s="6"/>
    </row>
    <row r="74" spans="1:25" x14ac:dyDescent="0.2">
      <c r="A74" s="41" t="s">
        <v>888</v>
      </c>
      <c r="B74" s="226">
        <v>0.35</v>
      </c>
      <c r="C74" s="226">
        <v>0.65</v>
      </c>
      <c r="D74" s="226"/>
      <c r="E74" s="227">
        <v>15685</v>
      </c>
      <c r="F74" s="7">
        <f t="shared" si="1"/>
        <v>5489.75</v>
      </c>
      <c r="G74" s="7"/>
      <c r="H74" s="7"/>
      <c r="I74" s="7"/>
      <c r="J74" s="7"/>
      <c r="K74" s="7"/>
      <c r="L74" s="7"/>
      <c r="M74" s="7"/>
      <c r="N74" s="6"/>
      <c r="O74" s="6"/>
      <c r="P74" s="6"/>
      <c r="Q74" s="6"/>
      <c r="R74" s="6"/>
      <c r="S74" s="6"/>
      <c r="T74" s="6"/>
      <c r="U74" s="6"/>
      <c r="V74" s="6"/>
      <c r="W74" s="6"/>
      <c r="X74" s="6"/>
      <c r="Y74" s="6"/>
    </row>
    <row r="75" spans="1:25" x14ac:dyDescent="0.2">
      <c r="A75" s="41" t="s">
        <v>889</v>
      </c>
      <c r="B75" s="226">
        <v>0.35</v>
      </c>
      <c r="C75" s="226">
        <v>0.65</v>
      </c>
      <c r="D75" s="226"/>
      <c r="E75" s="227">
        <v>13525</v>
      </c>
      <c r="F75" s="7">
        <f t="shared" si="1"/>
        <v>4733.75</v>
      </c>
      <c r="G75" s="7"/>
      <c r="H75" s="7"/>
      <c r="I75" s="7"/>
      <c r="J75" s="7"/>
      <c r="K75" s="7"/>
      <c r="L75" s="7"/>
      <c r="M75" s="7"/>
      <c r="N75" s="6"/>
      <c r="O75" s="6"/>
      <c r="P75" s="6"/>
      <c r="Q75" s="6"/>
      <c r="R75" s="6"/>
      <c r="S75" s="6"/>
      <c r="T75" s="6"/>
      <c r="U75" s="6"/>
      <c r="V75" s="6"/>
      <c r="W75" s="6"/>
      <c r="X75" s="6"/>
      <c r="Y75" s="6"/>
    </row>
    <row r="76" spans="1:25" x14ac:dyDescent="0.2">
      <c r="A76" s="41" t="s">
        <v>890</v>
      </c>
      <c r="B76" s="226">
        <v>0.2</v>
      </c>
      <c r="C76" s="226">
        <v>0.8</v>
      </c>
      <c r="D76" s="226"/>
      <c r="E76" s="227">
        <v>16834</v>
      </c>
      <c r="F76" s="7">
        <f t="shared" si="1"/>
        <v>3366.8</v>
      </c>
      <c r="G76" s="7"/>
      <c r="H76" s="7"/>
      <c r="I76" s="7"/>
      <c r="J76" s="7"/>
      <c r="K76" s="7"/>
      <c r="L76" s="7"/>
      <c r="M76" s="7"/>
      <c r="N76" s="6"/>
      <c r="O76" s="6"/>
      <c r="P76" s="6"/>
      <c r="Q76" s="6"/>
      <c r="R76" s="6"/>
      <c r="S76" s="6"/>
      <c r="T76" s="6"/>
      <c r="U76" s="6"/>
      <c r="V76" s="6"/>
      <c r="W76" s="6"/>
      <c r="X76" s="6"/>
      <c r="Y76" s="6"/>
    </row>
    <row r="77" spans="1:25" x14ac:dyDescent="0.2">
      <c r="A77" s="41" t="s">
        <v>891</v>
      </c>
      <c r="B77" s="226">
        <v>0.2</v>
      </c>
      <c r="C77" s="226">
        <v>0.8</v>
      </c>
      <c r="D77" s="226"/>
      <c r="E77" s="227">
        <v>12615</v>
      </c>
      <c r="F77" s="7">
        <f t="shared" si="1"/>
        <v>2523</v>
      </c>
      <c r="G77" s="7"/>
      <c r="H77" s="7"/>
      <c r="I77" s="7"/>
      <c r="J77" s="7"/>
      <c r="K77" s="7"/>
      <c r="L77" s="7"/>
      <c r="M77" s="7"/>
      <c r="N77" s="6"/>
      <c r="O77" s="6"/>
      <c r="P77" s="6"/>
      <c r="Q77" s="6"/>
      <c r="R77" s="6"/>
      <c r="S77" s="6"/>
      <c r="T77" s="6"/>
      <c r="U77" s="6"/>
      <c r="V77" s="6"/>
      <c r="W77" s="6"/>
      <c r="X77" s="6"/>
      <c r="Y77" s="6"/>
    </row>
    <row r="78" spans="1:25" x14ac:dyDescent="0.2">
      <c r="A78" s="41" t="s">
        <v>892</v>
      </c>
      <c r="B78" s="226">
        <v>0.7</v>
      </c>
      <c r="C78" s="226">
        <v>0.3</v>
      </c>
      <c r="D78" s="226"/>
      <c r="E78" s="227">
        <v>23503</v>
      </c>
      <c r="F78" s="7">
        <f t="shared" si="1"/>
        <v>16452.099999999999</v>
      </c>
      <c r="G78" s="7"/>
      <c r="H78" s="7"/>
      <c r="I78" s="7"/>
      <c r="J78" s="7"/>
      <c r="K78" s="7"/>
      <c r="L78" s="7"/>
      <c r="M78" s="7"/>
      <c r="N78" s="6"/>
      <c r="O78" s="6"/>
      <c r="P78" s="6"/>
      <c r="Q78" s="6"/>
      <c r="R78" s="6"/>
      <c r="S78" s="6"/>
      <c r="T78" s="6"/>
      <c r="U78" s="6"/>
      <c r="V78" s="6"/>
      <c r="W78" s="6"/>
      <c r="X78" s="6"/>
      <c r="Y78" s="6"/>
    </row>
    <row r="79" spans="1:25" x14ac:dyDescent="0.2">
      <c r="A79" s="41" t="s">
        <v>893</v>
      </c>
      <c r="B79" s="226">
        <v>0.03</v>
      </c>
      <c r="C79" s="226">
        <v>0.97</v>
      </c>
      <c r="D79" s="226"/>
      <c r="E79" s="227" t="s">
        <v>895</v>
      </c>
      <c r="F79" s="7"/>
      <c r="G79" s="7"/>
      <c r="H79" s="7"/>
      <c r="I79" s="7"/>
      <c r="J79" s="7"/>
      <c r="K79" s="7"/>
      <c r="L79" s="7"/>
      <c r="M79" s="7"/>
      <c r="N79" s="6"/>
      <c r="O79" s="6"/>
      <c r="P79" s="6"/>
      <c r="Q79" s="6"/>
      <c r="R79" s="6"/>
      <c r="S79" s="6"/>
      <c r="T79" s="6"/>
      <c r="U79" s="6"/>
      <c r="V79" s="6"/>
      <c r="W79" s="6"/>
      <c r="X79" s="6"/>
      <c r="Y79" s="6"/>
    </row>
    <row r="80" spans="1:25" x14ac:dyDescent="0.2">
      <c r="A80" s="41" t="s">
        <v>894</v>
      </c>
      <c r="B80" s="23" t="s">
        <v>895</v>
      </c>
      <c r="C80" s="23" t="s">
        <v>895</v>
      </c>
      <c r="D80" s="23"/>
      <c r="E80" s="227">
        <v>16325</v>
      </c>
      <c r="F80" s="7"/>
      <c r="G80" s="7"/>
      <c r="H80" s="7"/>
      <c r="I80" s="7"/>
      <c r="J80" s="7"/>
      <c r="K80" s="7"/>
      <c r="L80" s="7"/>
      <c r="M80" s="7"/>
      <c r="N80" s="6"/>
      <c r="O80" s="6"/>
      <c r="P80" s="6"/>
      <c r="Q80" s="6"/>
      <c r="R80" s="6"/>
      <c r="S80" s="6"/>
      <c r="T80" s="6"/>
      <c r="U80" s="6"/>
      <c r="V80" s="6"/>
      <c r="W80" s="6"/>
      <c r="X80" s="6"/>
      <c r="Y80" s="6"/>
    </row>
    <row r="81" spans="1:25" x14ac:dyDescent="0.2">
      <c r="A81" s="50"/>
      <c r="B81" s="63"/>
      <c r="C81" s="7"/>
      <c r="D81" s="7"/>
      <c r="E81" s="7"/>
      <c r="F81" s="7"/>
      <c r="G81" s="7"/>
      <c r="H81" s="7"/>
      <c r="I81" s="7"/>
      <c r="J81" s="7"/>
      <c r="K81" s="7"/>
      <c r="L81" s="7"/>
      <c r="M81" s="7"/>
      <c r="N81" s="6"/>
      <c r="O81" s="6"/>
      <c r="P81" s="6"/>
      <c r="Q81" s="6"/>
      <c r="R81" s="6"/>
      <c r="S81" s="6"/>
      <c r="T81" s="6"/>
      <c r="U81" s="6"/>
      <c r="V81" s="6"/>
      <c r="W81" s="6"/>
      <c r="X81" s="6"/>
      <c r="Y81" s="6"/>
    </row>
    <row r="82" spans="1:25" x14ac:dyDescent="0.2">
      <c r="A82" s="50"/>
      <c r="B82" s="63"/>
      <c r="C82" s="7"/>
      <c r="D82" s="7"/>
      <c r="E82" s="7"/>
      <c r="F82" s="7"/>
      <c r="G82" s="7"/>
      <c r="H82" s="7"/>
      <c r="I82" s="7"/>
      <c r="J82" s="7"/>
      <c r="K82" s="7"/>
      <c r="L82" s="7"/>
      <c r="M82" s="7"/>
      <c r="N82" s="6"/>
      <c r="O82" s="6"/>
      <c r="P82" s="6"/>
      <c r="Q82" s="6"/>
      <c r="R82" s="6"/>
      <c r="S82" s="6"/>
      <c r="T82" s="6"/>
      <c r="U82" s="6"/>
      <c r="V82" s="6"/>
      <c r="W82" s="6"/>
      <c r="X82" s="6"/>
      <c r="Y82" s="6"/>
    </row>
    <row r="83" spans="1:25" x14ac:dyDescent="0.2">
      <c r="A83" s="50"/>
      <c r="B83" s="63"/>
      <c r="C83" s="7"/>
      <c r="D83" s="7"/>
      <c r="E83" s="7"/>
      <c r="F83" s="7"/>
      <c r="G83" s="7"/>
      <c r="H83" s="7"/>
      <c r="I83" s="7"/>
      <c r="J83" s="7"/>
      <c r="K83" s="7"/>
      <c r="L83" s="7"/>
      <c r="M83" s="7"/>
      <c r="N83" s="6"/>
      <c r="O83" s="6"/>
      <c r="P83" s="6"/>
      <c r="Q83" s="6"/>
      <c r="R83" s="6"/>
      <c r="S83" s="6"/>
      <c r="T83" s="6"/>
      <c r="U83" s="6"/>
      <c r="V83" s="6"/>
      <c r="W83" s="6"/>
      <c r="X83" s="6"/>
      <c r="Y83" s="6"/>
    </row>
    <row r="84" spans="1:25" x14ac:dyDescent="0.2">
      <c r="A84" s="50"/>
      <c r="B84" s="63"/>
      <c r="C84" s="7"/>
      <c r="D84" s="7"/>
      <c r="E84" s="7"/>
      <c r="F84" s="7"/>
      <c r="G84" s="7"/>
      <c r="H84" s="7"/>
      <c r="I84" s="7"/>
      <c r="J84" s="7"/>
      <c r="K84" s="7"/>
      <c r="L84" s="7"/>
      <c r="M84" s="7"/>
      <c r="N84" s="6"/>
      <c r="O84" s="6"/>
      <c r="P84" s="6"/>
      <c r="Q84" s="6"/>
      <c r="R84" s="6"/>
      <c r="S84" s="6"/>
      <c r="T84" s="6"/>
      <c r="U84" s="6"/>
      <c r="V84" s="6"/>
      <c r="W84" s="6"/>
      <c r="X84" s="6"/>
      <c r="Y84" s="6"/>
    </row>
    <row r="85" spans="1:25" x14ac:dyDescent="0.2">
      <c r="A85" s="61" t="s">
        <v>182</v>
      </c>
      <c r="B85" s="54">
        <v>0.8</v>
      </c>
      <c r="C85" s="7"/>
      <c r="D85" s="7"/>
      <c r="E85" s="7"/>
      <c r="F85" s="7"/>
      <c r="G85" s="7"/>
      <c r="H85" s="7"/>
      <c r="I85" s="7"/>
      <c r="J85" s="7"/>
      <c r="K85" s="7"/>
      <c r="L85" s="7"/>
      <c r="M85" s="7"/>
      <c r="N85" s="6"/>
      <c r="O85" s="6"/>
      <c r="P85" s="6"/>
      <c r="Q85" s="6"/>
      <c r="R85" s="6"/>
      <c r="S85" s="6"/>
      <c r="T85" s="6"/>
      <c r="U85" s="6"/>
      <c r="V85" s="6"/>
      <c r="W85" s="6"/>
      <c r="X85" s="6"/>
      <c r="Y85" s="6"/>
    </row>
    <row r="86" spans="1:25" x14ac:dyDescent="0.2">
      <c r="A86" s="61" t="s">
        <v>183</v>
      </c>
      <c r="B86" s="54">
        <v>0.3</v>
      </c>
      <c r="C86" s="7"/>
      <c r="D86" s="7"/>
      <c r="E86" s="7"/>
      <c r="F86" s="7"/>
      <c r="G86" s="7"/>
      <c r="H86" s="7"/>
      <c r="I86" s="7"/>
      <c r="J86" s="7"/>
      <c r="K86" s="7"/>
      <c r="L86" s="7"/>
      <c r="M86" s="7"/>
      <c r="N86" s="6"/>
      <c r="O86" s="6"/>
      <c r="P86" s="6"/>
      <c r="Q86" s="6"/>
      <c r="R86" s="6"/>
      <c r="S86" s="6"/>
      <c r="T86" s="6"/>
      <c r="U86" s="6"/>
      <c r="V86" s="6"/>
      <c r="W86" s="6"/>
      <c r="X86" s="6"/>
      <c r="Y86" s="6"/>
    </row>
    <row r="87" spans="1:25" x14ac:dyDescent="0.2">
      <c r="A87" s="7"/>
      <c r="B87" s="7"/>
      <c r="C87" s="7"/>
      <c r="D87" s="7"/>
      <c r="E87" s="7"/>
      <c r="F87" s="7"/>
      <c r="G87" s="7"/>
      <c r="H87" s="7"/>
      <c r="I87" s="7"/>
      <c r="J87" s="7"/>
      <c r="K87" s="7"/>
      <c r="L87" s="7"/>
      <c r="M87" s="7"/>
      <c r="N87" s="6"/>
      <c r="O87" s="6"/>
      <c r="P87" s="6"/>
      <c r="Q87" s="6"/>
      <c r="R87" s="6"/>
      <c r="S87" s="6"/>
      <c r="T87" s="6"/>
      <c r="U87" s="6"/>
      <c r="V87" s="6"/>
      <c r="W87" s="6"/>
      <c r="X87" s="6"/>
      <c r="Y87" s="6"/>
    </row>
    <row r="88" spans="1:25" x14ac:dyDescent="0.2">
      <c r="A88" s="17" t="s">
        <v>270</v>
      </c>
      <c r="B88" s="7"/>
      <c r="C88" s="7"/>
      <c r="D88" s="7"/>
      <c r="E88" s="7"/>
      <c r="F88" s="7"/>
      <c r="G88" s="7"/>
      <c r="H88" s="7"/>
      <c r="I88" s="7"/>
      <c r="J88" s="7"/>
      <c r="K88" s="7"/>
      <c r="L88" s="7"/>
      <c r="M88" s="7"/>
      <c r="N88" s="6"/>
      <c r="O88" s="6"/>
      <c r="P88" s="6"/>
      <c r="Q88" s="6"/>
      <c r="R88" s="6"/>
      <c r="S88" s="6"/>
      <c r="T88" s="6"/>
      <c r="U88" s="6"/>
      <c r="V88" s="6"/>
      <c r="W88" s="6"/>
      <c r="X88" s="6"/>
      <c r="Y88" s="6"/>
    </row>
    <row r="89" spans="1:25" x14ac:dyDescent="0.2">
      <c r="A89" s="7"/>
      <c r="B89" s="7"/>
      <c r="C89" s="7"/>
      <c r="D89" s="7"/>
      <c r="E89" s="7"/>
      <c r="F89" s="7"/>
      <c r="G89" s="7"/>
      <c r="H89" s="7"/>
      <c r="I89" s="7"/>
      <c r="J89" s="7"/>
      <c r="K89" s="7"/>
      <c r="L89" s="7"/>
      <c r="M89" s="7"/>
      <c r="N89" s="6"/>
      <c r="O89" s="6"/>
      <c r="P89" s="6"/>
      <c r="Q89" s="6"/>
      <c r="R89" s="6"/>
      <c r="S89" s="6"/>
      <c r="T89" s="6"/>
      <c r="U89" s="6"/>
      <c r="V89" s="6"/>
      <c r="W89" s="6"/>
      <c r="X89" s="6"/>
      <c r="Y89" s="6"/>
    </row>
    <row r="90" spans="1:25" x14ac:dyDescent="0.2">
      <c r="A90" s="7" t="s">
        <v>275</v>
      </c>
      <c r="B90" s="48">
        <f>B44*B15</f>
        <v>79.761564079999999</v>
      </c>
      <c r="C90" s="7"/>
      <c r="D90" s="7"/>
      <c r="E90" s="7"/>
      <c r="F90" s="7"/>
      <c r="G90" s="7"/>
      <c r="H90" s="7"/>
      <c r="I90" s="7"/>
      <c r="J90" s="7"/>
      <c r="K90" s="7"/>
      <c r="L90" s="7"/>
      <c r="M90" s="7"/>
      <c r="N90" s="6"/>
      <c r="O90" s="6"/>
      <c r="P90" s="6"/>
      <c r="Q90" s="6"/>
      <c r="R90" s="6"/>
      <c r="S90" s="6"/>
      <c r="T90" s="6"/>
      <c r="U90" s="6"/>
      <c r="V90" s="6"/>
      <c r="W90" s="6"/>
      <c r="X90" s="6"/>
      <c r="Y90" s="6"/>
    </row>
    <row r="91" spans="1:25" x14ac:dyDescent="0.2">
      <c r="A91" s="7" t="s">
        <v>276</v>
      </c>
      <c r="B91" s="48">
        <f>B44*B16</f>
        <v>10.3690033304</v>
      </c>
      <c r="C91" s="7"/>
      <c r="D91" s="7"/>
      <c r="E91" s="7"/>
      <c r="F91" s="7"/>
      <c r="G91" s="7"/>
      <c r="H91" s="7"/>
      <c r="I91" s="7"/>
      <c r="J91" s="7"/>
      <c r="K91" s="7"/>
      <c r="L91" s="7"/>
      <c r="M91" s="7"/>
      <c r="N91" s="6"/>
      <c r="O91" s="6"/>
      <c r="P91" s="6"/>
      <c r="Q91" s="6"/>
      <c r="R91" s="6"/>
      <c r="S91" s="6"/>
      <c r="T91" s="6"/>
      <c r="U91" s="6"/>
      <c r="V91" s="6"/>
      <c r="W91" s="6"/>
      <c r="X91" s="6"/>
      <c r="Y91" s="6"/>
    </row>
    <row r="92" spans="1:25" x14ac:dyDescent="0.2">
      <c r="A92" s="7" t="s">
        <v>295</v>
      </c>
      <c r="B92" s="48">
        <f>B17*B44</f>
        <v>55.035479215199999</v>
      </c>
      <c r="C92" s="7"/>
      <c r="D92" s="7"/>
      <c r="E92" s="7"/>
      <c r="F92" s="7"/>
      <c r="G92" s="7"/>
      <c r="H92" s="7"/>
      <c r="I92" s="7"/>
      <c r="J92" s="7"/>
      <c r="K92" s="7"/>
      <c r="L92" s="7"/>
      <c r="M92" s="7"/>
      <c r="N92" s="6"/>
      <c r="O92" s="6"/>
      <c r="P92" s="6"/>
      <c r="Q92" s="6"/>
      <c r="R92" s="6"/>
      <c r="S92" s="6"/>
      <c r="T92" s="6"/>
      <c r="U92" s="6"/>
      <c r="V92" s="6"/>
      <c r="W92" s="6"/>
      <c r="X92" s="6"/>
      <c r="Y92" s="6"/>
    </row>
    <row r="93" spans="1:25" x14ac:dyDescent="0.2">
      <c r="A93" s="7" t="s">
        <v>296</v>
      </c>
      <c r="B93" s="48">
        <f>B18*B44</f>
        <v>10.3690033304</v>
      </c>
      <c r="C93" s="7"/>
      <c r="D93" s="7"/>
      <c r="E93" s="7"/>
      <c r="F93" s="7"/>
      <c r="G93" s="7"/>
      <c r="H93" s="7"/>
      <c r="I93" s="7"/>
      <c r="J93" s="7"/>
      <c r="K93" s="7"/>
      <c r="L93" s="7"/>
      <c r="M93" s="7"/>
      <c r="N93" s="6"/>
      <c r="O93" s="6"/>
      <c r="P93" s="6"/>
      <c r="Q93" s="6"/>
      <c r="R93" s="6"/>
      <c r="S93" s="6"/>
      <c r="T93" s="6"/>
      <c r="U93" s="6"/>
      <c r="V93" s="6"/>
      <c r="W93" s="6"/>
      <c r="X93" s="6"/>
      <c r="Y93" s="6"/>
    </row>
    <row r="94" spans="1:25" x14ac:dyDescent="0.2">
      <c r="A94" s="7" t="s">
        <v>293</v>
      </c>
      <c r="B94" s="49">
        <f>B15</f>
        <v>1</v>
      </c>
      <c r="C94" s="7"/>
      <c r="D94" s="7"/>
      <c r="E94" s="7"/>
      <c r="F94" s="7"/>
      <c r="G94" s="7"/>
      <c r="H94" s="7"/>
      <c r="I94" s="7"/>
      <c r="J94" s="7"/>
      <c r="K94" s="7"/>
      <c r="L94" s="7"/>
      <c r="M94" s="7"/>
      <c r="N94" s="6"/>
      <c r="O94" s="6"/>
      <c r="P94" s="6"/>
      <c r="Q94" s="6"/>
      <c r="R94" s="6"/>
      <c r="S94" s="6"/>
      <c r="T94" s="6"/>
      <c r="U94" s="6"/>
      <c r="V94" s="6"/>
      <c r="W94" s="6"/>
      <c r="X94" s="6"/>
      <c r="Y94" s="6"/>
    </row>
    <row r="95" spans="1:25" x14ac:dyDescent="0.2">
      <c r="A95" s="7" t="s">
        <v>292</v>
      </c>
      <c r="B95" s="49">
        <f>B16</f>
        <v>0.13</v>
      </c>
      <c r="C95" s="7"/>
      <c r="D95" s="7"/>
      <c r="E95" s="7"/>
      <c r="F95" s="7"/>
      <c r="G95" s="7"/>
      <c r="H95" s="7"/>
      <c r="I95" s="7"/>
      <c r="J95" s="7"/>
      <c r="K95" s="7"/>
      <c r="L95" s="7"/>
      <c r="M95" s="7"/>
      <c r="N95" s="6"/>
      <c r="O95" s="6"/>
      <c r="P95" s="6"/>
      <c r="Q95" s="6"/>
      <c r="R95" s="6"/>
      <c r="S95" s="6"/>
      <c r="T95" s="6"/>
      <c r="U95" s="6"/>
      <c r="V95" s="6"/>
      <c r="W95" s="6"/>
      <c r="X95" s="6"/>
      <c r="Y95" s="6"/>
    </row>
    <row r="96" spans="1:25" x14ac:dyDescent="0.2">
      <c r="A96" s="7" t="s">
        <v>924</v>
      </c>
      <c r="B96" s="48">
        <f>B94*C24</f>
        <v>62.166000000000004</v>
      </c>
      <c r="C96" s="7"/>
      <c r="D96" s="7"/>
      <c r="E96" s="7"/>
      <c r="F96" s="7"/>
      <c r="G96" s="7"/>
      <c r="H96" s="7"/>
      <c r="I96" s="7"/>
      <c r="J96" s="7"/>
      <c r="K96" s="7"/>
      <c r="L96" s="7"/>
      <c r="M96" s="7"/>
      <c r="N96" s="6"/>
      <c r="O96" s="6"/>
      <c r="P96" s="6"/>
      <c r="Q96" s="6"/>
      <c r="R96" s="6"/>
      <c r="S96" s="6"/>
      <c r="T96" s="6"/>
      <c r="U96" s="6"/>
      <c r="V96" s="6"/>
      <c r="W96" s="6"/>
      <c r="X96" s="6"/>
      <c r="Y96" s="6"/>
    </row>
    <row r="97" spans="1:25" x14ac:dyDescent="0.2">
      <c r="A97" s="7" t="s">
        <v>925</v>
      </c>
      <c r="B97" s="48">
        <f>B95*C24</f>
        <v>8.0815800000000007</v>
      </c>
      <c r="C97" s="7"/>
      <c r="D97" s="7"/>
      <c r="E97" s="7"/>
      <c r="F97" s="7"/>
      <c r="G97" s="7"/>
      <c r="H97" s="7"/>
      <c r="I97" s="7"/>
      <c r="J97" s="7"/>
      <c r="K97" s="7"/>
      <c r="L97" s="7"/>
      <c r="M97" s="7"/>
      <c r="N97" s="6"/>
      <c r="O97" s="6"/>
      <c r="P97" s="6"/>
      <c r="Q97" s="6"/>
      <c r="R97" s="6"/>
      <c r="S97" s="6"/>
      <c r="T97" s="6"/>
      <c r="U97" s="6"/>
      <c r="V97" s="6"/>
      <c r="W97" s="6"/>
      <c r="X97" s="6"/>
      <c r="Y97" s="6"/>
    </row>
    <row r="98" spans="1:25" x14ac:dyDescent="0.2">
      <c r="A98" s="7" t="s">
        <v>297</v>
      </c>
      <c r="B98" s="48">
        <f>B17*C24</f>
        <v>42.894539999999999</v>
      </c>
      <c r="C98" s="7"/>
      <c r="D98" s="7"/>
      <c r="E98" s="7"/>
      <c r="F98" s="7"/>
      <c r="G98" s="7"/>
      <c r="H98" s="7"/>
      <c r="I98" s="7"/>
      <c r="J98" s="7"/>
      <c r="K98" s="7"/>
      <c r="L98" s="7"/>
      <c r="M98" s="7"/>
      <c r="N98" s="6"/>
      <c r="O98" s="6"/>
      <c r="P98" s="6"/>
      <c r="Q98" s="6"/>
      <c r="R98" s="6"/>
      <c r="S98" s="6"/>
      <c r="T98" s="6"/>
      <c r="U98" s="6"/>
      <c r="V98" s="6"/>
      <c r="W98" s="6"/>
      <c r="X98" s="6"/>
      <c r="Y98" s="6"/>
    </row>
    <row r="99" spans="1:25" x14ac:dyDescent="0.2">
      <c r="A99" s="7" t="s">
        <v>185</v>
      </c>
      <c r="B99" s="48">
        <f>B18*C24</f>
        <v>8.0815800000000007</v>
      </c>
      <c r="C99" s="7"/>
      <c r="D99" s="7"/>
      <c r="E99" s="7"/>
      <c r="F99" s="7"/>
      <c r="G99" s="7"/>
      <c r="H99" s="7"/>
      <c r="I99" s="7"/>
      <c r="J99" s="7"/>
      <c r="K99" s="7"/>
      <c r="L99" s="7"/>
      <c r="M99" s="7"/>
      <c r="N99" s="6"/>
      <c r="O99" s="6"/>
      <c r="P99" s="6"/>
      <c r="Q99" s="6"/>
      <c r="R99" s="6"/>
      <c r="S99" s="6"/>
      <c r="T99" s="6"/>
      <c r="U99" s="6"/>
      <c r="V99" s="6"/>
      <c r="W99" s="6"/>
      <c r="X99" s="6"/>
      <c r="Y99" s="6"/>
    </row>
    <row r="100" spans="1:25" x14ac:dyDescent="0.2">
      <c r="A100" s="7"/>
      <c r="B100" s="7"/>
      <c r="C100" s="7"/>
      <c r="D100" s="7"/>
      <c r="E100" s="7"/>
      <c r="F100" s="7"/>
      <c r="G100" s="7"/>
      <c r="H100" s="7"/>
      <c r="I100" s="7"/>
      <c r="J100" s="7"/>
      <c r="K100" s="7"/>
      <c r="L100" s="7"/>
      <c r="M100" s="7"/>
      <c r="N100" s="6"/>
      <c r="O100" s="6"/>
      <c r="P100" s="6"/>
      <c r="Q100" s="6"/>
      <c r="R100" s="6"/>
      <c r="S100" s="6"/>
      <c r="T100" s="6"/>
      <c r="U100" s="6"/>
      <c r="V100" s="6"/>
      <c r="W100" s="6"/>
      <c r="X100" s="6"/>
      <c r="Y100" s="6"/>
    </row>
    <row r="101" spans="1:25" x14ac:dyDescent="0.2">
      <c r="A101" s="239" t="s">
        <v>172</v>
      </c>
      <c r="B101" s="7"/>
      <c r="C101" s="7"/>
      <c r="D101" s="7"/>
      <c r="E101" s="7"/>
      <c r="F101" s="7"/>
      <c r="G101" s="7"/>
      <c r="H101" s="7"/>
      <c r="I101" s="7"/>
      <c r="J101" s="7"/>
      <c r="K101" s="7"/>
      <c r="L101" s="7"/>
      <c r="M101" s="7"/>
      <c r="N101" s="6"/>
      <c r="O101" s="6"/>
      <c r="P101" s="6"/>
      <c r="Q101" s="6"/>
      <c r="R101" s="6"/>
      <c r="S101" s="6"/>
      <c r="T101" s="6"/>
      <c r="U101" s="6"/>
      <c r="V101" s="6"/>
      <c r="W101" s="6"/>
      <c r="X101" s="6"/>
      <c r="Y101" s="6"/>
    </row>
    <row r="102" spans="1:25" x14ac:dyDescent="0.2">
      <c r="A102" s="7" t="s">
        <v>922</v>
      </c>
      <c r="B102" s="48">
        <f>B36*(B15 + B17)</f>
        <v>76.61333333333333</v>
      </c>
      <c r="C102" s="7"/>
      <c r="D102" s="7"/>
      <c r="E102" s="7"/>
      <c r="F102" s="7"/>
      <c r="G102" s="7"/>
      <c r="H102" s="7"/>
      <c r="I102" s="7"/>
      <c r="J102" s="7"/>
      <c r="K102" s="7"/>
      <c r="L102" s="7"/>
      <c r="M102" s="7"/>
      <c r="N102" s="6"/>
      <c r="O102" s="6"/>
      <c r="P102" s="6"/>
      <c r="Q102" s="6"/>
      <c r="R102" s="6"/>
      <c r="S102" s="6"/>
      <c r="T102" s="6"/>
      <c r="U102" s="6"/>
      <c r="V102" s="6"/>
      <c r="W102" s="6"/>
      <c r="X102" s="6"/>
      <c r="Y102" s="6"/>
    </row>
    <row r="103" spans="1:25" x14ac:dyDescent="0.2">
      <c r="A103" s="7" t="s">
        <v>923</v>
      </c>
      <c r="B103" s="48">
        <f>B36*(B16 + B18)</f>
        <v>11.786666666666667</v>
      </c>
      <c r="C103" s="7"/>
      <c r="D103" s="7"/>
      <c r="E103" s="7"/>
      <c r="F103" s="7"/>
      <c r="G103" s="7"/>
      <c r="H103" s="7"/>
      <c r="I103" s="7"/>
      <c r="J103" s="7"/>
      <c r="K103" s="7"/>
      <c r="L103" s="7"/>
      <c r="M103" s="7"/>
      <c r="N103" s="6"/>
      <c r="O103" s="6"/>
      <c r="P103" s="6"/>
      <c r="Q103" s="6"/>
      <c r="R103" s="6"/>
      <c r="S103" s="6"/>
      <c r="T103" s="6"/>
      <c r="U103" s="6"/>
      <c r="V103" s="6"/>
      <c r="W103" s="6"/>
      <c r="X103" s="6"/>
      <c r="Y103" s="6"/>
    </row>
    <row r="104" spans="1:25" ht="22.5" x14ac:dyDescent="0.2">
      <c r="A104" s="17" t="s">
        <v>960</v>
      </c>
      <c r="B104" s="52">
        <f>B102*B37</f>
        <v>7.6613333333333333</v>
      </c>
      <c r="C104" s="7"/>
      <c r="D104" s="7"/>
      <c r="E104" s="7"/>
      <c r="F104" s="7"/>
      <c r="G104" s="7"/>
      <c r="H104" s="7"/>
      <c r="I104" s="7"/>
      <c r="J104" s="7"/>
      <c r="K104" s="7"/>
      <c r="L104" s="7"/>
      <c r="M104" s="7"/>
      <c r="N104" s="6"/>
      <c r="O104" s="6"/>
      <c r="P104" s="6"/>
      <c r="Q104" s="6"/>
      <c r="R104" s="6"/>
      <c r="S104" s="6"/>
      <c r="T104" s="6"/>
      <c r="U104" s="6"/>
      <c r="V104" s="6"/>
      <c r="W104" s="6"/>
      <c r="X104" s="6"/>
      <c r="Y104" s="6"/>
    </row>
    <row r="105" spans="1:25" ht="22.5" x14ac:dyDescent="0.2">
      <c r="A105" s="17" t="s">
        <v>961</v>
      </c>
      <c r="B105" s="52">
        <f>B103*B38</f>
        <v>1.1786666666666668</v>
      </c>
      <c r="C105" s="7"/>
      <c r="D105" s="7"/>
      <c r="E105" s="7"/>
      <c r="F105" s="7"/>
      <c r="G105" s="7"/>
      <c r="H105" s="7"/>
      <c r="I105" s="7"/>
      <c r="J105" s="7"/>
      <c r="K105" s="7"/>
      <c r="L105" s="7"/>
      <c r="M105" s="7"/>
      <c r="N105" s="6"/>
      <c r="O105" s="6"/>
      <c r="P105" s="6"/>
      <c r="Q105" s="6"/>
      <c r="R105" s="6"/>
      <c r="S105" s="6"/>
      <c r="T105" s="6"/>
      <c r="U105" s="6"/>
      <c r="V105" s="6"/>
      <c r="W105" s="6"/>
      <c r="X105" s="6"/>
      <c r="Y105" s="6"/>
    </row>
    <row r="106" spans="1:25" ht="22.5" x14ac:dyDescent="0.2">
      <c r="A106" s="17" t="s">
        <v>962</v>
      </c>
      <c r="B106" s="52">
        <f>B102*B39</f>
        <v>61.290666666666667</v>
      </c>
      <c r="C106" s="7"/>
      <c r="D106" s="7"/>
      <c r="E106" s="7"/>
      <c r="F106" s="7"/>
      <c r="G106" s="7"/>
      <c r="H106" s="7"/>
      <c r="I106" s="7"/>
      <c r="J106" s="7"/>
      <c r="K106" s="7"/>
      <c r="L106" s="7"/>
      <c r="M106" s="7"/>
      <c r="N106" s="6"/>
      <c r="O106" s="6"/>
      <c r="P106" s="6"/>
      <c r="Q106" s="6"/>
      <c r="R106" s="6"/>
      <c r="S106" s="6"/>
      <c r="T106" s="6"/>
      <c r="U106" s="6"/>
      <c r="V106" s="6"/>
      <c r="W106" s="6"/>
      <c r="X106" s="6"/>
      <c r="Y106" s="6"/>
    </row>
    <row r="107" spans="1:25" ht="22.5" x14ac:dyDescent="0.2">
      <c r="A107" s="17" t="s">
        <v>963</v>
      </c>
      <c r="B107" s="52">
        <f>B103*B40</f>
        <v>9.429333333333334</v>
      </c>
      <c r="C107" s="7"/>
      <c r="D107" s="7"/>
      <c r="E107" s="7"/>
      <c r="F107" s="7"/>
      <c r="G107" s="7"/>
      <c r="H107" s="7"/>
      <c r="I107" s="7"/>
      <c r="J107" s="7"/>
      <c r="K107" s="7"/>
      <c r="L107" s="7"/>
      <c r="M107" s="7"/>
      <c r="N107" s="6"/>
      <c r="O107" s="6"/>
      <c r="P107" s="6"/>
      <c r="Q107" s="6"/>
      <c r="R107" s="6"/>
      <c r="S107" s="6"/>
      <c r="T107" s="6"/>
      <c r="U107" s="6"/>
      <c r="V107" s="6"/>
      <c r="W107" s="6"/>
      <c r="X107" s="6"/>
      <c r="Y107" s="6"/>
    </row>
    <row r="108" spans="1:25" x14ac:dyDescent="0.2">
      <c r="A108" s="7"/>
      <c r="B108" s="7"/>
      <c r="C108" s="7"/>
      <c r="D108" s="7"/>
      <c r="E108" s="7"/>
      <c r="F108" s="7"/>
      <c r="G108" s="7"/>
      <c r="H108" s="7"/>
      <c r="I108" s="7"/>
      <c r="J108" s="7"/>
      <c r="K108" s="7"/>
      <c r="L108" s="7"/>
      <c r="M108" s="7"/>
      <c r="N108" s="6"/>
      <c r="O108" s="6"/>
      <c r="P108" s="6"/>
      <c r="Q108" s="6"/>
      <c r="R108" s="6"/>
      <c r="S108" s="6"/>
      <c r="T108" s="6"/>
      <c r="U108" s="6"/>
      <c r="V108" s="6"/>
      <c r="W108" s="6"/>
      <c r="X108" s="6"/>
      <c r="Y108" s="6"/>
    </row>
    <row r="109" spans="1:25" x14ac:dyDescent="0.2">
      <c r="A109" s="239" t="s">
        <v>189</v>
      </c>
      <c r="B109" s="7"/>
      <c r="C109" s="7"/>
      <c r="D109" s="7"/>
      <c r="E109" s="7"/>
      <c r="F109" s="7"/>
      <c r="G109" s="7"/>
      <c r="H109" s="7"/>
      <c r="I109" s="7"/>
      <c r="J109" s="7"/>
      <c r="K109" s="7"/>
      <c r="L109" s="7"/>
      <c r="M109" s="7"/>
      <c r="N109" s="6"/>
      <c r="O109" s="6"/>
      <c r="P109" s="6"/>
      <c r="Q109" s="6"/>
      <c r="R109" s="6"/>
      <c r="S109" s="6"/>
      <c r="T109" s="6"/>
      <c r="U109" s="6"/>
      <c r="V109" s="6"/>
      <c r="W109" s="6"/>
      <c r="X109" s="6"/>
      <c r="Y109" s="6"/>
    </row>
    <row r="110" spans="1:25" ht="22.5" x14ac:dyDescent="0.2">
      <c r="A110" s="17" t="s">
        <v>298</v>
      </c>
      <c r="B110" s="52">
        <f>B96 + B90 + B98 + B92</f>
        <v>239.85758329520002</v>
      </c>
      <c r="C110" s="48"/>
      <c r="D110" s="48"/>
      <c r="E110" s="7"/>
      <c r="F110" s="7"/>
      <c r="G110" s="7"/>
      <c r="H110" s="7"/>
      <c r="I110" s="7"/>
      <c r="J110" s="7"/>
      <c r="K110" s="7"/>
      <c r="L110" s="7"/>
      <c r="M110" s="7"/>
      <c r="N110" s="6"/>
      <c r="O110" s="6"/>
      <c r="P110" s="6"/>
      <c r="Q110" s="6"/>
      <c r="R110" s="6"/>
      <c r="S110" s="6"/>
      <c r="T110" s="6"/>
      <c r="U110" s="6"/>
      <c r="V110" s="6"/>
      <c r="W110" s="6"/>
      <c r="X110" s="6"/>
      <c r="Y110" s="6"/>
    </row>
    <row r="111" spans="1:25" ht="22.5" x14ac:dyDescent="0.2">
      <c r="A111" s="17" t="s">
        <v>184</v>
      </c>
      <c r="B111" s="52">
        <f>B97 + B99 + B91 + B93</f>
        <v>36.901166660800001</v>
      </c>
      <c r="C111" s="7"/>
      <c r="D111" s="7"/>
      <c r="E111" s="7"/>
      <c r="F111" s="7"/>
      <c r="G111" s="7"/>
      <c r="H111" s="7"/>
      <c r="I111" s="7"/>
      <c r="J111" s="7"/>
      <c r="K111" s="7"/>
      <c r="L111" s="7"/>
      <c r="M111" s="7"/>
      <c r="N111" s="6"/>
      <c r="O111" s="6"/>
      <c r="P111" s="6"/>
      <c r="Q111" s="6"/>
      <c r="R111" s="6"/>
      <c r="S111" s="6"/>
      <c r="T111" s="6"/>
      <c r="U111" s="6"/>
      <c r="V111" s="6"/>
      <c r="W111" s="6"/>
      <c r="X111" s="6"/>
      <c r="Y111" s="6"/>
    </row>
    <row r="112" spans="1:25" x14ac:dyDescent="0.2">
      <c r="A112" s="7"/>
      <c r="B112" s="7"/>
      <c r="C112" s="7"/>
      <c r="D112" s="7"/>
      <c r="E112" s="7"/>
      <c r="F112" s="7"/>
      <c r="G112" s="7"/>
      <c r="H112" s="7"/>
      <c r="I112" s="7"/>
      <c r="J112" s="7"/>
      <c r="K112" s="7"/>
      <c r="L112" s="7"/>
      <c r="M112" s="7"/>
      <c r="N112" s="6"/>
      <c r="O112" s="6"/>
      <c r="P112" s="6"/>
      <c r="Q112" s="6"/>
      <c r="R112" s="6"/>
      <c r="S112" s="6"/>
      <c r="T112" s="6"/>
      <c r="U112" s="6"/>
      <c r="V112" s="6"/>
      <c r="W112" s="6"/>
      <c r="X112" s="6"/>
      <c r="Y112" s="6"/>
    </row>
    <row r="113" spans="1:25" x14ac:dyDescent="0.2">
      <c r="A113" s="239" t="s">
        <v>260</v>
      </c>
      <c r="B113" s="7"/>
      <c r="C113" s="7"/>
      <c r="D113" s="7"/>
      <c r="E113" s="7"/>
      <c r="F113" s="7"/>
      <c r="G113" s="7"/>
      <c r="H113" s="7"/>
      <c r="I113" s="7"/>
      <c r="J113" s="7"/>
      <c r="K113" s="7"/>
      <c r="L113" s="7"/>
      <c r="M113" s="7"/>
      <c r="N113" s="6"/>
      <c r="O113" s="6"/>
      <c r="P113" s="6"/>
      <c r="Q113" s="6"/>
      <c r="R113" s="6"/>
      <c r="S113" s="6"/>
      <c r="T113" s="6"/>
      <c r="U113" s="6"/>
      <c r="V113" s="6"/>
      <c r="W113" s="6"/>
      <c r="X113" s="6"/>
      <c r="Y113" s="6"/>
    </row>
    <row r="114" spans="1:25" x14ac:dyDescent="0.2">
      <c r="A114" s="17" t="s">
        <v>265</v>
      </c>
      <c r="B114" s="52">
        <f>B64*B44/B67*B65</f>
        <v>0.88623960088888887</v>
      </c>
      <c r="C114" s="7"/>
      <c r="D114" s="7"/>
      <c r="E114" s="7"/>
      <c r="F114" s="7"/>
      <c r="G114" s="7"/>
      <c r="H114" s="7"/>
      <c r="I114" s="7"/>
      <c r="J114" s="7"/>
      <c r="K114" s="7"/>
      <c r="L114" s="7"/>
      <c r="M114" s="7"/>
      <c r="N114" s="6"/>
      <c r="O114" s="6"/>
      <c r="P114" s="6"/>
      <c r="Q114" s="6"/>
      <c r="R114" s="6"/>
      <c r="S114" s="6"/>
      <c r="T114" s="6"/>
      <c r="U114" s="6"/>
      <c r="V114" s="6"/>
      <c r="W114" s="6"/>
      <c r="X114" s="6"/>
      <c r="Y114" s="6"/>
    </row>
    <row r="115" spans="1:25" ht="15.75" customHeight="1" x14ac:dyDescent="0.2">
      <c r="A115" s="17" t="s">
        <v>266</v>
      </c>
      <c r="B115" s="65">
        <f>C28/B67*B65</f>
        <v>0.10992222222222223</v>
      </c>
      <c r="C115" s="64"/>
      <c r="D115" s="64"/>
      <c r="E115" s="7"/>
      <c r="F115" s="7"/>
      <c r="G115" s="7"/>
      <c r="H115" s="7"/>
      <c r="I115" s="7"/>
      <c r="J115" s="7"/>
      <c r="K115" s="7"/>
      <c r="L115" s="7"/>
      <c r="M115" s="7"/>
      <c r="N115" s="6"/>
      <c r="O115" s="6"/>
      <c r="P115" s="6"/>
      <c r="Q115" s="6"/>
      <c r="R115" s="6"/>
      <c r="S115" s="6"/>
      <c r="T115" s="6"/>
      <c r="U115" s="6"/>
      <c r="V115" s="6"/>
      <c r="W115" s="6"/>
      <c r="X115" s="6"/>
      <c r="Y115" s="6"/>
    </row>
    <row r="116" spans="1:25" x14ac:dyDescent="0.2">
      <c r="A116" s="7"/>
      <c r="B116" s="7"/>
      <c r="C116" s="7"/>
      <c r="D116" s="7"/>
      <c r="E116" s="7"/>
      <c r="F116" s="7"/>
      <c r="G116" s="7"/>
      <c r="H116" s="7"/>
      <c r="I116" s="7"/>
      <c r="J116" s="7"/>
      <c r="K116" s="7"/>
      <c r="L116" s="7"/>
      <c r="M116" s="7"/>
      <c r="N116" s="6"/>
      <c r="O116" s="6"/>
      <c r="P116" s="6"/>
      <c r="Q116" s="6"/>
      <c r="R116" s="6"/>
      <c r="S116" s="6"/>
      <c r="T116" s="6"/>
      <c r="U116" s="6"/>
      <c r="V116" s="6"/>
      <c r="W116" s="6"/>
      <c r="X116" s="6"/>
      <c r="Y116" s="6"/>
    </row>
    <row r="117" spans="1:25" x14ac:dyDescent="0.2">
      <c r="A117" s="269"/>
      <c r="B117" s="43"/>
      <c r="C117" s="7"/>
      <c r="D117" s="7"/>
      <c r="E117" s="7"/>
      <c r="F117" s="7"/>
      <c r="G117" s="7"/>
      <c r="H117" s="7"/>
      <c r="I117" s="7"/>
      <c r="J117" s="7"/>
      <c r="K117" s="7"/>
      <c r="L117" s="7"/>
      <c r="M117" s="7"/>
      <c r="N117" s="6"/>
      <c r="O117" s="6"/>
      <c r="P117" s="6"/>
      <c r="Q117" s="6"/>
      <c r="R117" s="6"/>
      <c r="S117" s="6"/>
      <c r="T117" s="6"/>
      <c r="U117" s="6"/>
      <c r="V117" s="6"/>
      <c r="W117" s="6"/>
      <c r="X117" s="6"/>
      <c r="Y117" s="6"/>
    </row>
    <row r="118" spans="1:25" x14ac:dyDescent="0.2">
      <c r="A118" s="270"/>
      <c r="B118" s="271"/>
      <c r="C118" s="7"/>
      <c r="D118" s="7"/>
      <c r="E118" s="7"/>
      <c r="F118" s="7"/>
      <c r="G118" s="7"/>
      <c r="H118" s="7"/>
      <c r="I118" s="7"/>
      <c r="J118" s="7"/>
      <c r="K118" s="7"/>
      <c r="L118" s="7"/>
      <c r="M118" s="7"/>
      <c r="N118" s="6"/>
      <c r="O118" s="6"/>
      <c r="P118" s="6"/>
      <c r="Q118" s="6"/>
      <c r="R118" s="6"/>
      <c r="S118" s="6"/>
      <c r="T118" s="6"/>
      <c r="U118" s="6"/>
      <c r="V118" s="6"/>
      <c r="W118" s="6"/>
      <c r="X118" s="6"/>
      <c r="Y118" s="6"/>
    </row>
    <row r="119" spans="1:25" x14ac:dyDescent="0.2">
      <c r="A119" s="7"/>
      <c r="B119" s="7"/>
      <c r="C119" s="7"/>
      <c r="D119" s="7"/>
      <c r="E119" s="7"/>
      <c r="F119" s="7"/>
      <c r="G119" s="7"/>
      <c r="H119" s="7"/>
      <c r="I119" s="7"/>
      <c r="J119" s="7"/>
      <c r="K119" s="7"/>
      <c r="L119" s="7"/>
      <c r="M119" s="7"/>
      <c r="N119" s="6"/>
      <c r="O119" s="6"/>
      <c r="P119" s="6"/>
      <c r="Q119" s="6"/>
      <c r="R119" s="6"/>
      <c r="S119" s="6"/>
      <c r="T119" s="6"/>
      <c r="U119" s="6"/>
      <c r="V119" s="6"/>
      <c r="W119" s="6"/>
      <c r="X119" s="6"/>
      <c r="Y119" s="6"/>
    </row>
    <row r="120" spans="1:25" x14ac:dyDescent="0.2">
      <c r="A120" s="7"/>
      <c r="B120" s="7"/>
      <c r="C120" s="7"/>
      <c r="D120" s="7"/>
      <c r="E120" s="7"/>
      <c r="F120" s="7"/>
      <c r="G120" s="7"/>
      <c r="H120" s="7"/>
      <c r="I120" s="7"/>
      <c r="J120" s="7"/>
      <c r="K120" s="7"/>
      <c r="L120" s="7"/>
      <c r="M120" s="7"/>
      <c r="N120" s="6"/>
      <c r="O120" s="6"/>
      <c r="P120" s="6"/>
      <c r="Q120" s="6"/>
      <c r="R120" s="6"/>
      <c r="S120" s="6"/>
      <c r="T120" s="6"/>
      <c r="U120" s="6"/>
      <c r="V120" s="6"/>
      <c r="W120" s="6"/>
      <c r="X120" s="6"/>
      <c r="Y120" s="6"/>
    </row>
    <row r="121" spans="1:25" x14ac:dyDescent="0.2">
      <c r="A121" s="7"/>
      <c r="B121" s="7"/>
      <c r="C121" s="7"/>
      <c r="D121" s="7"/>
      <c r="E121" s="7"/>
      <c r="F121" s="7"/>
      <c r="G121" s="7"/>
      <c r="H121" s="7"/>
      <c r="I121" s="7"/>
      <c r="J121" s="7"/>
      <c r="K121" s="7"/>
      <c r="L121" s="7"/>
      <c r="M121" s="7"/>
      <c r="N121" s="6"/>
      <c r="O121" s="6"/>
      <c r="P121" s="6"/>
      <c r="Q121" s="6"/>
      <c r="R121" s="6"/>
      <c r="S121" s="6"/>
      <c r="T121" s="6"/>
      <c r="U121" s="6"/>
      <c r="V121" s="6"/>
      <c r="W121" s="6"/>
      <c r="X121" s="6"/>
      <c r="Y121" s="6"/>
    </row>
    <row r="122" spans="1:25" x14ac:dyDescent="0.2">
      <c r="A122" s="7"/>
      <c r="B122" s="7"/>
      <c r="C122" s="7"/>
      <c r="D122" s="7"/>
      <c r="E122" s="7"/>
      <c r="F122" s="7"/>
      <c r="G122" s="7"/>
      <c r="H122" s="7"/>
      <c r="I122" s="7"/>
      <c r="J122" s="7"/>
      <c r="K122" s="7"/>
      <c r="L122" s="7"/>
      <c r="M122" s="7"/>
      <c r="N122" s="6"/>
      <c r="O122" s="6"/>
      <c r="P122" s="6"/>
      <c r="Q122" s="6"/>
      <c r="R122" s="6"/>
      <c r="S122" s="6"/>
      <c r="T122" s="6"/>
      <c r="U122" s="6"/>
      <c r="V122" s="6"/>
      <c r="W122" s="6"/>
      <c r="X122" s="6"/>
      <c r="Y122" s="6"/>
    </row>
    <row r="123" spans="1:25" x14ac:dyDescent="0.2">
      <c r="A123" s="7"/>
      <c r="B123" s="7"/>
      <c r="C123" s="7"/>
      <c r="D123" s="7"/>
      <c r="E123" s="7"/>
      <c r="F123" s="7"/>
      <c r="G123" s="7"/>
      <c r="H123" s="7"/>
      <c r="I123" s="7"/>
      <c r="J123" s="7"/>
      <c r="K123" s="7"/>
      <c r="L123" s="7"/>
      <c r="M123" s="7"/>
      <c r="N123" s="6"/>
      <c r="O123" s="6"/>
      <c r="P123" s="6"/>
      <c r="Q123" s="6"/>
      <c r="R123" s="6"/>
      <c r="S123" s="6"/>
      <c r="T123" s="6"/>
      <c r="U123" s="6"/>
      <c r="V123" s="6"/>
      <c r="W123" s="6"/>
      <c r="X123" s="6"/>
      <c r="Y123" s="6"/>
    </row>
    <row r="124" spans="1:25" x14ac:dyDescent="0.2">
      <c r="A124" s="7"/>
      <c r="B124" s="7"/>
      <c r="C124" s="7"/>
      <c r="D124" s="7"/>
      <c r="E124" s="7"/>
      <c r="F124" s="7"/>
      <c r="G124" s="7"/>
      <c r="H124" s="7"/>
      <c r="I124" s="7"/>
      <c r="J124" s="7"/>
      <c r="K124" s="7"/>
      <c r="L124" s="7"/>
      <c r="M124" s="7"/>
      <c r="N124" s="6"/>
      <c r="O124" s="6"/>
      <c r="P124" s="6"/>
      <c r="Q124" s="6"/>
      <c r="R124" s="6"/>
      <c r="S124" s="6"/>
      <c r="T124" s="6"/>
      <c r="U124" s="6"/>
      <c r="V124" s="6"/>
      <c r="W124" s="6"/>
      <c r="X124" s="6"/>
      <c r="Y124" s="6"/>
    </row>
    <row r="125" spans="1:25" x14ac:dyDescent="0.2">
      <c r="A125" s="7"/>
      <c r="B125" s="7"/>
      <c r="C125" s="7"/>
      <c r="D125" s="7"/>
      <c r="E125" s="7"/>
      <c r="F125" s="7"/>
      <c r="G125" s="7"/>
      <c r="H125" s="7"/>
      <c r="I125" s="7"/>
      <c r="J125" s="7"/>
      <c r="K125" s="7"/>
      <c r="L125" s="7"/>
      <c r="M125" s="7"/>
      <c r="N125" s="6"/>
      <c r="O125" s="6"/>
      <c r="P125" s="6"/>
      <c r="Q125" s="6"/>
      <c r="R125" s="6"/>
      <c r="S125" s="6"/>
      <c r="T125" s="6"/>
      <c r="U125" s="6"/>
      <c r="V125" s="6"/>
      <c r="W125" s="6"/>
      <c r="X125" s="6"/>
      <c r="Y125" s="6"/>
    </row>
    <row r="126" spans="1:25" x14ac:dyDescent="0.2">
      <c r="A126" s="7"/>
      <c r="B126" s="7"/>
      <c r="C126" s="7"/>
      <c r="D126" s="7"/>
      <c r="E126" s="7"/>
      <c r="F126" s="7"/>
      <c r="G126" s="7"/>
      <c r="H126" s="7"/>
      <c r="I126" s="7"/>
      <c r="J126" s="7"/>
      <c r="K126" s="7"/>
      <c r="L126" s="7"/>
      <c r="M126" s="7"/>
      <c r="N126" s="6"/>
      <c r="O126" s="6"/>
      <c r="P126" s="6"/>
      <c r="Q126" s="6"/>
      <c r="R126" s="6"/>
      <c r="S126" s="6"/>
      <c r="T126" s="6"/>
      <c r="U126" s="6"/>
      <c r="V126" s="6"/>
      <c r="W126" s="6"/>
      <c r="X126" s="6"/>
      <c r="Y126" s="6"/>
    </row>
    <row r="127" spans="1:25" x14ac:dyDescent="0.2">
      <c r="A127" s="7"/>
      <c r="B127" s="7"/>
      <c r="C127" s="7"/>
      <c r="D127" s="7"/>
      <c r="E127" s="7"/>
      <c r="F127" s="7"/>
      <c r="G127" s="7"/>
      <c r="H127" s="7"/>
      <c r="I127" s="7"/>
      <c r="J127" s="7"/>
      <c r="K127" s="7"/>
      <c r="L127" s="7"/>
      <c r="M127" s="7"/>
      <c r="N127" s="6"/>
      <c r="O127" s="6"/>
      <c r="P127" s="6"/>
      <c r="Q127" s="6"/>
      <c r="R127" s="6"/>
      <c r="S127" s="6"/>
      <c r="T127" s="6"/>
      <c r="U127" s="6"/>
      <c r="V127" s="6"/>
      <c r="W127" s="6"/>
      <c r="X127" s="6"/>
      <c r="Y127" s="6"/>
    </row>
    <row r="128" spans="1:25" x14ac:dyDescent="0.2">
      <c r="A128" s="7"/>
      <c r="B128" s="7"/>
      <c r="C128" s="7"/>
      <c r="D128" s="7"/>
      <c r="E128" s="7"/>
      <c r="F128" s="7"/>
      <c r="G128" s="7"/>
      <c r="H128" s="7"/>
      <c r="I128" s="7"/>
      <c r="J128" s="7"/>
      <c r="K128" s="7"/>
      <c r="L128" s="7"/>
      <c r="M128" s="7"/>
      <c r="N128" s="6"/>
      <c r="O128" s="6"/>
      <c r="P128" s="6"/>
      <c r="Q128" s="6"/>
      <c r="R128" s="6"/>
      <c r="S128" s="6"/>
      <c r="T128" s="6"/>
      <c r="U128" s="6"/>
      <c r="V128" s="6"/>
      <c r="W128" s="6"/>
      <c r="X128" s="6"/>
      <c r="Y128" s="6"/>
    </row>
    <row r="129" spans="1:25" x14ac:dyDescent="0.2">
      <c r="A129" s="7"/>
      <c r="B129" s="7"/>
      <c r="C129" s="7"/>
      <c r="D129" s="7"/>
      <c r="E129" s="7"/>
      <c r="F129" s="7"/>
      <c r="G129" s="7"/>
      <c r="H129" s="7"/>
      <c r="I129" s="7"/>
      <c r="J129" s="7"/>
      <c r="K129" s="7"/>
      <c r="L129" s="7"/>
      <c r="M129" s="7"/>
      <c r="N129" s="6"/>
      <c r="O129" s="6"/>
      <c r="P129" s="6"/>
      <c r="Q129" s="6"/>
      <c r="R129" s="6"/>
      <c r="S129" s="6"/>
      <c r="T129" s="6"/>
      <c r="U129" s="6"/>
      <c r="V129" s="6"/>
      <c r="W129" s="6"/>
      <c r="X129" s="6"/>
      <c r="Y129" s="6"/>
    </row>
    <row r="130" spans="1:25" x14ac:dyDescent="0.2">
      <c r="A130" s="7"/>
      <c r="B130" s="7"/>
      <c r="C130" s="7"/>
      <c r="D130" s="7"/>
      <c r="E130" s="7"/>
      <c r="F130" s="7"/>
      <c r="G130" s="7"/>
      <c r="H130" s="7"/>
      <c r="I130" s="7"/>
      <c r="J130" s="7"/>
      <c r="K130" s="7"/>
      <c r="L130" s="7"/>
      <c r="M130" s="7"/>
      <c r="N130" s="6"/>
      <c r="O130" s="6"/>
      <c r="P130" s="6"/>
      <c r="Q130" s="6"/>
      <c r="R130" s="6"/>
      <c r="S130" s="6"/>
      <c r="T130" s="6"/>
      <c r="U130" s="6"/>
      <c r="V130" s="6"/>
      <c r="W130" s="6"/>
      <c r="X130" s="6"/>
      <c r="Y130" s="6"/>
    </row>
    <row r="131" spans="1:25" x14ac:dyDescent="0.2">
      <c r="A131" s="7"/>
      <c r="B131" s="7"/>
      <c r="C131" s="7"/>
      <c r="D131" s="7"/>
      <c r="E131" s="7"/>
      <c r="F131" s="7"/>
      <c r="G131" s="7"/>
      <c r="H131" s="7"/>
      <c r="I131" s="7"/>
      <c r="J131" s="7"/>
      <c r="K131" s="7"/>
      <c r="L131" s="7"/>
      <c r="M131" s="7"/>
      <c r="N131" s="6"/>
      <c r="O131" s="6"/>
      <c r="P131" s="6"/>
      <c r="Q131" s="6"/>
      <c r="R131" s="6"/>
      <c r="S131" s="6"/>
      <c r="T131" s="6"/>
      <c r="U131" s="6"/>
      <c r="V131" s="6"/>
      <c r="W131" s="6"/>
      <c r="X131" s="6"/>
      <c r="Y131" s="6"/>
    </row>
    <row r="132" spans="1:25" x14ac:dyDescent="0.2">
      <c r="A132" s="7"/>
      <c r="B132" s="7"/>
      <c r="C132" s="7"/>
      <c r="D132" s="7"/>
      <c r="E132" s="7"/>
      <c r="F132" s="7"/>
      <c r="G132" s="7"/>
      <c r="H132" s="7"/>
      <c r="I132" s="7"/>
      <c r="J132" s="7"/>
      <c r="K132" s="7"/>
      <c r="L132" s="7"/>
      <c r="M132" s="7"/>
      <c r="N132" s="6"/>
      <c r="O132" s="6"/>
      <c r="P132" s="6"/>
      <c r="Q132" s="6"/>
      <c r="R132" s="6"/>
      <c r="S132" s="6"/>
      <c r="T132" s="6"/>
      <c r="U132" s="6"/>
      <c r="V132" s="6"/>
      <c r="W132" s="6"/>
      <c r="X132" s="6"/>
      <c r="Y132" s="6"/>
    </row>
    <row r="133" spans="1:25" x14ac:dyDescent="0.2">
      <c r="A133" s="7"/>
      <c r="B133" s="7"/>
      <c r="C133" s="7"/>
      <c r="D133" s="7"/>
      <c r="E133" s="7"/>
      <c r="F133" s="7"/>
      <c r="G133" s="7"/>
      <c r="H133" s="7"/>
      <c r="I133" s="7"/>
      <c r="J133" s="7"/>
      <c r="K133" s="7"/>
      <c r="L133" s="7"/>
      <c r="M133" s="7"/>
      <c r="N133" s="6"/>
      <c r="O133" s="6"/>
      <c r="P133" s="6"/>
      <c r="Q133" s="6"/>
      <c r="R133" s="6"/>
      <c r="S133" s="6"/>
      <c r="T133" s="6"/>
      <c r="U133" s="6"/>
      <c r="V133" s="6"/>
      <c r="W133" s="6"/>
      <c r="X133" s="6"/>
      <c r="Y133" s="6"/>
    </row>
    <row r="134" spans="1:25" x14ac:dyDescent="0.2">
      <c r="A134" s="7"/>
      <c r="B134" s="7"/>
      <c r="C134" s="7"/>
      <c r="D134" s="7"/>
      <c r="E134" s="7"/>
      <c r="F134" s="7"/>
      <c r="G134" s="7"/>
      <c r="H134" s="7"/>
      <c r="I134" s="7"/>
      <c r="J134" s="7"/>
      <c r="K134" s="7"/>
      <c r="L134" s="7"/>
      <c r="M134" s="7"/>
      <c r="N134" s="6"/>
      <c r="O134" s="6"/>
      <c r="P134" s="6"/>
      <c r="Q134" s="6"/>
      <c r="R134" s="6"/>
      <c r="S134" s="6"/>
      <c r="T134" s="6"/>
      <c r="U134" s="6"/>
      <c r="V134" s="6"/>
      <c r="W134" s="6"/>
      <c r="X134" s="6"/>
      <c r="Y134" s="6"/>
    </row>
    <row r="135" spans="1:25" x14ac:dyDescent="0.2">
      <c r="A135" s="7"/>
      <c r="B135" s="7"/>
      <c r="C135" s="7"/>
      <c r="D135" s="7"/>
      <c r="E135" s="7"/>
      <c r="F135" s="7"/>
      <c r="G135" s="7"/>
      <c r="H135" s="7"/>
      <c r="I135" s="7"/>
      <c r="J135" s="7"/>
      <c r="K135" s="7"/>
      <c r="L135" s="7"/>
      <c r="M135" s="7"/>
      <c r="N135" s="6"/>
      <c r="O135" s="6"/>
      <c r="P135" s="6"/>
      <c r="Q135" s="6"/>
      <c r="R135" s="6"/>
      <c r="S135" s="6"/>
      <c r="T135" s="6"/>
      <c r="U135" s="6"/>
      <c r="V135" s="6"/>
      <c r="W135" s="6"/>
      <c r="X135" s="6"/>
      <c r="Y135" s="6"/>
    </row>
    <row r="136" spans="1:25" x14ac:dyDescent="0.2">
      <c r="A136" s="7"/>
      <c r="B136" s="7"/>
      <c r="C136" s="7"/>
      <c r="D136" s="7"/>
      <c r="E136" s="7"/>
      <c r="F136" s="7"/>
      <c r="G136" s="7"/>
      <c r="H136" s="7"/>
      <c r="I136" s="7"/>
      <c r="J136" s="7"/>
      <c r="K136" s="7"/>
      <c r="L136" s="7"/>
      <c r="M136" s="7"/>
      <c r="N136" s="6"/>
      <c r="O136" s="6"/>
      <c r="P136" s="6"/>
      <c r="Q136" s="6"/>
      <c r="R136" s="6"/>
      <c r="S136" s="6"/>
      <c r="T136" s="6"/>
      <c r="U136" s="6"/>
      <c r="V136" s="6"/>
      <c r="W136" s="6"/>
      <c r="X136" s="6"/>
      <c r="Y136" s="6"/>
    </row>
    <row r="137" spans="1:25" x14ac:dyDescent="0.2">
      <c r="A137" s="7"/>
      <c r="B137" s="7"/>
      <c r="C137" s="7"/>
      <c r="D137" s="7"/>
      <c r="E137" s="7"/>
      <c r="F137" s="7"/>
      <c r="G137" s="7"/>
      <c r="H137" s="7"/>
      <c r="I137" s="7"/>
      <c r="J137" s="7"/>
      <c r="K137" s="7"/>
      <c r="L137" s="7"/>
      <c r="M137" s="7"/>
      <c r="N137" s="6"/>
      <c r="O137" s="6"/>
      <c r="P137" s="6"/>
      <c r="Q137" s="6"/>
      <c r="R137" s="6"/>
      <c r="S137" s="6"/>
      <c r="T137" s="6"/>
      <c r="U137" s="6"/>
      <c r="V137" s="6"/>
      <c r="W137" s="6"/>
      <c r="X137" s="6"/>
      <c r="Y137" s="6"/>
    </row>
    <row r="138" spans="1:25" x14ac:dyDescent="0.2">
      <c r="A138" s="7"/>
      <c r="B138" s="7"/>
      <c r="C138" s="7"/>
      <c r="D138" s="7"/>
      <c r="E138" s="7"/>
      <c r="F138" s="7"/>
      <c r="G138" s="7"/>
      <c r="H138" s="7"/>
      <c r="I138" s="7"/>
      <c r="J138" s="7"/>
      <c r="K138" s="7"/>
      <c r="L138" s="7"/>
      <c r="M138" s="7"/>
      <c r="N138" s="6"/>
      <c r="O138" s="6"/>
      <c r="P138" s="6"/>
      <c r="Q138" s="6"/>
      <c r="R138" s="6"/>
      <c r="S138" s="6"/>
      <c r="T138" s="6"/>
      <c r="U138" s="6"/>
      <c r="V138" s="6"/>
      <c r="W138" s="6"/>
      <c r="X138" s="6"/>
      <c r="Y138" s="6"/>
    </row>
    <row r="139" spans="1:25" x14ac:dyDescent="0.2">
      <c r="A139" s="7"/>
      <c r="B139" s="7"/>
      <c r="C139" s="7"/>
      <c r="D139" s="7"/>
      <c r="E139" s="7"/>
      <c r="F139" s="7"/>
      <c r="G139" s="7"/>
      <c r="H139" s="7"/>
      <c r="I139" s="7"/>
      <c r="J139" s="7"/>
      <c r="K139" s="7"/>
      <c r="L139" s="7"/>
      <c r="M139" s="7"/>
      <c r="N139" s="6"/>
      <c r="O139" s="6"/>
      <c r="P139" s="6"/>
      <c r="Q139" s="6"/>
      <c r="R139" s="6"/>
      <c r="S139" s="6"/>
      <c r="T139" s="6"/>
      <c r="U139" s="6"/>
      <c r="V139" s="6"/>
      <c r="W139" s="6"/>
      <c r="X139" s="6"/>
      <c r="Y139" s="6"/>
    </row>
    <row r="140" spans="1:25" x14ac:dyDescent="0.2">
      <c r="A140" s="7"/>
      <c r="B140" s="7"/>
      <c r="C140" s="7"/>
      <c r="D140" s="7"/>
      <c r="E140" s="7"/>
      <c r="F140" s="7"/>
      <c r="G140" s="7"/>
      <c r="H140" s="7"/>
      <c r="I140" s="7"/>
      <c r="J140" s="7"/>
      <c r="K140" s="7"/>
      <c r="L140" s="7"/>
      <c r="M140" s="7"/>
      <c r="N140" s="6"/>
      <c r="O140" s="6"/>
      <c r="P140" s="6"/>
      <c r="Q140" s="6"/>
      <c r="R140" s="6"/>
      <c r="S140" s="6"/>
      <c r="T140" s="6"/>
      <c r="U140" s="6"/>
      <c r="V140" s="6"/>
      <c r="W140" s="6"/>
      <c r="X140" s="6"/>
      <c r="Y140" s="6"/>
    </row>
    <row r="141" spans="1:25" x14ac:dyDescent="0.2">
      <c r="A141" s="7"/>
      <c r="B141" s="7"/>
      <c r="C141" s="7"/>
      <c r="D141" s="7"/>
      <c r="E141" s="7"/>
      <c r="F141" s="7"/>
      <c r="G141" s="7"/>
      <c r="H141" s="7"/>
      <c r="I141" s="7"/>
      <c r="J141" s="7"/>
      <c r="K141" s="7"/>
      <c r="L141" s="7"/>
      <c r="M141" s="7"/>
      <c r="N141" s="6"/>
      <c r="O141" s="6"/>
      <c r="P141" s="6"/>
      <c r="Q141" s="6"/>
      <c r="R141" s="6"/>
      <c r="S141" s="6"/>
      <c r="T141" s="6"/>
      <c r="U141" s="6"/>
      <c r="V141" s="6"/>
      <c r="W141" s="6"/>
      <c r="X141" s="6"/>
      <c r="Y141" s="6"/>
    </row>
    <row r="142" spans="1:25" x14ac:dyDescent="0.2">
      <c r="A142" s="7"/>
      <c r="B142" s="7"/>
      <c r="C142" s="7"/>
      <c r="D142" s="7"/>
      <c r="E142" s="7"/>
      <c r="F142" s="7"/>
      <c r="G142" s="7"/>
      <c r="H142" s="7"/>
      <c r="I142" s="7"/>
      <c r="J142" s="7"/>
      <c r="K142" s="7"/>
      <c r="L142" s="7"/>
      <c r="M142" s="7"/>
      <c r="N142" s="6"/>
      <c r="O142" s="6"/>
      <c r="P142" s="6"/>
      <c r="Q142" s="6"/>
      <c r="R142" s="6"/>
      <c r="S142" s="6"/>
      <c r="T142" s="6"/>
      <c r="U142" s="6"/>
      <c r="V142" s="6"/>
      <c r="W142" s="6"/>
      <c r="X142" s="6"/>
      <c r="Y142" s="6"/>
    </row>
    <row r="143" spans="1:25" x14ac:dyDescent="0.2">
      <c r="A143" s="7"/>
      <c r="B143" s="7"/>
      <c r="C143" s="7"/>
      <c r="D143" s="7"/>
      <c r="E143" s="7"/>
      <c r="F143" s="7"/>
      <c r="G143" s="7"/>
      <c r="H143" s="7"/>
      <c r="I143" s="7"/>
      <c r="J143" s="7"/>
      <c r="K143" s="7"/>
      <c r="L143" s="7"/>
      <c r="M143" s="7"/>
      <c r="N143" s="6"/>
      <c r="O143" s="6"/>
      <c r="P143" s="6"/>
      <c r="Q143" s="6"/>
      <c r="R143" s="6"/>
      <c r="S143" s="6"/>
      <c r="T143" s="6"/>
      <c r="U143" s="6"/>
      <c r="V143" s="6"/>
      <c r="W143" s="6"/>
      <c r="X143" s="6"/>
      <c r="Y143" s="6"/>
    </row>
    <row r="144" spans="1:25" x14ac:dyDescent="0.2">
      <c r="A144" s="7"/>
      <c r="B144" s="7"/>
      <c r="C144" s="7"/>
      <c r="D144" s="7"/>
      <c r="E144" s="7"/>
      <c r="F144" s="7"/>
      <c r="G144" s="7"/>
      <c r="H144" s="7"/>
      <c r="I144" s="7"/>
      <c r="J144" s="7"/>
      <c r="K144" s="7"/>
      <c r="L144" s="7"/>
      <c r="M144" s="7"/>
      <c r="N144" s="6"/>
      <c r="O144" s="6"/>
      <c r="P144" s="6"/>
      <c r="Q144" s="6"/>
      <c r="R144" s="6"/>
      <c r="S144" s="6"/>
      <c r="T144" s="6"/>
      <c r="U144" s="6"/>
      <c r="V144" s="6"/>
      <c r="W144" s="6"/>
      <c r="X144" s="6"/>
      <c r="Y144" s="6"/>
    </row>
    <row r="145" spans="1:25" x14ac:dyDescent="0.2">
      <c r="A145" s="7"/>
      <c r="B145" s="7"/>
      <c r="C145" s="7"/>
      <c r="D145" s="7"/>
      <c r="E145" s="7"/>
      <c r="F145" s="7"/>
      <c r="G145" s="7"/>
      <c r="H145" s="7"/>
      <c r="I145" s="7"/>
      <c r="J145" s="7"/>
      <c r="K145" s="7"/>
      <c r="L145" s="7"/>
      <c r="M145" s="7"/>
      <c r="N145" s="6"/>
      <c r="O145" s="6"/>
      <c r="P145" s="6"/>
      <c r="Q145" s="6"/>
      <c r="R145" s="6"/>
      <c r="S145" s="6"/>
      <c r="T145" s="6"/>
      <c r="U145" s="6"/>
      <c r="V145" s="6"/>
      <c r="W145" s="6"/>
      <c r="X145" s="6"/>
      <c r="Y145" s="6"/>
    </row>
    <row r="146" spans="1:25" x14ac:dyDescent="0.2">
      <c r="A146" s="7"/>
      <c r="B146" s="7"/>
      <c r="C146" s="7"/>
      <c r="D146" s="7"/>
      <c r="E146" s="7"/>
      <c r="F146" s="7"/>
      <c r="G146" s="7"/>
      <c r="H146" s="7"/>
      <c r="I146" s="7"/>
      <c r="J146" s="7"/>
      <c r="K146" s="7"/>
      <c r="L146" s="7"/>
      <c r="M146" s="7"/>
      <c r="N146" s="6"/>
      <c r="O146" s="6"/>
      <c r="P146" s="6"/>
      <c r="Q146" s="6"/>
      <c r="R146" s="6"/>
      <c r="S146" s="6"/>
      <c r="T146" s="6"/>
      <c r="U146" s="6"/>
      <c r="V146" s="6"/>
      <c r="W146" s="6"/>
      <c r="X146" s="6"/>
      <c r="Y146" s="6"/>
    </row>
    <row r="147" spans="1:25" x14ac:dyDescent="0.2">
      <c r="A147" s="7"/>
      <c r="B147" s="7"/>
      <c r="C147" s="7"/>
      <c r="D147" s="7"/>
      <c r="E147" s="7"/>
      <c r="F147" s="7"/>
      <c r="G147" s="7"/>
      <c r="H147" s="7"/>
      <c r="I147" s="7"/>
      <c r="J147" s="7"/>
      <c r="K147" s="7"/>
      <c r="L147" s="7"/>
      <c r="M147" s="7"/>
      <c r="N147" s="6"/>
      <c r="O147" s="6"/>
      <c r="P147" s="6"/>
      <c r="Q147" s="6"/>
      <c r="R147" s="6"/>
      <c r="S147" s="6"/>
      <c r="T147" s="6"/>
      <c r="U147" s="6"/>
      <c r="V147" s="6"/>
      <c r="W147" s="6"/>
      <c r="X147" s="6"/>
      <c r="Y147" s="6"/>
    </row>
    <row r="148" spans="1:25" x14ac:dyDescent="0.2">
      <c r="A148" s="7"/>
      <c r="B148" s="7"/>
      <c r="C148" s="7"/>
      <c r="D148" s="7"/>
      <c r="E148" s="7"/>
      <c r="F148" s="7"/>
      <c r="G148" s="7"/>
      <c r="H148" s="7"/>
      <c r="I148" s="7"/>
      <c r="J148" s="7"/>
      <c r="K148" s="7"/>
      <c r="L148" s="7"/>
      <c r="M148" s="7"/>
      <c r="N148" s="6"/>
      <c r="O148" s="6"/>
      <c r="P148" s="6"/>
      <c r="Q148" s="6"/>
      <c r="R148" s="6"/>
      <c r="S148" s="6"/>
      <c r="T148" s="6"/>
      <c r="U148" s="6"/>
      <c r="V148" s="6"/>
      <c r="W148" s="6"/>
      <c r="X148" s="6"/>
      <c r="Y148" s="6"/>
    </row>
    <row r="149" spans="1:25" x14ac:dyDescent="0.2">
      <c r="A149" s="7"/>
      <c r="B149" s="7"/>
      <c r="C149" s="7"/>
      <c r="D149" s="7"/>
      <c r="E149" s="7"/>
      <c r="F149" s="7"/>
      <c r="G149" s="7"/>
      <c r="H149" s="7"/>
      <c r="I149" s="7"/>
      <c r="J149" s="7"/>
      <c r="K149" s="7"/>
      <c r="L149" s="7"/>
      <c r="M149" s="7"/>
      <c r="N149" s="6"/>
      <c r="O149" s="6"/>
      <c r="P149" s="6"/>
      <c r="Q149" s="6"/>
      <c r="R149" s="6"/>
      <c r="S149" s="6"/>
      <c r="T149" s="6"/>
      <c r="U149" s="6"/>
      <c r="V149" s="6"/>
      <c r="W149" s="6"/>
      <c r="X149" s="6"/>
      <c r="Y149" s="6"/>
    </row>
    <row r="150" spans="1:25" x14ac:dyDescent="0.2">
      <c r="A150" s="7"/>
      <c r="B150" s="7"/>
      <c r="C150" s="7"/>
      <c r="D150" s="7"/>
      <c r="E150" s="7"/>
      <c r="F150" s="7"/>
      <c r="G150" s="7"/>
      <c r="H150" s="7"/>
      <c r="I150" s="7"/>
      <c r="J150" s="7"/>
      <c r="K150" s="7"/>
      <c r="L150" s="7"/>
      <c r="M150" s="7"/>
      <c r="N150" s="6"/>
      <c r="O150" s="6"/>
      <c r="P150" s="6"/>
      <c r="Q150" s="6"/>
      <c r="R150" s="6"/>
      <c r="S150" s="6"/>
      <c r="T150" s="6"/>
      <c r="U150" s="6"/>
      <c r="V150" s="6"/>
      <c r="W150" s="6"/>
      <c r="X150" s="6"/>
      <c r="Y150" s="6"/>
    </row>
    <row r="151" spans="1:25" x14ac:dyDescent="0.2">
      <c r="A151" s="7"/>
      <c r="B151" s="7"/>
      <c r="C151" s="7"/>
      <c r="D151" s="7"/>
      <c r="E151" s="7"/>
      <c r="F151" s="7"/>
      <c r="G151" s="7"/>
      <c r="H151" s="7"/>
      <c r="I151" s="7"/>
      <c r="J151" s="7"/>
      <c r="K151" s="7"/>
      <c r="L151" s="7"/>
      <c r="M151" s="7"/>
      <c r="N151" s="6"/>
      <c r="O151" s="6"/>
      <c r="P151" s="6"/>
      <c r="Q151" s="6"/>
      <c r="R151" s="6"/>
      <c r="S151" s="6"/>
      <c r="T151" s="6"/>
      <c r="U151" s="6"/>
      <c r="V151" s="6"/>
      <c r="W151" s="6"/>
      <c r="X151" s="6"/>
      <c r="Y151" s="6"/>
    </row>
    <row r="152" spans="1:25" x14ac:dyDescent="0.2">
      <c r="A152" s="7"/>
      <c r="B152" s="7"/>
      <c r="C152" s="7"/>
      <c r="D152" s="7"/>
      <c r="E152" s="7"/>
      <c r="F152" s="7"/>
      <c r="G152" s="7"/>
      <c r="H152" s="7"/>
      <c r="I152" s="7"/>
      <c r="J152" s="7"/>
      <c r="K152" s="7"/>
      <c r="L152" s="7"/>
      <c r="M152" s="7"/>
      <c r="N152" s="6"/>
      <c r="O152" s="6"/>
      <c r="P152" s="6"/>
      <c r="Q152" s="6"/>
      <c r="R152" s="6"/>
      <c r="S152" s="6"/>
      <c r="T152" s="6"/>
      <c r="U152" s="6"/>
      <c r="V152" s="6"/>
      <c r="W152" s="6"/>
      <c r="X152" s="6"/>
      <c r="Y152" s="6"/>
    </row>
    <row r="153" spans="1:25" x14ac:dyDescent="0.2">
      <c r="A153" s="7"/>
      <c r="B153" s="7"/>
      <c r="C153" s="7"/>
      <c r="D153" s="7"/>
      <c r="E153" s="7"/>
      <c r="F153" s="7"/>
      <c r="G153" s="7"/>
      <c r="H153" s="7"/>
      <c r="I153" s="7"/>
      <c r="J153" s="7"/>
      <c r="K153" s="7"/>
      <c r="L153" s="7"/>
      <c r="M153" s="7"/>
      <c r="N153" s="6"/>
      <c r="O153" s="6"/>
      <c r="P153" s="6"/>
      <c r="Q153" s="6"/>
      <c r="R153" s="6"/>
      <c r="S153" s="6"/>
      <c r="T153" s="6"/>
      <c r="U153" s="6"/>
      <c r="V153" s="6"/>
      <c r="W153" s="6"/>
      <c r="X153" s="6"/>
      <c r="Y153" s="6"/>
    </row>
    <row r="154" spans="1:25" x14ac:dyDescent="0.2">
      <c r="A154" s="7"/>
      <c r="B154" s="7"/>
      <c r="C154" s="7"/>
      <c r="D154" s="7"/>
      <c r="E154" s="7"/>
      <c r="F154" s="7"/>
      <c r="G154" s="7"/>
      <c r="H154" s="7"/>
      <c r="I154" s="7"/>
      <c r="J154" s="7"/>
      <c r="K154" s="7"/>
      <c r="L154" s="7"/>
      <c r="M154" s="7"/>
      <c r="N154" s="6"/>
      <c r="O154" s="6"/>
      <c r="P154" s="6"/>
      <c r="Q154" s="6"/>
      <c r="R154" s="6"/>
      <c r="S154" s="6"/>
      <c r="T154" s="6"/>
      <c r="U154" s="6"/>
      <c r="V154" s="6"/>
      <c r="W154" s="6"/>
      <c r="X154" s="6"/>
      <c r="Y154" s="6"/>
    </row>
    <row r="155" spans="1:25" x14ac:dyDescent="0.2">
      <c r="A155" s="7"/>
      <c r="B155" s="7"/>
      <c r="C155" s="7"/>
      <c r="D155" s="7"/>
      <c r="E155" s="7"/>
      <c r="F155" s="7"/>
      <c r="G155" s="7"/>
      <c r="H155" s="7"/>
      <c r="I155" s="7"/>
      <c r="J155" s="7"/>
      <c r="K155" s="7"/>
      <c r="L155" s="7"/>
      <c r="M155" s="7"/>
      <c r="N155" s="6"/>
      <c r="O155" s="6"/>
      <c r="P155" s="6"/>
      <c r="Q155" s="6"/>
      <c r="R155" s="6"/>
      <c r="S155" s="6"/>
      <c r="T155" s="6"/>
      <c r="U155" s="6"/>
      <c r="V155" s="6"/>
      <c r="W155" s="6"/>
      <c r="X155" s="6"/>
      <c r="Y155" s="6"/>
    </row>
    <row r="156" spans="1:25" x14ac:dyDescent="0.2">
      <c r="A156" s="7"/>
      <c r="B156" s="7"/>
      <c r="C156" s="7"/>
      <c r="D156" s="7"/>
      <c r="E156" s="7"/>
      <c r="F156" s="7"/>
      <c r="G156" s="7"/>
      <c r="H156" s="7"/>
      <c r="I156" s="7"/>
      <c r="J156" s="7"/>
      <c r="K156" s="7"/>
      <c r="L156" s="7"/>
      <c r="M156" s="7"/>
      <c r="N156" s="6"/>
      <c r="O156" s="6"/>
      <c r="P156" s="6"/>
      <c r="Q156" s="6"/>
      <c r="R156" s="6"/>
      <c r="S156" s="6"/>
      <c r="T156" s="6"/>
      <c r="U156" s="6"/>
      <c r="V156" s="6"/>
      <c r="W156" s="6"/>
      <c r="X156" s="6"/>
      <c r="Y156" s="6"/>
    </row>
    <row r="157" spans="1:25" x14ac:dyDescent="0.2">
      <c r="A157" s="7"/>
      <c r="B157" s="7"/>
      <c r="C157" s="7"/>
      <c r="D157" s="7"/>
      <c r="E157" s="7"/>
      <c r="F157" s="7"/>
      <c r="G157" s="7"/>
      <c r="H157" s="7"/>
      <c r="I157" s="7"/>
      <c r="J157" s="7"/>
      <c r="K157" s="7"/>
      <c r="L157" s="7"/>
      <c r="M157" s="7"/>
      <c r="N157" s="6"/>
      <c r="O157" s="6"/>
      <c r="P157" s="6"/>
      <c r="Q157" s="6"/>
      <c r="R157" s="6"/>
      <c r="S157" s="6"/>
      <c r="T157" s="6"/>
      <c r="U157" s="6"/>
      <c r="V157" s="6"/>
      <c r="W157" s="6"/>
      <c r="X157" s="6"/>
      <c r="Y157" s="6"/>
    </row>
    <row r="158" spans="1:25" x14ac:dyDescent="0.2">
      <c r="A158" s="7"/>
      <c r="B158" s="7"/>
      <c r="C158" s="7"/>
      <c r="D158" s="7"/>
      <c r="E158" s="7"/>
      <c r="F158" s="7"/>
      <c r="G158" s="7"/>
      <c r="H158" s="7"/>
      <c r="I158" s="7"/>
      <c r="J158" s="7"/>
      <c r="K158" s="7"/>
      <c r="L158" s="7"/>
      <c r="M158" s="7"/>
      <c r="N158" s="6"/>
      <c r="O158" s="6"/>
      <c r="P158" s="6"/>
      <c r="Q158" s="6"/>
      <c r="R158" s="6"/>
      <c r="S158" s="6"/>
      <c r="T158" s="6"/>
      <c r="U158" s="6"/>
      <c r="V158" s="6"/>
      <c r="W158" s="6"/>
      <c r="X158" s="6"/>
      <c r="Y158" s="6"/>
    </row>
    <row r="159" spans="1:25" x14ac:dyDescent="0.2">
      <c r="A159" s="7"/>
      <c r="B159" s="7"/>
      <c r="C159" s="7"/>
      <c r="D159" s="7"/>
      <c r="E159" s="7"/>
      <c r="F159" s="7"/>
      <c r="G159" s="7"/>
      <c r="H159" s="7"/>
      <c r="I159" s="7"/>
      <c r="J159" s="7"/>
      <c r="K159" s="7"/>
      <c r="L159" s="7"/>
      <c r="M159" s="7"/>
      <c r="N159" s="6"/>
      <c r="O159" s="6"/>
      <c r="P159" s="6"/>
      <c r="Q159" s="6"/>
      <c r="R159" s="6"/>
      <c r="S159" s="6"/>
      <c r="T159" s="6"/>
      <c r="U159" s="6"/>
      <c r="V159" s="6"/>
      <c r="W159" s="6"/>
      <c r="X159" s="6"/>
      <c r="Y159" s="6"/>
    </row>
    <row r="160" spans="1:25" x14ac:dyDescent="0.2">
      <c r="A160" s="7"/>
      <c r="B160" s="7"/>
      <c r="C160" s="7"/>
      <c r="D160" s="7"/>
      <c r="E160" s="7"/>
      <c r="F160" s="7"/>
      <c r="G160" s="7"/>
      <c r="H160" s="7"/>
      <c r="I160" s="7"/>
      <c r="J160" s="7"/>
      <c r="K160" s="7"/>
      <c r="L160" s="7"/>
      <c r="M160" s="7"/>
      <c r="N160" s="6"/>
      <c r="O160" s="6"/>
      <c r="P160" s="6"/>
      <c r="Q160" s="6"/>
      <c r="R160" s="6"/>
      <c r="S160" s="6"/>
      <c r="T160" s="6"/>
      <c r="U160" s="6"/>
      <c r="V160" s="6"/>
      <c r="W160" s="6"/>
      <c r="X160" s="6"/>
      <c r="Y160" s="6"/>
    </row>
    <row r="161" spans="1:25" x14ac:dyDescent="0.2">
      <c r="A161" s="7"/>
      <c r="B161" s="7"/>
      <c r="C161" s="7"/>
      <c r="D161" s="7"/>
      <c r="E161" s="7"/>
      <c r="F161" s="7"/>
      <c r="G161" s="7"/>
      <c r="H161" s="7"/>
      <c r="I161" s="7"/>
      <c r="J161" s="7"/>
      <c r="K161" s="7"/>
      <c r="L161" s="7"/>
      <c r="M161" s="7"/>
      <c r="N161" s="6"/>
      <c r="O161" s="6"/>
      <c r="P161" s="6"/>
      <c r="Q161" s="6"/>
      <c r="R161" s="6"/>
      <c r="S161" s="6"/>
      <c r="T161" s="6"/>
      <c r="U161" s="6"/>
      <c r="V161" s="6"/>
      <c r="W161" s="6"/>
      <c r="X161" s="6"/>
      <c r="Y161" s="6"/>
    </row>
    <row r="162" spans="1:25" x14ac:dyDescent="0.2">
      <c r="A162" s="7"/>
      <c r="B162" s="7"/>
      <c r="C162" s="7"/>
      <c r="D162" s="7"/>
      <c r="E162" s="7"/>
      <c r="F162" s="7"/>
      <c r="G162" s="7"/>
      <c r="H162" s="7"/>
      <c r="I162" s="7"/>
      <c r="J162" s="7"/>
      <c r="K162" s="7"/>
      <c r="L162" s="7"/>
      <c r="M162" s="7"/>
      <c r="N162" s="6"/>
      <c r="O162" s="6"/>
      <c r="P162" s="6"/>
      <c r="Q162" s="6"/>
      <c r="R162" s="6"/>
      <c r="S162" s="6"/>
      <c r="T162" s="6"/>
      <c r="U162" s="6"/>
      <c r="V162" s="6"/>
      <c r="W162" s="6"/>
      <c r="X162" s="6"/>
      <c r="Y162" s="6"/>
    </row>
    <row r="163" spans="1:25" x14ac:dyDescent="0.2">
      <c r="A163" s="7"/>
      <c r="B163" s="7"/>
      <c r="C163" s="7"/>
      <c r="D163" s="7"/>
      <c r="E163" s="7"/>
      <c r="F163" s="7"/>
      <c r="G163" s="7"/>
      <c r="H163" s="7"/>
      <c r="I163" s="7"/>
      <c r="J163" s="7"/>
      <c r="K163" s="7"/>
      <c r="L163" s="7"/>
      <c r="M163" s="7"/>
      <c r="N163" s="6"/>
      <c r="O163" s="6"/>
      <c r="P163" s="6"/>
      <c r="Q163" s="6"/>
      <c r="R163" s="6"/>
      <c r="S163" s="6"/>
      <c r="T163" s="6"/>
      <c r="U163" s="6"/>
      <c r="V163" s="6"/>
      <c r="W163" s="6"/>
      <c r="X163" s="6"/>
      <c r="Y163" s="6"/>
    </row>
    <row r="164" spans="1:25" x14ac:dyDescent="0.2">
      <c r="A164" s="7"/>
      <c r="B164" s="7"/>
      <c r="C164" s="7"/>
      <c r="D164" s="7"/>
      <c r="E164" s="7"/>
      <c r="F164" s="7"/>
      <c r="G164" s="7"/>
      <c r="H164" s="7"/>
      <c r="I164" s="7"/>
      <c r="J164" s="7"/>
      <c r="K164" s="7"/>
      <c r="L164" s="7"/>
      <c r="M164" s="7"/>
      <c r="N164" s="6"/>
      <c r="O164" s="6"/>
      <c r="P164" s="6"/>
      <c r="Q164" s="6"/>
      <c r="R164" s="6"/>
      <c r="S164" s="6"/>
      <c r="T164" s="6"/>
      <c r="U164" s="6"/>
      <c r="V164" s="6"/>
      <c r="W164" s="6"/>
      <c r="X164" s="6"/>
      <c r="Y164" s="6"/>
    </row>
    <row r="165" spans="1:25" x14ac:dyDescent="0.2">
      <c r="A165" s="7"/>
      <c r="B165" s="7"/>
      <c r="C165" s="7"/>
      <c r="D165" s="7"/>
      <c r="E165" s="7"/>
      <c r="F165" s="7"/>
      <c r="G165" s="7"/>
      <c r="H165" s="7"/>
      <c r="I165" s="7"/>
      <c r="J165" s="7"/>
      <c r="K165" s="7"/>
      <c r="L165" s="7"/>
      <c r="M165" s="7"/>
      <c r="N165" s="6"/>
      <c r="O165" s="6"/>
      <c r="P165" s="6"/>
      <c r="Q165" s="6"/>
      <c r="R165" s="6"/>
      <c r="S165" s="6"/>
      <c r="T165" s="6"/>
      <c r="U165" s="6"/>
      <c r="V165" s="6"/>
      <c r="W165" s="6"/>
      <c r="X165" s="6"/>
      <c r="Y165" s="6"/>
    </row>
    <row r="166" spans="1:25" x14ac:dyDescent="0.2">
      <c r="A166" s="7"/>
      <c r="B166" s="7"/>
      <c r="C166" s="7"/>
      <c r="D166" s="7"/>
      <c r="E166" s="7"/>
      <c r="F166" s="7"/>
      <c r="G166" s="7"/>
      <c r="H166" s="7"/>
      <c r="I166" s="7"/>
      <c r="J166" s="7"/>
      <c r="K166" s="7"/>
      <c r="L166" s="7"/>
      <c r="M166" s="7"/>
      <c r="N166" s="6"/>
      <c r="O166" s="6"/>
      <c r="P166" s="6"/>
      <c r="Q166" s="6"/>
      <c r="R166" s="6"/>
      <c r="S166" s="6"/>
      <c r="T166" s="6"/>
      <c r="U166" s="6"/>
      <c r="V166" s="6"/>
      <c r="W166" s="6"/>
      <c r="X166" s="6"/>
      <c r="Y166" s="6"/>
    </row>
    <row r="167" spans="1:25" x14ac:dyDescent="0.2">
      <c r="A167" s="7"/>
      <c r="B167" s="7"/>
      <c r="C167" s="7"/>
      <c r="D167" s="7"/>
      <c r="E167" s="7"/>
      <c r="F167" s="7"/>
      <c r="G167" s="7"/>
      <c r="H167" s="7"/>
      <c r="I167" s="7"/>
      <c r="J167" s="7"/>
      <c r="K167" s="7"/>
      <c r="L167" s="7"/>
      <c r="M167" s="7"/>
      <c r="N167" s="6"/>
      <c r="O167" s="6"/>
      <c r="P167" s="6"/>
      <c r="Q167" s="6"/>
      <c r="R167" s="6"/>
      <c r="S167" s="6"/>
      <c r="T167" s="6"/>
      <c r="U167" s="6"/>
      <c r="V167" s="6"/>
      <c r="W167" s="6"/>
      <c r="X167" s="6"/>
      <c r="Y167" s="6"/>
    </row>
    <row r="168" spans="1:25" x14ac:dyDescent="0.2">
      <c r="A168" s="7"/>
      <c r="B168" s="7"/>
      <c r="C168" s="7"/>
      <c r="D168" s="7"/>
      <c r="E168" s="7"/>
      <c r="F168" s="7"/>
      <c r="G168" s="7"/>
      <c r="H168" s="7"/>
      <c r="I168" s="7"/>
      <c r="J168" s="7"/>
      <c r="K168" s="7"/>
      <c r="L168" s="7"/>
      <c r="M168" s="7"/>
      <c r="N168" s="6"/>
      <c r="O168" s="6"/>
      <c r="P168" s="6"/>
      <c r="Q168" s="6"/>
      <c r="R168" s="6"/>
      <c r="S168" s="6"/>
      <c r="T168" s="6"/>
      <c r="U168" s="6"/>
      <c r="V168" s="6"/>
      <c r="W168" s="6"/>
      <c r="X168" s="6"/>
      <c r="Y168" s="6"/>
    </row>
    <row r="169" spans="1:25" x14ac:dyDescent="0.2">
      <c r="A169" s="7"/>
      <c r="B169" s="7"/>
      <c r="C169" s="7"/>
      <c r="D169" s="7"/>
      <c r="E169" s="7"/>
      <c r="F169" s="7"/>
      <c r="G169" s="7"/>
      <c r="H169" s="7"/>
      <c r="I169" s="7"/>
      <c r="J169" s="7"/>
      <c r="K169" s="7"/>
      <c r="L169" s="7"/>
      <c r="M169" s="7"/>
      <c r="N169" s="6"/>
      <c r="O169" s="6"/>
      <c r="P169" s="6"/>
      <c r="Q169" s="6"/>
      <c r="R169" s="6"/>
      <c r="S169" s="6"/>
      <c r="T169" s="6"/>
      <c r="U169" s="6"/>
      <c r="V169" s="6"/>
      <c r="W169" s="6"/>
      <c r="X169" s="6"/>
      <c r="Y169" s="6"/>
    </row>
    <row r="170" spans="1:25" x14ac:dyDescent="0.2">
      <c r="A170" s="7"/>
      <c r="B170" s="7"/>
      <c r="C170" s="7"/>
      <c r="D170" s="7"/>
      <c r="E170" s="7"/>
      <c r="F170" s="7"/>
      <c r="G170" s="7"/>
      <c r="H170" s="7"/>
      <c r="I170" s="7"/>
      <c r="J170" s="7"/>
      <c r="K170" s="7"/>
      <c r="L170" s="7"/>
      <c r="M170" s="7"/>
      <c r="N170" s="6"/>
      <c r="O170" s="6"/>
      <c r="P170" s="6"/>
      <c r="Q170" s="6"/>
      <c r="R170" s="6"/>
      <c r="S170" s="6"/>
      <c r="T170" s="6"/>
      <c r="U170" s="6"/>
      <c r="V170" s="6"/>
      <c r="W170" s="6"/>
      <c r="X170" s="6"/>
      <c r="Y170" s="6"/>
    </row>
    <row r="171" spans="1:25" x14ac:dyDescent="0.2">
      <c r="A171" s="7"/>
      <c r="B171" s="7"/>
      <c r="C171" s="7"/>
      <c r="D171" s="7"/>
      <c r="E171" s="7"/>
      <c r="F171" s="7"/>
      <c r="G171" s="7"/>
      <c r="H171" s="7"/>
      <c r="I171" s="7"/>
      <c r="J171" s="7"/>
      <c r="K171" s="7"/>
      <c r="L171" s="7"/>
      <c r="M171" s="7"/>
      <c r="N171" s="6"/>
      <c r="O171" s="6"/>
      <c r="P171" s="6"/>
      <c r="Q171" s="6"/>
      <c r="R171" s="6"/>
      <c r="S171" s="6"/>
      <c r="T171" s="6"/>
      <c r="U171" s="6"/>
      <c r="V171" s="6"/>
      <c r="W171" s="6"/>
      <c r="X171" s="6"/>
      <c r="Y171" s="6"/>
    </row>
    <row r="172" spans="1:25" x14ac:dyDescent="0.2">
      <c r="A172" s="7"/>
      <c r="B172" s="7"/>
      <c r="C172" s="7"/>
      <c r="D172" s="7"/>
      <c r="E172" s="7"/>
      <c r="F172" s="7"/>
      <c r="G172" s="7"/>
      <c r="H172" s="7"/>
      <c r="I172" s="7"/>
      <c r="J172" s="7"/>
      <c r="K172" s="7"/>
      <c r="L172" s="7"/>
      <c r="M172" s="7"/>
      <c r="N172" s="6"/>
      <c r="O172" s="6"/>
      <c r="P172" s="6"/>
      <c r="Q172" s="6"/>
      <c r="R172" s="6"/>
      <c r="S172" s="6"/>
      <c r="T172" s="6"/>
      <c r="U172" s="6"/>
      <c r="V172" s="6"/>
      <c r="W172" s="6"/>
      <c r="X172" s="6"/>
      <c r="Y172" s="6"/>
    </row>
    <row r="173" spans="1:25" x14ac:dyDescent="0.2">
      <c r="A173" s="7"/>
      <c r="B173" s="7"/>
      <c r="C173" s="7"/>
      <c r="D173" s="7"/>
      <c r="E173" s="7"/>
      <c r="F173" s="7"/>
      <c r="G173" s="7"/>
      <c r="H173" s="7"/>
      <c r="I173" s="7"/>
      <c r="J173" s="7"/>
      <c r="K173" s="7"/>
      <c r="L173" s="7"/>
      <c r="M173" s="7"/>
      <c r="N173" s="6"/>
      <c r="O173" s="6"/>
      <c r="P173" s="6"/>
      <c r="Q173" s="6"/>
      <c r="R173" s="6"/>
      <c r="S173" s="6"/>
      <c r="T173" s="6"/>
      <c r="U173" s="6"/>
      <c r="V173" s="6"/>
      <c r="W173" s="6"/>
      <c r="X173" s="6"/>
      <c r="Y173" s="6"/>
    </row>
    <row r="174" spans="1:25" x14ac:dyDescent="0.2">
      <c r="A174" s="7"/>
      <c r="B174" s="7"/>
      <c r="C174" s="7"/>
      <c r="D174" s="7"/>
      <c r="E174" s="7"/>
      <c r="F174" s="7"/>
      <c r="G174" s="7"/>
      <c r="H174" s="7"/>
      <c r="I174" s="7"/>
      <c r="J174" s="7"/>
      <c r="K174" s="7"/>
      <c r="L174" s="7"/>
      <c r="M174" s="7"/>
      <c r="N174" s="6"/>
      <c r="O174" s="6"/>
      <c r="P174" s="6"/>
      <c r="Q174" s="6"/>
      <c r="R174" s="6"/>
      <c r="S174" s="6"/>
      <c r="T174" s="6"/>
      <c r="U174" s="6"/>
      <c r="V174" s="6"/>
      <c r="W174" s="6"/>
      <c r="X174" s="6"/>
      <c r="Y174" s="6"/>
    </row>
    <row r="175" spans="1:25" x14ac:dyDescent="0.2">
      <c r="A175" s="7"/>
      <c r="B175" s="7"/>
      <c r="C175" s="7"/>
      <c r="D175" s="7"/>
      <c r="E175" s="7"/>
      <c r="F175" s="7"/>
      <c r="G175" s="7"/>
      <c r="H175" s="7"/>
      <c r="I175" s="7"/>
      <c r="J175" s="7"/>
      <c r="K175" s="7"/>
      <c r="L175" s="7"/>
      <c r="M175" s="7"/>
      <c r="N175" s="6"/>
      <c r="O175" s="6"/>
      <c r="P175" s="6"/>
      <c r="Q175" s="6"/>
      <c r="R175" s="6"/>
      <c r="S175" s="6"/>
      <c r="T175" s="6"/>
      <c r="U175" s="6"/>
      <c r="V175" s="6"/>
      <c r="W175" s="6"/>
      <c r="X175" s="6"/>
      <c r="Y175" s="6"/>
    </row>
    <row r="176" spans="1:25" x14ac:dyDescent="0.2">
      <c r="A176" s="7"/>
      <c r="B176" s="7"/>
      <c r="C176" s="7"/>
      <c r="D176" s="7"/>
      <c r="E176" s="7"/>
      <c r="F176" s="7"/>
      <c r="G176" s="7"/>
      <c r="H176" s="7"/>
      <c r="I176" s="7"/>
      <c r="J176" s="7"/>
      <c r="K176" s="7"/>
      <c r="L176" s="7"/>
      <c r="M176" s="7"/>
      <c r="N176" s="6"/>
      <c r="O176" s="6"/>
      <c r="P176" s="6"/>
      <c r="Q176" s="6"/>
      <c r="R176" s="6"/>
      <c r="S176" s="6"/>
      <c r="T176" s="6"/>
      <c r="U176" s="6"/>
      <c r="V176" s="6"/>
      <c r="W176" s="6"/>
      <c r="X176" s="6"/>
      <c r="Y176" s="6"/>
    </row>
    <row r="177" spans="1:25" x14ac:dyDescent="0.2">
      <c r="A177" s="7"/>
      <c r="B177" s="7"/>
      <c r="C177" s="7"/>
      <c r="D177" s="7"/>
      <c r="E177" s="7"/>
      <c r="F177" s="7"/>
      <c r="G177" s="7"/>
      <c r="H177" s="7"/>
      <c r="I177" s="7"/>
      <c r="J177" s="7"/>
      <c r="K177" s="7"/>
      <c r="L177" s="7"/>
      <c r="M177" s="7"/>
      <c r="N177" s="6"/>
      <c r="O177" s="6"/>
      <c r="P177" s="6"/>
      <c r="Q177" s="6"/>
      <c r="R177" s="6"/>
      <c r="S177" s="6"/>
      <c r="T177" s="6"/>
      <c r="U177" s="6"/>
      <c r="V177" s="6"/>
      <c r="W177" s="6"/>
      <c r="X177" s="6"/>
      <c r="Y177" s="6"/>
    </row>
    <row r="178" spans="1:25" x14ac:dyDescent="0.2">
      <c r="A178" s="7"/>
      <c r="B178" s="7"/>
      <c r="C178" s="7"/>
      <c r="D178" s="7"/>
      <c r="E178" s="7"/>
      <c r="F178" s="7"/>
      <c r="G178" s="7"/>
      <c r="H178" s="7"/>
      <c r="I178" s="7"/>
      <c r="J178" s="7"/>
      <c r="K178" s="7"/>
      <c r="L178" s="7"/>
      <c r="M178" s="7"/>
      <c r="N178" s="6"/>
      <c r="O178" s="6"/>
      <c r="P178" s="6"/>
      <c r="Q178" s="6"/>
      <c r="R178" s="6"/>
      <c r="S178" s="6"/>
      <c r="T178" s="6"/>
      <c r="U178" s="6"/>
      <c r="V178" s="6"/>
      <c r="W178" s="6"/>
      <c r="X178" s="6"/>
      <c r="Y178" s="6"/>
    </row>
    <row r="179" spans="1:25" x14ac:dyDescent="0.2">
      <c r="A179" s="7"/>
      <c r="B179" s="7"/>
      <c r="C179" s="7"/>
      <c r="D179" s="7"/>
      <c r="E179" s="7"/>
      <c r="F179" s="7"/>
      <c r="G179" s="7"/>
      <c r="H179" s="7"/>
      <c r="I179" s="7"/>
      <c r="J179" s="7"/>
      <c r="K179" s="7"/>
      <c r="L179" s="7"/>
      <c r="M179" s="7"/>
      <c r="N179" s="6"/>
      <c r="O179" s="6"/>
      <c r="P179" s="6"/>
      <c r="Q179" s="6"/>
      <c r="R179" s="6"/>
      <c r="S179" s="6"/>
      <c r="T179" s="6"/>
      <c r="U179" s="6"/>
      <c r="V179" s="6"/>
      <c r="W179" s="6"/>
      <c r="X179" s="6"/>
      <c r="Y179" s="6"/>
    </row>
    <row r="180" spans="1:25" x14ac:dyDescent="0.2">
      <c r="A180" s="7"/>
      <c r="B180" s="7"/>
      <c r="C180" s="7"/>
      <c r="D180" s="7"/>
      <c r="E180" s="7"/>
      <c r="F180" s="7"/>
      <c r="G180" s="7"/>
      <c r="H180" s="7"/>
      <c r="I180" s="7"/>
      <c r="J180" s="7"/>
      <c r="K180" s="7"/>
      <c r="L180" s="7"/>
      <c r="M180" s="7"/>
      <c r="N180" s="6"/>
      <c r="O180" s="6"/>
      <c r="P180" s="6"/>
      <c r="Q180" s="6"/>
      <c r="R180" s="6"/>
      <c r="S180" s="6"/>
      <c r="T180" s="6"/>
      <c r="U180" s="6"/>
      <c r="V180" s="6"/>
      <c r="W180" s="6"/>
      <c r="X180" s="6"/>
      <c r="Y180" s="6"/>
    </row>
    <row r="181" spans="1:25" x14ac:dyDescent="0.2">
      <c r="A181" s="7"/>
      <c r="B181" s="7"/>
      <c r="C181" s="7"/>
      <c r="D181" s="7"/>
      <c r="E181" s="7"/>
      <c r="F181" s="7"/>
      <c r="G181" s="7"/>
      <c r="H181" s="7"/>
      <c r="I181" s="7"/>
      <c r="J181" s="7"/>
      <c r="K181" s="7"/>
      <c r="L181" s="7"/>
      <c r="M181" s="7"/>
      <c r="N181" s="6"/>
      <c r="O181" s="6"/>
      <c r="P181" s="6"/>
      <c r="Q181" s="6"/>
      <c r="R181" s="6"/>
      <c r="S181" s="6"/>
      <c r="T181" s="6"/>
      <c r="U181" s="6"/>
      <c r="V181" s="6"/>
      <c r="W181" s="6"/>
      <c r="X181" s="6"/>
      <c r="Y181" s="6"/>
    </row>
    <row r="182" spans="1:25" x14ac:dyDescent="0.2">
      <c r="A182" s="7"/>
      <c r="B182" s="7"/>
      <c r="C182" s="7"/>
      <c r="D182" s="7"/>
      <c r="E182" s="7"/>
      <c r="F182" s="7"/>
      <c r="G182" s="7"/>
      <c r="H182" s="7"/>
      <c r="I182" s="7"/>
      <c r="J182" s="7"/>
      <c r="K182" s="7"/>
      <c r="L182" s="7"/>
      <c r="M182" s="7"/>
      <c r="N182" s="6"/>
      <c r="O182" s="6"/>
      <c r="P182" s="6"/>
      <c r="Q182" s="6"/>
      <c r="R182" s="6"/>
      <c r="S182" s="6"/>
      <c r="T182" s="6"/>
      <c r="U182" s="6"/>
      <c r="V182" s="6"/>
      <c r="W182" s="6"/>
      <c r="X182" s="6"/>
      <c r="Y182" s="6"/>
    </row>
    <row r="183" spans="1:25" x14ac:dyDescent="0.2">
      <c r="A183" s="7"/>
      <c r="B183" s="7"/>
      <c r="C183" s="7"/>
      <c r="D183" s="7"/>
      <c r="E183" s="7"/>
      <c r="F183" s="7"/>
      <c r="G183" s="7"/>
      <c r="H183" s="7"/>
      <c r="I183" s="7"/>
      <c r="J183" s="7"/>
      <c r="K183" s="7"/>
      <c r="L183" s="7"/>
      <c r="M183" s="7"/>
      <c r="N183" s="6"/>
      <c r="O183" s="6"/>
      <c r="P183" s="6"/>
      <c r="Q183" s="6"/>
      <c r="R183" s="6"/>
      <c r="S183" s="6"/>
      <c r="T183" s="6"/>
      <c r="U183" s="6"/>
      <c r="V183" s="6"/>
      <c r="W183" s="6"/>
      <c r="X183" s="6"/>
      <c r="Y183" s="6"/>
    </row>
    <row r="184" spans="1:25" x14ac:dyDescent="0.2">
      <c r="A184" s="7"/>
      <c r="B184" s="7"/>
      <c r="C184" s="7"/>
      <c r="D184" s="7"/>
      <c r="E184" s="7"/>
      <c r="F184" s="7"/>
      <c r="G184" s="7"/>
      <c r="H184" s="7"/>
      <c r="I184" s="7"/>
      <c r="J184" s="7"/>
      <c r="K184" s="7"/>
      <c r="L184" s="7"/>
      <c r="M184" s="7"/>
      <c r="N184" s="6"/>
      <c r="O184" s="6"/>
      <c r="P184" s="6"/>
      <c r="Q184" s="6"/>
      <c r="R184" s="6"/>
      <c r="S184" s="6"/>
      <c r="T184" s="6"/>
      <c r="U184" s="6"/>
      <c r="V184" s="6"/>
      <c r="W184" s="6"/>
      <c r="X184" s="6"/>
      <c r="Y184" s="6"/>
    </row>
    <row r="185" spans="1:25" x14ac:dyDescent="0.2">
      <c r="A185" s="7"/>
      <c r="B185" s="7"/>
      <c r="C185" s="7"/>
      <c r="D185" s="7"/>
      <c r="E185" s="7"/>
      <c r="F185" s="7"/>
      <c r="G185" s="7"/>
      <c r="H185" s="7"/>
      <c r="I185" s="7"/>
      <c r="J185" s="7"/>
      <c r="K185" s="7"/>
      <c r="L185" s="7"/>
      <c r="M185" s="7"/>
      <c r="N185" s="6"/>
      <c r="O185" s="6"/>
      <c r="P185" s="6"/>
      <c r="Q185" s="6"/>
      <c r="R185" s="6"/>
      <c r="S185" s="6"/>
      <c r="T185" s="6"/>
      <c r="U185" s="6"/>
      <c r="V185" s="6"/>
      <c r="W185" s="6"/>
      <c r="X185" s="6"/>
      <c r="Y185" s="6"/>
    </row>
    <row r="186" spans="1:25" x14ac:dyDescent="0.2">
      <c r="A186" s="7"/>
      <c r="B186" s="7"/>
      <c r="C186" s="7"/>
      <c r="D186" s="7"/>
      <c r="E186" s="7"/>
      <c r="F186" s="7"/>
      <c r="G186" s="7"/>
      <c r="H186" s="7"/>
      <c r="I186" s="7"/>
      <c r="J186" s="7"/>
      <c r="K186" s="7"/>
      <c r="L186" s="7"/>
      <c r="M186" s="7"/>
      <c r="N186" s="6"/>
      <c r="O186" s="6"/>
      <c r="P186" s="6"/>
      <c r="Q186" s="6"/>
      <c r="R186" s="6"/>
      <c r="S186" s="6"/>
      <c r="T186" s="6"/>
      <c r="U186" s="6"/>
      <c r="V186" s="6"/>
      <c r="W186" s="6"/>
      <c r="X186" s="6"/>
      <c r="Y186" s="6"/>
    </row>
    <row r="187" spans="1:25" x14ac:dyDescent="0.2">
      <c r="A187" s="7"/>
      <c r="B187" s="7"/>
      <c r="C187" s="7"/>
      <c r="D187" s="7"/>
      <c r="E187" s="7"/>
      <c r="F187" s="7"/>
      <c r="G187" s="7"/>
      <c r="H187" s="7"/>
      <c r="I187" s="7"/>
      <c r="J187" s="7"/>
      <c r="K187" s="7"/>
      <c r="L187" s="7"/>
      <c r="M187" s="7"/>
      <c r="N187" s="6"/>
      <c r="O187" s="6"/>
      <c r="P187" s="6"/>
      <c r="Q187" s="6"/>
      <c r="R187" s="6"/>
      <c r="S187" s="6"/>
      <c r="T187" s="6"/>
      <c r="U187" s="6"/>
      <c r="V187" s="6"/>
      <c r="W187" s="6"/>
      <c r="X187" s="6"/>
      <c r="Y187" s="6"/>
    </row>
    <row r="188" spans="1:25" x14ac:dyDescent="0.2">
      <c r="A188" s="7"/>
      <c r="B188" s="7"/>
      <c r="C188" s="7"/>
      <c r="D188" s="7"/>
      <c r="E188" s="7"/>
      <c r="F188" s="7"/>
      <c r="G188" s="7"/>
      <c r="H188" s="7"/>
      <c r="I188" s="7"/>
      <c r="J188" s="7"/>
      <c r="K188" s="7"/>
      <c r="L188" s="7"/>
      <c r="M188" s="7"/>
      <c r="N188" s="6"/>
      <c r="O188" s="6"/>
      <c r="P188" s="6"/>
      <c r="Q188" s="6"/>
      <c r="R188" s="6"/>
      <c r="S188" s="6"/>
      <c r="T188" s="6"/>
      <c r="U188" s="6"/>
      <c r="V188" s="6"/>
      <c r="W188" s="6"/>
      <c r="X188" s="6"/>
      <c r="Y188" s="6"/>
    </row>
    <row r="189" spans="1:25" x14ac:dyDescent="0.2">
      <c r="A189" s="7"/>
      <c r="B189" s="7"/>
      <c r="C189" s="7"/>
      <c r="D189" s="7"/>
      <c r="E189" s="7"/>
      <c r="F189" s="7"/>
      <c r="G189" s="7"/>
      <c r="H189" s="7"/>
      <c r="I189" s="7"/>
      <c r="J189" s="7"/>
      <c r="K189" s="7"/>
      <c r="L189" s="7"/>
      <c r="M189" s="7"/>
      <c r="N189" s="6"/>
      <c r="O189" s="6"/>
      <c r="P189" s="6"/>
      <c r="Q189" s="6"/>
      <c r="R189" s="6"/>
      <c r="S189" s="6"/>
      <c r="T189" s="6"/>
      <c r="U189" s="6"/>
      <c r="V189" s="6"/>
      <c r="W189" s="6"/>
      <c r="X189" s="6"/>
      <c r="Y189" s="6"/>
    </row>
    <row r="190" spans="1:25" x14ac:dyDescent="0.2">
      <c r="A190" s="7"/>
      <c r="B190" s="7"/>
      <c r="C190" s="7"/>
      <c r="D190" s="7"/>
      <c r="E190" s="7"/>
      <c r="F190" s="7"/>
      <c r="G190" s="7"/>
      <c r="H190" s="7"/>
      <c r="I190" s="7"/>
      <c r="J190" s="7"/>
      <c r="K190" s="7"/>
      <c r="L190" s="7"/>
      <c r="M190" s="7"/>
      <c r="N190" s="6"/>
      <c r="O190" s="6"/>
      <c r="P190" s="6"/>
      <c r="Q190" s="6"/>
      <c r="R190" s="6"/>
      <c r="S190" s="6"/>
      <c r="T190" s="6"/>
      <c r="U190" s="6"/>
      <c r="V190" s="6"/>
      <c r="W190" s="6"/>
      <c r="X190" s="6"/>
      <c r="Y190" s="6"/>
    </row>
    <row r="191" spans="1:25" x14ac:dyDescent="0.2">
      <c r="A191" s="7"/>
      <c r="B191" s="7"/>
      <c r="C191" s="7"/>
      <c r="D191" s="7"/>
      <c r="E191" s="7"/>
      <c r="F191" s="7"/>
      <c r="G191" s="7"/>
      <c r="H191" s="7"/>
      <c r="I191" s="7"/>
      <c r="J191" s="7"/>
      <c r="K191" s="7"/>
      <c r="L191" s="7"/>
      <c r="M191" s="7"/>
      <c r="N191" s="6"/>
      <c r="O191" s="6"/>
      <c r="P191" s="6"/>
      <c r="Q191" s="6"/>
      <c r="R191" s="6"/>
      <c r="S191" s="6"/>
      <c r="T191" s="6"/>
      <c r="U191" s="6"/>
      <c r="V191" s="6"/>
      <c r="W191" s="6"/>
      <c r="X191" s="6"/>
      <c r="Y191" s="6"/>
    </row>
    <row r="192" spans="1:25" x14ac:dyDescent="0.2">
      <c r="A192" s="7"/>
      <c r="B192" s="7"/>
      <c r="C192" s="7"/>
      <c r="D192" s="7"/>
      <c r="E192" s="7"/>
      <c r="F192" s="7"/>
      <c r="G192" s="7"/>
      <c r="H192" s="7"/>
      <c r="I192" s="7"/>
      <c r="J192" s="7"/>
      <c r="K192" s="7"/>
      <c r="L192" s="7"/>
      <c r="M192" s="7"/>
      <c r="N192" s="6"/>
      <c r="O192" s="6"/>
      <c r="P192" s="6"/>
      <c r="Q192" s="6"/>
      <c r="R192" s="6"/>
      <c r="S192" s="6"/>
      <c r="T192" s="6"/>
      <c r="U192" s="6"/>
      <c r="V192" s="6"/>
      <c r="W192" s="6"/>
      <c r="X192" s="6"/>
      <c r="Y192" s="6"/>
    </row>
    <row r="193" spans="1:25" x14ac:dyDescent="0.2">
      <c r="A193" s="7"/>
      <c r="B193" s="7"/>
      <c r="C193" s="7"/>
      <c r="D193" s="7"/>
      <c r="E193" s="7"/>
      <c r="F193" s="7"/>
      <c r="G193" s="7"/>
      <c r="H193" s="7"/>
      <c r="I193" s="7"/>
      <c r="J193" s="7"/>
      <c r="K193" s="7"/>
      <c r="L193" s="7"/>
      <c r="M193" s="7"/>
      <c r="N193" s="6"/>
      <c r="O193" s="6"/>
      <c r="P193" s="6"/>
      <c r="Q193" s="6"/>
      <c r="R193" s="6"/>
      <c r="S193" s="6"/>
      <c r="T193" s="6"/>
      <c r="U193" s="6"/>
      <c r="V193" s="6"/>
      <c r="W193" s="6"/>
      <c r="X193" s="6"/>
      <c r="Y193" s="6"/>
    </row>
    <row r="194" spans="1:25" x14ac:dyDescent="0.2">
      <c r="A194" s="7"/>
      <c r="B194" s="7"/>
      <c r="C194" s="7"/>
      <c r="D194" s="7"/>
      <c r="E194" s="7"/>
      <c r="F194" s="7"/>
      <c r="G194" s="7"/>
      <c r="H194" s="7"/>
      <c r="I194" s="7"/>
      <c r="J194" s="7"/>
      <c r="K194" s="7"/>
      <c r="L194" s="7"/>
      <c r="M194" s="7"/>
      <c r="N194" s="6"/>
      <c r="O194" s="6"/>
      <c r="P194" s="6"/>
      <c r="Q194" s="6"/>
      <c r="R194" s="6"/>
      <c r="S194" s="6"/>
      <c r="T194" s="6"/>
      <c r="U194" s="6"/>
      <c r="V194" s="6"/>
      <c r="W194" s="6"/>
      <c r="X194" s="6"/>
      <c r="Y194" s="6"/>
    </row>
    <row r="195" spans="1:25" x14ac:dyDescent="0.2">
      <c r="A195" s="25"/>
      <c r="B195" s="25"/>
      <c r="C195" s="25"/>
      <c r="D195" s="25"/>
      <c r="E195" s="25"/>
      <c r="F195" s="25"/>
      <c r="G195" s="25"/>
      <c r="H195" s="25"/>
      <c r="I195" s="25"/>
      <c r="J195" s="25"/>
      <c r="K195" s="25"/>
      <c r="L195" s="25"/>
      <c r="M195" s="25"/>
    </row>
    <row r="196" spans="1:25" x14ac:dyDescent="0.2">
      <c r="A196" s="25"/>
      <c r="B196" s="25"/>
      <c r="C196" s="25"/>
      <c r="D196" s="25"/>
      <c r="E196" s="25"/>
      <c r="F196" s="25"/>
      <c r="G196" s="25"/>
      <c r="H196" s="25"/>
      <c r="I196" s="25"/>
      <c r="J196" s="25"/>
      <c r="K196" s="25"/>
      <c r="L196" s="25"/>
      <c r="M196" s="25"/>
    </row>
    <row r="197" spans="1:25" x14ac:dyDescent="0.2">
      <c r="A197" s="25"/>
      <c r="B197" s="25"/>
      <c r="C197" s="25"/>
      <c r="D197" s="25"/>
      <c r="E197" s="25"/>
      <c r="F197" s="25"/>
      <c r="G197" s="25"/>
      <c r="H197" s="25"/>
      <c r="I197" s="25"/>
      <c r="J197" s="25"/>
      <c r="K197" s="25"/>
      <c r="L197" s="25"/>
      <c r="M197" s="25"/>
    </row>
    <row r="198" spans="1:25" x14ac:dyDescent="0.2">
      <c r="A198" s="25"/>
      <c r="B198" s="25"/>
      <c r="C198" s="25"/>
      <c r="D198" s="25"/>
      <c r="E198" s="25"/>
      <c r="F198" s="25"/>
      <c r="G198" s="25"/>
      <c r="H198" s="25"/>
      <c r="I198" s="25"/>
      <c r="J198" s="25"/>
      <c r="K198" s="25"/>
      <c r="L198" s="25"/>
      <c r="M198" s="25"/>
    </row>
    <row r="199" spans="1:25" x14ac:dyDescent="0.2">
      <c r="A199" s="25"/>
      <c r="B199" s="25"/>
      <c r="C199" s="25"/>
      <c r="D199" s="25"/>
      <c r="E199" s="25"/>
      <c r="F199" s="25"/>
      <c r="G199" s="25"/>
      <c r="H199" s="25"/>
      <c r="I199" s="25"/>
      <c r="J199" s="25"/>
      <c r="K199" s="25"/>
      <c r="L199" s="25"/>
      <c r="M199" s="25"/>
    </row>
    <row r="200" spans="1:25" x14ac:dyDescent="0.2">
      <c r="A200" s="25"/>
      <c r="B200" s="25"/>
      <c r="C200" s="25"/>
      <c r="D200" s="25"/>
      <c r="E200" s="25"/>
      <c r="F200" s="25"/>
      <c r="G200" s="25"/>
      <c r="H200" s="25"/>
      <c r="I200" s="25"/>
      <c r="J200" s="25"/>
      <c r="K200" s="25"/>
      <c r="L200" s="25"/>
      <c r="M200" s="25"/>
    </row>
    <row r="201" spans="1:25" x14ac:dyDescent="0.2">
      <c r="A201" s="25"/>
      <c r="B201" s="25"/>
      <c r="C201" s="25"/>
      <c r="D201" s="25"/>
      <c r="E201" s="25"/>
      <c r="F201" s="25"/>
      <c r="G201" s="25"/>
      <c r="H201" s="25"/>
      <c r="I201" s="25"/>
      <c r="J201" s="25"/>
      <c r="K201" s="25"/>
      <c r="L201" s="25"/>
      <c r="M201" s="25"/>
    </row>
    <row r="202" spans="1:25" x14ac:dyDescent="0.2">
      <c r="A202" s="25"/>
      <c r="B202" s="25"/>
      <c r="C202" s="25"/>
      <c r="D202" s="25"/>
      <c r="E202" s="25"/>
      <c r="F202" s="25"/>
      <c r="G202" s="25"/>
      <c r="H202" s="25"/>
      <c r="I202" s="25"/>
      <c r="J202" s="25"/>
      <c r="K202" s="25"/>
      <c r="L202" s="25"/>
      <c r="M202" s="25"/>
    </row>
    <row r="203" spans="1:25" x14ac:dyDescent="0.2">
      <c r="A203" s="25"/>
      <c r="B203" s="25"/>
      <c r="C203" s="25"/>
      <c r="D203" s="25"/>
      <c r="E203" s="25"/>
      <c r="F203" s="25"/>
      <c r="G203" s="25"/>
      <c r="H203" s="25"/>
      <c r="I203" s="25"/>
      <c r="J203" s="25"/>
      <c r="K203" s="25"/>
      <c r="L203" s="25"/>
      <c r="M203" s="25"/>
    </row>
    <row r="204" spans="1:25" x14ac:dyDescent="0.2">
      <c r="A204" s="25"/>
      <c r="B204" s="25"/>
      <c r="C204" s="25"/>
      <c r="D204" s="25"/>
      <c r="E204" s="25"/>
      <c r="F204" s="25"/>
      <c r="G204" s="25"/>
      <c r="H204" s="25"/>
      <c r="I204" s="25"/>
      <c r="J204" s="25"/>
      <c r="K204" s="25"/>
      <c r="L204" s="25"/>
      <c r="M204" s="25"/>
    </row>
    <row r="205" spans="1:25" x14ac:dyDescent="0.2">
      <c r="A205" s="25"/>
      <c r="B205" s="25"/>
      <c r="C205" s="25"/>
      <c r="D205" s="25"/>
      <c r="E205" s="25"/>
      <c r="F205" s="25"/>
      <c r="G205" s="25"/>
      <c r="H205" s="25"/>
      <c r="I205" s="25"/>
      <c r="J205" s="25"/>
      <c r="K205" s="25"/>
      <c r="L205" s="25"/>
      <c r="M205" s="25"/>
    </row>
    <row r="206" spans="1:25" x14ac:dyDescent="0.2">
      <c r="A206" s="25"/>
      <c r="B206" s="25"/>
      <c r="C206" s="25"/>
      <c r="D206" s="25"/>
      <c r="E206" s="25"/>
      <c r="F206" s="25"/>
      <c r="G206" s="25"/>
      <c r="H206" s="25"/>
      <c r="I206" s="25"/>
      <c r="J206" s="25"/>
      <c r="K206" s="25"/>
      <c r="L206" s="25"/>
      <c r="M206" s="25"/>
    </row>
    <row r="207" spans="1:25" x14ac:dyDescent="0.2">
      <c r="A207" s="25"/>
      <c r="B207" s="25"/>
      <c r="C207" s="25"/>
      <c r="D207" s="25"/>
      <c r="E207" s="25"/>
      <c r="F207" s="25"/>
      <c r="G207" s="25"/>
      <c r="H207" s="25"/>
      <c r="I207" s="25"/>
      <c r="J207" s="25"/>
      <c r="K207" s="25"/>
      <c r="L207" s="25"/>
      <c r="M207" s="25"/>
    </row>
    <row r="208" spans="1:25" x14ac:dyDescent="0.2">
      <c r="A208" s="25"/>
      <c r="B208" s="25"/>
      <c r="C208" s="25"/>
      <c r="D208" s="25"/>
      <c r="E208" s="25"/>
      <c r="F208" s="25"/>
      <c r="G208" s="25"/>
      <c r="H208" s="25"/>
      <c r="I208" s="25"/>
      <c r="J208" s="25"/>
      <c r="K208" s="25"/>
      <c r="L208" s="25"/>
      <c r="M208" s="25"/>
    </row>
    <row r="209" spans="1:13" x14ac:dyDescent="0.2">
      <c r="A209" s="25"/>
      <c r="B209" s="25"/>
      <c r="C209" s="25"/>
      <c r="D209" s="25"/>
      <c r="E209" s="25"/>
      <c r="F209" s="25"/>
      <c r="G209" s="25"/>
      <c r="H209" s="25"/>
      <c r="I209" s="25"/>
      <c r="J209" s="25"/>
      <c r="K209" s="25"/>
      <c r="L209" s="25"/>
      <c r="M209" s="25"/>
    </row>
    <row r="210" spans="1:13" x14ac:dyDescent="0.2">
      <c r="A210" s="25"/>
      <c r="B210" s="25"/>
      <c r="C210" s="25"/>
      <c r="D210" s="25"/>
      <c r="E210" s="25"/>
      <c r="F210" s="25"/>
      <c r="G210" s="25"/>
      <c r="H210" s="25"/>
      <c r="I210" s="25"/>
      <c r="J210" s="25"/>
      <c r="K210" s="25"/>
      <c r="L210" s="25"/>
      <c r="M210" s="25"/>
    </row>
    <row r="211" spans="1:13" x14ac:dyDescent="0.2">
      <c r="A211" s="25"/>
      <c r="B211" s="25"/>
      <c r="C211" s="25"/>
      <c r="D211" s="25"/>
      <c r="E211" s="25"/>
      <c r="F211" s="25"/>
      <c r="G211" s="25"/>
      <c r="H211" s="25"/>
      <c r="I211" s="25"/>
      <c r="J211" s="25"/>
      <c r="K211" s="25"/>
      <c r="L211" s="25"/>
      <c r="M211" s="25"/>
    </row>
    <row r="212" spans="1:13" x14ac:dyDescent="0.2">
      <c r="A212" s="25"/>
      <c r="B212" s="25"/>
      <c r="C212" s="25"/>
      <c r="D212" s="25"/>
      <c r="E212" s="25"/>
      <c r="F212" s="25"/>
      <c r="G212" s="25"/>
      <c r="H212" s="25"/>
      <c r="I212" s="25"/>
      <c r="J212" s="25"/>
      <c r="K212" s="25"/>
      <c r="L212" s="25"/>
      <c r="M212" s="25"/>
    </row>
    <row r="213" spans="1:13" x14ac:dyDescent="0.2">
      <c r="A213" s="25"/>
      <c r="B213" s="25"/>
      <c r="C213" s="25"/>
      <c r="D213" s="25"/>
      <c r="E213" s="25"/>
      <c r="F213" s="25"/>
      <c r="G213" s="25"/>
      <c r="H213" s="25"/>
      <c r="I213" s="25"/>
      <c r="J213" s="25"/>
      <c r="K213" s="25"/>
      <c r="L213" s="25"/>
      <c r="M213" s="25"/>
    </row>
    <row r="214" spans="1:13" x14ac:dyDescent="0.2">
      <c r="A214" s="25"/>
      <c r="B214" s="25"/>
      <c r="C214" s="25"/>
      <c r="D214" s="25"/>
      <c r="E214" s="25"/>
      <c r="F214" s="25"/>
      <c r="G214" s="25"/>
      <c r="H214" s="25"/>
      <c r="I214" s="25"/>
      <c r="J214" s="25"/>
      <c r="K214" s="25"/>
      <c r="L214" s="25"/>
      <c r="M214" s="25"/>
    </row>
    <row r="215" spans="1:13" x14ac:dyDescent="0.2">
      <c r="A215" s="25"/>
      <c r="B215" s="25"/>
      <c r="C215" s="25"/>
      <c r="D215" s="25"/>
      <c r="E215" s="25"/>
      <c r="F215" s="25"/>
      <c r="G215" s="25"/>
      <c r="H215" s="25"/>
      <c r="I215" s="25"/>
      <c r="J215" s="25"/>
      <c r="K215" s="25"/>
      <c r="L215" s="25"/>
      <c r="M215" s="25"/>
    </row>
    <row r="216" spans="1:13" x14ac:dyDescent="0.2">
      <c r="A216" s="25"/>
      <c r="B216" s="25"/>
      <c r="C216" s="25"/>
      <c r="D216" s="25"/>
      <c r="E216" s="25"/>
      <c r="F216" s="25"/>
      <c r="G216" s="25"/>
      <c r="H216" s="25"/>
      <c r="I216" s="25"/>
      <c r="J216" s="25"/>
      <c r="K216" s="25"/>
      <c r="L216" s="25"/>
      <c r="M216" s="25"/>
    </row>
    <row r="217" spans="1:13" x14ac:dyDescent="0.2">
      <c r="A217" s="25"/>
      <c r="B217" s="25"/>
      <c r="C217" s="25"/>
      <c r="D217" s="25"/>
      <c r="E217" s="25"/>
      <c r="F217" s="25"/>
      <c r="G217" s="25"/>
      <c r="H217" s="25"/>
      <c r="I217" s="25"/>
      <c r="J217" s="25"/>
      <c r="K217" s="25"/>
      <c r="L217" s="25"/>
      <c r="M217" s="25"/>
    </row>
    <row r="218" spans="1:13" x14ac:dyDescent="0.2">
      <c r="A218" s="25"/>
      <c r="B218" s="25"/>
      <c r="C218" s="25"/>
      <c r="D218" s="25"/>
      <c r="E218" s="25"/>
      <c r="F218" s="25"/>
      <c r="G218" s="25"/>
      <c r="H218" s="25"/>
      <c r="I218" s="25"/>
      <c r="J218" s="25"/>
      <c r="K218" s="25"/>
      <c r="L218" s="25"/>
      <c r="M218" s="25"/>
    </row>
    <row r="219" spans="1:13" x14ac:dyDescent="0.2">
      <c r="A219" s="25"/>
      <c r="B219" s="25"/>
      <c r="C219" s="25"/>
      <c r="D219" s="25"/>
      <c r="E219" s="25"/>
      <c r="F219" s="25"/>
      <c r="G219" s="25"/>
      <c r="H219" s="25"/>
      <c r="I219" s="25"/>
      <c r="J219" s="25"/>
      <c r="K219" s="25"/>
      <c r="L219" s="25"/>
      <c r="M219" s="25"/>
    </row>
    <row r="220" spans="1:13" x14ac:dyDescent="0.2">
      <c r="A220" s="25"/>
      <c r="B220" s="25"/>
      <c r="C220" s="25"/>
      <c r="D220" s="25"/>
      <c r="E220" s="25"/>
      <c r="F220" s="25"/>
      <c r="G220" s="25"/>
      <c r="H220" s="25"/>
      <c r="I220" s="25"/>
      <c r="J220" s="25"/>
      <c r="K220" s="25"/>
      <c r="L220" s="25"/>
      <c r="M220" s="25"/>
    </row>
    <row r="221" spans="1:13" x14ac:dyDescent="0.2">
      <c r="A221" s="25"/>
      <c r="B221" s="25"/>
      <c r="C221" s="25"/>
      <c r="D221" s="25"/>
      <c r="E221" s="25"/>
      <c r="F221" s="25"/>
      <c r="G221" s="25"/>
      <c r="H221" s="25"/>
      <c r="I221" s="25"/>
      <c r="J221" s="25"/>
      <c r="K221" s="25"/>
      <c r="L221" s="25"/>
      <c r="M221" s="25"/>
    </row>
    <row r="222" spans="1:13" x14ac:dyDescent="0.2">
      <c r="A222" s="25"/>
      <c r="B222" s="25"/>
      <c r="C222" s="25"/>
      <c r="D222" s="25"/>
      <c r="E222" s="25"/>
      <c r="F222" s="25"/>
      <c r="G222" s="25"/>
      <c r="H222" s="25"/>
      <c r="I222" s="25"/>
      <c r="J222" s="25"/>
      <c r="K222" s="25"/>
      <c r="L222" s="25"/>
      <c r="M222" s="25"/>
    </row>
    <row r="223" spans="1:13" x14ac:dyDescent="0.2">
      <c r="A223" s="25"/>
      <c r="B223" s="25"/>
      <c r="C223" s="25"/>
      <c r="D223" s="25"/>
      <c r="E223" s="25"/>
      <c r="F223" s="25"/>
      <c r="G223" s="25"/>
      <c r="H223" s="25"/>
      <c r="I223" s="25"/>
      <c r="J223" s="25"/>
      <c r="K223" s="25"/>
      <c r="L223" s="25"/>
      <c r="M223" s="25"/>
    </row>
    <row r="224" spans="1:13" x14ac:dyDescent="0.2">
      <c r="A224" s="25"/>
      <c r="B224" s="25"/>
      <c r="C224" s="25"/>
      <c r="D224" s="25"/>
      <c r="E224" s="25"/>
      <c r="F224" s="25"/>
      <c r="G224" s="25"/>
      <c r="H224" s="25"/>
      <c r="I224" s="25"/>
      <c r="J224" s="25"/>
      <c r="K224" s="25"/>
      <c r="L224" s="25"/>
      <c r="M224" s="25"/>
    </row>
    <row r="225" spans="1:13" x14ac:dyDescent="0.2">
      <c r="A225" s="25"/>
      <c r="B225" s="25"/>
      <c r="C225" s="25"/>
      <c r="D225" s="25"/>
      <c r="E225" s="25"/>
      <c r="F225" s="25"/>
      <c r="G225" s="25"/>
      <c r="H225" s="25"/>
      <c r="I225" s="25"/>
      <c r="J225" s="25"/>
      <c r="K225" s="25"/>
      <c r="L225" s="25"/>
      <c r="M225" s="25"/>
    </row>
    <row r="226" spans="1:13" x14ac:dyDescent="0.2">
      <c r="A226" s="25"/>
      <c r="B226" s="25"/>
      <c r="C226" s="25"/>
      <c r="D226" s="25"/>
      <c r="E226" s="25"/>
      <c r="F226" s="25"/>
      <c r="G226" s="25"/>
      <c r="H226" s="25"/>
      <c r="I226" s="25"/>
      <c r="J226" s="25"/>
      <c r="K226" s="25"/>
      <c r="L226" s="25"/>
      <c r="M226" s="25"/>
    </row>
    <row r="227" spans="1:13" x14ac:dyDescent="0.2">
      <c r="A227" s="25"/>
      <c r="B227" s="25"/>
      <c r="C227" s="25"/>
      <c r="D227" s="25"/>
      <c r="E227" s="25"/>
      <c r="F227" s="25"/>
      <c r="G227" s="25"/>
      <c r="H227" s="25"/>
      <c r="I227" s="25"/>
      <c r="J227" s="25"/>
      <c r="K227" s="25"/>
      <c r="L227" s="25"/>
      <c r="M227" s="25"/>
    </row>
    <row r="228" spans="1:13" x14ac:dyDescent="0.2">
      <c r="A228" s="25"/>
      <c r="B228" s="25"/>
      <c r="C228" s="25"/>
      <c r="D228" s="25"/>
      <c r="E228" s="25"/>
      <c r="F228" s="25"/>
      <c r="G228" s="25"/>
      <c r="H228" s="25"/>
      <c r="I228" s="25"/>
      <c r="J228" s="25"/>
      <c r="K228" s="25"/>
      <c r="L228" s="25"/>
      <c r="M228" s="25"/>
    </row>
    <row r="229" spans="1:13" x14ac:dyDescent="0.2">
      <c r="A229" s="25"/>
      <c r="B229" s="25"/>
      <c r="C229" s="25"/>
      <c r="D229" s="25"/>
      <c r="E229" s="25"/>
      <c r="F229" s="25"/>
      <c r="G229" s="25"/>
      <c r="H229" s="25"/>
      <c r="I229" s="25"/>
      <c r="J229" s="25"/>
      <c r="K229" s="25"/>
      <c r="L229" s="25"/>
      <c r="M229" s="25"/>
    </row>
    <row r="230" spans="1:13" x14ac:dyDescent="0.2">
      <c r="A230" s="25"/>
      <c r="B230" s="25"/>
      <c r="C230" s="25"/>
      <c r="D230" s="25"/>
      <c r="E230" s="25"/>
      <c r="F230" s="25"/>
      <c r="G230" s="25"/>
      <c r="H230" s="25"/>
      <c r="I230" s="25"/>
      <c r="J230" s="25"/>
      <c r="K230" s="25"/>
      <c r="L230" s="25"/>
      <c r="M230" s="25"/>
    </row>
    <row r="231" spans="1:13" x14ac:dyDescent="0.2">
      <c r="A231" s="25"/>
      <c r="B231" s="25"/>
      <c r="C231" s="25"/>
      <c r="D231" s="25"/>
      <c r="E231" s="25"/>
      <c r="F231" s="25"/>
      <c r="G231" s="25"/>
      <c r="H231" s="25"/>
      <c r="I231" s="25"/>
      <c r="J231" s="25"/>
      <c r="K231" s="25"/>
      <c r="L231" s="25"/>
      <c r="M231" s="25"/>
    </row>
    <row r="232" spans="1:13" x14ac:dyDescent="0.2">
      <c r="A232" s="25"/>
      <c r="B232" s="25"/>
      <c r="C232" s="25"/>
      <c r="D232" s="25"/>
      <c r="E232" s="25"/>
      <c r="F232" s="25"/>
      <c r="G232" s="25"/>
      <c r="H232" s="25"/>
      <c r="I232" s="25"/>
      <c r="J232" s="25"/>
      <c r="K232" s="25"/>
      <c r="L232" s="25"/>
      <c r="M232" s="25"/>
    </row>
    <row r="233" spans="1:13" x14ac:dyDescent="0.2">
      <c r="A233" s="25"/>
      <c r="B233" s="25"/>
      <c r="C233" s="25"/>
      <c r="D233" s="25"/>
      <c r="E233" s="25"/>
      <c r="F233" s="25"/>
      <c r="G233" s="25"/>
      <c r="H233" s="25"/>
      <c r="I233" s="25"/>
      <c r="J233" s="25"/>
      <c r="K233" s="25"/>
      <c r="L233" s="25"/>
      <c r="M233" s="25"/>
    </row>
    <row r="234" spans="1:13" x14ac:dyDescent="0.2">
      <c r="A234" s="25"/>
      <c r="B234" s="25"/>
      <c r="C234" s="25"/>
      <c r="D234" s="25"/>
      <c r="E234" s="25"/>
      <c r="F234" s="25"/>
      <c r="G234" s="25"/>
      <c r="H234" s="25"/>
      <c r="I234" s="25"/>
      <c r="J234" s="25"/>
      <c r="K234" s="25"/>
      <c r="L234" s="25"/>
      <c r="M234" s="25"/>
    </row>
    <row r="235" spans="1:13" x14ac:dyDescent="0.2">
      <c r="A235" s="25"/>
      <c r="B235" s="25"/>
      <c r="C235" s="25"/>
      <c r="D235" s="25"/>
      <c r="E235" s="25"/>
      <c r="F235" s="25"/>
      <c r="G235" s="25"/>
      <c r="H235" s="25"/>
      <c r="I235" s="25"/>
      <c r="J235" s="25"/>
      <c r="K235" s="25"/>
      <c r="L235" s="25"/>
      <c r="M235" s="25"/>
    </row>
    <row r="236" spans="1:13" x14ac:dyDescent="0.2">
      <c r="A236" s="25"/>
      <c r="B236" s="25"/>
      <c r="C236" s="25"/>
      <c r="D236" s="25"/>
      <c r="E236" s="25"/>
      <c r="F236" s="25"/>
      <c r="G236" s="25"/>
      <c r="H236" s="25"/>
      <c r="I236" s="25"/>
      <c r="J236" s="25"/>
      <c r="K236" s="25"/>
      <c r="L236" s="25"/>
      <c r="M236" s="25"/>
    </row>
    <row r="237" spans="1:13" x14ac:dyDescent="0.2">
      <c r="A237" s="25"/>
      <c r="B237" s="25"/>
      <c r="C237" s="25"/>
      <c r="D237" s="25"/>
      <c r="E237" s="25"/>
      <c r="F237" s="25"/>
      <c r="G237" s="25"/>
      <c r="H237" s="25"/>
      <c r="I237" s="25"/>
      <c r="J237" s="25"/>
      <c r="K237" s="25"/>
      <c r="L237" s="25"/>
      <c r="M237" s="25"/>
    </row>
    <row r="238" spans="1:13" x14ac:dyDescent="0.2">
      <c r="A238" s="25"/>
      <c r="B238" s="25"/>
      <c r="C238" s="25"/>
      <c r="D238" s="25"/>
      <c r="E238" s="25"/>
      <c r="F238" s="25"/>
      <c r="G238" s="25"/>
      <c r="H238" s="25"/>
      <c r="I238" s="25"/>
      <c r="J238" s="25"/>
      <c r="K238" s="25"/>
      <c r="L238" s="25"/>
      <c r="M238" s="25"/>
    </row>
    <row r="239" spans="1:13" x14ac:dyDescent="0.2">
      <c r="A239" s="25"/>
      <c r="B239" s="25"/>
      <c r="C239" s="25"/>
      <c r="D239" s="25"/>
      <c r="E239" s="25"/>
      <c r="F239" s="25"/>
      <c r="G239" s="25"/>
      <c r="H239" s="25"/>
      <c r="I239" s="25"/>
      <c r="J239" s="25"/>
      <c r="K239" s="25"/>
      <c r="L239" s="25"/>
      <c r="M239" s="25"/>
    </row>
    <row r="240" spans="1:13" x14ac:dyDescent="0.2">
      <c r="A240" s="25"/>
      <c r="B240" s="25"/>
      <c r="C240" s="25"/>
      <c r="D240" s="25"/>
      <c r="E240" s="25"/>
      <c r="F240" s="25"/>
      <c r="G240" s="25"/>
      <c r="H240" s="25"/>
      <c r="I240" s="25"/>
      <c r="J240" s="25"/>
      <c r="K240" s="25"/>
      <c r="L240" s="25"/>
      <c r="M240" s="25"/>
    </row>
    <row r="241" spans="1:13" x14ac:dyDescent="0.2">
      <c r="A241" s="25"/>
      <c r="B241" s="25"/>
      <c r="C241" s="25"/>
      <c r="D241" s="25"/>
      <c r="E241" s="25"/>
      <c r="F241" s="25"/>
      <c r="G241" s="25"/>
      <c r="H241" s="25"/>
      <c r="I241" s="25"/>
      <c r="J241" s="25"/>
      <c r="K241" s="25"/>
      <c r="L241" s="25"/>
      <c r="M241" s="25"/>
    </row>
    <row r="242" spans="1:13" x14ac:dyDescent="0.2">
      <c r="A242" s="25"/>
      <c r="B242" s="25"/>
      <c r="C242" s="25"/>
      <c r="D242" s="25"/>
      <c r="E242" s="25"/>
      <c r="F242" s="25"/>
      <c r="G242" s="25"/>
      <c r="H242" s="25"/>
      <c r="I242" s="25"/>
      <c r="J242" s="25"/>
      <c r="K242" s="25"/>
      <c r="L242" s="25"/>
      <c r="M242" s="25"/>
    </row>
    <row r="243" spans="1:13" x14ac:dyDescent="0.2">
      <c r="A243" s="25"/>
      <c r="B243" s="25"/>
      <c r="C243" s="25"/>
      <c r="D243" s="25"/>
      <c r="E243" s="25"/>
      <c r="F243" s="25"/>
      <c r="G243" s="25"/>
      <c r="H243" s="25"/>
      <c r="I243" s="25"/>
      <c r="J243" s="25"/>
      <c r="K243" s="25"/>
      <c r="L243" s="25"/>
      <c r="M243" s="25"/>
    </row>
    <row r="244" spans="1:13" x14ac:dyDescent="0.2">
      <c r="A244" s="25"/>
      <c r="B244" s="25"/>
      <c r="C244" s="25"/>
      <c r="D244" s="25"/>
      <c r="E244" s="25"/>
      <c r="F244" s="25"/>
      <c r="G244" s="25"/>
      <c r="H244" s="25"/>
      <c r="I244" s="25"/>
      <c r="J244" s="25"/>
      <c r="K244" s="25"/>
      <c r="L244" s="25"/>
      <c r="M244" s="25"/>
    </row>
    <row r="245" spans="1:13" x14ac:dyDescent="0.2">
      <c r="A245" s="25"/>
      <c r="B245" s="25"/>
      <c r="C245" s="25"/>
      <c r="D245" s="25"/>
      <c r="E245" s="25"/>
      <c r="F245" s="25"/>
      <c r="G245" s="25"/>
      <c r="H245" s="25"/>
      <c r="I245" s="25"/>
      <c r="J245" s="25"/>
      <c r="K245" s="25"/>
      <c r="L245" s="25"/>
      <c r="M245" s="25"/>
    </row>
    <row r="246" spans="1:13" x14ac:dyDescent="0.2">
      <c r="A246" s="25"/>
      <c r="B246" s="25"/>
      <c r="C246" s="25"/>
      <c r="D246" s="25"/>
      <c r="E246" s="25"/>
      <c r="F246" s="25"/>
      <c r="G246" s="25"/>
      <c r="H246" s="25"/>
      <c r="I246" s="25"/>
      <c r="J246" s="25"/>
      <c r="K246" s="25"/>
      <c r="L246" s="25"/>
      <c r="M246" s="25"/>
    </row>
    <row r="247" spans="1:13" x14ac:dyDescent="0.2">
      <c r="A247" s="25"/>
      <c r="B247" s="25"/>
      <c r="C247" s="25"/>
      <c r="D247" s="25"/>
      <c r="E247" s="25"/>
      <c r="F247" s="25"/>
      <c r="G247" s="25"/>
      <c r="H247" s="25"/>
      <c r="I247" s="25"/>
      <c r="J247" s="25"/>
      <c r="K247" s="25"/>
      <c r="L247" s="25"/>
      <c r="M247" s="25"/>
    </row>
    <row r="248" spans="1:13" x14ac:dyDescent="0.2">
      <c r="A248" s="25"/>
      <c r="B248" s="25"/>
      <c r="C248" s="25"/>
      <c r="D248" s="25"/>
      <c r="E248" s="25"/>
      <c r="F248" s="25"/>
      <c r="G248" s="25"/>
      <c r="H248" s="25"/>
      <c r="I248" s="25"/>
      <c r="J248" s="25"/>
      <c r="K248" s="25"/>
      <c r="L248" s="25"/>
      <c r="M248" s="25"/>
    </row>
    <row r="249" spans="1:13" x14ac:dyDescent="0.2">
      <c r="A249" s="25"/>
      <c r="B249" s="25"/>
      <c r="C249" s="25"/>
      <c r="D249" s="25"/>
      <c r="E249" s="25"/>
      <c r="F249" s="25"/>
      <c r="G249" s="25"/>
      <c r="H249" s="25"/>
      <c r="I249" s="25"/>
      <c r="J249" s="25"/>
      <c r="K249" s="25"/>
      <c r="L249" s="25"/>
      <c r="M249" s="25"/>
    </row>
    <row r="250" spans="1:13" x14ac:dyDescent="0.2">
      <c r="A250" s="25"/>
      <c r="B250" s="25"/>
      <c r="C250" s="25"/>
      <c r="D250" s="25"/>
      <c r="E250" s="25"/>
      <c r="F250" s="25"/>
      <c r="G250" s="25"/>
      <c r="H250" s="25"/>
      <c r="I250" s="25"/>
      <c r="J250" s="25"/>
      <c r="K250" s="25"/>
      <c r="L250" s="25"/>
      <c r="M250" s="25"/>
    </row>
    <row r="251" spans="1:13" x14ac:dyDescent="0.2">
      <c r="A251" s="25"/>
      <c r="B251" s="25"/>
      <c r="C251" s="25"/>
      <c r="D251" s="25"/>
      <c r="E251" s="25"/>
      <c r="F251" s="25"/>
      <c r="G251" s="25"/>
      <c r="H251" s="25"/>
      <c r="I251" s="25"/>
      <c r="J251" s="25"/>
      <c r="K251" s="25"/>
      <c r="L251" s="25"/>
      <c r="M251" s="25"/>
    </row>
    <row r="252" spans="1:13" x14ac:dyDescent="0.2">
      <c r="A252" s="25"/>
      <c r="B252" s="25"/>
      <c r="C252" s="25"/>
      <c r="D252" s="25"/>
      <c r="E252" s="25"/>
      <c r="F252" s="25"/>
      <c r="G252" s="25"/>
      <c r="H252" s="25"/>
      <c r="I252" s="25"/>
      <c r="J252" s="25"/>
      <c r="K252" s="25"/>
      <c r="L252" s="25"/>
      <c r="M252" s="25"/>
    </row>
    <row r="253" spans="1:13" x14ac:dyDescent="0.2">
      <c r="A253" s="25"/>
      <c r="B253" s="25"/>
      <c r="C253" s="25"/>
      <c r="D253" s="25"/>
      <c r="E253" s="25"/>
      <c r="F253" s="25"/>
      <c r="G253" s="25"/>
      <c r="H253" s="25"/>
      <c r="I253" s="25"/>
      <c r="J253" s="25"/>
      <c r="K253" s="25"/>
      <c r="L253" s="25"/>
      <c r="M253" s="25"/>
    </row>
    <row r="254" spans="1:13" x14ac:dyDescent="0.2">
      <c r="A254" s="25"/>
      <c r="B254" s="25"/>
      <c r="C254" s="25"/>
      <c r="D254" s="25"/>
      <c r="E254" s="25"/>
      <c r="F254" s="25"/>
      <c r="G254" s="25"/>
      <c r="H254" s="25"/>
      <c r="I254" s="25"/>
      <c r="J254" s="25"/>
      <c r="K254" s="25"/>
      <c r="L254" s="25"/>
      <c r="M254" s="25"/>
    </row>
    <row r="255" spans="1:13" x14ac:dyDescent="0.2">
      <c r="A255" s="25"/>
      <c r="B255" s="25"/>
      <c r="C255" s="25"/>
      <c r="D255" s="25"/>
      <c r="E255" s="25"/>
      <c r="F255" s="25"/>
      <c r="G255" s="25"/>
      <c r="H255" s="25"/>
      <c r="I255" s="25"/>
      <c r="J255" s="25"/>
      <c r="K255" s="25"/>
      <c r="L255" s="25"/>
      <c r="M255" s="25"/>
    </row>
    <row r="256" spans="1:13" x14ac:dyDescent="0.2">
      <c r="A256" s="25"/>
      <c r="B256" s="25"/>
      <c r="C256" s="25"/>
      <c r="D256" s="25"/>
      <c r="E256" s="25"/>
      <c r="F256" s="25"/>
      <c r="G256" s="25"/>
      <c r="H256" s="25"/>
      <c r="I256" s="25"/>
      <c r="J256" s="25"/>
      <c r="K256" s="25"/>
      <c r="L256" s="25"/>
      <c r="M256" s="25"/>
    </row>
    <row r="257" spans="1:13" x14ac:dyDescent="0.2">
      <c r="A257" s="25"/>
      <c r="B257" s="25"/>
      <c r="C257" s="25"/>
      <c r="D257" s="25"/>
      <c r="E257" s="25"/>
      <c r="F257" s="25"/>
      <c r="G257" s="25"/>
      <c r="H257" s="25"/>
      <c r="I257" s="25"/>
      <c r="J257" s="25"/>
      <c r="K257" s="25"/>
      <c r="L257" s="25"/>
      <c r="M257" s="25"/>
    </row>
    <row r="258" spans="1:13" x14ac:dyDescent="0.2">
      <c r="A258" s="25"/>
      <c r="B258" s="25"/>
      <c r="C258" s="25"/>
      <c r="D258" s="25"/>
      <c r="E258" s="25"/>
      <c r="F258" s="25"/>
      <c r="G258" s="25"/>
      <c r="H258" s="25"/>
      <c r="I258" s="25"/>
      <c r="J258" s="25"/>
      <c r="K258" s="25"/>
      <c r="L258" s="25"/>
      <c r="M258" s="25"/>
    </row>
    <row r="259" spans="1:13" x14ac:dyDescent="0.2">
      <c r="A259" s="25"/>
      <c r="B259" s="25"/>
      <c r="C259" s="25"/>
      <c r="D259" s="25"/>
      <c r="E259" s="25"/>
      <c r="F259" s="25"/>
      <c r="G259" s="25"/>
      <c r="H259" s="25"/>
      <c r="I259" s="25"/>
      <c r="J259" s="25"/>
      <c r="K259" s="25"/>
      <c r="L259" s="25"/>
      <c r="M259" s="25"/>
    </row>
    <row r="260" spans="1:13" x14ac:dyDescent="0.2">
      <c r="A260" s="25"/>
      <c r="B260" s="25"/>
      <c r="C260" s="25"/>
      <c r="D260" s="25"/>
      <c r="E260" s="25"/>
      <c r="F260" s="25"/>
      <c r="G260" s="25"/>
      <c r="H260" s="25"/>
      <c r="I260" s="25"/>
      <c r="J260" s="25"/>
      <c r="K260" s="25"/>
      <c r="L260" s="25"/>
      <c r="M260" s="25"/>
    </row>
    <row r="261" spans="1:13" x14ac:dyDescent="0.2">
      <c r="A261" s="25"/>
      <c r="B261" s="25"/>
      <c r="C261" s="25"/>
      <c r="D261" s="25"/>
      <c r="E261" s="25"/>
      <c r="F261" s="25"/>
      <c r="G261" s="25"/>
      <c r="H261" s="25"/>
      <c r="I261" s="25"/>
      <c r="J261" s="25"/>
      <c r="K261" s="25"/>
      <c r="L261" s="25"/>
      <c r="M261" s="25"/>
    </row>
    <row r="262" spans="1:13" x14ac:dyDescent="0.2">
      <c r="A262" s="25"/>
      <c r="B262" s="25"/>
      <c r="C262" s="25"/>
      <c r="D262" s="25"/>
      <c r="E262" s="25"/>
      <c r="F262" s="25"/>
      <c r="G262" s="25"/>
      <c r="H262" s="25"/>
      <c r="I262" s="25"/>
      <c r="J262" s="25"/>
      <c r="K262" s="25"/>
      <c r="L262" s="25"/>
      <c r="M262" s="25"/>
    </row>
    <row r="263" spans="1:13" x14ac:dyDescent="0.2">
      <c r="A263" s="25"/>
      <c r="B263" s="25"/>
      <c r="C263" s="25"/>
      <c r="D263" s="25"/>
      <c r="E263" s="25"/>
      <c r="F263" s="25"/>
      <c r="G263" s="25"/>
      <c r="H263" s="25"/>
      <c r="I263" s="25"/>
      <c r="J263" s="25"/>
      <c r="K263" s="25"/>
      <c r="L263" s="25"/>
      <c r="M263" s="25"/>
    </row>
    <row r="264" spans="1:13" x14ac:dyDescent="0.2">
      <c r="A264" s="25"/>
      <c r="B264" s="25"/>
      <c r="C264" s="25"/>
      <c r="D264" s="25"/>
      <c r="E264" s="25"/>
      <c r="F264" s="25"/>
      <c r="G264" s="25"/>
      <c r="H264" s="25"/>
      <c r="I264" s="25"/>
      <c r="J264" s="25"/>
      <c r="K264" s="25"/>
      <c r="L264" s="25"/>
      <c r="M264" s="25"/>
    </row>
    <row r="265" spans="1:13" x14ac:dyDescent="0.2">
      <c r="A265" s="25"/>
      <c r="B265" s="25"/>
      <c r="C265" s="25"/>
      <c r="D265" s="25"/>
      <c r="E265" s="25"/>
      <c r="F265" s="25"/>
      <c r="G265" s="25"/>
      <c r="H265" s="25"/>
      <c r="I265" s="25"/>
      <c r="J265" s="25"/>
      <c r="K265" s="25"/>
      <c r="L265" s="25"/>
      <c r="M265" s="25"/>
    </row>
    <row r="266" spans="1:13" x14ac:dyDescent="0.2">
      <c r="A266" s="25"/>
      <c r="B266" s="25"/>
      <c r="C266" s="25"/>
      <c r="D266" s="25"/>
      <c r="E266" s="25"/>
      <c r="F266" s="25"/>
      <c r="G266" s="25"/>
      <c r="H266" s="25"/>
      <c r="I266" s="25"/>
      <c r="J266" s="25"/>
      <c r="K266" s="25"/>
      <c r="L266" s="25"/>
      <c r="M266" s="25"/>
    </row>
    <row r="267" spans="1:13" x14ac:dyDescent="0.2">
      <c r="A267" s="25"/>
      <c r="B267" s="25"/>
      <c r="C267" s="25"/>
      <c r="D267" s="25"/>
      <c r="E267" s="25"/>
      <c r="F267" s="25"/>
      <c r="G267" s="25"/>
      <c r="H267" s="25"/>
      <c r="I267" s="25"/>
      <c r="J267" s="25"/>
      <c r="K267" s="25"/>
      <c r="L267" s="25"/>
      <c r="M267" s="25"/>
    </row>
    <row r="268" spans="1:13" x14ac:dyDescent="0.2">
      <c r="A268" s="25"/>
      <c r="B268" s="25"/>
      <c r="C268" s="25"/>
      <c r="D268" s="25"/>
      <c r="E268" s="25"/>
      <c r="F268" s="25"/>
      <c r="G268" s="25"/>
      <c r="H268" s="25"/>
      <c r="I268" s="25"/>
      <c r="J268" s="25"/>
      <c r="K268" s="25"/>
      <c r="L268" s="25"/>
      <c r="M268" s="25"/>
    </row>
    <row r="269" spans="1:13" x14ac:dyDescent="0.2">
      <c r="A269" s="25"/>
      <c r="B269" s="25"/>
      <c r="C269" s="25"/>
      <c r="D269" s="25"/>
      <c r="E269" s="25"/>
      <c r="F269" s="25"/>
      <c r="G269" s="25"/>
      <c r="H269" s="25"/>
      <c r="I269" s="25"/>
      <c r="J269" s="25"/>
      <c r="K269" s="25"/>
      <c r="L269" s="25"/>
      <c r="M269" s="25"/>
    </row>
    <row r="270" spans="1:13" x14ac:dyDescent="0.2">
      <c r="A270" s="25"/>
      <c r="B270" s="25"/>
      <c r="C270" s="25"/>
      <c r="D270" s="25"/>
      <c r="E270" s="25"/>
      <c r="F270" s="25"/>
      <c r="G270" s="25"/>
      <c r="H270" s="25"/>
      <c r="I270" s="25"/>
      <c r="J270" s="25"/>
      <c r="K270" s="25"/>
      <c r="L270" s="25"/>
      <c r="M270" s="25"/>
    </row>
    <row r="271" spans="1:13" x14ac:dyDescent="0.2">
      <c r="A271" s="25"/>
      <c r="B271" s="25"/>
      <c r="C271" s="25"/>
      <c r="D271" s="25"/>
      <c r="E271" s="25"/>
      <c r="F271" s="25"/>
      <c r="G271" s="25"/>
      <c r="H271" s="25"/>
      <c r="I271" s="25"/>
      <c r="J271" s="25"/>
      <c r="K271" s="25"/>
      <c r="L271" s="25"/>
      <c r="M271" s="25"/>
    </row>
    <row r="272" spans="1:13" x14ac:dyDescent="0.2">
      <c r="A272" s="25"/>
      <c r="B272" s="25"/>
      <c r="C272" s="25"/>
      <c r="D272" s="25"/>
      <c r="E272" s="25"/>
      <c r="F272" s="25"/>
      <c r="G272" s="25"/>
      <c r="H272" s="25"/>
      <c r="I272" s="25"/>
      <c r="J272" s="25"/>
      <c r="K272" s="25"/>
      <c r="L272" s="25"/>
      <c r="M272" s="25"/>
    </row>
    <row r="273" spans="1:13" x14ac:dyDescent="0.2">
      <c r="A273" s="25"/>
      <c r="B273" s="25"/>
      <c r="C273" s="25"/>
      <c r="D273" s="25"/>
      <c r="E273" s="25"/>
      <c r="F273" s="25"/>
      <c r="G273" s="25"/>
      <c r="H273" s="25"/>
      <c r="I273" s="25"/>
      <c r="J273" s="25"/>
      <c r="K273" s="25"/>
      <c r="L273" s="25"/>
      <c r="M273" s="25"/>
    </row>
    <row r="274" spans="1:13" x14ac:dyDescent="0.2">
      <c r="A274" s="25"/>
      <c r="B274" s="25"/>
      <c r="C274" s="25"/>
      <c r="D274" s="25"/>
      <c r="E274" s="25"/>
      <c r="F274" s="25"/>
      <c r="G274" s="25"/>
      <c r="H274" s="25"/>
      <c r="I274" s="25"/>
      <c r="J274" s="25"/>
      <c r="K274" s="25"/>
      <c r="L274" s="25"/>
      <c r="M274" s="25"/>
    </row>
    <row r="275" spans="1:13" x14ac:dyDescent="0.2">
      <c r="A275" s="25"/>
      <c r="B275" s="25"/>
      <c r="C275" s="25"/>
      <c r="D275" s="25"/>
      <c r="E275" s="25"/>
      <c r="F275" s="25"/>
      <c r="G275" s="25"/>
      <c r="H275" s="25"/>
      <c r="I275" s="25"/>
      <c r="J275" s="25"/>
      <c r="K275" s="25"/>
      <c r="L275" s="25"/>
      <c r="M275" s="25"/>
    </row>
    <row r="276" spans="1:13" x14ac:dyDescent="0.2">
      <c r="A276" s="25"/>
      <c r="B276" s="25"/>
      <c r="C276" s="25"/>
      <c r="D276" s="25"/>
      <c r="E276" s="25"/>
      <c r="F276" s="25"/>
      <c r="G276" s="25"/>
      <c r="H276" s="25"/>
      <c r="I276" s="25"/>
      <c r="J276" s="25"/>
      <c r="K276" s="25"/>
      <c r="L276" s="25"/>
      <c r="M276" s="25"/>
    </row>
    <row r="277" spans="1:13" x14ac:dyDescent="0.2">
      <c r="A277" s="25"/>
      <c r="B277" s="25"/>
      <c r="C277" s="25"/>
      <c r="D277" s="25"/>
      <c r="E277" s="25"/>
      <c r="F277" s="25"/>
      <c r="G277" s="25"/>
      <c r="H277" s="25"/>
      <c r="I277" s="25"/>
      <c r="J277" s="25"/>
      <c r="K277" s="25"/>
      <c r="L277" s="25"/>
      <c r="M277" s="25"/>
    </row>
    <row r="278" spans="1:13" x14ac:dyDescent="0.2">
      <c r="A278" s="25"/>
      <c r="B278" s="25"/>
      <c r="C278" s="25"/>
      <c r="D278" s="25"/>
      <c r="E278" s="25"/>
      <c r="F278" s="25"/>
      <c r="G278" s="25"/>
      <c r="H278" s="25"/>
      <c r="I278" s="25"/>
      <c r="J278" s="25"/>
      <c r="K278" s="25"/>
      <c r="L278" s="25"/>
      <c r="M278" s="25"/>
    </row>
    <row r="279" spans="1:13" x14ac:dyDescent="0.2">
      <c r="A279" s="25"/>
      <c r="B279" s="25"/>
      <c r="C279" s="25"/>
      <c r="D279" s="25"/>
      <c r="E279" s="25"/>
      <c r="F279" s="25"/>
      <c r="G279" s="25"/>
      <c r="H279" s="25"/>
      <c r="I279" s="25"/>
      <c r="J279" s="25"/>
      <c r="K279" s="25"/>
      <c r="L279" s="25"/>
      <c r="M279" s="25"/>
    </row>
    <row r="280" spans="1:13" x14ac:dyDescent="0.2">
      <c r="A280" s="25"/>
      <c r="B280" s="25"/>
      <c r="C280" s="25"/>
      <c r="D280" s="25"/>
      <c r="E280" s="25"/>
      <c r="F280" s="25"/>
      <c r="G280" s="25"/>
      <c r="H280" s="25"/>
      <c r="I280" s="25"/>
      <c r="J280" s="25"/>
      <c r="K280" s="25"/>
      <c r="L280" s="25"/>
      <c r="M280" s="25"/>
    </row>
    <row r="281" spans="1:13" x14ac:dyDescent="0.2">
      <c r="A281" s="25"/>
      <c r="B281" s="25"/>
      <c r="C281" s="25"/>
      <c r="D281" s="25"/>
      <c r="E281" s="25"/>
      <c r="F281" s="25"/>
      <c r="G281" s="25"/>
      <c r="H281" s="25"/>
      <c r="I281" s="25"/>
      <c r="J281" s="25"/>
      <c r="K281" s="25"/>
      <c r="L281" s="25"/>
      <c r="M281" s="25"/>
    </row>
    <row r="282" spans="1:13" x14ac:dyDescent="0.2">
      <c r="A282" s="25"/>
      <c r="B282" s="25"/>
      <c r="C282" s="25"/>
      <c r="D282" s="25"/>
      <c r="E282" s="25"/>
      <c r="F282" s="25"/>
      <c r="G282" s="25"/>
      <c r="H282" s="25"/>
      <c r="I282" s="25"/>
      <c r="J282" s="25"/>
      <c r="K282" s="25"/>
      <c r="L282" s="25"/>
      <c r="M282" s="25"/>
    </row>
    <row r="283" spans="1:13" x14ac:dyDescent="0.2">
      <c r="A283" s="25"/>
      <c r="B283" s="25"/>
      <c r="C283" s="25"/>
      <c r="D283" s="25"/>
      <c r="E283" s="25"/>
      <c r="F283" s="25"/>
      <c r="G283" s="25"/>
      <c r="H283" s="25"/>
      <c r="I283" s="25"/>
      <c r="J283" s="25"/>
      <c r="K283" s="25"/>
      <c r="L283" s="25"/>
      <c r="M283" s="25"/>
    </row>
    <row r="284" spans="1:13" x14ac:dyDescent="0.2">
      <c r="A284" s="25"/>
      <c r="B284" s="25"/>
      <c r="C284" s="25"/>
      <c r="D284" s="25"/>
      <c r="E284" s="25"/>
      <c r="F284" s="25"/>
      <c r="G284" s="25"/>
      <c r="H284" s="25"/>
      <c r="I284" s="25"/>
      <c r="J284" s="25"/>
      <c r="K284" s="25"/>
      <c r="L284" s="25"/>
      <c r="M284" s="25"/>
    </row>
    <row r="285" spans="1:13" x14ac:dyDescent="0.2">
      <c r="A285" s="25"/>
      <c r="B285" s="25"/>
      <c r="C285" s="25"/>
      <c r="D285" s="25"/>
      <c r="E285" s="25"/>
      <c r="F285" s="25"/>
      <c r="G285" s="25"/>
      <c r="H285" s="25"/>
      <c r="I285" s="25"/>
      <c r="J285" s="25"/>
      <c r="K285" s="25"/>
      <c r="L285" s="25"/>
      <c r="M285" s="25"/>
    </row>
    <row r="286" spans="1:13" x14ac:dyDescent="0.2">
      <c r="A286" s="25"/>
      <c r="B286" s="25"/>
      <c r="C286" s="25"/>
      <c r="D286" s="25"/>
      <c r="E286" s="25"/>
      <c r="F286" s="25"/>
      <c r="G286" s="25"/>
      <c r="H286" s="25"/>
      <c r="I286" s="25"/>
      <c r="J286" s="25"/>
      <c r="K286" s="25"/>
      <c r="L286" s="25"/>
      <c r="M286" s="25"/>
    </row>
    <row r="287" spans="1:13" x14ac:dyDescent="0.2">
      <c r="A287" s="25"/>
      <c r="B287" s="25"/>
      <c r="C287" s="25"/>
      <c r="D287" s="25"/>
      <c r="E287" s="25"/>
      <c r="F287" s="25"/>
      <c r="G287" s="25"/>
      <c r="H287" s="25"/>
      <c r="I287" s="25"/>
      <c r="J287" s="25"/>
      <c r="K287" s="25"/>
      <c r="L287" s="25"/>
      <c r="M287" s="25"/>
    </row>
    <row r="288" spans="1:13" x14ac:dyDescent="0.2">
      <c r="A288" s="25"/>
      <c r="B288" s="25"/>
      <c r="C288" s="25"/>
      <c r="D288" s="25"/>
      <c r="E288" s="25"/>
      <c r="F288" s="25"/>
      <c r="G288" s="25"/>
      <c r="H288" s="25"/>
      <c r="I288" s="25"/>
      <c r="J288" s="25"/>
      <c r="K288" s="25"/>
      <c r="L288" s="25"/>
      <c r="M288" s="25"/>
    </row>
    <row r="289" spans="1:13" x14ac:dyDescent="0.2">
      <c r="A289" s="25"/>
      <c r="B289" s="25"/>
      <c r="C289" s="25"/>
      <c r="D289" s="25"/>
      <c r="E289" s="25"/>
      <c r="F289" s="25"/>
      <c r="G289" s="25"/>
      <c r="H289" s="25"/>
      <c r="I289" s="25"/>
      <c r="J289" s="25"/>
      <c r="K289" s="25"/>
      <c r="L289" s="25"/>
      <c r="M289" s="25"/>
    </row>
    <row r="290" spans="1:13" x14ac:dyDescent="0.2">
      <c r="A290" s="25"/>
      <c r="B290" s="25"/>
      <c r="C290" s="25"/>
      <c r="D290" s="25"/>
      <c r="E290" s="25"/>
      <c r="F290" s="25"/>
      <c r="G290" s="25"/>
      <c r="H290" s="25"/>
      <c r="I290" s="25"/>
      <c r="J290" s="25"/>
      <c r="K290" s="25"/>
      <c r="L290" s="25"/>
      <c r="M290" s="25"/>
    </row>
    <row r="291" spans="1:13" x14ac:dyDescent="0.2">
      <c r="A291" s="25"/>
      <c r="B291" s="25"/>
      <c r="C291" s="25"/>
      <c r="D291" s="25"/>
      <c r="E291" s="25"/>
      <c r="F291" s="25"/>
      <c r="G291" s="25"/>
      <c r="H291" s="25"/>
      <c r="I291" s="25"/>
      <c r="J291" s="25"/>
      <c r="K291" s="25"/>
      <c r="L291" s="25"/>
      <c r="M291" s="25"/>
    </row>
    <row r="292" spans="1:13" x14ac:dyDescent="0.2">
      <c r="A292" s="25"/>
      <c r="B292" s="25"/>
      <c r="C292" s="25"/>
      <c r="D292" s="25"/>
      <c r="E292" s="25"/>
      <c r="F292" s="25"/>
      <c r="G292" s="25"/>
      <c r="H292" s="25"/>
      <c r="I292" s="25"/>
      <c r="J292" s="25"/>
      <c r="K292" s="25"/>
      <c r="L292" s="25"/>
      <c r="M292" s="25"/>
    </row>
    <row r="293" spans="1:13" x14ac:dyDescent="0.2">
      <c r="A293" s="25"/>
      <c r="B293" s="25"/>
      <c r="C293" s="25"/>
      <c r="D293" s="25"/>
      <c r="E293" s="25"/>
      <c r="F293" s="25"/>
      <c r="G293" s="25"/>
      <c r="H293" s="25"/>
      <c r="I293" s="25"/>
      <c r="J293" s="25"/>
      <c r="K293" s="25"/>
      <c r="L293" s="25"/>
      <c r="M293" s="25"/>
    </row>
    <row r="294" spans="1:13" x14ac:dyDescent="0.2">
      <c r="A294" s="25"/>
      <c r="B294" s="25"/>
      <c r="C294" s="25"/>
      <c r="D294" s="25"/>
      <c r="E294" s="25"/>
      <c r="F294" s="25"/>
      <c r="G294" s="25"/>
      <c r="H294" s="25"/>
      <c r="I294" s="25"/>
      <c r="J294" s="25"/>
      <c r="K294" s="25"/>
      <c r="L294" s="25"/>
      <c r="M294" s="25"/>
    </row>
    <row r="295" spans="1:13" x14ac:dyDescent="0.2">
      <c r="A295" s="25"/>
      <c r="B295" s="25"/>
      <c r="C295" s="25"/>
      <c r="D295" s="25"/>
      <c r="E295" s="25"/>
      <c r="F295" s="25"/>
      <c r="G295" s="25"/>
      <c r="H295" s="25"/>
      <c r="I295" s="25"/>
      <c r="J295" s="25"/>
      <c r="K295" s="25"/>
      <c r="L295" s="25"/>
      <c r="M295" s="25"/>
    </row>
    <row r="296" spans="1:13" x14ac:dyDescent="0.2">
      <c r="A296" s="25"/>
      <c r="B296" s="25"/>
      <c r="C296" s="25"/>
      <c r="D296" s="25"/>
      <c r="E296" s="25"/>
      <c r="F296" s="25"/>
      <c r="G296" s="25"/>
      <c r="H296" s="25"/>
      <c r="I296" s="25"/>
      <c r="J296" s="25"/>
      <c r="K296" s="25"/>
      <c r="L296" s="25"/>
      <c r="M296" s="25"/>
    </row>
    <row r="297" spans="1:13" x14ac:dyDescent="0.2">
      <c r="A297" s="25"/>
      <c r="B297" s="25"/>
      <c r="C297" s="25"/>
      <c r="D297" s="25"/>
      <c r="E297" s="25"/>
      <c r="F297" s="25"/>
      <c r="G297" s="25"/>
      <c r="H297" s="25"/>
      <c r="I297" s="25"/>
      <c r="J297" s="25"/>
      <c r="K297" s="25"/>
      <c r="L297" s="25"/>
      <c r="M297" s="25"/>
    </row>
    <row r="298" spans="1:13" x14ac:dyDescent="0.2">
      <c r="A298" s="25"/>
      <c r="B298" s="25"/>
      <c r="C298" s="25"/>
      <c r="D298" s="25"/>
      <c r="E298" s="25"/>
      <c r="F298" s="25"/>
      <c r="G298" s="25"/>
      <c r="H298" s="25"/>
      <c r="I298" s="25"/>
      <c r="J298" s="25"/>
      <c r="K298" s="25"/>
      <c r="L298" s="25"/>
      <c r="M298" s="25"/>
    </row>
    <row r="299" spans="1:13" x14ac:dyDescent="0.2">
      <c r="A299" s="25"/>
      <c r="B299" s="25"/>
      <c r="C299" s="25"/>
      <c r="D299" s="25"/>
      <c r="E299" s="25"/>
      <c r="F299" s="25"/>
      <c r="G299" s="25"/>
      <c r="H299" s="25"/>
      <c r="I299" s="25"/>
      <c r="J299" s="25"/>
      <c r="K299" s="25"/>
      <c r="L299" s="25"/>
      <c r="M299" s="25"/>
    </row>
    <row r="300" spans="1:13" x14ac:dyDescent="0.2">
      <c r="A300" s="25"/>
      <c r="B300" s="25"/>
      <c r="C300" s="25"/>
      <c r="D300" s="25"/>
      <c r="E300" s="25"/>
      <c r="F300" s="25"/>
      <c r="G300" s="25"/>
      <c r="H300" s="25"/>
      <c r="I300" s="25"/>
      <c r="J300" s="25"/>
      <c r="K300" s="25"/>
      <c r="L300" s="25"/>
      <c r="M300" s="25"/>
    </row>
    <row r="301" spans="1:13" x14ac:dyDescent="0.2">
      <c r="A301" s="25"/>
      <c r="B301" s="25"/>
      <c r="C301" s="25"/>
      <c r="D301" s="25"/>
      <c r="E301" s="25"/>
      <c r="F301" s="25"/>
      <c r="G301" s="25"/>
      <c r="H301" s="25"/>
      <c r="I301" s="25"/>
      <c r="J301" s="25"/>
      <c r="K301" s="25"/>
      <c r="L301" s="25"/>
      <c r="M301" s="25"/>
    </row>
    <row r="302" spans="1:13" x14ac:dyDescent="0.2">
      <c r="A302" s="25"/>
      <c r="B302" s="25"/>
      <c r="C302" s="25"/>
      <c r="D302" s="25"/>
      <c r="E302" s="25"/>
      <c r="F302" s="25"/>
      <c r="G302" s="25"/>
      <c r="H302" s="25"/>
      <c r="I302" s="25"/>
      <c r="J302" s="25"/>
      <c r="K302" s="25"/>
      <c r="L302" s="25"/>
      <c r="M302" s="25"/>
    </row>
    <row r="303" spans="1:13" x14ac:dyDescent="0.2">
      <c r="A303" s="25"/>
      <c r="B303" s="25"/>
      <c r="C303" s="25"/>
      <c r="D303" s="25"/>
      <c r="E303" s="25"/>
      <c r="F303" s="25"/>
      <c r="G303" s="25"/>
      <c r="H303" s="25"/>
      <c r="I303" s="25"/>
      <c r="J303" s="25"/>
      <c r="K303" s="25"/>
      <c r="L303" s="25"/>
      <c r="M303" s="25"/>
    </row>
    <row r="304" spans="1:13" x14ac:dyDescent="0.2">
      <c r="A304" s="25"/>
      <c r="B304" s="25"/>
      <c r="C304" s="25"/>
      <c r="D304" s="25"/>
      <c r="E304" s="25"/>
      <c r="F304" s="25"/>
      <c r="G304" s="25"/>
      <c r="H304" s="25"/>
      <c r="I304" s="25"/>
      <c r="J304" s="25"/>
      <c r="K304" s="25"/>
      <c r="L304" s="25"/>
      <c r="M304" s="25"/>
    </row>
    <row r="305" spans="1:13" x14ac:dyDescent="0.2">
      <c r="A305" s="25"/>
      <c r="B305" s="25"/>
      <c r="C305" s="25"/>
      <c r="D305" s="25"/>
      <c r="E305" s="25"/>
      <c r="F305" s="25"/>
      <c r="G305" s="25"/>
      <c r="H305" s="25"/>
      <c r="I305" s="25"/>
      <c r="J305" s="25"/>
      <c r="K305" s="25"/>
      <c r="L305" s="25"/>
      <c r="M305" s="25"/>
    </row>
    <row r="306" spans="1:13" x14ac:dyDescent="0.2">
      <c r="A306" s="25"/>
      <c r="B306" s="25"/>
      <c r="C306" s="25"/>
      <c r="D306" s="25"/>
      <c r="E306" s="25"/>
      <c r="F306" s="25"/>
      <c r="G306" s="25"/>
      <c r="H306" s="25"/>
      <c r="I306" s="25"/>
      <c r="J306" s="25"/>
      <c r="K306" s="25"/>
      <c r="L306" s="25"/>
      <c r="M306" s="25"/>
    </row>
  </sheetData>
  <mergeCells count="4">
    <mergeCell ref="A5:E5"/>
    <mergeCell ref="F1:G1"/>
    <mergeCell ref="C56:E56"/>
    <mergeCell ref="C10:E12"/>
  </mergeCells>
  <phoneticPr fontId="2" type="noConversion"/>
  <printOptions headings="1" gridLines="1"/>
  <pageMargins left="0.75" right="0.75" top="0.62" bottom="0.73" header="0.33" footer="0.46"/>
  <pageSetup paperSize="8" fitToHeight="2" orientation="portrait" r:id="rId1"/>
  <headerFooter alignWithMargins="0">
    <oddHeader>&amp;R&amp;D</oddHeader>
    <oddFooter>&amp;L&amp;Z&amp;F&amp;R&amp;A</oddFooter>
  </headerFooter>
  <rowBreaks count="1" manualBreakCount="1">
    <brk id="62"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S442"/>
  <sheetViews>
    <sheetView zoomScaleNormal="100" workbookViewId="0">
      <selection activeCell="D5" sqref="D5"/>
    </sheetView>
  </sheetViews>
  <sheetFormatPr defaultRowHeight="12.75" x14ac:dyDescent="0.2"/>
  <cols>
    <col min="1" max="1" width="22.85546875" customWidth="1"/>
    <col min="2" max="2" width="23.42578125" customWidth="1"/>
    <col min="3" max="3" width="28.42578125" customWidth="1"/>
    <col min="4" max="4" width="12.42578125" customWidth="1"/>
    <col min="5" max="5" width="5.85546875" customWidth="1"/>
    <col min="6" max="7" width="6.7109375" customWidth="1"/>
    <col min="8" max="9" width="6.42578125" customWidth="1"/>
    <col min="10" max="10" width="6.28515625" customWidth="1"/>
    <col min="11" max="14" width="6.42578125" customWidth="1"/>
    <col min="15" max="15" width="7.42578125" customWidth="1"/>
    <col min="16" max="16" width="6.7109375" customWidth="1"/>
    <col min="17" max="17" width="10.140625" customWidth="1"/>
    <col min="18" max="18" width="13.42578125" customWidth="1"/>
    <col min="19" max="19" width="7.140625" customWidth="1"/>
    <col min="20" max="20" width="6.85546875" customWidth="1"/>
    <col min="21" max="22" width="7.42578125" customWidth="1"/>
    <col min="23" max="23" width="7.7109375" customWidth="1"/>
    <col min="24" max="24" width="7.42578125" customWidth="1"/>
    <col min="25" max="25" width="7.28515625" customWidth="1"/>
    <col min="26" max="26" width="7.140625" customWidth="1"/>
    <col min="27" max="27" width="7.7109375" customWidth="1"/>
    <col min="28" max="28" width="6.7109375" customWidth="1"/>
    <col min="29" max="30" width="7.7109375" customWidth="1"/>
    <col min="31" max="31" width="7.85546875" customWidth="1"/>
    <col min="32" max="32" width="7.42578125" customWidth="1"/>
    <col min="33" max="33" width="7.7109375" customWidth="1"/>
    <col min="34" max="34" width="7.42578125" customWidth="1"/>
    <col min="35" max="35" width="7.7109375" customWidth="1"/>
    <col min="36" max="36" width="7.140625" customWidth="1"/>
    <col min="37" max="37" width="7.42578125" customWidth="1"/>
    <col min="38" max="39" width="7.140625" customWidth="1"/>
    <col min="40" max="40" width="7.42578125" customWidth="1"/>
    <col min="41" max="41" width="7.7109375" customWidth="1"/>
    <col min="44" max="44" width="6.85546875" customWidth="1"/>
    <col min="45" max="46" width="7.42578125" customWidth="1"/>
    <col min="47" max="47" width="7.28515625" customWidth="1"/>
    <col min="48" max="48" width="7" customWidth="1"/>
    <col min="49" max="49" width="8" customWidth="1"/>
    <col min="50" max="50" width="7.42578125" customWidth="1"/>
    <col min="51" max="51" width="7.85546875" customWidth="1"/>
    <col min="52" max="52" width="7" customWidth="1"/>
    <col min="53" max="53" width="7.42578125" customWidth="1"/>
    <col min="54" max="54" width="7.28515625" customWidth="1"/>
    <col min="55" max="55" width="8" customWidth="1"/>
  </cols>
  <sheetData>
    <row r="1" spans="1:149" ht="24.75" customHeight="1" x14ac:dyDescent="0.35">
      <c r="A1" s="550" t="s">
        <v>180</v>
      </c>
      <c r="B1" s="494"/>
      <c r="C1" s="221"/>
      <c r="D1" s="221"/>
      <c r="E1" s="221"/>
      <c r="F1" s="43"/>
      <c r="G1" s="43"/>
      <c r="H1" s="513"/>
      <c r="I1" s="513"/>
      <c r="J1" s="513"/>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row>
    <row r="2" spans="1:149" ht="13.7" customHeight="1" x14ac:dyDescent="0.35">
      <c r="A2" s="66"/>
      <c r="B2" s="25"/>
      <c r="C2" s="25"/>
      <c r="D2" s="25"/>
      <c r="E2" s="25"/>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149" x14ac:dyDescent="0.2">
      <c r="A3" s="17" t="s">
        <v>965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row>
    <row r="4" spans="1:149"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row>
    <row r="5" spans="1:149" ht="44.45" customHeight="1" x14ac:dyDescent="0.2">
      <c r="A5" s="493" t="s">
        <v>935</v>
      </c>
      <c r="B5" s="493"/>
      <c r="C5" s="494"/>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row>
    <row r="6" spans="1:149" ht="16.5" customHeight="1"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row>
    <row r="7" spans="1:149" ht="14.25" customHeight="1" x14ac:dyDescent="0.2">
      <c r="A7" s="17" t="s">
        <v>294</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row>
    <row r="8" spans="1:149" ht="14.25" customHeight="1" x14ac:dyDescent="0.2">
      <c r="A8" s="1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row>
    <row r="9" spans="1:149" ht="27" customHeight="1" x14ac:dyDescent="0.2">
      <c r="A9" s="61" t="s">
        <v>946</v>
      </c>
      <c r="B9" s="222">
        <v>5</v>
      </c>
      <c r="C9" s="61" t="s">
        <v>947</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row>
    <row r="10" spans="1:149" x14ac:dyDescent="0.2">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row>
    <row r="11" spans="1:149" ht="13.7" customHeight="1" x14ac:dyDescent="0.2">
      <c r="A11" s="17" t="s">
        <v>270</v>
      </c>
      <c r="B11" s="170"/>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row>
    <row r="12" spans="1:149" ht="12.75" customHeight="1" x14ac:dyDescent="0.2">
      <c r="A12" s="51"/>
      <c r="B12" s="170"/>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row>
    <row r="13" spans="1:149" ht="15.75" customHeight="1" x14ac:dyDescent="0.2">
      <c r="A13" s="551" t="s">
        <v>881</v>
      </c>
      <c r="B13" s="529"/>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row>
    <row r="14" spans="1:149" ht="13.7" customHeight="1" x14ac:dyDescent="0.2">
      <c r="A14" s="200" t="s">
        <v>937</v>
      </c>
      <c r="B14" s="210" t="s">
        <v>965</v>
      </c>
      <c r="C14" s="97" t="s">
        <v>938</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row>
    <row r="15" spans="1:149" ht="22.7" customHeight="1" x14ac:dyDescent="0.25">
      <c r="A15" s="217" t="s">
        <v>1280</v>
      </c>
      <c r="B15" s="209" t="s">
        <v>1281</v>
      </c>
      <c r="C15" s="174">
        <v>5.01</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row>
    <row r="16" spans="1:149" ht="23.25" customHeight="1" x14ac:dyDescent="0.25">
      <c r="A16" s="217" t="s">
        <v>1246</v>
      </c>
      <c r="B16" s="209" t="s">
        <v>1247</v>
      </c>
      <c r="C16" s="174">
        <v>1.48</v>
      </c>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row>
    <row r="17" spans="1:149" ht="24.75" customHeight="1" x14ac:dyDescent="0.25">
      <c r="A17" s="217" t="s">
        <v>1248</v>
      </c>
      <c r="B17" s="209" t="s">
        <v>926</v>
      </c>
      <c r="C17" s="174">
        <v>4</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row>
    <row r="18" spans="1:149" ht="15.75" customHeight="1" x14ac:dyDescent="0.25">
      <c r="A18" s="217" t="s">
        <v>1249</v>
      </c>
      <c r="B18" s="209" t="s">
        <v>1250</v>
      </c>
      <c r="C18" s="174">
        <v>0.14000000000000001</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row>
    <row r="19" spans="1:149" ht="26.45" customHeight="1" x14ac:dyDescent="0.25">
      <c r="A19" s="217" t="s">
        <v>1251</v>
      </c>
      <c r="B19" s="209" t="s">
        <v>1252</v>
      </c>
      <c r="C19" s="174">
        <v>58</v>
      </c>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row>
    <row r="20" spans="1:149" ht="24" customHeight="1" x14ac:dyDescent="0.25">
      <c r="A20" s="217" t="s">
        <v>927</v>
      </c>
      <c r="B20" s="209" t="s">
        <v>928</v>
      </c>
      <c r="C20" s="174">
        <v>82</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row>
    <row r="21" spans="1:149" ht="18.75" customHeight="1" x14ac:dyDescent="0.25">
      <c r="A21" s="217" t="s">
        <v>1253</v>
      </c>
      <c r="B21" s="209" t="s">
        <v>1256</v>
      </c>
      <c r="C21" s="174">
        <v>31.5</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row>
    <row r="22" spans="1:149" ht="28.5" customHeight="1" x14ac:dyDescent="0.25">
      <c r="A22" s="217" t="s">
        <v>1257</v>
      </c>
      <c r="B22" s="209" t="s">
        <v>1258</v>
      </c>
      <c r="C22" s="174">
        <v>31.96</v>
      </c>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row>
    <row r="23" spans="1:149" ht="26.45" customHeight="1" x14ac:dyDescent="0.25">
      <c r="A23" s="217" t="s">
        <v>1259</v>
      </c>
      <c r="B23" s="209" t="s">
        <v>1260</v>
      </c>
      <c r="C23" s="174">
        <v>32.549999999999997</v>
      </c>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row>
    <row r="24" spans="1:149" ht="26.45" customHeight="1" x14ac:dyDescent="0.25">
      <c r="A24" s="217" t="s">
        <v>1261</v>
      </c>
      <c r="B24" s="209" t="s">
        <v>1265</v>
      </c>
      <c r="C24" s="174">
        <v>158</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row>
    <row r="25" spans="1:149" ht="25.5" customHeight="1" x14ac:dyDescent="0.25">
      <c r="A25" s="217" t="s">
        <v>1266</v>
      </c>
      <c r="B25" s="209" t="s">
        <v>1267</v>
      </c>
      <c r="C25" s="174">
        <v>163</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row>
    <row r="26" spans="1:149" ht="23.25" customHeight="1" x14ac:dyDescent="0.25">
      <c r="A26" s="217" t="s">
        <v>1268</v>
      </c>
      <c r="B26" s="209" t="s">
        <v>1269</v>
      </c>
      <c r="C26" s="174">
        <v>23</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row>
    <row r="27" spans="1:149" ht="25.5" customHeight="1" x14ac:dyDescent="0.25">
      <c r="A27" s="217" t="s">
        <v>1270</v>
      </c>
      <c r="B27" s="209" t="s">
        <v>1271</v>
      </c>
      <c r="C27" s="174">
        <v>4.6500000000000004</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row>
    <row r="28" spans="1:149" ht="27" customHeight="1" x14ac:dyDescent="0.25">
      <c r="A28" s="217" t="s">
        <v>1272</v>
      </c>
      <c r="B28" s="209" t="s">
        <v>1273</v>
      </c>
      <c r="C28" s="174">
        <v>1.42</v>
      </c>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row>
    <row r="29" spans="1:149" ht="27" customHeight="1" x14ac:dyDescent="0.25">
      <c r="A29" s="217" t="s">
        <v>1274</v>
      </c>
      <c r="B29" s="209" t="s">
        <v>1275</v>
      </c>
      <c r="C29" s="174">
        <v>4.45</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row>
    <row r="30" spans="1:149" ht="26.45" customHeight="1" x14ac:dyDescent="0.25">
      <c r="A30" s="217" t="s">
        <v>1276</v>
      </c>
      <c r="B30" s="209" t="s">
        <v>1277</v>
      </c>
      <c r="C30" s="174">
        <v>23.1</v>
      </c>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row>
    <row r="31" spans="1:149" ht="24.75" customHeight="1" x14ac:dyDescent="0.25">
      <c r="A31" s="217" t="s">
        <v>1282</v>
      </c>
      <c r="B31" s="209" t="s">
        <v>1283</v>
      </c>
      <c r="C31" s="174">
        <v>32</v>
      </c>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row>
    <row r="32" spans="1:149" ht="24.75" customHeight="1" x14ac:dyDescent="0.25">
      <c r="A32" s="217" t="s">
        <v>1284</v>
      </c>
      <c r="B32" s="209" t="s">
        <v>1285</v>
      </c>
      <c r="C32" s="174">
        <v>32</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row>
    <row r="33" spans="1:149" ht="26.45" customHeight="1" x14ac:dyDescent="0.25">
      <c r="A33" s="217" t="s">
        <v>1286</v>
      </c>
      <c r="B33" s="209" t="s">
        <v>1287</v>
      </c>
      <c r="C33" s="174">
        <v>36</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row>
    <row r="34" spans="1:149" ht="27" customHeight="1" x14ac:dyDescent="0.25">
      <c r="A34" s="218" t="s">
        <v>1760</v>
      </c>
      <c r="B34" s="209" t="s">
        <v>1761</v>
      </c>
      <c r="C34" s="174">
        <v>16.5</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row>
    <row r="35" spans="1:149" ht="27" customHeight="1" x14ac:dyDescent="0.25">
      <c r="A35" s="217" t="s">
        <v>1730</v>
      </c>
      <c r="B35" s="209" t="s">
        <v>1731</v>
      </c>
      <c r="C35" s="174">
        <v>73.36</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row>
    <row r="36" spans="1:149" ht="27.75" customHeight="1" x14ac:dyDescent="0.25">
      <c r="A36" s="217" t="s">
        <v>929</v>
      </c>
      <c r="B36" s="209" t="s">
        <v>930</v>
      </c>
      <c r="C36" s="174">
        <v>170</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row>
    <row r="37" spans="1:149" ht="24.75" customHeight="1" x14ac:dyDescent="0.25">
      <c r="A37" s="217" t="s">
        <v>1732</v>
      </c>
      <c r="B37" s="209" t="s">
        <v>1733</v>
      </c>
      <c r="C37" s="174">
        <v>7.39</v>
      </c>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row>
    <row r="38" spans="1:149" ht="25.5" customHeight="1" x14ac:dyDescent="0.25">
      <c r="A38" s="217" t="s">
        <v>1734</v>
      </c>
      <c r="B38" s="209" t="s">
        <v>1735</v>
      </c>
      <c r="C38" s="174">
        <v>8</v>
      </c>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row>
    <row r="39" spans="1:149" ht="24" customHeight="1" x14ac:dyDescent="0.25">
      <c r="A39" s="217" t="s">
        <v>1736</v>
      </c>
      <c r="B39" s="209" t="s">
        <v>1737</v>
      </c>
      <c r="C39" s="174">
        <v>54.75</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row>
    <row r="40" spans="1:149" ht="25.5" customHeight="1" x14ac:dyDescent="0.25">
      <c r="A40" s="217" t="s">
        <v>1738</v>
      </c>
      <c r="B40" s="209" t="s">
        <v>1739</v>
      </c>
      <c r="C40" s="174">
        <v>45.85</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row>
    <row r="41" spans="1:149" ht="25.5" customHeight="1" x14ac:dyDescent="0.25">
      <c r="A41" s="217" t="s">
        <v>1740</v>
      </c>
      <c r="B41" s="209" t="s">
        <v>1741</v>
      </c>
      <c r="C41" s="174">
        <v>62.4</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row>
    <row r="42" spans="1:149" ht="24.75" customHeight="1" x14ac:dyDescent="0.25">
      <c r="A42" s="217" t="s">
        <v>1742</v>
      </c>
      <c r="B42" s="209" t="s">
        <v>1743</v>
      </c>
      <c r="C42" s="174">
        <v>35</v>
      </c>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row>
    <row r="43" spans="1:149" ht="25.5" customHeight="1" x14ac:dyDescent="0.25">
      <c r="A43" s="217" t="s">
        <v>1744</v>
      </c>
      <c r="B43" s="209" t="s">
        <v>1745</v>
      </c>
      <c r="C43" s="174">
        <v>75</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row>
    <row r="44" spans="1:149" ht="26.45" customHeight="1" x14ac:dyDescent="0.25">
      <c r="A44" s="217" t="s">
        <v>1746</v>
      </c>
      <c r="B44" s="209" t="s">
        <v>1747</v>
      </c>
      <c r="C44" s="174">
        <v>87</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row>
    <row r="45" spans="1:149" ht="26.45" customHeight="1" x14ac:dyDescent="0.25">
      <c r="A45" s="217" t="s">
        <v>1748</v>
      </c>
      <c r="B45" s="209" t="s">
        <v>1749</v>
      </c>
      <c r="C45" s="174">
        <v>25</v>
      </c>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row>
    <row r="46" spans="1:149" ht="26.45" customHeight="1" x14ac:dyDescent="0.25">
      <c r="A46" s="217" t="s">
        <v>1750</v>
      </c>
      <c r="B46" s="209" t="s">
        <v>1751</v>
      </c>
      <c r="C46" s="174">
        <v>31.5</v>
      </c>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row>
    <row r="47" spans="1:149" ht="27.75" customHeight="1" x14ac:dyDescent="0.25">
      <c r="A47" s="217" t="s">
        <v>1752</v>
      </c>
      <c r="B47" s="209" t="s">
        <v>1753</v>
      </c>
      <c r="C47" s="174">
        <v>84.75</v>
      </c>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row>
    <row r="48" spans="1:149" ht="26.45" customHeight="1" x14ac:dyDescent="0.25">
      <c r="A48" s="217" t="s">
        <v>931</v>
      </c>
      <c r="B48" s="209" t="s">
        <v>932</v>
      </c>
      <c r="C48" s="174">
        <v>108</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row>
    <row r="49" spans="1:149" ht="26.45" customHeight="1" x14ac:dyDescent="0.25">
      <c r="A49" s="217" t="s">
        <v>1754</v>
      </c>
      <c r="B49" s="209" t="s">
        <v>1755</v>
      </c>
      <c r="C49" s="174">
        <v>23.27</v>
      </c>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row>
    <row r="50" spans="1:149" ht="25.5" customHeight="1" x14ac:dyDescent="0.25">
      <c r="A50" s="217" t="s">
        <v>1756</v>
      </c>
      <c r="B50" s="209" t="s">
        <v>1757</v>
      </c>
      <c r="C50" s="174">
        <v>42.5</v>
      </c>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row>
    <row r="51" spans="1:149" ht="25.5" customHeight="1" x14ac:dyDescent="0.25">
      <c r="A51" s="217" t="s">
        <v>1758</v>
      </c>
      <c r="B51" s="209" t="s">
        <v>1759</v>
      </c>
      <c r="C51" s="174">
        <v>63</v>
      </c>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row>
    <row r="52" spans="1:149" ht="27" customHeight="1" x14ac:dyDescent="0.25">
      <c r="A52" s="217" t="s">
        <v>933</v>
      </c>
      <c r="B52" s="209" t="s">
        <v>934</v>
      </c>
      <c r="C52" s="174">
        <v>97.1</v>
      </c>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row>
    <row r="53" spans="1:149" ht="36" customHeight="1" x14ac:dyDescent="0.2">
      <c r="A53" s="158" t="s">
        <v>1278</v>
      </c>
      <c r="B53" s="19" t="s">
        <v>1279</v>
      </c>
      <c r="C53" s="225">
        <f>0.72</f>
        <v>0.72</v>
      </c>
      <c r="D53" s="7" t="s">
        <v>942</v>
      </c>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row>
    <row r="54" spans="1:149" ht="13.7" customHeight="1" x14ac:dyDescent="0.2">
      <c r="A54" s="17"/>
      <c r="B54" s="170"/>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row>
    <row r="55" spans="1:149" x14ac:dyDescent="0.2">
      <c r="A55" s="552" t="s">
        <v>936</v>
      </c>
      <c r="B55" s="553"/>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row>
    <row r="56" spans="1:149" x14ac:dyDescent="0.2">
      <c r="A56" s="208"/>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row>
    <row r="57" spans="1:149" ht="34.5" customHeight="1" x14ac:dyDescent="0.2">
      <c r="A57" s="548" t="s">
        <v>943</v>
      </c>
      <c r="B57" s="549"/>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row>
    <row r="58" spans="1:149" ht="14.25" customHeight="1" x14ac:dyDescent="0.2">
      <c r="A58" s="213"/>
      <c r="B58" s="212"/>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row>
    <row r="59" spans="1:149" x14ac:dyDescent="0.2">
      <c r="A59" s="242" t="s">
        <v>941</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row>
    <row r="60" spans="1:149" x14ac:dyDescent="0.2">
      <c r="A60" s="205" t="s">
        <v>1763</v>
      </c>
      <c r="B60" s="206" t="s">
        <v>965</v>
      </c>
      <c r="C60" s="206"/>
      <c r="D60" s="206">
        <v>1</v>
      </c>
      <c r="E60" s="206">
        <v>2</v>
      </c>
      <c r="F60" s="206">
        <v>3</v>
      </c>
      <c r="G60" s="206">
        <v>4</v>
      </c>
      <c r="H60" s="206">
        <v>5</v>
      </c>
      <c r="I60" s="206">
        <v>6</v>
      </c>
      <c r="J60" s="206">
        <v>7</v>
      </c>
      <c r="K60" s="206">
        <v>8</v>
      </c>
      <c r="L60" s="206">
        <v>9</v>
      </c>
      <c r="M60" s="206">
        <v>10</v>
      </c>
      <c r="N60" s="206">
        <v>11</v>
      </c>
      <c r="O60" s="206">
        <v>12</v>
      </c>
      <c r="P60" s="207" t="s">
        <v>173</v>
      </c>
      <c r="Q60" s="224" t="s">
        <v>938</v>
      </c>
      <c r="R60" s="224" t="s">
        <v>939</v>
      </c>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row>
    <row r="61" spans="1:149" x14ac:dyDescent="0.2">
      <c r="A61" s="243" t="s">
        <v>1248</v>
      </c>
      <c r="B61" s="244" t="str">
        <f t="shared" ref="B61:B89" si="0">VLOOKUP(A61,$A$15:$B$53,2,FALSE)</f>
        <v>Screw 12G X 40mm Tek H/H (pack)</v>
      </c>
      <c r="C61" s="245"/>
      <c r="D61" s="246">
        <v>3</v>
      </c>
      <c r="E61" s="246">
        <v>4</v>
      </c>
      <c r="F61" s="246">
        <v>5</v>
      </c>
      <c r="G61" s="246"/>
      <c r="H61" s="246"/>
      <c r="I61" s="246"/>
      <c r="J61" s="246"/>
      <c r="K61" s="246"/>
      <c r="L61" s="246">
        <v>1</v>
      </c>
      <c r="M61" s="246"/>
      <c r="N61" s="246"/>
      <c r="O61" s="246"/>
      <c r="P61" s="246">
        <f>SUM(D61:O61)</f>
        <v>13</v>
      </c>
      <c r="Q61" s="247">
        <f t="shared" ref="Q61:Q89" si="1">VLOOKUP(A61,A$15:C$53,3,FALSE)</f>
        <v>4</v>
      </c>
      <c r="R61" s="247">
        <f>IF(Q61&lt;&gt;"N/A",P61*Q61,0)</f>
        <v>52</v>
      </c>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row>
    <row r="62" spans="1:149" x14ac:dyDescent="0.2">
      <c r="A62" s="248" t="s">
        <v>1249</v>
      </c>
      <c r="B62" s="249" t="str">
        <f t="shared" si="0"/>
        <v>Saddle Conduit 16mm Galv</v>
      </c>
      <c r="C62" s="250"/>
      <c r="D62" s="251">
        <v>20</v>
      </c>
      <c r="E62" s="251">
        <v>160</v>
      </c>
      <c r="F62" s="251">
        <v>100</v>
      </c>
      <c r="G62" s="251">
        <v>200</v>
      </c>
      <c r="H62" s="251"/>
      <c r="I62" s="251"/>
      <c r="J62" s="251"/>
      <c r="K62" s="251">
        <v>125</v>
      </c>
      <c r="L62" s="251"/>
      <c r="M62" s="251"/>
      <c r="N62" s="251"/>
      <c r="O62" s="251"/>
      <c r="P62" s="251">
        <f t="shared" ref="P62:P89" si="2">SUM(D62:O62)</f>
        <v>605</v>
      </c>
      <c r="Q62" s="252">
        <f t="shared" si="1"/>
        <v>0.14000000000000001</v>
      </c>
      <c r="R62" s="252">
        <f t="shared" ref="R62:R89" si="3">IF(Q62&lt;&gt;"N/A",P62*Q62,0)</f>
        <v>84.7</v>
      </c>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row>
    <row r="63" spans="1:149" x14ac:dyDescent="0.2">
      <c r="A63" s="248" t="s">
        <v>1251</v>
      </c>
      <c r="B63" s="249" t="str">
        <f t="shared" si="0"/>
        <v>Spigot Adaptor 32mm to 25mm Pedestrian</v>
      </c>
      <c r="C63" s="250"/>
      <c r="D63" s="251"/>
      <c r="E63" s="251"/>
      <c r="F63" s="251">
        <v>4</v>
      </c>
      <c r="G63" s="251">
        <v>6</v>
      </c>
      <c r="H63" s="251">
        <v>20</v>
      </c>
      <c r="I63" s="251">
        <v>-2</v>
      </c>
      <c r="J63" s="251"/>
      <c r="K63" s="251"/>
      <c r="L63" s="251"/>
      <c r="M63" s="251"/>
      <c r="N63" s="251"/>
      <c r="O63" s="251"/>
      <c r="P63" s="251">
        <f t="shared" si="2"/>
        <v>28</v>
      </c>
      <c r="Q63" s="252">
        <f t="shared" si="1"/>
        <v>58</v>
      </c>
      <c r="R63" s="252">
        <f t="shared" si="3"/>
        <v>1624</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row>
    <row r="64" spans="1:149" x14ac:dyDescent="0.2">
      <c r="A64" s="248" t="s">
        <v>927</v>
      </c>
      <c r="B64" s="249" t="str">
        <f t="shared" si="0"/>
        <v>Spigot Adaptor 50mm to 32mm Pedestrian</v>
      </c>
      <c r="C64" s="250"/>
      <c r="D64" s="251"/>
      <c r="E64" s="251">
        <v>3</v>
      </c>
      <c r="F64" s="251">
        <v>4</v>
      </c>
      <c r="G64" s="251"/>
      <c r="H64" s="251"/>
      <c r="I64" s="251">
        <v>2</v>
      </c>
      <c r="J64" s="251"/>
      <c r="K64" s="251">
        <v>-2</v>
      </c>
      <c r="L64" s="251"/>
      <c r="M64" s="251"/>
      <c r="N64" s="251"/>
      <c r="O64" s="251"/>
      <c r="P64" s="251">
        <f t="shared" si="2"/>
        <v>7</v>
      </c>
      <c r="Q64" s="252">
        <f t="shared" si="1"/>
        <v>82</v>
      </c>
      <c r="R64" s="252">
        <f t="shared" si="3"/>
        <v>574</v>
      </c>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row>
    <row r="65" spans="1:149" x14ac:dyDescent="0.2">
      <c r="A65" s="248" t="s">
        <v>1253</v>
      </c>
      <c r="B65" s="249" t="str">
        <f t="shared" si="0"/>
        <v>Trunion 360 Deg. Sylflood</v>
      </c>
      <c r="C65" s="250"/>
      <c r="D65" s="251"/>
      <c r="E65" s="251">
        <v>4</v>
      </c>
      <c r="F65" s="251"/>
      <c r="G65" s="251"/>
      <c r="H65" s="251"/>
      <c r="I65" s="251"/>
      <c r="J65" s="251"/>
      <c r="K65" s="251"/>
      <c r="L65" s="251"/>
      <c r="M65" s="251"/>
      <c r="N65" s="251"/>
      <c r="O65" s="251"/>
      <c r="P65" s="251">
        <f t="shared" si="2"/>
        <v>4</v>
      </c>
      <c r="Q65" s="252">
        <f t="shared" si="1"/>
        <v>31.5</v>
      </c>
      <c r="R65" s="252">
        <f t="shared" si="3"/>
        <v>126</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row>
    <row r="66" spans="1:149" x14ac:dyDescent="0.2">
      <c r="A66" s="248" t="s">
        <v>1257</v>
      </c>
      <c r="B66" s="249" t="str">
        <f t="shared" si="0"/>
        <v>Spigot Adaptor 40mm to 25mm Streetlight</v>
      </c>
      <c r="C66" s="250"/>
      <c r="D66" s="251">
        <v>53</v>
      </c>
      <c r="E66" s="251"/>
      <c r="F66" s="251">
        <v>4</v>
      </c>
      <c r="G66" s="251">
        <v>40</v>
      </c>
      <c r="H66" s="251">
        <v>26</v>
      </c>
      <c r="I66" s="251">
        <v>25</v>
      </c>
      <c r="J66" s="251"/>
      <c r="K66" s="251">
        <v>22</v>
      </c>
      <c r="L66" s="251"/>
      <c r="M66" s="251"/>
      <c r="N66" s="251">
        <v>16</v>
      </c>
      <c r="O66" s="251">
        <v>18</v>
      </c>
      <c r="P66" s="251">
        <f t="shared" si="2"/>
        <v>204</v>
      </c>
      <c r="Q66" s="252">
        <f t="shared" si="1"/>
        <v>31.96</v>
      </c>
      <c r="R66" s="252">
        <f t="shared" si="3"/>
        <v>6519.84</v>
      </c>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row>
    <row r="67" spans="1:149" x14ac:dyDescent="0.2">
      <c r="A67" s="248" t="s">
        <v>1259</v>
      </c>
      <c r="B67" s="249" t="str">
        <f t="shared" si="0"/>
        <v>Spigot Adaptor 50mm to 25mm Streetlight</v>
      </c>
      <c r="C67" s="250"/>
      <c r="D67" s="251">
        <v>143</v>
      </c>
      <c r="E67" s="251">
        <v>40</v>
      </c>
      <c r="F67" s="251">
        <v>4</v>
      </c>
      <c r="G67" s="251">
        <v>10</v>
      </c>
      <c r="H67" s="251">
        <v>105</v>
      </c>
      <c r="I67" s="251"/>
      <c r="J67" s="251">
        <v>5</v>
      </c>
      <c r="K67" s="251">
        <v>20</v>
      </c>
      <c r="L67" s="251">
        <v>195</v>
      </c>
      <c r="M67" s="251"/>
      <c r="N67" s="251">
        <v>53</v>
      </c>
      <c r="O67" s="251">
        <v>6</v>
      </c>
      <c r="P67" s="251">
        <f t="shared" si="2"/>
        <v>581</v>
      </c>
      <c r="Q67" s="252">
        <f t="shared" si="1"/>
        <v>32.549999999999997</v>
      </c>
      <c r="R67" s="252">
        <f t="shared" si="3"/>
        <v>18911.55</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row>
    <row r="68" spans="1:149" x14ac:dyDescent="0.2">
      <c r="A68" s="248" t="s">
        <v>1266</v>
      </c>
      <c r="B68" s="249" t="str">
        <f t="shared" si="0"/>
        <v>Adaptor Bracket Streetlight Outreach 4 Way(Pipe)</v>
      </c>
      <c r="C68" s="250"/>
      <c r="D68" s="251"/>
      <c r="E68" s="251"/>
      <c r="F68" s="251"/>
      <c r="G68" s="251"/>
      <c r="H68" s="251"/>
      <c r="I68" s="251"/>
      <c r="J68" s="251">
        <v>1</v>
      </c>
      <c r="K68" s="251"/>
      <c r="L68" s="251">
        <v>1</v>
      </c>
      <c r="M68" s="251"/>
      <c r="N68" s="251"/>
      <c r="O68" s="251"/>
      <c r="P68" s="251">
        <f t="shared" si="2"/>
        <v>2</v>
      </c>
      <c r="Q68" s="252">
        <f t="shared" si="1"/>
        <v>163</v>
      </c>
      <c r="R68" s="252">
        <f t="shared" si="3"/>
        <v>326</v>
      </c>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row>
    <row r="69" spans="1:149" x14ac:dyDescent="0.2">
      <c r="A69" s="248" t="s">
        <v>1268</v>
      </c>
      <c r="B69" s="249" t="str">
        <f t="shared" si="0"/>
        <v>Fuse Holder C/W 6.5A Inline Cartridge</v>
      </c>
      <c r="C69" s="250"/>
      <c r="D69" s="251">
        <v>424</v>
      </c>
      <c r="E69" s="251">
        <v>130</v>
      </c>
      <c r="F69" s="251">
        <v>184</v>
      </c>
      <c r="G69" s="251">
        <v>165</v>
      </c>
      <c r="H69" s="251">
        <v>386</v>
      </c>
      <c r="I69" s="251">
        <v>353</v>
      </c>
      <c r="J69" s="251">
        <v>284</v>
      </c>
      <c r="K69" s="251">
        <v>230</v>
      </c>
      <c r="L69" s="251">
        <v>46</v>
      </c>
      <c r="M69" s="251">
        <v>6</v>
      </c>
      <c r="N69" s="251">
        <v>24</v>
      </c>
      <c r="O69" s="251">
        <v>190</v>
      </c>
      <c r="P69" s="251">
        <f t="shared" si="2"/>
        <v>2422</v>
      </c>
      <c r="Q69" s="252">
        <f t="shared" si="1"/>
        <v>23</v>
      </c>
      <c r="R69" s="252">
        <f t="shared" si="3"/>
        <v>55706</v>
      </c>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row>
    <row r="70" spans="1:149" x14ac:dyDescent="0.2">
      <c r="A70" s="248" t="s">
        <v>1270</v>
      </c>
      <c r="B70" s="249" t="str">
        <f t="shared" si="0"/>
        <v>Cartridge 6.5A Fuse Hrc Suit In Line Fuse Holder</v>
      </c>
      <c r="C70" s="250"/>
      <c r="D70" s="251"/>
      <c r="E70" s="251"/>
      <c r="F70" s="251"/>
      <c r="G70" s="251">
        <v>4</v>
      </c>
      <c r="H70" s="251">
        <v>25</v>
      </c>
      <c r="I70" s="251">
        <v>220</v>
      </c>
      <c r="J70" s="251">
        <v>50</v>
      </c>
      <c r="K70" s="251">
        <v>30</v>
      </c>
      <c r="L70" s="251">
        <v>30</v>
      </c>
      <c r="M70" s="251"/>
      <c r="N70" s="251"/>
      <c r="O70" s="251"/>
      <c r="P70" s="251">
        <f t="shared" si="2"/>
        <v>359</v>
      </c>
      <c r="Q70" s="252">
        <f t="shared" si="1"/>
        <v>4.6500000000000004</v>
      </c>
      <c r="R70" s="252">
        <f t="shared" si="3"/>
        <v>1669.3500000000001</v>
      </c>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row>
    <row r="71" spans="1:149" x14ac:dyDescent="0.2">
      <c r="A71" s="248" t="s">
        <v>1272</v>
      </c>
      <c r="B71" s="249" t="str">
        <f t="shared" si="0"/>
        <v>Conduit 20mm Corrugated Flexible PVC Medium Duty Grey UV Sta</v>
      </c>
      <c r="C71" s="250"/>
      <c r="D71" s="251"/>
      <c r="E71" s="251"/>
      <c r="F71" s="251"/>
      <c r="G71" s="251">
        <v>50</v>
      </c>
      <c r="H71" s="251"/>
      <c r="I71" s="251"/>
      <c r="J71" s="251">
        <v>20</v>
      </c>
      <c r="K71" s="251"/>
      <c r="L71" s="251">
        <v>15</v>
      </c>
      <c r="M71" s="251"/>
      <c r="N71" s="251"/>
      <c r="O71" s="251"/>
      <c r="P71" s="251">
        <f t="shared" si="2"/>
        <v>85</v>
      </c>
      <c r="Q71" s="252">
        <f t="shared" si="1"/>
        <v>1.42</v>
      </c>
      <c r="R71" s="252">
        <f t="shared" si="3"/>
        <v>120.69999999999999</v>
      </c>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row>
    <row r="72" spans="1:149" x14ac:dyDescent="0.2">
      <c r="A72" s="248" t="s">
        <v>1274</v>
      </c>
      <c r="B72" s="249" t="str">
        <f t="shared" si="0"/>
        <v>Photoelectric S/Light Control D2 Base Only C/W 300mm Leads</v>
      </c>
      <c r="C72" s="250"/>
      <c r="D72" s="251">
        <v>23</v>
      </c>
      <c r="E72" s="251">
        <v>10</v>
      </c>
      <c r="F72" s="251">
        <v>3</v>
      </c>
      <c r="G72" s="251">
        <v>1</v>
      </c>
      <c r="H72" s="251">
        <v>15</v>
      </c>
      <c r="I72" s="251">
        <v>21</v>
      </c>
      <c r="J72" s="251">
        <v>42</v>
      </c>
      <c r="K72" s="251">
        <v>3</v>
      </c>
      <c r="L72" s="251"/>
      <c r="M72" s="251"/>
      <c r="N72" s="251">
        <v>13</v>
      </c>
      <c r="O72" s="251">
        <v>12</v>
      </c>
      <c r="P72" s="251">
        <f t="shared" si="2"/>
        <v>143</v>
      </c>
      <c r="Q72" s="252">
        <f t="shared" si="1"/>
        <v>4.45</v>
      </c>
      <c r="R72" s="252">
        <f t="shared" si="3"/>
        <v>636.35</v>
      </c>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row>
    <row r="73" spans="1:149" x14ac:dyDescent="0.2">
      <c r="A73" s="248" t="s">
        <v>1276</v>
      </c>
      <c r="B73" s="249" t="str">
        <f t="shared" si="0"/>
        <v>Shade Suit Photo Elec Cell</v>
      </c>
      <c r="C73" s="250"/>
      <c r="D73" s="251"/>
      <c r="E73" s="251"/>
      <c r="F73" s="251"/>
      <c r="G73" s="251"/>
      <c r="H73" s="251"/>
      <c r="I73" s="251"/>
      <c r="J73" s="251"/>
      <c r="K73" s="251"/>
      <c r="L73" s="251"/>
      <c r="M73" s="251">
        <v>5</v>
      </c>
      <c r="N73" s="251">
        <v>7</v>
      </c>
      <c r="O73" s="251"/>
      <c r="P73" s="251">
        <f t="shared" si="2"/>
        <v>12</v>
      </c>
      <c r="Q73" s="252">
        <f t="shared" si="1"/>
        <v>23.1</v>
      </c>
      <c r="R73" s="252">
        <f t="shared" si="3"/>
        <v>277.20000000000005</v>
      </c>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row>
    <row r="74" spans="1:149" x14ac:dyDescent="0.2">
      <c r="A74" s="248" t="s">
        <v>1278</v>
      </c>
      <c r="B74" s="249" t="str">
        <f t="shared" si="0"/>
        <v>Cable 4.0mm 7/0.85 SDI Black Cu</v>
      </c>
      <c r="C74" s="250"/>
      <c r="D74" s="251">
        <v>100</v>
      </c>
      <c r="E74" s="251">
        <v>1200</v>
      </c>
      <c r="F74" s="251">
        <v>100</v>
      </c>
      <c r="G74" s="251">
        <v>700</v>
      </c>
      <c r="H74" s="251">
        <v>100</v>
      </c>
      <c r="I74" s="251">
        <v>300</v>
      </c>
      <c r="J74" s="251">
        <v>800</v>
      </c>
      <c r="K74" s="251">
        <v>300</v>
      </c>
      <c r="L74" s="251">
        <v>300</v>
      </c>
      <c r="M74" s="251">
        <v>800</v>
      </c>
      <c r="N74" s="251">
        <v>100</v>
      </c>
      <c r="O74" s="251">
        <v>600</v>
      </c>
      <c r="P74" s="251">
        <f t="shared" si="2"/>
        <v>5400</v>
      </c>
      <c r="Q74" s="252">
        <f t="shared" si="1"/>
        <v>0.72</v>
      </c>
      <c r="R74" s="252">
        <f t="shared" si="3"/>
        <v>3888</v>
      </c>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row>
    <row r="75" spans="1:149" x14ac:dyDescent="0.2">
      <c r="A75" s="248" t="s">
        <v>1280</v>
      </c>
      <c r="B75" s="249" t="str">
        <f t="shared" si="0"/>
        <v>Silicone Sealant Clear 310gm</v>
      </c>
      <c r="C75" s="250"/>
      <c r="D75" s="251"/>
      <c r="E75" s="251"/>
      <c r="F75" s="251"/>
      <c r="G75" s="251">
        <v>13</v>
      </c>
      <c r="H75" s="251"/>
      <c r="I75" s="251"/>
      <c r="J75" s="251"/>
      <c r="K75" s="251">
        <v>2</v>
      </c>
      <c r="L75" s="251">
        <v>2</v>
      </c>
      <c r="M75" s="251">
        <v>2</v>
      </c>
      <c r="N75" s="251"/>
      <c r="O75" s="251"/>
      <c r="P75" s="251">
        <f t="shared" si="2"/>
        <v>19</v>
      </c>
      <c r="Q75" s="252">
        <f t="shared" si="1"/>
        <v>5.01</v>
      </c>
      <c r="R75" s="252">
        <f t="shared" si="3"/>
        <v>95.19</v>
      </c>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row>
    <row r="76" spans="1:149" x14ac:dyDescent="0.2">
      <c r="A76" s="248" t="s">
        <v>1284</v>
      </c>
      <c r="B76" s="249" t="str">
        <f t="shared" si="0"/>
        <v>Diffuser Suit Nostalgia Type Lantern</v>
      </c>
      <c r="C76" s="250"/>
      <c r="D76" s="251">
        <v>16</v>
      </c>
      <c r="E76" s="251"/>
      <c r="F76" s="251"/>
      <c r="G76" s="251">
        <v>2</v>
      </c>
      <c r="H76" s="251"/>
      <c r="I76" s="251"/>
      <c r="J76" s="251"/>
      <c r="K76" s="251"/>
      <c r="L76" s="251"/>
      <c r="M76" s="251">
        <v>100</v>
      </c>
      <c r="N76" s="251"/>
      <c r="O76" s="251"/>
      <c r="P76" s="251">
        <f t="shared" si="2"/>
        <v>118</v>
      </c>
      <c r="Q76" s="252">
        <f t="shared" si="1"/>
        <v>32</v>
      </c>
      <c r="R76" s="252">
        <f t="shared" si="3"/>
        <v>3776</v>
      </c>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row>
    <row r="77" spans="1:149" x14ac:dyDescent="0.2">
      <c r="A77" s="248" t="s">
        <v>1286</v>
      </c>
      <c r="B77" s="249" t="str">
        <f t="shared" si="0"/>
        <v>Bowl Sylvania Urban Glare Shield `</v>
      </c>
      <c r="C77" s="250"/>
      <c r="D77" s="251"/>
      <c r="E77" s="251"/>
      <c r="F77" s="251">
        <v>6</v>
      </c>
      <c r="G77" s="251"/>
      <c r="H77" s="251">
        <v>6</v>
      </c>
      <c r="I77" s="251">
        <v>2</v>
      </c>
      <c r="J77" s="251">
        <v>1</v>
      </c>
      <c r="K77" s="251">
        <v>6</v>
      </c>
      <c r="L77" s="251"/>
      <c r="M77" s="251">
        <v>6</v>
      </c>
      <c r="N77" s="251">
        <v>11</v>
      </c>
      <c r="O77" s="251">
        <v>19</v>
      </c>
      <c r="P77" s="251">
        <f t="shared" si="2"/>
        <v>57</v>
      </c>
      <c r="Q77" s="252">
        <f t="shared" si="1"/>
        <v>36</v>
      </c>
      <c r="R77" s="252">
        <f t="shared" si="3"/>
        <v>2052</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row>
    <row r="78" spans="1:149" x14ac:dyDescent="0.2">
      <c r="A78" s="248" t="s">
        <v>1730</v>
      </c>
      <c r="B78" s="249" t="str">
        <f t="shared" si="0"/>
        <v>Spigot Adaptor S/L Outreach 45 Deg</v>
      </c>
      <c r="C78" s="250"/>
      <c r="D78" s="251">
        <v>5</v>
      </c>
      <c r="E78" s="251"/>
      <c r="F78" s="251"/>
      <c r="G78" s="251"/>
      <c r="H78" s="251"/>
      <c r="I78" s="251"/>
      <c r="J78" s="251"/>
      <c r="K78" s="251"/>
      <c r="L78" s="251"/>
      <c r="M78" s="251"/>
      <c r="N78" s="251"/>
      <c r="O78" s="251"/>
      <c r="P78" s="251">
        <f t="shared" si="2"/>
        <v>5</v>
      </c>
      <c r="Q78" s="252">
        <f t="shared" si="1"/>
        <v>73.36</v>
      </c>
      <c r="R78" s="252">
        <f t="shared" si="3"/>
        <v>366.8</v>
      </c>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row>
    <row r="79" spans="1:149" x14ac:dyDescent="0.2">
      <c r="A79" s="248" t="s">
        <v>1732</v>
      </c>
      <c r="B79" s="249" t="str">
        <f t="shared" si="0"/>
        <v>Plug Shorting For Nema Pe Cell Base</v>
      </c>
      <c r="C79" s="250"/>
      <c r="D79" s="251"/>
      <c r="E79" s="251"/>
      <c r="F79" s="251">
        <v>12</v>
      </c>
      <c r="G79" s="251"/>
      <c r="H79" s="251"/>
      <c r="I79" s="251"/>
      <c r="J79" s="251"/>
      <c r="K79" s="251"/>
      <c r="L79" s="251"/>
      <c r="M79" s="251"/>
      <c r="N79" s="251">
        <v>1</v>
      </c>
      <c r="O79" s="251"/>
      <c r="P79" s="251">
        <f t="shared" si="2"/>
        <v>13</v>
      </c>
      <c r="Q79" s="252">
        <f t="shared" si="1"/>
        <v>7.39</v>
      </c>
      <c r="R79" s="252">
        <f t="shared" si="3"/>
        <v>96.07</v>
      </c>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row>
    <row r="80" spans="1:149" x14ac:dyDescent="0.2">
      <c r="A80" s="248" t="s">
        <v>1734</v>
      </c>
      <c r="B80" s="249" t="str">
        <f t="shared" si="0"/>
        <v>Control Base for NEMA PE Cell Suits Rexel Lanterns</v>
      </c>
      <c r="C80" s="250"/>
      <c r="D80" s="251"/>
      <c r="E80" s="251">
        <v>20</v>
      </c>
      <c r="F80" s="251">
        <v>20</v>
      </c>
      <c r="G80" s="251"/>
      <c r="H80" s="251">
        <v>30</v>
      </c>
      <c r="I80" s="251"/>
      <c r="J80" s="251"/>
      <c r="K80" s="251"/>
      <c r="L80" s="251"/>
      <c r="M80" s="251"/>
      <c r="N80" s="251">
        <v>0</v>
      </c>
      <c r="O80" s="251"/>
      <c r="P80" s="251">
        <f t="shared" si="2"/>
        <v>70</v>
      </c>
      <c r="Q80" s="252">
        <f t="shared" si="1"/>
        <v>8</v>
      </c>
      <c r="R80" s="252">
        <f t="shared" si="3"/>
        <v>560</v>
      </c>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row>
    <row r="81" spans="1:149" x14ac:dyDescent="0.2">
      <c r="A81" s="248" t="s">
        <v>1738</v>
      </c>
      <c r="B81" s="249" t="str">
        <f t="shared" si="0"/>
        <v>Guard Wire Sylvania Urban Luminaire</v>
      </c>
      <c r="C81" s="250"/>
      <c r="D81" s="251"/>
      <c r="E81" s="251"/>
      <c r="F81" s="251"/>
      <c r="G81" s="251">
        <v>10</v>
      </c>
      <c r="H81" s="251">
        <v>21</v>
      </c>
      <c r="I81" s="251"/>
      <c r="J81" s="251">
        <v>12</v>
      </c>
      <c r="K81" s="251"/>
      <c r="L81" s="251"/>
      <c r="M81" s="251">
        <v>12</v>
      </c>
      <c r="N81" s="251">
        <v>3</v>
      </c>
      <c r="O81" s="251">
        <v>50</v>
      </c>
      <c r="P81" s="251">
        <f t="shared" si="2"/>
        <v>108</v>
      </c>
      <c r="Q81" s="252">
        <f t="shared" si="1"/>
        <v>45.85</v>
      </c>
      <c r="R81" s="252">
        <f t="shared" si="3"/>
        <v>4951.8</v>
      </c>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row>
    <row r="82" spans="1:149" x14ac:dyDescent="0.2">
      <c r="A82" s="248" t="s">
        <v>1742</v>
      </c>
      <c r="B82" s="249" t="str">
        <f t="shared" si="0"/>
        <v>Guard Mesh For Sentry Floodlight</v>
      </c>
      <c r="C82" s="250"/>
      <c r="D82" s="251"/>
      <c r="E82" s="251"/>
      <c r="F82" s="251"/>
      <c r="G82" s="251"/>
      <c r="H82" s="251"/>
      <c r="I82" s="251"/>
      <c r="J82" s="251">
        <v>4</v>
      </c>
      <c r="K82" s="251"/>
      <c r="L82" s="251"/>
      <c r="M82" s="251"/>
      <c r="N82" s="251">
        <v>1</v>
      </c>
      <c r="O82" s="251">
        <v>6</v>
      </c>
      <c r="P82" s="251">
        <f t="shared" si="2"/>
        <v>11</v>
      </c>
      <c r="Q82" s="252">
        <f t="shared" si="1"/>
        <v>35</v>
      </c>
      <c r="R82" s="252">
        <f t="shared" si="3"/>
        <v>385</v>
      </c>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row>
    <row r="83" spans="1:149" x14ac:dyDescent="0.2">
      <c r="A83" s="248" t="s">
        <v>1748</v>
      </c>
      <c r="B83" s="249" t="str">
        <f t="shared" si="0"/>
        <v>Diffuser Ec80 Suit Gough  Lantern</v>
      </c>
      <c r="C83" s="250"/>
      <c r="D83" s="251"/>
      <c r="E83" s="251"/>
      <c r="F83" s="251"/>
      <c r="G83" s="251"/>
      <c r="H83" s="251"/>
      <c r="I83" s="251"/>
      <c r="J83" s="251"/>
      <c r="K83" s="251"/>
      <c r="L83" s="251">
        <v>17</v>
      </c>
      <c r="M83" s="251"/>
      <c r="N83" s="251">
        <v>1</v>
      </c>
      <c r="O83" s="251"/>
      <c r="P83" s="251">
        <f t="shared" si="2"/>
        <v>18</v>
      </c>
      <c r="Q83" s="252">
        <f t="shared" si="1"/>
        <v>25</v>
      </c>
      <c r="R83" s="252">
        <f t="shared" si="3"/>
        <v>450</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row>
    <row r="84" spans="1:149" x14ac:dyDescent="0.2">
      <c r="A84" s="248" t="s">
        <v>1750</v>
      </c>
      <c r="B84" s="249" t="str">
        <f t="shared" si="0"/>
        <v>Diffuser Bowl Sylvania Urban 80 W</v>
      </c>
      <c r="C84" s="250"/>
      <c r="D84" s="251"/>
      <c r="E84" s="251"/>
      <c r="F84" s="251"/>
      <c r="G84" s="251"/>
      <c r="H84" s="251">
        <v>10</v>
      </c>
      <c r="I84" s="251"/>
      <c r="J84" s="251">
        <v>12</v>
      </c>
      <c r="K84" s="251"/>
      <c r="L84" s="251">
        <v>41</v>
      </c>
      <c r="M84" s="251"/>
      <c r="N84" s="251">
        <v>1</v>
      </c>
      <c r="O84" s="251">
        <v>6</v>
      </c>
      <c r="P84" s="251">
        <f t="shared" si="2"/>
        <v>70</v>
      </c>
      <c r="Q84" s="252">
        <f t="shared" si="1"/>
        <v>31.5</v>
      </c>
      <c r="R84" s="252">
        <f t="shared" si="3"/>
        <v>2205</v>
      </c>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row>
    <row r="85" spans="1:149" x14ac:dyDescent="0.2">
      <c r="A85" s="248" t="s">
        <v>1752</v>
      </c>
      <c r="B85" s="249" t="str">
        <f t="shared" si="0"/>
        <v>Diffuser Bowl Glare Reducing Roadster Max 250W</v>
      </c>
      <c r="C85" s="250"/>
      <c r="D85" s="251"/>
      <c r="E85" s="251"/>
      <c r="F85" s="251"/>
      <c r="G85" s="251"/>
      <c r="H85" s="251"/>
      <c r="I85" s="251"/>
      <c r="J85" s="251"/>
      <c r="K85" s="251">
        <v>5</v>
      </c>
      <c r="L85" s="251"/>
      <c r="M85" s="251">
        <v>22</v>
      </c>
      <c r="N85" s="251">
        <v>8</v>
      </c>
      <c r="O85" s="251"/>
      <c r="P85" s="251">
        <f t="shared" si="2"/>
        <v>35</v>
      </c>
      <c r="Q85" s="252">
        <f t="shared" si="1"/>
        <v>84.75</v>
      </c>
      <c r="R85" s="252">
        <f t="shared" si="3"/>
        <v>2966.25</v>
      </c>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row>
    <row r="86" spans="1:149" x14ac:dyDescent="0.2">
      <c r="A86" s="248" t="s">
        <v>1754</v>
      </c>
      <c r="B86" s="249" t="str">
        <f t="shared" si="0"/>
        <v>Diffuser Toughened Acrylic Bowl To</v>
      </c>
      <c r="C86" s="250"/>
      <c r="D86" s="251"/>
      <c r="E86" s="251"/>
      <c r="F86" s="251"/>
      <c r="G86" s="251">
        <v>20</v>
      </c>
      <c r="H86" s="251"/>
      <c r="I86" s="251"/>
      <c r="J86" s="251"/>
      <c r="K86" s="251"/>
      <c r="L86" s="251"/>
      <c r="M86" s="251">
        <v>28</v>
      </c>
      <c r="N86" s="251">
        <v>2</v>
      </c>
      <c r="O86" s="251">
        <v>25</v>
      </c>
      <c r="P86" s="251">
        <f t="shared" si="2"/>
        <v>75</v>
      </c>
      <c r="Q86" s="252">
        <f t="shared" si="1"/>
        <v>23.27</v>
      </c>
      <c r="R86" s="252">
        <f t="shared" si="3"/>
        <v>1745.25</v>
      </c>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row>
    <row r="87" spans="1:149" x14ac:dyDescent="0.2">
      <c r="A87" s="248" t="s">
        <v>1756</v>
      </c>
      <c r="B87" s="249" t="str">
        <f t="shared" si="0"/>
        <v>Diffuser 250W Sonpe Gec Optispan</v>
      </c>
      <c r="C87" s="250"/>
      <c r="D87" s="251"/>
      <c r="E87" s="251"/>
      <c r="F87" s="251">
        <v>10</v>
      </c>
      <c r="G87" s="251"/>
      <c r="H87" s="251"/>
      <c r="I87" s="251"/>
      <c r="J87" s="251"/>
      <c r="K87" s="251"/>
      <c r="L87" s="251"/>
      <c r="M87" s="251"/>
      <c r="N87" s="251"/>
      <c r="O87" s="251"/>
      <c r="P87" s="251">
        <f t="shared" si="2"/>
        <v>10</v>
      </c>
      <c r="Q87" s="252">
        <f t="shared" si="1"/>
        <v>42.5</v>
      </c>
      <c r="R87" s="252">
        <f t="shared" si="3"/>
        <v>425</v>
      </c>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row>
    <row r="88" spans="1:149" x14ac:dyDescent="0.2">
      <c r="A88" s="248" t="s">
        <v>1758</v>
      </c>
      <c r="B88" s="249" t="str">
        <f t="shared" si="0"/>
        <v>Diffuser Acrylic Bowl Gec Optispec</v>
      </c>
      <c r="C88" s="250"/>
      <c r="D88" s="251"/>
      <c r="E88" s="251"/>
      <c r="F88" s="251"/>
      <c r="G88" s="251"/>
      <c r="H88" s="251"/>
      <c r="I88" s="251"/>
      <c r="J88" s="251"/>
      <c r="K88" s="251"/>
      <c r="L88" s="251"/>
      <c r="M88" s="251"/>
      <c r="N88" s="251">
        <v>1</v>
      </c>
      <c r="O88" s="251"/>
      <c r="P88" s="251">
        <f t="shared" si="2"/>
        <v>1</v>
      </c>
      <c r="Q88" s="252">
        <f t="shared" si="1"/>
        <v>63</v>
      </c>
      <c r="R88" s="252">
        <f t="shared" si="3"/>
        <v>63</v>
      </c>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row>
    <row r="89" spans="1:149" x14ac:dyDescent="0.2">
      <c r="A89" s="253" t="s">
        <v>933</v>
      </c>
      <c r="B89" s="254" t="str">
        <f t="shared" si="0"/>
        <v>Diffuser Suit Sylvania B3000 Lantern</v>
      </c>
      <c r="C89" s="255"/>
      <c r="D89" s="256"/>
      <c r="E89" s="256"/>
      <c r="F89" s="256"/>
      <c r="G89" s="256"/>
      <c r="H89" s="256"/>
      <c r="I89" s="256"/>
      <c r="J89" s="256">
        <v>2</v>
      </c>
      <c r="K89" s="256">
        <v>18</v>
      </c>
      <c r="L89" s="256"/>
      <c r="M89" s="256"/>
      <c r="N89" s="256"/>
      <c r="O89" s="256"/>
      <c r="P89" s="256">
        <f t="shared" si="2"/>
        <v>20</v>
      </c>
      <c r="Q89" s="257">
        <f t="shared" si="1"/>
        <v>97.1</v>
      </c>
      <c r="R89" s="257">
        <f t="shared" si="3"/>
        <v>1942</v>
      </c>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row>
    <row r="90" spans="1:149" x14ac:dyDescent="0.2">
      <c r="A90" s="125" t="s">
        <v>1762</v>
      </c>
      <c r="B90" s="126"/>
      <c r="C90" s="126"/>
      <c r="D90" s="219">
        <f t="shared" ref="D90:P90" si="4">SUM(D61:D89)</f>
        <v>787</v>
      </c>
      <c r="E90" s="219">
        <f t="shared" si="4"/>
        <v>1571</v>
      </c>
      <c r="F90" s="219">
        <f t="shared" si="4"/>
        <v>456</v>
      </c>
      <c r="G90" s="219">
        <f t="shared" si="4"/>
        <v>1221</v>
      </c>
      <c r="H90" s="219">
        <f t="shared" si="4"/>
        <v>744</v>
      </c>
      <c r="I90" s="219">
        <f t="shared" si="4"/>
        <v>921</v>
      </c>
      <c r="J90" s="219">
        <f t="shared" si="4"/>
        <v>1233</v>
      </c>
      <c r="K90" s="219">
        <f t="shared" si="4"/>
        <v>759</v>
      </c>
      <c r="L90" s="219">
        <f t="shared" si="4"/>
        <v>648</v>
      </c>
      <c r="M90" s="219">
        <f t="shared" si="4"/>
        <v>981</v>
      </c>
      <c r="N90" s="219">
        <f t="shared" si="4"/>
        <v>242</v>
      </c>
      <c r="O90" s="219">
        <f t="shared" si="4"/>
        <v>932</v>
      </c>
      <c r="P90" s="220">
        <f t="shared" si="4"/>
        <v>10495</v>
      </c>
      <c r="Q90" s="211"/>
      <c r="R90" s="214">
        <f>SUM(R61:R89)</f>
        <v>112595.05000000002</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row>
    <row r="91" spans="1:149" x14ac:dyDescent="0.2">
      <c r="A91" s="23"/>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row>
    <row r="92" spans="1:149" x14ac:dyDescent="0.2">
      <c r="A92" s="23" t="s">
        <v>945</v>
      </c>
      <c r="B92" s="215">
        <f>SUMIF(Q61:Q89,"&lt;&gt;N/A",P61:P89)</f>
        <v>10495</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row>
    <row r="93" spans="1:149" ht="45" x14ac:dyDescent="0.2">
      <c r="A93" s="61" t="s">
        <v>900</v>
      </c>
      <c r="B93" s="223">
        <f>R90/B92*(1 + 'Maintenance Model'!$B$10)*(1+'Public Lighting Charges'!$L$11)</f>
        <v>14.553674614340167</v>
      </c>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row>
    <row r="94" spans="1:149" ht="22.5" x14ac:dyDescent="0.2">
      <c r="A94" s="17" t="s">
        <v>948</v>
      </c>
      <c r="B94" s="216">
        <f>B93/B9</f>
        <v>2.9107349228680333</v>
      </c>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row>
    <row r="95" spans="1:149"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row>
    <row r="96" spans="1:149" x14ac:dyDescent="0.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row>
    <row r="97" spans="1:149" x14ac:dyDescent="0.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row>
    <row r="98" spans="1:149" x14ac:dyDescent="0.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row>
    <row r="99" spans="1:149"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row>
    <row r="100" spans="1:149"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row>
    <row r="101" spans="1:149"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row>
    <row r="102" spans="1:149"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row>
    <row r="103" spans="1:149"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row>
    <row r="104" spans="1:149"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row>
    <row r="105" spans="1:149"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row>
    <row r="106" spans="1:149"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row>
    <row r="107" spans="1:149"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row>
    <row r="108" spans="1:149"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row>
    <row r="109" spans="1:149"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row>
    <row r="110" spans="1:149"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row>
    <row r="111" spans="1:149"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row>
    <row r="112" spans="1:149"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row>
    <row r="113" spans="1:149"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row>
    <row r="114" spans="1:149"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row>
    <row r="115" spans="1:149"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row>
    <row r="116" spans="1:149"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row>
    <row r="117" spans="1:149"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row>
    <row r="118" spans="1:149"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row>
    <row r="119" spans="1:149"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row>
    <row r="120" spans="1:149"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row>
    <row r="121" spans="1:149"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row>
    <row r="122" spans="1:149"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row>
    <row r="123" spans="1:149"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row>
    <row r="124" spans="1:149"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row>
    <row r="125" spans="1:149"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row>
    <row r="126" spans="1:149"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row>
    <row r="127" spans="1:149"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row>
    <row r="128" spans="1:149"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row>
    <row r="129" spans="1:149"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row>
    <row r="130" spans="1:149"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row>
    <row r="131" spans="1:149"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row>
    <row r="132" spans="1:149"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row>
    <row r="133" spans="1:149"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row>
    <row r="134" spans="1:149"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row>
    <row r="135" spans="1:149"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row>
    <row r="136" spans="1:149"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row>
    <row r="137" spans="1:149"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row>
    <row r="138" spans="1:149"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row>
    <row r="139" spans="1:149"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row>
    <row r="140" spans="1:149"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row>
    <row r="141" spans="1:149"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row>
    <row r="142" spans="1:149"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row>
    <row r="143" spans="1:149"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row>
    <row r="144" spans="1:149"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row>
    <row r="145" spans="1:149"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row>
    <row r="146" spans="1:149"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row>
    <row r="147" spans="1:149"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row>
    <row r="148" spans="1:149"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row>
    <row r="149" spans="1:149"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row>
    <row r="150" spans="1:149"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row>
    <row r="151" spans="1:149"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row>
    <row r="152" spans="1:149"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row>
    <row r="153" spans="1:149"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row>
    <row r="154" spans="1:149"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row>
    <row r="155" spans="1:149"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row>
    <row r="156" spans="1:149"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row>
    <row r="157" spans="1:149"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row>
    <row r="158" spans="1:149"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row>
    <row r="159" spans="1:149"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row>
    <row r="160" spans="1:149"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row>
    <row r="161" spans="1:149"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row>
    <row r="162" spans="1:149"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row>
    <row r="163" spans="1:149"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row>
    <row r="164" spans="1:149"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row>
    <row r="165" spans="1:149"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row>
    <row r="166" spans="1:149"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row>
    <row r="167" spans="1:149"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row>
    <row r="168" spans="1:149"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row>
    <row r="169" spans="1:149"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row>
    <row r="170" spans="1:149"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row>
    <row r="171" spans="1:149"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row>
    <row r="172" spans="1:149"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row>
    <row r="173" spans="1:149"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row>
    <row r="174" spans="1:149"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row>
    <row r="175" spans="1:149"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row>
    <row r="176" spans="1:149"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row>
    <row r="177" spans="1:149"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row>
    <row r="178" spans="1:149"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row>
    <row r="179" spans="1:149"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row>
    <row r="180" spans="1:149"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row>
    <row r="181" spans="1:149"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row>
    <row r="182" spans="1:149"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row>
    <row r="183" spans="1:149"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row>
    <row r="184" spans="1:149"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row>
    <row r="185" spans="1:149"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row>
    <row r="186" spans="1:149"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row>
    <row r="187" spans="1:149"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row>
    <row r="188" spans="1:149"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row>
    <row r="189" spans="1:149"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row>
    <row r="190" spans="1:149"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row>
    <row r="191" spans="1:149"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row>
    <row r="192" spans="1:149"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row>
    <row r="193" spans="1:149"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row>
    <row r="194" spans="1:149"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row>
    <row r="195" spans="1:149"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row>
    <row r="196" spans="1:149"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row>
    <row r="197" spans="1:149"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row>
    <row r="198" spans="1:149"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row>
    <row r="199" spans="1:149"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row>
    <row r="200" spans="1:149"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row>
    <row r="201" spans="1:149"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row>
    <row r="202" spans="1:149"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row>
    <row r="203" spans="1:149"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row>
    <row r="204" spans="1:149"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row>
    <row r="205" spans="1:149"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row>
    <row r="206" spans="1:149"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row>
    <row r="207" spans="1:149"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row>
    <row r="208" spans="1:149"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row>
    <row r="209" spans="1:149"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row>
    <row r="210" spans="1:149"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row>
    <row r="211" spans="1:149"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row>
    <row r="212" spans="1:149"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row>
    <row r="213" spans="1:149"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row>
    <row r="214" spans="1:149"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row>
    <row r="215" spans="1:149"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row>
    <row r="216" spans="1:149"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row>
    <row r="217" spans="1:149"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row>
    <row r="218" spans="1:149"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row>
    <row r="219" spans="1:149"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row>
    <row r="220" spans="1:149"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row>
    <row r="221" spans="1:149"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row>
    <row r="222" spans="1:149"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row>
    <row r="223" spans="1:149"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row>
    <row r="224" spans="1:149"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row>
    <row r="225" spans="1:149"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row>
    <row r="226" spans="1:149"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row>
    <row r="227" spans="1:149"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row>
    <row r="228" spans="1:149"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row>
    <row r="229" spans="1:149"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row>
    <row r="230" spans="1:149"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row>
    <row r="231" spans="1:149"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row>
    <row r="232" spans="1:149"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row>
    <row r="233" spans="1:149"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row>
    <row r="234" spans="1:149"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row>
    <row r="235" spans="1:149"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row>
    <row r="236" spans="1:149"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row>
    <row r="237" spans="1:149"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row>
    <row r="238" spans="1:149"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row>
    <row r="239" spans="1:149"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row>
    <row r="240" spans="1:149"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row>
    <row r="241" spans="1:149"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row>
    <row r="242" spans="1:149"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row>
    <row r="243" spans="1:149"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row>
    <row r="244" spans="1:149"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row>
    <row r="245" spans="1:149"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row>
    <row r="246" spans="1:149"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row>
    <row r="247" spans="1:149"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row>
    <row r="248" spans="1:149"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row>
    <row r="249" spans="1:149"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row>
    <row r="250" spans="1:149"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row>
    <row r="251" spans="1:149"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row>
    <row r="252" spans="1:149"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row>
    <row r="253" spans="1:149"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row>
    <row r="254" spans="1:149"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row>
    <row r="255" spans="1:149"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row>
    <row r="256" spans="1:149"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row>
    <row r="257" spans="1:149"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row>
    <row r="258" spans="1:149"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row>
    <row r="259" spans="1:149"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row>
    <row r="260" spans="1:149"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row>
    <row r="261" spans="1:149"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row>
    <row r="262" spans="1:149"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row>
    <row r="263" spans="1:149"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row>
    <row r="264" spans="1:149"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row>
    <row r="265" spans="1:149"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row>
    <row r="266" spans="1:149"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row>
    <row r="267" spans="1:149"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row>
    <row r="268" spans="1:149"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row>
    <row r="269" spans="1:149"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row>
    <row r="270" spans="1:149"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row>
    <row r="271" spans="1:149"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row>
    <row r="272" spans="1:149"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row>
    <row r="273" spans="1:149"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row>
    <row r="274" spans="1:149"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row>
    <row r="275" spans="1:149"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row>
    <row r="276" spans="1:149"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row>
    <row r="277" spans="1:149"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row>
    <row r="278" spans="1:149"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row>
    <row r="279" spans="1:149"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row>
    <row r="280" spans="1:149"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row>
    <row r="281" spans="1:149"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row>
    <row r="282" spans="1:149"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row>
    <row r="283" spans="1:149"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row>
    <row r="284" spans="1:149"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row>
    <row r="285" spans="1:149"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row>
    <row r="286" spans="1:149"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row>
    <row r="287" spans="1:149"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row>
    <row r="288" spans="1:149"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row>
    <row r="289" spans="1:149"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row>
    <row r="290" spans="1:149"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row>
    <row r="291" spans="1:149"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row>
    <row r="292" spans="1:149"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row>
    <row r="293" spans="1:149"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row>
    <row r="294" spans="1:149"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row>
    <row r="295" spans="1:149"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row>
    <row r="296" spans="1:149"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row>
    <row r="297" spans="1:149"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row>
    <row r="298" spans="1:149"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row>
    <row r="299" spans="1:149"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row>
    <row r="300" spans="1:149"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row>
    <row r="301" spans="1:149"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row>
    <row r="302" spans="1:149"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row>
    <row r="303" spans="1:149"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row>
    <row r="304" spans="1:149"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row>
    <row r="305" spans="1:149"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row>
    <row r="306" spans="1:149"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row>
    <row r="307" spans="1:149"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row>
    <row r="308" spans="1:149"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row>
    <row r="309" spans="1:149"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row>
    <row r="310" spans="1:149"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row>
    <row r="311" spans="1:149"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row>
    <row r="312" spans="1:149"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row>
    <row r="313" spans="1:149"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row>
    <row r="314" spans="1:149"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row>
    <row r="315" spans="1:149"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row>
    <row r="316" spans="1:149"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row>
    <row r="317" spans="1:149"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row>
    <row r="318" spans="1:149"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row>
    <row r="319" spans="1:149"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row>
    <row r="320" spans="1:149"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row>
    <row r="321" spans="1:149"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row>
    <row r="322" spans="1:149"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row>
    <row r="323" spans="1:149"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row>
    <row r="324" spans="1:149"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row>
    <row r="325" spans="1:149"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row>
    <row r="326" spans="1:149"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row>
    <row r="327" spans="1:149"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row>
    <row r="328" spans="1:149"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row>
    <row r="329" spans="1:149"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row>
    <row r="330" spans="1:149"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row>
    <row r="331" spans="1:149"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row>
    <row r="332" spans="1:149"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row>
    <row r="333" spans="1:149"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row>
    <row r="334" spans="1:149"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row>
    <row r="335" spans="1:149"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row>
    <row r="336" spans="1:149"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row>
    <row r="337" spans="1:149"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row>
    <row r="338" spans="1:149"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row>
    <row r="339" spans="1:149"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row>
    <row r="340" spans="1:149"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row>
    <row r="341" spans="1:149"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row>
    <row r="342" spans="1:149"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row>
    <row r="343" spans="1:149"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row>
    <row r="344" spans="1:149"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row>
    <row r="345" spans="1:149"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row>
    <row r="346" spans="1:149"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row>
    <row r="347" spans="1:149"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row>
    <row r="348" spans="1:149"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row>
    <row r="349" spans="1:149"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row>
    <row r="350" spans="1:149"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row>
    <row r="351" spans="1:149"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row>
    <row r="352" spans="1:149"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row>
    <row r="353" spans="1:149"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row>
    <row r="354" spans="1:149"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row>
    <row r="355" spans="1:149"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row>
    <row r="356" spans="1:149"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row>
    <row r="357" spans="1:149"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row>
    <row r="358" spans="1:149"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row>
    <row r="359" spans="1:149"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row>
    <row r="360" spans="1:149"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row>
    <row r="361" spans="1:149"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row>
    <row r="362" spans="1:149"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row>
    <row r="363" spans="1:149"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row>
    <row r="364" spans="1:149"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row>
    <row r="365" spans="1:149"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row>
    <row r="366" spans="1:149"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row>
    <row r="367" spans="1:149"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row>
    <row r="368" spans="1:149"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row>
    <row r="369" spans="1:149"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row>
    <row r="370" spans="1:149"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row>
    <row r="371" spans="1:149"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row>
    <row r="372" spans="1:149"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row>
    <row r="373" spans="1:149"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row>
    <row r="374" spans="1:149"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row>
    <row r="375" spans="1:149"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row>
    <row r="376" spans="1:149"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row>
    <row r="377" spans="1:149"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row>
    <row r="378" spans="1:149"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row>
    <row r="379" spans="1:149"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row>
    <row r="380" spans="1:149"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row>
    <row r="381" spans="1:149"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row>
    <row r="382" spans="1:149"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row>
    <row r="383" spans="1:149"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row>
    <row r="384" spans="1:149"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row>
    <row r="385" spans="1:149"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row>
    <row r="386" spans="1:149"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row>
    <row r="387" spans="1:149"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row>
    <row r="388" spans="1:149"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row>
    <row r="389" spans="1:149"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row>
    <row r="390" spans="1:149"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row>
    <row r="391" spans="1:149"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row>
    <row r="392" spans="1:149"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row>
    <row r="393" spans="1:149"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row>
    <row r="394" spans="1:149"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row>
    <row r="395" spans="1:149"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row>
    <row r="396" spans="1:149"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row>
    <row r="397" spans="1:149"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row>
    <row r="398" spans="1:149"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row>
    <row r="399" spans="1:149"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row>
    <row r="400" spans="1:149"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row>
    <row r="401" spans="1:149"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row>
    <row r="402" spans="1:149"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row>
    <row r="403" spans="1:149"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row>
    <row r="404" spans="1:149"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row>
    <row r="405" spans="1:149"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row>
    <row r="406" spans="1:149"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row>
    <row r="407" spans="1:149"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row>
    <row r="408" spans="1:149"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row>
    <row r="409" spans="1:149"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row>
    <row r="410" spans="1:149"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row>
    <row r="411" spans="1:149"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row>
    <row r="412" spans="1:149"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row>
    <row r="413" spans="1:149"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row>
    <row r="414" spans="1:149"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row>
    <row r="415" spans="1:149"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row>
    <row r="416" spans="1:149"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row>
    <row r="417" spans="1:149"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row>
    <row r="418" spans="1:149"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row>
    <row r="419" spans="1:149"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row>
    <row r="420" spans="1:149"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row>
    <row r="421" spans="1:149"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row>
    <row r="422" spans="1:149"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row>
    <row r="423" spans="1:149"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row>
    <row r="424" spans="1:149"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row>
    <row r="425" spans="1:149"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row>
    <row r="426" spans="1:149"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row>
    <row r="427" spans="1:149"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row>
    <row r="428" spans="1:149"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row>
    <row r="429" spans="1:149"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row>
    <row r="430" spans="1:149"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row>
    <row r="431" spans="1:149"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row>
    <row r="432" spans="1:149"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row>
    <row r="433" spans="1:149"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row>
    <row r="434" spans="1:149"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row>
    <row r="435" spans="1:149"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row>
    <row r="436" spans="1:149"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row>
    <row r="437" spans="1:149"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row>
    <row r="438" spans="1:149"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row>
    <row r="439" spans="1:149"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row>
    <row r="440" spans="1:149"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row>
    <row r="441" spans="1:149"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row>
    <row r="442" spans="1:149"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row>
  </sheetData>
  <mergeCells count="6">
    <mergeCell ref="H1:J1"/>
    <mergeCell ref="A57:B57"/>
    <mergeCell ref="A1:B1"/>
    <mergeCell ref="A13:B13"/>
    <mergeCell ref="A5:C5"/>
    <mergeCell ref="A55:B55"/>
  </mergeCells>
  <phoneticPr fontId="2" type="noConversion"/>
  <printOptions headings="1" gridLines="1"/>
  <pageMargins left="0.74803149606299213" right="0.74803149606299213" top="0.98425196850393704" bottom="0.98425196850393704" header="0.51181102362204722" footer="0.51181102362204722"/>
  <pageSetup paperSize="8" scale="79" fitToHeight="2" orientation="landscape" r:id="rId1"/>
  <headerFooter alignWithMargins="0">
    <oddHeader>&amp;R&amp;D</oddHeader>
    <oddFooter>&amp;L&amp;Z&amp;F&amp;R&amp;A</oddFooter>
  </headerFooter>
  <ignoredErrors>
    <ignoredError sqref="D90:H90 I90:O90" formulaRange="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5"/>
  <sheetViews>
    <sheetView topLeftCell="A4" zoomScale="110" zoomScaleNormal="110" workbookViewId="0">
      <selection activeCell="H8" sqref="H8"/>
    </sheetView>
  </sheetViews>
  <sheetFormatPr defaultRowHeight="12.75" x14ac:dyDescent="0.2"/>
  <cols>
    <col min="1" max="1" width="31.28515625" bestFit="1" customWidth="1"/>
    <col min="2" max="2" width="11.7109375" bestFit="1" customWidth="1"/>
    <col min="3" max="3" width="12.7109375" customWidth="1"/>
    <col min="4" max="4" width="16.28515625" customWidth="1"/>
    <col min="5" max="5" width="12.85546875" bestFit="1" customWidth="1"/>
    <col min="6" max="6" width="11.85546875" customWidth="1"/>
    <col min="7" max="7" width="11.42578125" customWidth="1"/>
    <col min="8" max="8" width="14.140625" customWidth="1"/>
    <col min="9" max="9" width="12.140625" customWidth="1"/>
    <col min="10" max="11" width="13.42578125" customWidth="1"/>
    <col min="12" max="12" width="13.140625" customWidth="1"/>
    <col min="13" max="13" width="12.28515625" customWidth="1"/>
    <col min="14" max="14" width="8.42578125" bestFit="1" customWidth="1"/>
    <col min="15" max="15" width="12.85546875" bestFit="1" customWidth="1"/>
    <col min="16" max="16" width="21" customWidth="1"/>
    <col min="17" max="17" width="14.85546875" bestFit="1" customWidth="1"/>
    <col min="18" max="18" width="16.42578125" customWidth="1"/>
    <col min="19" max="32" width="7.42578125" bestFit="1" customWidth="1"/>
  </cols>
  <sheetData>
    <row r="1" spans="1:28" ht="16.5" x14ac:dyDescent="0.3">
      <c r="A1" s="313" t="s">
        <v>2156</v>
      </c>
    </row>
    <row r="3" spans="1:28" ht="25.5" customHeight="1" x14ac:dyDescent="0.2">
      <c r="A3" s="277" t="s">
        <v>848</v>
      </c>
      <c r="B3" s="278" t="s">
        <v>853</v>
      </c>
      <c r="C3" s="295" t="s">
        <v>357</v>
      </c>
      <c r="D3" s="295" t="s">
        <v>358</v>
      </c>
      <c r="E3" s="295" t="s">
        <v>359</v>
      </c>
      <c r="F3" s="295" t="s">
        <v>360</v>
      </c>
      <c r="G3" s="295" t="s">
        <v>361</v>
      </c>
      <c r="H3" s="309" t="s">
        <v>1573</v>
      </c>
      <c r="I3" s="309" t="s">
        <v>1574</v>
      </c>
      <c r="J3" s="309" t="s">
        <v>1575</v>
      </c>
      <c r="K3" s="309" t="s">
        <v>1576</v>
      </c>
      <c r="L3" s="309" t="s">
        <v>1577</v>
      </c>
    </row>
    <row r="4" spans="1:28" ht="27" customHeight="1" x14ac:dyDescent="0.2">
      <c r="A4" s="279" t="s">
        <v>854</v>
      </c>
      <c r="B4" s="282">
        <v>14.931717660643365</v>
      </c>
      <c r="C4" s="296">
        <v>15.936969190462666</v>
      </c>
      <c r="D4" s="296">
        <v>14.497146850004153</v>
      </c>
      <c r="E4" s="296">
        <v>13.021688906619293</v>
      </c>
      <c r="F4" s="296">
        <v>11.509713379135658</v>
      </c>
      <c r="G4" s="296">
        <v>9.9603164573468028</v>
      </c>
      <c r="H4" s="310">
        <v>8.3725719617436738</v>
      </c>
      <c r="I4" s="310">
        <v>6.7455307898743664</v>
      </c>
      <c r="J4" s="310">
        <v>5.0782203490012927</v>
      </c>
      <c r="K4" s="310">
        <v>3.3696439747166105</v>
      </c>
      <c r="L4" s="310">
        <v>1.6187803351683825</v>
      </c>
    </row>
    <row r="5" spans="1:28" ht="27" customHeight="1" x14ac:dyDescent="0.2">
      <c r="A5" s="280" t="s">
        <v>855</v>
      </c>
      <c r="B5" s="283">
        <v>0.47525152981930091</v>
      </c>
      <c r="C5" s="298">
        <v>0.39443998746395098</v>
      </c>
      <c r="D5" s="298">
        <v>0.35880438453760283</v>
      </c>
      <c r="E5" s="298">
        <v>0.32228680043882751</v>
      </c>
      <c r="F5" s="298">
        <v>0.28486540613360756</v>
      </c>
      <c r="G5" s="298">
        <v>0.24651783231933339</v>
      </c>
      <c r="H5" s="311">
        <v>0.20722115605315594</v>
      </c>
      <c r="I5" s="311">
        <v>0.16695188704939057</v>
      </c>
      <c r="J5" s="311">
        <v>0.12568595363778201</v>
      </c>
      <c r="K5" s="311">
        <v>8.3398688374236113E-2</v>
      </c>
      <c r="L5" s="311">
        <v>4.0064813295417466E-2</v>
      </c>
    </row>
    <row r="6" spans="1:28" ht="27" customHeight="1" x14ac:dyDescent="0.2">
      <c r="A6" s="280" t="s">
        <v>856</v>
      </c>
      <c r="B6" s="283">
        <v>1.82</v>
      </c>
      <c r="C6" s="298">
        <v>0</v>
      </c>
      <c r="D6" s="298">
        <v>0</v>
      </c>
      <c r="E6" s="298">
        <v>0</v>
      </c>
      <c r="F6" s="298">
        <v>0</v>
      </c>
      <c r="G6" s="298">
        <v>0</v>
      </c>
      <c r="H6" s="311">
        <v>0</v>
      </c>
      <c r="I6" s="311">
        <v>0</v>
      </c>
      <c r="J6" s="311">
        <v>0</v>
      </c>
      <c r="K6" s="311">
        <v>0</v>
      </c>
      <c r="L6" s="311">
        <v>0</v>
      </c>
    </row>
    <row r="7" spans="1:28" ht="27" customHeight="1" x14ac:dyDescent="0.2">
      <c r="A7" s="280" t="s">
        <v>857</v>
      </c>
      <c r="B7" s="283">
        <v>1.29</v>
      </c>
      <c r="C7" s="298">
        <v>1.8342623279224641</v>
      </c>
      <c r="D7" s="298">
        <v>1.8342623279224641</v>
      </c>
      <c r="E7" s="298">
        <v>1.8342623279224641</v>
      </c>
      <c r="F7" s="298">
        <v>1.8342623279224641</v>
      </c>
      <c r="G7" s="298">
        <v>1.8342623279224641</v>
      </c>
      <c r="H7" s="311">
        <v>1.8342623279224641</v>
      </c>
      <c r="I7" s="311">
        <v>1.8342623279224641</v>
      </c>
      <c r="J7" s="311">
        <v>1.8342623279224641</v>
      </c>
      <c r="K7" s="311">
        <v>1.8342623279224641</v>
      </c>
      <c r="L7" s="311">
        <v>1.8342623279224641</v>
      </c>
    </row>
    <row r="8" spans="1:28" ht="27" customHeight="1" x14ac:dyDescent="0.2">
      <c r="A8" s="281" t="s">
        <v>858</v>
      </c>
      <c r="B8" s="284">
        <v>15.936969190462666</v>
      </c>
      <c r="C8" s="297">
        <v>14.497146850004153</v>
      </c>
      <c r="D8" s="297">
        <v>13.021688906619293</v>
      </c>
      <c r="E8" s="297">
        <v>11.509713379135658</v>
      </c>
      <c r="F8" s="297">
        <v>9.9603164573468028</v>
      </c>
      <c r="G8" s="297">
        <v>8.3725719617436738</v>
      </c>
      <c r="H8" s="312">
        <v>6.7455307898743664</v>
      </c>
      <c r="I8" s="312">
        <v>5.0782203490012927</v>
      </c>
      <c r="J8" s="312">
        <v>3.3696439747166105</v>
      </c>
      <c r="K8" s="312">
        <v>1.6187803351683825</v>
      </c>
      <c r="L8" s="312">
        <v>-0.17541717945866409</v>
      </c>
    </row>
    <row r="9" spans="1:28" s="409" customFormat="1" ht="11.25" customHeight="1" thickBot="1" x14ac:dyDescent="0.25">
      <c r="A9" s="482"/>
      <c r="B9" s="456"/>
      <c r="C9" s="456"/>
      <c r="D9" s="456"/>
      <c r="E9" s="456"/>
      <c r="F9" s="456"/>
      <c r="G9" s="456"/>
      <c r="H9" s="456"/>
      <c r="I9" s="456"/>
      <c r="J9" s="456"/>
      <c r="K9" s="456"/>
      <c r="L9" s="456"/>
    </row>
    <row r="10" spans="1:28" ht="15" customHeight="1" thickBot="1" x14ac:dyDescent="0.25">
      <c r="A10" s="481" t="s">
        <v>2155</v>
      </c>
      <c r="B10" s="470" t="s">
        <v>1574</v>
      </c>
      <c r="C10" s="294"/>
      <c r="D10" s="294"/>
      <c r="E10" s="294"/>
    </row>
    <row r="11" spans="1:28" ht="15" customHeight="1" x14ac:dyDescent="0.2">
      <c r="A11" s="481" t="s">
        <v>2149</v>
      </c>
      <c r="B11" s="470">
        <v>4</v>
      </c>
      <c r="D11" s="456"/>
      <c r="E11" s="483"/>
      <c r="F11" s="483"/>
      <c r="G11" s="454"/>
      <c r="I11" s="320"/>
      <c r="J11" s="321"/>
    </row>
    <row r="12" spans="1:28" ht="15" customHeight="1" x14ac:dyDescent="0.2">
      <c r="A12" s="467" t="s">
        <v>1057</v>
      </c>
      <c r="B12" s="471">
        <f>[1]Sheet1!$E$30</f>
        <v>7.088498265136875E-2</v>
      </c>
      <c r="D12" s="457"/>
      <c r="E12" s="483"/>
      <c r="F12" s="483"/>
      <c r="G12" s="455"/>
      <c r="I12" s="453"/>
      <c r="J12" s="378"/>
      <c r="K12" s="379"/>
      <c r="L12" s="380"/>
      <c r="M12" s="380"/>
      <c r="N12" s="381"/>
      <c r="O12" s="381"/>
    </row>
    <row r="13" spans="1:28" ht="15" customHeight="1" x14ac:dyDescent="0.2">
      <c r="A13" s="468" t="s">
        <v>2063</v>
      </c>
      <c r="B13" s="472">
        <f>SUBTOTAL(9,D18:D117)</f>
        <v>64807112.951833874</v>
      </c>
      <c r="D13" s="365"/>
    </row>
    <row r="14" spans="1:28" ht="15" customHeight="1" thickBot="1" x14ac:dyDescent="0.25">
      <c r="A14" s="469" t="s">
        <v>2064</v>
      </c>
      <c r="B14" s="473">
        <f>H8*1000000/B13</f>
        <v>0.1040862720560905</v>
      </c>
    </row>
    <row r="16" spans="1:28" x14ac:dyDescent="0.2">
      <c r="A16" s="465" t="s">
        <v>2151</v>
      </c>
      <c r="B16" s="466">
        <f>SUM(B18:B116)</f>
        <v>58247</v>
      </c>
      <c r="C16" s="465"/>
      <c r="D16" s="465">
        <f>SUM(D18:D116)</f>
        <v>64807112.951833874</v>
      </c>
      <c r="E16" s="465">
        <f>SUM(E18:E116)</f>
        <v>6745530.7898743693</v>
      </c>
      <c r="F16" s="465"/>
      <c r="G16" s="465"/>
      <c r="H16" s="465">
        <f>SUM(H18:H116)</f>
        <v>478156.8330145186</v>
      </c>
      <c r="I16" s="465"/>
      <c r="J16" s="465"/>
      <c r="K16" s="465"/>
      <c r="L16" s="465"/>
      <c r="M16" s="465"/>
    </row>
    <row r="17" spans="1:15" ht="57.4" customHeight="1" x14ac:dyDescent="0.2">
      <c r="A17" s="331" t="s">
        <v>2056</v>
      </c>
      <c r="B17" s="331" t="s">
        <v>2157</v>
      </c>
      <c r="C17" s="331" t="s">
        <v>330</v>
      </c>
      <c r="D17" s="331" t="s">
        <v>331</v>
      </c>
      <c r="E17" s="332" t="s">
        <v>332</v>
      </c>
      <c r="F17" s="332" t="s">
        <v>333</v>
      </c>
      <c r="G17" s="332" t="s">
        <v>466</v>
      </c>
      <c r="H17" s="332" t="s">
        <v>859</v>
      </c>
      <c r="I17" s="332" t="s">
        <v>467</v>
      </c>
      <c r="J17" s="332" t="s">
        <v>2150</v>
      </c>
      <c r="K17" s="332" t="s">
        <v>2152</v>
      </c>
      <c r="L17" s="332" t="s">
        <v>2153</v>
      </c>
      <c r="M17" s="332" t="s">
        <v>2154</v>
      </c>
    </row>
    <row r="18" spans="1:15" x14ac:dyDescent="0.2">
      <c r="A18" s="459">
        <v>1</v>
      </c>
      <c r="B18" s="460">
        <v>4</v>
      </c>
      <c r="C18" s="461">
        <v>0</v>
      </c>
      <c r="D18" s="464">
        <f t="shared" ref="D18:D81" si="0">B18*C18</f>
        <v>0</v>
      </c>
      <c r="E18" s="464">
        <v>0</v>
      </c>
      <c r="F18" s="462">
        <f>IF(E18=0,0,E18/B18)</f>
        <v>0</v>
      </c>
      <c r="G18" s="462">
        <f t="shared" ref="G18:G81" si="1">F18/$B$11</f>
        <v>0</v>
      </c>
      <c r="H18" s="464">
        <f t="shared" ref="H18:H81" si="2">E18*$B$12</f>
        <v>0</v>
      </c>
      <c r="I18" s="475">
        <f>IF(H18=0,0,H18/B18)</f>
        <v>0</v>
      </c>
      <c r="J18" s="463">
        <f>G18+I18</f>
        <v>0</v>
      </c>
      <c r="K18" s="477">
        <f>VLOOKUP(A18,'RAB Calculations 10yr'!$A$22:$J$119,10,FALSE)</f>
        <v>0</v>
      </c>
      <c r="L18" s="477">
        <f t="shared" ref="L18:L19" si="3">J18-K18</f>
        <v>0</v>
      </c>
      <c r="M18" s="479" t="e">
        <f t="shared" ref="M18:M19" si="4">L18/K18</f>
        <v>#DIV/0!</v>
      </c>
    </row>
    <row r="19" spans="1:15" x14ac:dyDescent="0.2">
      <c r="A19" s="459">
        <v>5</v>
      </c>
      <c r="B19" s="460">
        <v>335</v>
      </c>
      <c r="C19" s="461">
        <v>0</v>
      </c>
      <c r="D19" s="464">
        <f t="shared" si="0"/>
        <v>0</v>
      </c>
      <c r="E19" s="464">
        <f t="shared" ref="E19:E82" si="5">D19*$B$14</f>
        <v>0</v>
      </c>
      <c r="F19" s="462">
        <f t="shared" ref="F19:F82" si="6">IF(E19=0,0,E19/B19)</f>
        <v>0</v>
      </c>
      <c r="G19" s="462">
        <f t="shared" si="1"/>
        <v>0</v>
      </c>
      <c r="H19" s="464">
        <f t="shared" si="2"/>
        <v>0</v>
      </c>
      <c r="I19" s="475">
        <f t="shared" ref="I19:I82" si="7">IF(H19=0,0,H19/B19)</f>
        <v>0</v>
      </c>
      <c r="J19" s="463">
        <f t="shared" ref="J19:J82" si="8">G19+I19</f>
        <v>0</v>
      </c>
      <c r="K19" s="477">
        <f>VLOOKUP(A19,'RAB Calculations 10yr'!$A$22:$J$119,10,FALSE)</f>
        <v>0</v>
      </c>
      <c r="L19" s="477">
        <f t="shared" si="3"/>
        <v>0</v>
      </c>
      <c r="M19" s="479" t="e">
        <f t="shared" si="4"/>
        <v>#DIV/0!</v>
      </c>
    </row>
    <row r="20" spans="1:15" x14ac:dyDescent="0.2">
      <c r="A20" s="459">
        <v>10</v>
      </c>
      <c r="B20" s="460">
        <v>28613</v>
      </c>
      <c r="C20" s="461">
        <f>VLOOKUP(A20,'[2]SLUOS Capital Charge'!$D$14:$F$220,3,FALSE)</f>
        <v>527.52153271999998</v>
      </c>
      <c r="D20" s="464">
        <f t="shared" si="0"/>
        <v>15093973.615717359</v>
      </c>
      <c r="E20" s="464">
        <f t="shared" si="5"/>
        <v>1571075.4441730091</v>
      </c>
      <c r="F20" s="462">
        <f t="shared" si="6"/>
        <v>54.907749770139766</v>
      </c>
      <c r="G20" s="462">
        <f t="shared" si="1"/>
        <v>13.726937442534942</v>
      </c>
      <c r="H20" s="464">
        <f t="shared" si="2"/>
        <v>111365.6556041952</v>
      </c>
      <c r="I20" s="475">
        <f t="shared" si="7"/>
        <v>3.8921348898820534</v>
      </c>
      <c r="J20" s="463">
        <f t="shared" si="8"/>
        <v>17.619072332416994</v>
      </c>
      <c r="K20" s="477">
        <f>VLOOKUP(A20,'RAB Calculations 10yr'!$A$22:$J$119,10,FALSE)</f>
        <v>17.255027166785979</v>
      </c>
      <c r="L20" s="477">
        <f>J20-K20</f>
        <v>0.36404516563101552</v>
      </c>
      <c r="M20" s="479">
        <f>L20/K20</f>
        <v>2.1097919007149538E-2</v>
      </c>
      <c r="O20" s="476"/>
    </row>
    <row r="21" spans="1:15" x14ac:dyDescent="0.2">
      <c r="A21" s="459">
        <v>20</v>
      </c>
      <c r="B21" s="460">
        <v>1327</v>
      </c>
      <c r="C21" s="461">
        <f>VLOOKUP(A21,'[2]SLUOS Capital Charge'!$D$14:$F$220,3,FALSE)</f>
        <v>993.61161271999981</v>
      </c>
      <c r="D21" s="464">
        <f t="shared" si="0"/>
        <v>1318522.6100794398</v>
      </c>
      <c r="E21" s="464">
        <f t="shared" si="5"/>
        <v>137240.10310483511</v>
      </c>
      <c r="F21" s="462">
        <f t="shared" si="6"/>
        <v>103.42132863966474</v>
      </c>
      <c r="G21" s="462">
        <f t="shared" si="1"/>
        <v>25.855332159916184</v>
      </c>
      <c r="H21" s="464">
        <f t="shared" si="2"/>
        <v>9728.2623276582963</v>
      </c>
      <c r="I21" s="475">
        <f t="shared" si="7"/>
        <v>7.331019086404142</v>
      </c>
      <c r="J21" s="463">
        <f t="shared" si="8"/>
        <v>33.186351246320328</v>
      </c>
      <c r="K21" s="477">
        <f>VLOOKUP(A21,'RAB Calculations 10yr'!$A$22:$J$119,10,FALSE)</f>
        <v>32.500655058222634</v>
      </c>
      <c r="L21" s="477">
        <f t="shared" ref="L21:L84" si="9">J21-K21</f>
        <v>0.68569618809769395</v>
      </c>
      <c r="M21" s="479">
        <f t="shared" ref="M21:M84" si="10">L21/K21</f>
        <v>2.109791900714978E-2</v>
      </c>
      <c r="O21" s="476"/>
    </row>
    <row r="22" spans="1:15" x14ac:dyDescent="0.2">
      <c r="A22" s="459">
        <v>30</v>
      </c>
      <c r="B22" s="460">
        <v>1840</v>
      </c>
      <c r="C22" s="461">
        <f>VLOOKUP(A22,'[2]SLUOS Capital Charge'!$D$14:$F$220,3,FALSE)</f>
        <v>997.93650231999982</v>
      </c>
      <c r="D22" s="464">
        <f t="shared" si="0"/>
        <v>1836203.1642687996</v>
      </c>
      <c r="E22" s="464">
        <f t="shared" si="5"/>
        <v>191123.54210633651</v>
      </c>
      <c r="F22" s="462">
        <f t="shared" si="6"/>
        <v>103.87149027518288</v>
      </c>
      <c r="G22" s="462">
        <f t="shared" si="1"/>
        <v>25.96787256879572</v>
      </c>
      <c r="H22" s="464">
        <f t="shared" si="2"/>
        <v>13547.788966475808</v>
      </c>
      <c r="I22" s="475">
        <f t="shared" si="7"/>
        <v>7.3629287861281565</v>
      </c>
      <c r="J22" s="463">
        <f t="shared" si="8"/>
        <v>33.330801354923878</v>
      </c>
      <c r="K22" s="477">
        <f>VLOOKUP(A22,'RAB Calculations 10yr'!$A$22:$J$119,10,FALSE)</f>
        <v>32.642120539558654</v>
      </c>
      <c r="L22" s="477">
        <f t="shared" si="9"/>
        <v>0.68868081536522396</v>
      </c>
      <c r="M22" s="479">
        <f t="shared" si="10"/>
        <v>2.1097919007149635E-2</v>
      </c>
      <c r="O22" s="476"/>
    </row>
    <row r="23" spans="1:15" x14ac:dyDescent="0.2">
      <c r="A23" s="459">
        <v>40</v>
      </c>
      <c r="B23" s="460">
        <v>4357</v>
      </c>
      <c r="C23" s="461">
        <f>VLOOKUP(A23,'[2]SLUOS Capital Charge'!$D$14:$F$220,3,FALSE)</f>
        <v>565.07913271999996</v>
      </c>
      <c r="D23" s="464">
        <f t="shared" si="0"/>
        <v>2462049.7812610399</v>
      </c>
      <c r="E23" s="464">
        <f t="shared" si="5"/>
        <v>256265.58334797469</v>
      </c>
      <c r="F23" s="462">
        <f t="shared" si="6"/>
        <v>58.816980341513585</v>
      </c>
      <c r="G23" s="462">
        <f t="shared" si="1"/>
        <v>14.704245085378396</v>
      </c>
      <c r="H23" s="464">
        <f t="shared" si="2"/>
        <v>18165.381429764078</v>
      </c>
      <c r="I23" s="475">
        <f t="shared" si="7"/>
        <v>4.1692406311140875</v>
      </c>
      <c r="J23" s="463">
        <f t="shared" si="8"/>
        <v>18.873485716492482</v>
      </c>
      <c r="K23" s="477">
        <f>VLOOKUP(A23,'RAB Calculations 10yr'!$A$22:$J$119,10,FALSE)</f>
        <v>18.483521869130684</v>
      </c>
      <c r="L23" s="477">
        <f t="shared" si="9"/>
        <v>0.38996384736179834</v>
      </c>
      <c r="M23" s="479">
        <f t="shared" si="10"/>
        <v>2.1097919007149642E-2</v>
      </c>
      <c r="O23" s="476"/>
    </row>
    <row r="24" spans="1:15" x14ac:dyDescent="0.2">
      <c r="A24" s="459">
        <v>50</v>
      </c>
      <c r="B24" s="460">
        <v>1739</v>
      </c>
      <c r="C24" s="461">
        <f>VLOOKUP(A24,'[2]SLUOS Capital Charge'!$D$14:$F$220,3,FALSE)</f>
        <v>978.60489271999984</v>
      </c>
      <c r="D24" s="464">
        <f t="shared" si="0"/>
        <v>1701793.9084400798</v>
      </c>
      <c r="E24" s="464">
        <f t="shared" si="5"/>
        <v>177133.3837372917</v>
      </c>
      <c r="F24" s="462">
        <f t="shared" si="6"/>
        <v>101.85933509907517</v>
      </c>
      <c r="G24" s="462">
        <f t="shared" si="1"/>
        <v>25.464833774768792</v>
      </c>
      <c r="H24" s="464">
        <f t="shared" si="2"/>
        <v>12556.096833196167</v>
      </c>
      <c r="I24" s="475">
        <f t="shared" si="7"/>
        <v>7.2202972013778988</v>
      </c>
      <c r="J24" s="463">
        <f t="shared" si="8"/>
        <v>32.685130976146688</v>
      </c>
      <c r="K24" s="477">
        <f>VLOOKUP(A24,'RAB Calculations 10yr'!$A$22:$J$119,10,FALSE)</f>
        <v>32.009790998230237</v>
      </c>
      <c r="L24" s="477">
        <f t="shared" si="9"/>
        <v>0.67533997791645106</v>
      </c>
      <c r="M24" s="479">
        <f t="shared" si="10"/>
        <v>2.1097919007149701E-2</v>
      </c>
      <c r="O24" s="476"/>
    </row>
    <row r="25" spans="1:15" x14ac:dyDescent="0.2">
      <c r="A25" s="459">
        <v>60</v>
      </c>
      <c r="B25" s="460">
        <v>2331</v>
      </c>
      <c r="C25" s="461">
        <f>VLOOKUP(A25,'[2]SLUOS Capital Charge'!$D$14:$F$220,3,FALSE)</f>
        <v>982.52848311999992</v>
      </c>
      <c r="D25" s="464">
        <f t="shared" si="0"/>
        <v>2290273.89415272</v>
      </c>
      <c r="E25" s="464">
        <f t="shared" si="5"/>
        <v>238386.07162974184</v>
      </c>
      <c r="F25" s="462">
        <f t="shared" si="6"/>
        <v>102.26772699688625</v>
      </c>
      <c r="G25" s="462">
        <f t="shared" si="1"/>
        <v>25.566931749221563</v>
      </c>
      <c r="H25" s="464">
        <f t="shared" si="2"/>
        <v>16897.992551802199</v>
      </c>
      <c r="I25" s="475">
        <f t="shared" si="7"/>
        <v>7.2492460539691974</v>
      </c>
      <c r="J25" s="463">
        <f t="shared" si="8"/>
        <v>32.816177803190762</v>
      </c>
      <c r="K25" s="477">
        <f>VLOOKUP(A25,'RAB Calculations 10yr'!$A$22:$J$119,10,FALSE)</f>
        <v>32.138130136529035</v>
      </c>
      <c r="L25" s="477">
        <f t="shared" si="9"/>
        <v>0.67804766666172611</v>
      </c>
      <c r="M25" s="479">
        <f t="shared" si="10"/>
        <v>2.1097919007149687E-2</v>
      </c>
      <c r="O25" s="476"/>
    </row>
    <row r="26" spans="1:15" x14ac:dyDescent="0.2">
      <c r="A26" s="459">
        <v>70</v>
      </c>
      <c r="B26" s="460">
        <v>314</v>
      </c>
      <c r="C26" s="461">
        <f>VLOOKUP(A26,'[2]SLUOS Capital Charge'!$D$14:$F$220,3,FALSE)</f>
        <v>1093.9916447199998</v>
      </c>
      <c r="D26" s="464">
        <f t="shared" si="0"/>
        <v>343513.37644207996</v>
      </c>
      <c r="E26" s="464">
        <f t="shared" si="5"/>
        <v>35755.026755256564</v>
      </c>
      <c r="F26" s="462">
        <f t="shared" si="6"/>
        <v>113.8695119594158</v>
      </c>
      <c r="G26" s="462">
        <f t="shared" si="1"/>
        <v>28.467377989853951</v>
      </c>
      <c r="H26" s="464">
        <f t="shared" si="2"/>
        <v>2534.4944512455868</v>
      </c>
      <c r="I26" s="475">
        <f t="shared" si="7"/>
        <v>8.0716383797630158</v>
      </c>
      <c r="J26" s="463">
        <f t="shared" si="8"/>
        <v>36.539016369616967</v>
      </c>
      <c r="K26" s="477">
        <f>VLOOKUP(A26,'RAB Calculations 10yr'!$A$22:$J$119,10,FALSE)</f>
        <v>35.784047435083579</v>
      </c>
      <c r="L26" s="477">
        <f t="shared" si="9"/>
        <v>0.75496893453338743</v>
      </c>
      <c r="M26" s="479">
        <f t="shared" si="10"/>
        <v>2.1097919007149451E-2</v>
      </c>
      <c r="O26" s="476"/>
    </row>
    <row r="27" spans="1:15" x14ac:dyDescent="0.2">
      <c r="A27" s="459">
        <v>90</v>
      </c>
      <c r="B27" s="460">
        <v>1900</v>
      </c>
      <c r="C27" s="461">
        <f>VLOOKUP(A27,'[2]SLUOS Capital Charge'!$D$14:$F$220,3,FALSE)</f>
        <v>598.07627522000007</v>
      </c>
      <c r="D27" s="464">
        <f t="shared" si="0"/>
        <v>1136344.922918</v>
      </c>
      <c r="E27" s="464">
        <f t="shared" si="5"/>
        <v>118277.90679640014</v>
      </c>
      <c r="F27" s="462">
        <f t="shared" si="6"/>
        <v>62.251529892842179</v>
      </c>
      <c r="G27" s="462">
        <f t="shared" si="1"/>
        <v>15.562882473210545</v>
      </c>
      <c r="H27" s="464">
        <f t="shared" si="2"/>
        <v>8384.127371303035</v>
      </c>
      <c r="I27" s="475">
        <f t="shared" si="7"/>
        <v>4.4126986164752813</v>
      </c>
      <c r="J27" s="463">
        <f t="shared" si="8"/>
        <v>19.975581089685825</v>
      </c>
      <c r="K27" s="477">
        <f>VLOOKUP(A27,'RAB Calculations 10yr'!$A$22:$J$119,10,FALSE)</f>
        <v>19.562845754409921</v>
      </c>
      <c r="L27" s="477">
        <f t="shared" si="9"/>
        <v>0.41273533527590445</v>
      </c>
      <c r="M27" s="479">
        <f t="shared" si="10"/>
        <v>2.109791900714978E-2</v>
      </c>
      <c r="O27" s="476"/>
    </row>
    <row r="28" spans="1:15" x14ac:dyDescent="0.2">
      <c r="A28" s="459">
        <v>110</v>
      </c>
      <c r="B28" s="460">
        <v>666</v>
      </c>
      <c r="C28" s="461">
        <f>VLOOKUP(A28,'[2]SLUOS Capital Charge'!$D$14:$F$220,3,FALSE)</f>
        <v>250.425946616</v>
      </c>
      <c r="D28" s="464">
        <f t="shared" si="0"/>
        <v>166783.68044625601</v>
      </c>
      <c r="E28" s="464">
        <f t="shared" si="5"/>
        <v>17359.891537445066</v>
      </c>
      <c r="F28" s="462">
        <f t="shared" si="6"/>
        <v>26.065903209376977</v>
      </c>
      <c r="G28" s="462">
        <f t="shared" si="1"/>
        <v>6.5164758023442442</v>
      </c>
      <c r="H28" s="464">
        <f t="shared" si="2"/>
        <v>1230.5556104614368</v>
      </c>
      <c r="I28" s="475">
        <f t="shared" si="7"/>
        <v>1.8476810967889441</v>
      </c>
      <c r="J28" s="463">
        <f t="shared" si="8"/>
        <v>8.3641568991331887</v>
      </c>
      <c r="K28" s="477">
        <f>VLOOKUP(A28,'RAB Calculations 10yr'!$A$22:$J$119,10,FALSE)</f>
        <v>8.1913367400317085</v>
      </c>
      <c r="L28" s="477">
        <f t="shared" si="9"/>
        <v>0.17282015910148019</v>
      </c>
      <c r="M28" s="479">
        <f t="shared" si="10"/>
        <v>2.1097919007149888E-2</v>
      </c>
    </row>
    <row r="29" spans="1:15" x14ac:dyDescent="0.2">
      <c r="A29" s="459">
        <v>120</v>
      </c>
      <c r="B29" s="460">
        <v>10</v>
      </c>
      <c r="C29" s="461">
        <f>VLOOKUP(A29,'[2]SLUOS Capital Charge'!$D$14:$F$220,3,FALSE)</f>
        <v>1845.18472122</v>
      </c>
      <c r="D29" s="464">
        <f t="shared" si="0"/>
        <v>18451.847212200002</v>
      </c>
      <c r="E29" s="464">
        <f t="shared" si="5"/>
        <v>1920.5839888664646</v>
      </c>
      <c r="F29" s="462">
        <f t="shared" si="6"/>
        <v>192.05839888664644</v>
      </c>
      <c r="G29" s="462">
        <f t="shared" si="1"/>
        <v>48.014599721661611</v>
      </c>
      <c r="H29" s="464">
        <f t="shared" si="2"/>
        <v>136.14056273129594</v>
      </c>
      <c r="I29" s="475">
        <f t="shared" si="7"/>
        <v>13.614056273129595</v>
      </c>
      <c r="J29" s="463">
        <f t="shared" si="8"/>
        <v>61.628655994791202</v>
      </c>
      <c r="K29" s="477">
        <f>VLOOKUP(A29,'RAB Calculations 10yr'!$A$22:$J$119,10,FALSE)</f>
        <v>60.355285078550516</v>
      </c>
      <c r="L29" s="477">
        <f t="shared" si="9"/>
        <v>1.2733709162406868</v>
      </c>
      <c r="M29" s="479">
        <f t="shared" si="10"/>
        <v>2.1097919007149652E-2</v>
      </c>
      <c r="O29" s="476"/>
    </row>
    <row r="30" spans="1:15" x14ac:dyDescent="0.2">
      <c r="A30" s="459">
        <v>140</v>
      </c>
      <c r="B30" s="460">
        <v>58</v>
      </c>
      <c r="C30" s="461">
        <f>VLOOKUP(A30,'[2]SLUOS Capital Charge'!$D$14:$F$220,3,FALSE)</f>
        <v>1634.5029204125976</v>
      </c>
      <c r="D30" s="464">
        <f t="shared" si="0"/>
        <v>94801.169383930668</v>
      </c>
      <c r="E30" s="464">
        <f t="shared" si="5"/>
        <v>9867.5003077313249</v>
      </c>
      <c r="F30" s="462">
        <f t="shared" si="6"/>
        <v>170.12931565054009</v>
      </c>
      <c r="G30" s="462">
        <f t="shared" si="1"/>
        <v>42.532328912635023</v>
      </c>
      <c r="H30" s="464">
        <f t="shared" si="2"/>
        <v>699.45758812591077</v>
      </c>
      <c r="I30" s="475">
        <f t="shared" si="7"/>
        <v>12.059613588377772</v>
      </c>
      <c r="J30" s="463">
        <f t="shared" si="8"/>
        <v>54.591942501012795</v>
      </c>
      <c r="K30" s="477">
        <f>VLOOKUP(A30,'RAB Calculations 10yr'!$A$22:$J$119,10,FALSE)</f>
        <v>53.463964116286228</v>
      </c>
      <c r="L30" s="477">
        <f t="shared" si="9"/>
        <v>1.1279783847265676</v>
      </c>
      <c r="M30" s="479">
        <f t="shared" si="10"/>
        <v>2.1097919007149756E-2</v>
      </c>
      <c r="O30" s="476"/>
    </row>
    <row r="31" spans="1:15" x14ac:dyDescent="0.2">
      <c r="A31" s="459">
        <v>170</v>
      </c>
      <c r="B31" s="460">
        <v>767</v>
      </c>
      <c r="C31" s="461">
        <f>VLOOKUP(A31,'[2]SLUOS Capital Charge'!$D$14:$F$220,3,FALSE)</f>
        <v>2707.5058821247544</v>
      </c>
      <c r="D31" s="464">
        <f t="shared" si="0"/>
        <v>2076657.0115896866</v>
      </c>
      <c r="E31" s="464">
        <f t="shared" si="5"/>
        <v>216151.48667551202</v>
      </c>
      <c r="F31" s="462">
        <f t="shared" si="6"/>
        <v>281.81419384030249</v>
      </c>
      <c r="G31" s="462">
        <f t="shared" si="1"/>
        <v>70.453548460075623</v>
      </c>
      <c r="H31" s="464">
        <f t="shared" si="2"/>
        <v>15321.894383061233</v>
      </c>
      <c r="I31" s="475">
        <f t="shared" si="7"/>
        <v>19.976394241279312</v>
      </c>
      <c r="J31" s="463">
        <f t="shared" si="8"/>
        <v>90.429942701354932</v>
      </c>
      <c r="K31" s="477">
        <f>VLOOKUP(A31,'RAB Calculations 10yr'!$A$22:$J$119,10,FALSE)</f>
        <v>88.561479773931197</v>
      </c>
      <c r="L31" s="477">
        <f t="shared" si="9"/>
        <v>1.8684629274237352</v>
      </c>
      <c r="M31" s="479">
        <f t="shared" si="10"/>
        <v>2.1097919007149794E-2</v>
      </c>
      <c r="O31" s="476"/>
    </row>
    <row r="32" spans="1:15" x14ac:dyDescent="0.2">
      <c r="A32" s="459">
        <v>190</v>
      </c>
      <c r="B32" s="460">
        <v>8</v>
      </c>
      <c r="C32" s="461">
        <f>VLOOKUP(A32,'[2]SLUOS Capital Charge'!$D$14:$F$220,3,FALSE)</f>
        <v>4217.7541464159995</v>
      </c>
      <c r="D32" s="464">
        <f t="shared" si="0"/>
        <v>33742.033171327996</v>
      </c>
      <c r="E32" s="464">
        <f t="shared" si="5"/>
        <v>3512.0824443964757</v>
      </c>
      <c r="F32" s="462">
        <f t="shared" si="6"/>
        <v>439.01030554955946</v>
      </c>
      <c r="G32" s="462">
        <f t="shared" si="1"/>
        <v>109.75257638738987</v>
      </c>
      <c r="H32" s="464">
        <f t="shared" si="2"/>
        <v>248.95390314122093</v>
      </c>
      <c r="I32" s="475">
        <f t="shared" si="7"/>
        <v>31.119237892652617</v>
      </c>
      <c r="J32" s="463">
        <f t="shared" si="8"/>
        <v>140.87181428004249</v>
      </c>
      <c r="K32" s="477">
        <f>VLOOKUP(A32,'RAB Calculations 10yr'!$A$22:$J$119,10,FALSE)</f>
        <v>137.96112170810926</v>
      </c>
      <c r="L32" s="477">
        <f t="shared" si="9"/>
        <v>2.9106925719332253</v>
      </c>
      <c r="M32" s="479">
        <f t="shared" si="10"/>
        <v>2.1097919007149801E-2</v>
      </c>
    </row>
    <row r="33" spans="1:15" x14ac:dyDescent="0.2">
      <c r="A33" s="459">
        <v>200</v>
      </c>
      <c r="B33" s="460">
        <v>70</v>
      </c>
      <c r="C33" s="461">
        <f>VLOOKUP(A33,'[2]SLUOS Capital Charge'!$D$14:$F$220,3,FALSE)</f>
        <v>2030.0382579125974</v>
      </c>
      <c r="D33" s="464">
        <f t="shared" si="0"/>
        <v>142102.67805388183</v>
      </c>
      <c r="E33" s="464">
        <f t="shared" si="5"/>
        <v>14790.938007815384</v>
      </c>
      <c r="F33" s="462">
        <f t="shared" si="6"/>
        <v>211.29911439736264</v>
      </c>
      <c r="G33" s="462">
        <f t="shared" si="1"/>
        <v>52.824778599340661</v>
      </c>
      <c r="H33" s="464">
        <f t="shared" si="2"/>
        <v>1048.4553840814642</v>
      </c>
      <c r="I33" s="475">
        <f t="shared" si="7"/>
        <v>14.977934058306632</v>
      </c>
      <c r="J33" s="463">
        <f t="shared" si="8"/>
        <v>67.802712657647291</v>
      </c>
      <c r="K33" s="477">
        <f>VLOOKUP(A33,'RAB Calculations 10yr'!$A$22:$J$119,10,FALSE)</f>
        <v>66.401773420098948</v>
      </c>
      <c r="L33" s="477">
        <f t="shared" si="9"/>
        <v>1.4009392375483429</v>
      </c>
      <c r="M33" s="479">
        <f t="shared" si="10"/>
        <v>2.1097919007149545E-2</v>
      </c>
      <c r="O33" s="476"/>
    </row>
    <row r="34" spans="1:15" x14ac:dyDescent="0.2">
      <c r="A34" s="459">
        <v>210</v>
      </c>
      <c r="B34" s="460">
        <v>290</v>
      </c>
      <c r="C34" s="461">
        <f>VLOOKUP(A34,'[2]SLUOS Capital Charge'!$D$14:$F$220,3,FALSE)</f>
        <v>2034.3631475125974</v>
      </c>
      <c r="D34" s="464">
        <f t="shared" si="0"/>
        <v>589965.31277865323</v>
      </c>
      <c r="E34" s="464">
        <f t="shared" si="5"/>
        <v>61407.290049535426</v>
      </c>
      <c r="F34" s="462">
        <f t="shared" si="6"/>
        <v>211.74927603288077</v>
      </c>
      <c r="G34" s="462">
        <f t="shared" si="1"/>
        <v>52.937319008220193</v>
      </c>
      <c r="H34" s="464">
        <f t="shared" si="2"/>
        <v>4352.8546898288878</v>
      </c>
      <c r="I34" s="475">
        <f t="shared" si="7"/>
        <v>15.009843758030648</v>
      </c>
      <c r="J34" s="463">
        <f t="shared" si="8"/>
        <v>67.947162766250841</v>
      </c>
      <c r="K34" s="477">
        <f>VLOOKUP(A34,'RAB Calculations 10yr'!$A$22:$J$119,10,FALSE)</f>
        <v>66.543238901434947</v>
      </c>
      <c r="L34" s="477">
        <f t="shared" si="9"/>
        <v>1.4039238648158943</v>
      </c>
      <c r="M34" s="479">
        <f t="shared" si="10"/>
        <v>2.1097919007149798E-2</v>
      </c>
      <c r="O34" s="476"/>
    </row>
    <row r="35" spans="1:15" x14ac:dyDescent="0.2">
      <c r="A35" s="459">
        <v>220</v>
      </c>
      <c r="B35" s="460">
        <v>516</v>
      </c>
      <c r="C35" s="461">
        <f>VLOOKUP(A35,'[2]SLUOS Capital Charge'!$D$14:$F$220,3,FALSE)</f>
        <v>2015.0315379125973</v>
      </c>
      <c r="D35" s="464">
        <f t="shared" si="0"/>
        <v>1039756.2735629003</v>
      </c>
      <c r="E35" s="464">
        <f t="shared" si="5"/>
        <v>108224.35436209489</v>
      </c>
      <c r="F35" s="462">
        <f t="shared" si="6"/>
        <v>209.73712085677303</v>
      </c>
      <c r="G35" s="462">
        <f t="shared" si="1"/>
        <v>52.434280214193258</v>
      </c>
      <c r="H35" s="464">
        <f t="shared" si="2"/>
        <v>7671.4814814126803</v>
      </c>
      <c r="I35" s="475">
        <f t="shared" si="7"/>
        <v>14.867212173280388</v>
      </c>
      <c r="J35" s="463">
        <f t="shared" si="8"/>
        <v>67.301492387473644</v>
      </c>
      <c r="K35" s="477">
        <f>VLOOKUP(A35,'RAB Calculations 10yr'!$A$22:$J$119,10,FALSE)</f>
        <v>65.91090936010653</v>
      </c>
      <c r="L35" s="477">
        <f t="shared" si="9"/>
        <v>1.3905830273671143</v>
      </c>
      <c r="M35" s="479">
        <f t="shared" si="10"/>
        <v>2.1097919007149725E-2</v>
      </c>
      <c r="O35" s="476"/>
    </row>
    <row r="36" spans="1:15" x14ac:dyDescent="0.2">
      <c r="A36" s="459">
        <v>230</v>
      </c>
      <c r="B36" s="460">
        <v>1007</v>
      </c>
      <c r="C36" s="461">
        <f>VLOOKUP(A36,'[2]SLUOS Capital Charge'!$D$14:$F$220,3,FALSE)</f>
        <v>2018.9551283125975</v>
      </c>
      <c r="D36" s="464">
        <f t="shared" si="0"/>
        <v>2033087.8142107856</v>
      </c>
      <c r="E36" s="464">
        <f t="shared" si="5"/>
        <v>211616.5313438662</v>
      </c>
      <c r="F36" s="462">
        <f t="shared" si="6"/>
        <v>210.1455127545841</v>
      </c>
      <c r="G36" s="462">
        <f t="shared" si="1"/>
        <v>52.536378188646026</v>
      </c>
      <c r="H36" s="464">
        <f t="shared" si="2"/>
        <v>15000.434153052787</v>
      </c>
      <c r="I36" s="475">
        <f t="shared" si="7"/>
        <v>14.896161025871685</v>
      </c>
      <c r="J36" s="463">
        <f t="shared" si="8"/>
        <v>67.432539214517703</v>
      </c>
      <c r="K36" s="477">
        <f>VLOOKUP(A36,'RAB Calculations 10yr'!$A$22:$J$119,10,FALSE)</f>
        <v>66.039248498405314</v>
      </c>
      <c r="L36" s="477">
        <f t="shared" si="9"/>
        <v>1.3932907161123893</v>
      </c>
      <c r="M36" s="479">
        <f t="shared" si="10"/>
        <v>2.1097919007149725E-2</v>
      </c>
      <c r="O36" s="476"/>
    </row>
    <row r="37" spans="1:15" x14ac:dyDescent="0.2">
      <c r="A37" s="459">
        <v>240</v>
      </c>
      <c r="B37" s="460">
        <v>101</v>
      </c>
      <c r="C37" s="461">
        <f>VLOOKUP(A37,'[2]SLUOS Capital Charge'!$D$14:$F$220,3,FALSE)</f>
        <v>2130.4182899125972</v>
      </c>
      <c r="D37" s="464">
        <f t="shared" si="0"/>
        <v>215172.24728117231</v>
      </c>
      <c r="E37" s="464">
        <f t="shared" si="5"/>
        <v>22396.477069428482</v>
      </c>
      <c r="F37" s="462">
        <f t="shared" si="6"/>
        <v>221.74729771711367</v>
      </c>
      <c r="G37" s="462">
        <f t="shared" si="1"/>
        <v>55.436824429278417</v>
      </c>
      <c r="H37" s="464">
        <f t="shared" si="2"/>
        <v>1587.5738885182159</v>
      </c>
      <c r="I37" s="475">
        <f t="shared" si="7"/>
        <v>15.718553351665504</v>
      </c>
      <c r="J37" s="463">
        <f t="shared" si="8"/>
        <v>71.155377780943923</v>
      </c>
      <c r="K37" s="477">
        <f>VLOOKUP(A37,'RAB Calculations 10yr'!$A$22:$J$119,10,FALSE)</f>
        <v>69.685165796959865</v>
      </c>
      <c r="L37" s="477">
        <f t="shared" si="9"/>
        <v>1.4702119839840577</v>
      </c>
      <c r="M37" s="479">
        <f t="shared" si="10"/>
        <v>2.1097919007149701E-2</v>
      </c>
      <c r="O37" s="476"/>
    </row>
    <row r="38" spans="1:15" x14ac:dyDescent="0.2">
      <c r="A38" s="459">
        <v>250</v>
      </c>
      <c r="B38" s="460">
        <v>5</v>
      </c>
      <c r="C38" s="461">
        <f>VLOOKUP(A38,'[2]SLUOS Capital Charge'!$D$14:$F$220,3,FALSE)</f>
        <v>5254.1807916085972</v>
      </c>
      <c r="D38" s="464">
        <f t="shared" si="0"/>
        <v>26270.903958042985</v>
      </c>
      <c r="E38" s="464">
        <f t="shared" si="5"/>
        <v>2734.440456536287</v>
      </c>
      <c r="F38" s="462">
        <f t="shared" si="6"/>
        <v>546.88809130725735</v>
      </c>
      <c r="G38" s="462">
        <f t="shared" si="1"/>
        <v>136.72202282681434</v>
      </c>
      <c r="H38" s="464">
        <f t="shared" si="2"/>
        <v>193.83076432277554</v>
      </c>
      <c r="I38" s="475">
        <f t="shared" si="7"/>
        <v>38.76615286455511</v>
      </c>
      <c r="J38" s="463">
        <f t="shared" si="8"/>
        <v>175.48817569136946</v>
      </c>
      <c r="K38" s="477">
        <f>VLOOKUP(A38,'RAB Calculations 10yr'!$A$22:$J$119,10,FALSE)</f>
        <v>171.86224006998557</v>
      </c>
      <c r="L38" s="477">
        <f t="shared" si="9"/>
        <v>3.6259356213838885</v>
      </c>
      <c r="M38" s="479">
        <f t="shared" si="10"/>
        <v>2.1097919007149787E-2</v>
      </c>
    </row>
    <row r="39" spans="1:15" x14ac:dyDescent="0.2">
      <c r="A39" s="459">
        <v>270</v>
      </c>
      <c r="B39" s="460">
        <v>3</v>
      </c>
      <c r="C39" s="461">
        <f>VLOOKUP(A39,'[2]SLUOS Capital Charge'!$D$14:$F$220,3,FALSE)</f>
        <v>6122.1980569466186</v>
      </c>
      <c r="D39" s="464">
        <f t="shared" si="0"/>
        <v>18366.594170839857</v>
      </c>
      <c r="E39" s="464">
        <f t="shared" si="5"/>
        <v>1911.7103176098433</v>
      </c>
      <c r="F39" s="462">
        <f t="shared" si="6"/>
        <v>637.23677253661447</v>
      </c>
      <c r="G39" s="462">
        <f t="shared" si="1"/>
        <v>159.30919313415362</v>
      </c>
      <c r="H39" s="464">
        <f t="shared" si="2"/>
        <v>135.51155269821638</v>
      </c>
      <c r="I39" s="475">
        <f t="shared" si="7"/>
        <v>45.170517566072128</v>
      </c>
      <c r="J39" s="463">
        <f t="shared" si="8"/>
        <v>204.47971070022575</v>
      </c>
      <c r="K39" s="477">
        <f>VLOOKUP(A39,'RAB Calculations 10yr'!$A$22:$J$119,10,FALSE)</f>
        <v>200.25475215839111</v>
      </c>
      <c r="L39" s="477">
        <f t="shared" si="9"/>
        <v>4.2249585418346385</v>
      </c>
      <c r="M39" s="479">
        <f t="shared" si="10"/>
        <v>2.109791900715003E-2</v>
      </c>
    </row>
    <row r="40" spans="1:15" x14ac:dyDescent="0.2">
      <c r="A40" s="459">
        <v>290</v>
      </c>
      <c r="B40" s="460">
        <v>223</v>
      </c>
      <c r="C40" s="461">
        <f>VLOOKUP(A40,'[2]SLUOS Capital Charge'!$D$14:$F$220,3,FALSE)</f>
        <v>2833.5715236247543</v>
      </c>
      <c r="D40" s="464">
        <f t="shared" si="0"/>
        <v>631886.44976832019</v>
      </c>
      <c r="E40" s="464">
        <f t="shared" si="5"/>
        <v>65770.704919142547</v>
      </c>
      <c r="F40" s="462">
        <f t="shared" si="6"/>
        <v>294.93589649839708</v>
      </c>
      <c r="G40" s="462">
        <f t="shared" si="1"/>
        <v>73.733974124599271</v>
      </c>
      <c r="H40" s="464">
        <f t="shared" si="2"/>
        <v>4662.1552771617125</v>
      </c>
      <c r="I40" s="475">
        <f t="shared" si="7"/>
        <v>20.906525906554766</v>
      </c>
      <c r="J40" s="463">
        <f t="shared" si="8"/>
        <v>94.640500031154033</v>
      </c>
      <c r="K40" s="477">
        <f>VLOOKUP(A40,'RAB Calculations 10yr'!$A$22:$J$119,10,FALSE)</f>
        <v>92.68503859372899</v>
      </c>
      <c r="L40" s="477">
        <f t="shared" si="9"/>
        <v>1.9554614374250434</v>
      </c>
      <c r="M40" s="479">
        <f t="shared" si="10"/>
        <v>2.1097919007149756E-2</v>
      </c>
      <c r="O40" s="476"/>
    </row>
    <row r="41" spans="1:15" x14ac:dyDescent="0.2">
      <c r="A41" s="459">
        <v>300</v>
      </c>
      <c r="B41" s="460">
        <v>511</v>
      </c>
      <c r="C41" s="461">
        <f>VLOOKUP(A41,'[2]SLUOS Capital Charge'!$D$14:$F$220,3,FALSE)</f>
        <v>2837.8964132247543</v>
      </c>
      <c r="D41" s="464">
        <f t="shared" si="0"/>
        <v>1450165.0671578494</v>
      </c>
      <c r="E41" s="464">
        <f t="shared" si="5"/>
        <v>150942.27570643066</v>
      </c>
      <c r="F41" s="462">
        <f t="shared" si="6"/>
        <v>295.38605813391518</v>
      </c>
      <c r="G41" s="462">
        <f t="shared" si="1"/>
        <v>73.846514533478796</v>
      </c>
      <c r="H41" s="464">
        <f t="shared" si="2"/>
        <v>10699.540594808457</v>
      </c>
      <c r="I41" s="475">
        <f t="shared" si="7"/>
        <v>20.93843560627878</v>
      </c>
      <c r="J41" s="463">
        <f t="shared" si="8"/>
        <v>94.784950139757569</v>
      </c>
      <c r="K41" s="477">
        <f>VLOOKUP(A41,'RAB Calculations 10yr'!$A$22:$J$119,10,FALSE)</f>
        <v>92.826504075065003</v>
      </c>
      <c r="L41" s="477">
        <f t="shared" si="9"/>
        <v>1.9584460646925663</v>
      </c>
      <c r="M41" s="479">
        <f t="shared" si="10"/>
        <v>2.1097919007149628E-2</v>
      </c>
      <c r="O41" s="476"/>
    </row>
    <row r="42" spans="1:15" x14ac:dyDescent="0.2">
      <c r="A42" s="459">
        <v>310</v>
      </c>
      <c r="B42" s="460">
        <v>685</v>
      </c>
      <c r="C42" s="461">
        <f>VLOOKUP(A42,'[2]SLUOS Capital Charge'!$D$14:$F$220,3,FALSE)</f>
        <v>2818.5648036247544</v>
      </c>
      <c r="D42" s="464">
        <f t="shared" si="0"/>
        <v>1930716.8904829568</v>
      </c>
      <c r="E42" s="464">
        <f t="shared" si="5"/>
        <v>200961.12352609812</v>
      </c>
      <c r="F42" s="462">
        <f t="shared" si="6"/>
        <v>293.37390295780745</v>
      </c>
      <c r="G42" s="462">
        <f t="shared" si="1"/>
        <v>73.343475739451861</v>
      </c>
      <c r="H42" s="464">
        <f t="shared" si="2"/>
        <v>14245.125754747038</v>
      </c>
      <c r="I42" s="475">
        <f t="shared" si="7"/>
        <v>20.795804021528522</v>
      </c>
      <c r="J42" s="463">
        <f t="shared" si="8"/>
        <v>94.139279760980386</v>
      </c>
      <c r="K42" s="477">
        <f>VLOOKUP(A42,'RAB Calculations 10yr'!$A$22:$J$119,10,FALSE)</f>
        <v>92.1941745337366</v>
      </c>
      <c r="L42" s="477">
        <f t="shared" si="9"/>
        <v>1.9451052272437863</v>
      </c>
      <c r="M42" s="479">
        <f t="shared" si="10"/>
        <v>2.1097919007149572E-2</v>
      </c>
      <c r="O42" s="476"/>
    </row>
    <row r="43" spans="1:15" x14ac:dyDescent="0.2">
      <c r="A43" s="459">
        <v>320</v>
      </c>
      <c r="B43" s="460">
        <v>1552</v>
      </c>
      <c r="C43" s="461">
        <f>VLOOKUP(A43,'[2]SLUOS Capital Charge'!$D$14:$F$220,3,FALSE)</f>
        <v>2822.4883940247546</v>
      </c>
      <c r="D43" s="464">
        <f t="shared" si="0"/>
        <v>4380501.9875264196</v>
      </c>
      <c r="E43" s="464">
        <f t="shared" si="5"/>
        <v>455950.12161592004</v>
      </c>
      <c r="F43" s="462">
        <f t="shared" si="6"/>
        <v>293.7822948556186</v>
      </c>
      <c r="G43" s="462">
        <f t="shared" si="1"/>
        <v>73.445573713904651</v>
      </c>
      <c r="H43" s="464">
        <f t="shared" si="2"/>
        <v>32320.016460633964</v>
      </c>
      <c r="I43" s="475">
        <f t="shared" si="7"/>
        <v>20.824752874119824</v>
      </c>
      <c r="J43" s="463">
        <f t="shared" si="8"/>
        <v>94.270326588024474</v>
      </c>
      <c r="K43" s="477">
        <f>VLOOKUP(A43,'RAB Calculations 10yr'!$A$22:$J$119,10,FALSE)</f>
        <v>92.322513672035399</v>
      </c>
      <c r="L43" s="477">
        <f t="shared" si="9"/>
        <v>1.9478129159890756</v>
      </c>
      <c r="M43" s="479">
        <f t="shared" si="10"/>
        <v>2.1097919007149721E-2</v>
      </c>
      <c r="O43" s="476"/>
    </row>
    <row r="44" spans="1:15" x14ac:dyDescent="0.2">
      <c r="A44" s="459">
        <v>330</v>
      </c>
      <c r="B44" s="460">
        <v>166</v>
      </c>
      <c r="C44" s="461">
        <f>VLOOKUP(A44,'[2]SLUOS Capital Charge'!$D$14:$F$220,3,FALSE)</f>
        <v>2933.9515556247543</v>
      </c>
      <c r="D44" s="464">
        <f t="shared" si="0"/>
        <v>487035.95823370921</v>
      </c>
      <c r="E44" s="464">
        <f t="shared" si="5"/>
        <v>50693.757249812588</v>
      </c>
      <c r="F44" s="462">
        <f t="shared" si="6"/>
        <v>305.38407981814811</v>
      </c>
      <c r="G44" s="462">
        <f t="shared" si="1"/>
        <v>76.346019954537027</v>
      </c>
      <c r="H44" s="464">
        <f t="shared" si="2"/>
        <v>3593.426103185664</v>
      </c>
      <c r="I44" s="475">
        <f t="shared" si="7"/>
        <v>21.647145199913638</v>
      </c>
      <c r="J44" s="463">
        <f t="shared" si="8"/>
        <v>97.993165154450665</v>
      </c>
      <c r="K44" s="477">
        <f>VLOOKUP(A44,'RAB Calculations 10yr'!$A$22:$J$119,10,FALSE)</f>
        <v>95.968430970589921</v>
      </c>
      <c r="L44" s="477">
        <f t="shared" si="9"/>
        <v>2.024734183860744</v>
      </c>
      <c r="M44" s="479">
        <f t="shared" si="10"/>
        <v>2.1097919007149711E-2</v>
      </c>
      <c r="O44" s="476"/>
    </row>
    <row r="45" spans="1:15" x14ac:dyDescent="0.2">
      <c r="A45" s="459">
        <v>350</v>
      </c>
      <c r="B45" s="460">
        <v>52</v>
      </c>
      <c r="C45" s="461">
        <f>VLOOKUP(A45,'[2]SLUOS Capital Charge'!$D$14:$F$220,3,FALSE)</f>
        <v>1601.5057779125975</v>
      </c>
      <c r="D45" s="464">
        <f t="shared" si="0"/>
        <v>83278.30045145507</v>
      </c>
      <c r="E45" s="464">
        <f t="shared" si="5"/>
        <v>8668.127837158996</v>
      </c>
      <c r="F45" s="462">
        <f t="shared" si="6"/>
        <v>166.69476609921145</v>
      </c>
      <c r="G45" s="462">
        <f t="shared" si="1"/>
        <v>41.673691524802862</v>
      </c>
      <c r="H45" s="464">
        <f t="shared" si="2"/>
        <v>614.44009135686201</v>
      </c>
      <c r="I45" s="475">
        <f t="shared" si="7"/>
        <v>11.816155603016577</v>
      </c>
      <c r="J45" s="463">
        <f t="shared" si="8"/>
        <v>53.489847127819438</v>
      </c>
      <c r="K45" s="477">
        <f>VLOOKUP(A45,'RAB Calculations 10yr'!$A$22:$J$119,10,FALSE)</f>
        <v>52.384640231006998</v>
      </c>
      <c r="L45" s="477">
        <f t="shared" si="9"/>
        <v>1.1052068968124402</v>
      </c>
      <c r="M45" s="479">
        <f t="shared" si="10"/>
        <v>2.1097919007149295E-2</v>
      </c>
      <c r="O45" s="476"/>
    </row>
    <row r="46" spans="1:15" x14ac:dyDescent="0.2">
      <c r="A46" s="459">
        <v>360</v>
      </c>
      <c r="B46" s="460">
        <v>928</v>
      </c>
      <c r="C46" s="461">
        <f>VLOOKUP(A46,'[2]SLUOS Capital Charge'!$D$14:$F$220,3,FALSE)</f>
        <v>2674.5087396247545</v>
      </c>
      <c r="D46" s="464">
        <f t="shared" si="0"/>
        <v>2481944.1103717722</v>
      </c>
      <c r="E46" s="464">
        <f t="shared" si="5"/>
        <v>258336.30990016778</v>
      </c>
      <c r="F46" s="462">
        <f t="shared" si="6"/>
        <v>278.37964428897391</v>
      </c>
      <c r="G46" s="462">
        <f t="shared" si="1"/>
        <v>69.594911072243477</v>
      </c>
      <c r="H46" s="464">
        <f t="shared" si="2"/>
        <v>18312.164845492014</v>
      </c>
      <c r="I46" s="475">
        <f t="shared" si="7"/>
        <v>19.732936255918119</v>
      </c>
      <c r="J46" s="463">
        <f t="shared" si="8"/>
        <v>89.327847328161596</v>
      </c>
      <c r="K46" s="477">
        <f>VLOOKUP(A46,'RAB Calculations 10yr'!$A$22:$J$119,10,FALSE)</f>
        <v>87.482155888651974</v>
      </c>
      <c r="L46" s="477">
        <f t="shared" si="9"/>
        <v>1.845691439509622</v>
      </c>
      <c r="M46" s="479">
        <f t="shared" si="10"/>
        <v>2.1097919007149683E-2</v>
      </c>
      <c r="O46" s="476"/>
    </row>
    <row r="47" spans="1:15" x14ac:dyDescent="0.2">
      <c r="A47" s="459">
        <v>370</v>
      </c>
      <c r="B47" s="460">
        <v>44</v>
      </c>
      <c r="C47" s="461">
        <f>VLOOKUP(A47,'[2]SLUOS Capital Charge'!$D$14:$F$220,3,FALSE)</f>
        <v>3233.9470881847546</v>
      </c>
      <c r="D47" s="464">
        <f t="shared" si="0"/>
        <v>142293.6718801292</v>
      </c>
      <c r="E47" s="464">
        <f t="shared" si="5"/>
        <v>14810.817843175202</v>
      </c>
      <c r="F47" s="462">
        <f t="shared" si="6"/>
        <v>336.60949643580005</v>
      </c>
      <c r="G47" s="462">
        <f t="shared" si="1"/>
        <v>84.152374108950013</v>
      </c>
      <c r="H47" s="464">
        <f t="shared" si="2"/>
        <v>1049.8645658660569</v>
      </c>
      <c r="I47" s="475">
        <f t="shared" si="7"/>
        <v>23.860558315137656</v>
      </c>
      <c r="J47" s="463">
        <f t="shared" si="8"/>
        <v>108.01293242408767</v>
      </c>
      <c r="K47" s="477">
        <f>VLOOKUP(A47,'RAB Calculations 10yr'!$A$22:$J$119,10,FALSE)</f>
        <v>105.78116986969529</v>
      </c>
      <c r="L47" s="477">
        <f t="shared" si="9"/>
        <v>2.2317625543923754</v>
      </c>
      <c r="M47" s="479">
        <f t="shared" si="10"/>
        <v>2.1097919007149701E-2</v>
      </c>
      <c r="O47" s="476"/>
    </row>
    <row r="48" spans="1:15" x14ac:dyDescent="0.2">
      <c r="A48" s="459">
        <v>380</v>
      </c>
      <c r="B48" s="460">
        <v>2</v>
      </c>
      <c r="C48" s="461">
        <f>VLOOKUP(A48,'[2]SLUOS Capital Charge'!$D$14:$F$220,3,FALSE)</f>
        <v>3242.5968673847547</v>
      </c>
      <c r="D48" s="464">
        <f t="shared" si="0"/>
        <v>6485.1937347695093</v>
      </c>
      <c r="E48" s="464">
        <f t="shared" si="5"/>
        <v>675.01963941367273</v>
      </c>
      <c r="F48" s="462">
        <f t="shared" si="6"/>
        <v>337.50981970683637</v>
      </c>
      <c r="G48" s="462">
        <f t="shared" si="1"/>
        <v>84.377454926709092</v>
      </c>
      <c r="H48" s="464">
        <f t="shared" si="2"/>
        <v>47.848755429171383</v>
      </c>
      <c r="I48" s="475">
        <f t="shared" si="7"/>
        <v>23.924377714585692</v>
      </c>
      <c r="J48" s="463">
        <f t="shared" si="8"/>
        <v>108.30183264129478</v>
      </c>
      <c r="K48" s="477">
        <f>VLOOKUP(A48,'RAB Calculations 10yr'!$A$22:$J$119,10,FALSE)</f>
        <v>106.06410083236733</v>
      </c>
      <c r="L48" s="477">
        <f t="shared" si="9"/>
        <v>2.2377318089274496</v>
      </c>
      <c r="M48" s="479">
        <f t="shared" si="10"/>
        <v>2.1097919007149742E-2</v>
      </c>
      <c r="O48" s="476"/>
    </row>
    <row r="49" spans="1:15" x14ac:dyDescent="0.2">
      <c r="A49" s="459">
        <v>390</v>
      </c>
      <c r="B49" s="460">
        <v>117</v>
      </c>
      <c r="C49" s="461">
        <f>VLOOKUP(A49,'[2]SLUOS Capital Charge'!$D$14:$F$220,3,FALSE)</f>
        <v>3211.7808289847544</v>
      </c>
      <c r="D49" s="464">
        <f t="shared" si="0"/>
        <v>375778.35699121625</v>
      </c>
      <c r="E49" s="464">
        <f t="shared" si="5"/>
        <v>39113.368298578433</v>
      </c>
      <c r="F49" s="462">
        <f t="shared" si="6"/>
        <v>334.30229315024303</v>
      </c>
      <c r="G49" s="462">
        <f t="shared" si="1"/>
        <v>83.575573287560758</v>
      </c>
      <c r="H49" s="464">
        <f t="shared" si="2"/>
        <v>2772.5504332813284</v>
      </c>
      <c r="I49" s="475">
        <f t="shared" si="7"/>
        <v>23.697012250267765</v>
      </c>
      <c r="J49" s="463">
        <f t="shared" si="8"/>
        <v>107.27258553782852</v>
      </c>
      <c r="K49" s="477">
        <f>VLOOKUP(A49,'RAB Calculations 10yr'!$A$22:$J$119,10,FALSE)</f>
        <v>105.05612002630808</v>
      </c>
      <c r="L49" s="477">
        <f t="shared" si="9"/>
        <v>2.2164655115204397</v>
      </c>
      <c r="M49" s="479">
        <f t="shared" si="10"/>
        <v>2.1097919007149645E-2</v>
      </c>
      <c r="O49" s="476"/>
    </row>
    <row r="50" spans="1:15" x14ac:dyDescent="0.2">
      <c r="A50" s="459">
        <v>400</v>
      </c>
      <c r="B50" s="460">
        <v>33</v>
      </c>
      <c r="C50" s="461">
        <f>VLOOKUP(A50,'[2]SLUOS Capital Charge'!$D$14:$F$220,3,FALSE)</f>
        <v>3434.7071521847547</v>
      </c>
      <c r="D50" s="464">
        <f t="shared" si="0"/>
        <v>113345.3360220969</v>
      </c>
      <c r="E50" s="464">
        <f t="shared" si="5"/>
        <v>11797.693481484974</v>
      </c>
      <c r="F50" s="462">
        <f t="shared" si="6"/>
        <v>357.50586307530222</v>
      </c>
      <c r="G50" s="462">
        <f t="shared" si="1"/>
        <v>89.376465768825554</v>
      </c>
      <c r="H50" s="464">
        <f t="shared" si="2"/>
        <v>836.27929776122858</v>
      </c>
      <c r="I50" s="475">
        <f t="shared" si="7"/>
        <v>25.34179690185541</v>
      </c>
      <c r="J50" s="463">
        <f t="shared" si="8"/>
        <v>114.71826267068096</v>
      </c>
      <c r="K50" s="477">
        <f>VLOOKUP(A50,'RAB Calculations 10yr'!$A$22:$J$119,10,FALSE)</f>
        <v>112.34795462341719</v>
      </c>
      <c r="L50" s="477">
        <f t="shared" si="9"/>
        <v>2.3703080472637623</v>
      </c>
      <c r="M50" s="479">
        <f t="shared" si="10"/>
        <v>2.1097919007149493E-2</v>
      </c>
      <c r="O50" s="476"/>
    </row>
    <row r="51" spans="1:15" x14ac:dyDescent="0.2">
      <c r="A51" s="459">
        <v>430</v>
      </c>
      <c r="B51" s="460">
        <v>3</v>
      </c>
      <c r="C51" s="461">
        <f>VLOOKUP(A51,'[2]SLUOS Capital Charge'!$D$14:$F$220,3,FALSE)</f>
        <v>3601.0732639447542</v>
      </c>
      <c r="D51" s="464">
        <f t="shared" si="0"/>
        <v>10803.219791834263</v>
      </c>
      <c r="E51" s="464">
        <f t="shared" si="5"/>
        <v>1124.4668743346024</v>
      </c>
      <c r="F51" s="462">
        <f t="shared" si="6"/>
        <v>374.82229144486746</v>
      </c>
      <c r="G51" s="462">
        <f t="shared" si="1"/>
        <v>93.705572861216865</v>
      </c>
      <c r="H51" s="464">
        <f t="shared" si="2"/>
        <v>79.707814879247138</v>
      </c>
      <c r="I51" s="475">
        <f t="shared" si="7"/>
        <v>26.569271626415713</v>
      </c>
      <c r="J51" s="463">
        <f t="shared" si="8"/>
        <v>120.27484448763258</v>
      </c>
      <c r="K51" s="477">
        <f>VLOOKUP(A51,'RAB Calculations 10yr'!$A$22:$J$119,10,FALSE)</f>
        <v>117.78972638058077</v>
      </c>
      <c r="L51" s="477">
        <f t="shared" si="9"/>
        <v>2.4851181070518038</v>
      </c>
      <c r="M51" s="479">
        <f t="shared" si="10"/>
        <v>2.1097919007149583E-2</v>
      </c>
      <c r="O51" s="476"/>
    </row>
    <row r="52" spans="1:15" x14ac:dyDescent="0.2">
      <c r="A52" s="459">
        <v>440</v>
      </c>
      <c r="B52" s="460">
        <v>9</v>
      </c>
      <c r="C52" s="461">
        <f>VLOOKUP(A52,'[2]SLUOS Capital Charge'!$D$14:$F$220,3,FALSE)</f>
        <v>3935.4627487447542</v>
      </c>
      <c r="D52" s="464">
        <f t="shared" si="0"/>
        <v>35419.164738702792</v>
      </c>
      <c r="E52" s="464">
        <f t="shared" si="5"/>
        <v>3686.6488169921063</v>
      </c>
      <c r="F52" s="462">
        <f t="shared" si="6"/>
        <v>409.62764633245627</v>
      </c>
      <c r="G52" s="462">
        <f t="shared" si="1"/>
        <v>102.40691158311407</v>
      </c>
      <c r="H52" s="464">
        <f t="shared" si="2"/>
        <v>261.32803743417458</v>
      </c>
      <c r="I52" s="475">
        <f t="shared" si="7"/>
        <v>29.036448603797176</v>
      </c>
      <c r="J52" s="463">
        <f t="shared" si="8"/>
        <v>131.44336018691124</v>
      </c>
      <c r="K52" s="477">
        <f>VLOOKUP(A52,'RAB Calculations 10yr'!$A$22:$J$119,10,FALSE)</f>
        <v>128.72747827624443</v>
      </c>
      <c r="L52" s="477">
        <f t="shared" si="9"/>
        <v>2.7158819106668091</v>
      </c>
      <c r="M52" s="479">
        <f t="shared" si="10"/>
        <v>2.1097919007149558E-2</v>
      </c>
    </row>
    <row r="53" spans="1:15" x14ac:dyDescent="0.2">
      <c r="A53" s="459">
        <v>450</v>
      </c>
      <c r="B53" s="460">
        <v>4</v>
      </c>
      <c r="C53" s="461">
        <f>VLOOKUP(A53,'[2]SLUOS Capital Charge'!$D$14:$F$220,3,FALSE)</f>
        <v>4034.6982173047545</v>
      </c>
      <c r="D53" s="464">
        <f t="shared" si="0"/>
        <v>16138.792869219018</v>
      </c>
      <c r="E53" s="464">
        <f t="shared" si="5"/>
        <v>1679.8267852424242</v>
      </c>
      <c r="F53" s="462">
        <f t="shared" si="6"/>
        <v>419.95669631060605</v>
      </c>
      <c r="G53" s="462">
        <f t="shared" si="1"/>
        <v>104.98917407765151</v>
      </c>
      <c r="H53" s="464">
        <f t="shared" si="2"/>
        <v>119.07449252921377</v>
      </c>
      <c r="I53" s="475">
        <f t="shared" si="7"/>
        <v>29.768623132303443</v>
      </c>
      <c r="J53" s="463">
        <f t="shared" si="8"/>
        <v>134.75779720995496</v>
      </c>
      <c r="K53" s="477">
        <f>VLOOKUP(A53,'RAB Calculations 10yr'!$A$22:$J$119,10,FALSE)</f>
        <v>131.9734324216279</v>
      </c>
      <c r="L53" s="477">
        <f t="shared" si="9"/>
        <v>2.7843647883270535</v>
      </c>
      <c r="M53" s="479">
        <f t="shared" si="10"/>
        <v>2.1097919007149728E-2</v>
      </c>
    </row>
    <row r="54" spans="1:15" x14ac:dyDescent="0.2">
      <c r="A54" s="459">
        <v>460</v>
      </c>
      <c r="B54" s="460">
        <v>4</v>
      </c>
      <c r="C54" s="461">
        <f>VLOOKUP(A54,'[2]SLUOS Capital Charge'!$D$14:$F$220,3,FALSE)</f>
        <v>4051.9977757047545</v>
      </c>
      <c r="D54" s="464">
        <f t="shared" si="0"/>
        <v>16207.991102819018</v>
      </c>
      <c r="E54" s="464">
        <f t="shared" si="5"/>
        <v>1687.0293714107147</v>
      </c>
      <c r="F54" s="462">
        <f t="shared" si="6"/>
        <v>421.75734285267868</v>
      </c>
      <c r="G54" s="462">
        <f t="shared" si="1"/>
        <v>105.43933571316967</v>
      </c>
      <c r="H54" s="464">
        <f t="shared" si="2"/>
        <v>119.58504772479805</v>
      </c>
      <c r="I54" s="475">
        <f t="shared" si="7"/>
        <v>29.896261931199511</v>
      </c>
      <c r="J54" s="463">
        <f t="shared" si="8"/>
        <v>135.33559764436919</v>
      </c>
      <c r="K54" s="477">
        <f>VLOOKUP(A54,'RAB Calculations 10yr'!$A$22:$J$119,10,FALSE)</f>
        <v>132.53929434697199</v>
      </c>
      <c r="L54" s="477">
        <f t="shared" si="9"/>
        <v>2.796303297397202</v>
      </c>
      <c r="M54" s="479">
        <f t="shared" si="10"/>
        <v>2.1097919007149798E-2</v>
      </c>
    </row>
    <row r="55" spans="1:15" x14ac:dyDescent="0.2">
      <c r="A55" s="459">
        <v>470</v>
      </c>
      <c r="B55" s="460">
        <v>48</v>
      </c>
      <c r="C55" s="461">
        <f>VLOOKUP(A55,'[2]SLUOS Capital Charge'!$D$14:$F$220,3,FALSE)</f>
        <v>3990.3656989047545</v>
      </c>
      <c r="D55" s="464">
        <f t="shared" si="0"/>
        <v>191537.55354742822</v>
      </c>
      <c r="E55" s="464">
        <f t="shared" si="5"/>
        <v>19936.429907495618</v>
      </c>
      <c r="F55" s="462">
        <f t="shared" si="6"/>
        <v>415.34228973949206</v>
      </c>
      <c r="G55" s="462">
        <f t="shared" si="1"/>
        <v>103.83557243487301</v>
      </c>
      <c r="H55" s="464">
        <f t="shared" si="2"/>
        <v>1413.1934881230559</v>
      </c>
      <c r="I55" s="475">
        <f t="shared" si="7"/>
        <v>29.441531002563664</v>
      </c>
      <c r="J55" s="463">
        <f t="shared" si="8"/>
        <v>133.27710343743666</v>
      </c>
      <c r="K55" s="477">
        <f>VLOOKUP(A55,'RAB Calculations 10yr'!$A$22:$J$119,10,FALSE)</f>
        <v>130.52333273485345</v>
      </c>
      <c r="L55" s="477">
        <f t="shared" si="9"/>
        <v>2.7537707025832106</v>
      </c>
      <c r="M55" s="479">
        <f t="shared" si="10"/>
        <v>2.1097919007149864E-2</v>
      </c>
      <c r="O55" s="476"/>
    </row>
    <row r="56" spans="1:15" x14ac:dyDescent="0.2">
      <c r="A56" s="459">
        <v>480</v>
      </c>
      <c r="B56" s="460">
        <v>4</v>
      </c>
      <c r="C56" s="461">
        <f>VLOOKUP(A56,'[2]SLUOS Capital Charge'!$D$14:$F$220,3,FALSE)</f>
        <v>4436.2183453047546</v>
      </c>
      <c r="D56" s="464">
        <f t="shared" si="0"/>
        <v>17744.873381219018</v>
      </c>
      <c r="E56" s="464">
        <f t="shared" si="5"/>
        <v>1846.9977183584413</v>
      </c>
      <c r="F56" s="462">
        <f t="shared" si="6"/>
        <v>461.74942958961032</v>
      </c>
      <c r="G56" s="462">
        <f t="shared" si="1"/>
        <v>115.43735739740258</v>
      </c>
      <c r="H56" s="464">
        <f t="shared" si="2"/>
        <v>130.92440122295577</v>
      </c>
      <c r="I56" s="475">
        <f t="shared" si="7"/>
        <v>32.731100305738941</v>
      </c>
      <c r="J56" s="463">
        <f t="shared" si="8"/>
        <v>148.16845770314151</v>
      </c>
      <c r="K56" s="477">
        <f>VLOOKUP(A56,'RAB Calculations 10yr'!$A$22:$J$119,10,FALSE)</f>
        <v>145.10700192907169</v>
      </c>
      <c r="L56" s="477">
        <f t="shared" si="9"/>
        <v>3.0614557740698274</v>
      </c>
      <c r="M56" s="479">
        <f t="shared" si="10"/>
        <v>2.1097919007149409E-2</v>
      </c>
    </row>
    <row r="57" spans="1:15" x14ac:dyDescent="0.2">
      <c r="A57" s="459">
        <v>540</v>
      </c>
      <c r="B57" s="460">
        <v>3</v>
      </c>
      <c r="C57" s="461">
        <f>VLOOKUP(A57,'[2]SLUOS Capital Charge'!$D$14:$F$220,3,FALSE)</f>
        <v>5481.6262297466183</v>
      </c>
      <c r="D57" s="464">
        <f t="shared" si="0"/>
        <v>16444.878689239857</v>
      </c>
      <c r="E57" s="464">
        <f t="shared" si="5"/>
        <v>1711.6861171776247</v>
      </c>
      <c r="F57" s="462">
        <f t="shared" si="6"/>
        <v>570.56203905920825</v>
      </c>
      <c r="G57" s="462">
        <f t="shared" si="1"/>
        <v>142.64050976480206</v>
      </c>
      <c r="H57" s="464">
        <f t="shared" si="2"/>
        <v>121.33284072072466</v>
      </c>
      <c r="I57" s="475">
        <f t="shared" si="7"/>
        <v>40.444280240241554</v>
      </c>
      <c r="J57" s="463">
        <f t="shared" si="8"/>
        <v>183.0847900050436</v>
      </c>
      <c r="K57" s="477">
        <f>VLOOKUP(A57,'RAB Calculations 10yr'!$A$22:$J$119,10,FALSE)</f>
        <v>179.30189318480205</v>
      </c>
      <c r="L57" s="477">
        <f t="shared" si="9"/>
        <v>3.7828968202415467</v>
      </c>
      <c r="M57" s="479">
        <f t="shared" si="10"/>
        <v>2.1097919007149624E-2</v>
      </c>
    </row>
    <row r="58" spans="1:15" x14ac:dyDescent="0.2">
      <c r="A58" s="459">
        <v>550</v>
      </c>
      <c r="B58" s="460">
        <v>15</v>
      </c>
      <c r="C58" s="461">
        <f>VLOOKUP(A58,'[2]SLUOS Capital Charge'!$D$14:$F$220,3,FALSE)</f>
        <v>5435.4021721466188</v>
      </c>
      <c r="D58" s="464">
        <f t="shared" si="0"/>
        <v>81531.032582199288</v>
      </c>
      <c r="E58" s="464">
        <f t="shared" si="5"/>
        <v>8486.2612383647738</v>
      </c>
      <c r="F58" s="462">
        <f t="shared" si="6"/>
        <v>565.75074922431827</v>
      </c>
      <c r="G58" s="462">
        <f t="shared" si="1"/>
        <v>141.43768730607957</v>
      </c>
      <c r="H58" s="464">
        <f t="shared" si="2"/>
        <v>601.54848065647002</v>
      </c>
      <c r="I58" s="475">
        <f t="shared" si="7"/>
        <v>40.10323204376467</v>
      </c>
      <c r="J58" s="463">
        <f t="shared" si="8"/>
        <v>181.54091934984424</v>
      </c>
      <c r="K58" s="477">
        <f>VLOOKUP(A58,'RAB Calculations 10yr'!$A$22:$J$119,10,FALSE)</f>
        <v>177.78992197571316</v>
      </c>
      <c r="L58" s="477">
        <f t="shared" si="9"/>
        <v>3.7509973741310887</v>
      </c>
      <c r="M58" s="479">
        <f t="shared" si="10"/>
        <v>2.1097919007149857E-2</v>
      </c>
      <c r="O58" s="476"/>
    </row>
    <row r="59" spans="1:15" x14ac:dyDescent="0.2">
      <c r="A59" s="459">
        <v>560</v>
      </c>
      <c r="B59" s="460">
        <v>3</v>
      </c>
      <c r="C59" s="461">
        <f>VLOOKUP(A59,'[2]SLUOS Capital Charge'!$D$14:$F$220,3,FALSE)</f>
        <v>5769.7916569466188</v>
      </c>
      <c r="D59" s="464">
        <f t="shared" si="0"/>
        <v>17309.374970839857</v>
      </c>
      <c r="E59" s="464">
        <f t="shared" si="5"/>
        <v>1801.6683123357209</v>
      </c>
      <c r="F59" s="462">
        <f t="shared" si="6"/>
        <v>600.55610411190696</v>
      </c>
      <c r="G59" s="462">
        <f t="shared" si="1"/>
        <v>150.13902602797674</v>
      </c>
      <c r="H59" s="464">
        <f t="shared" si="2"/>
        <v>127.71122706343839</v>
      </c>
      <c r="I59" s="475">
        <f t="shared" si="7"/>
        <v>42.570409021146126</v>
      </c>
      <c r="J59" s="463">
        <f t="shared" si="8"/>
        <v>192.70943504912287</v>
      </c>
      <c r="K59" s="477">
        <f>VLOOKUP(A59,'RAB Calculations 10yr'!$A$22:$J$119,10,FALSE)</f>
        <v>188.72767387137682</v>
      </c>
      <c r="L59" s="477">
        <f t="shared" si="9"/>
        <v>3.9817611777460513</v>
      </c>
      <c r="M59" s="479">
        <f t="shared" si="10"/>
        <v>2.1097919007149597E-2</v>
      </c>
    </row>
    <row r="60" spans="1:15" x14ac:dyDescent="0.2">
      <c r="A60" s="459">
        <v>580</v>
      </c>
      <c r="B60" s="460">
        <v>8</v>
      </c>
      <c r="C60" s="461">
        <f>VLOOKUP(A60,'[2]SLUOS Capital Charge'!$D$14:$F$220,3,FALSE)</f>
        <v>5886.3266839066182</v>
      </c>
      <c r="D60" s="464">
        <f t="shared" si="0"/>
        <v>47090.613471252946</v>
      </c>
      <c r="E60" s="464">
        <f t="shared" si="5"/>
        <v>4901.4864050570341</v>
      </c>
      <c r="F60" s="462">
        <f t="shared" si="6"/>
        <v>612.68580063212926</v>
      </c>
      <c r="G60" s="462">
        <f t="shared" si="1"/>
        <v>153.17145015803231</v>
      </c>
      <c r="H60" s="464">
        <f t="shared" si="2"/>
        <v>347.44177878838764</v>
      </c>
      <c r="I60" s="475">
        <f t="shared" si="7"/>
        <v>43.430222348548455</v>
      </c>
      <c r="J60" s="463">
        <f t="shared" si="8"/>
        <v>196.60167250658077</v>
      </c>
      <c r="K60" s="477">
        <f>VLOOKUP(A60,'RAB Calculations 10yr'!$A$22:$J$119,10,FALSE)</f>
        <v>192.53948994210435</v>
      </c>
      <c r="L60" s="477">
        <f t="shared" si="9"/>
        <v>4.0621825644764158</v>
      </c>
      <c r="M60" s="479">
        <f t="shared" si="10"/>
        <v>2.1097919007149617E-2</v>
      </c>
    </row>
    <row r="61" spans="1:15" x14ac:dyDescent="0.2">
      <c r="A61" s="459">
        <v>590</v>
      </c>
      <c r="B61" s="460">
        <v>52</v>
      </c>
      <c r="C61" s="461">
        <f>VLOOKUP(A61,'[2]SLUOS Capital Charge'!$D$14:$F$220,3,FALSE)</f>
        <v>5824.6946071066186</v>
      </c>
      <c r="D61" s="464">
        <f t="shared" si="0"/>
        <v>302884.11956954416</v>
      </c>
      <c r="E61" s="464">
        <f t="shared" si="5"/>
        <v>31526.078870985017</v>
      </c>
      <c r="F61" s="462">
        <f t="shared" si="6"/>
        <v>606.27074751894258</v>
      </c>
      <c r="G61" s="462">
        <f t="shared" si="1"/>
        <v>151.56768687973565</v>
      </c>
      <c r="H61" s="464">
        <f t="shared" si="2"/>
        <v>2234.7255538354557</v>
      </c>
      <c r="I61" s="475">
        <f t="shared" si="7"/>
        <v>42.975491419912608</v>
      </c>
      <c r="J61" s="463">
        <f t="shared" si="8"/>
        <v>194.54317829964825</v>
      </c>
      <c r="K61" s="477">
        <f>VLOOKUP(A61,'RAB Calculations 10yr'!$A$22:$J$119,10,FALSE)</f>
        <v>190.52352832998582</v>
      </c>
      <c r="L61" s="477">
        <f t="shared" si="9"/>
        <v>4.0196499696624244</v>
      </c>
      <c r="M61" s="479">
        <f t="shared" si="10"/>
        <v>2.1097919007149659E-2</v>
      </c>
      <c r="O61" s="476"/>
    </row>
    <row r="62" spans="1:15" x14ac:dyDescent="0.2">
      <c r="A62" s="459">
        <v>600</v>
      </c>
      <c r="B62" s="460">
        <v>4</v>
      </c>
      <c r="C62" s="461">
        <f>VLOOKUP(A62,'[2]SLUOS Capital Charge'!$D$14:$F$220,3,FALSE)</f>
        <v>6270.5472535066183</v>
      </c>
      <c r="D62" s="464">
        <f t="shared" si="0"/>
        <v>25082.189014026473</v>
      </c>
      <c r="E62" s="464">
        <f t="shared" si="5"/>
        <v>2610.7115494762438</v>
      </c>
      <c r="F62" s="462">
        <f t="shared" si="6"/>
        <v>652.67788736906095</v>
      </c>
      <c r="G62" s="462">
        <f t="shared" si="1"/>
        <v>163.16947184226524</v>
      </c>
      <c r="H62" s="464">
        <f t="shared" si="2"/>
        <v>185.06024289235157</v>
      </c>
      <c r="I62" s="475">
        <f t="shared" si="7"/>
        <v>46.265060723087892</v>
      </c>
      <c r="J62" s="463">
        <f t="shared" si="8"/>
        <v>209.43453256535312</v>
      </c>
      <c r="K62" s="477">
        <f>VLOOKUP(A62,'RAB Calculations 10yr'!$A$22:$J$119,10,FALSE)</f>
        <v>205.10719752420403</v>
      </c>
      <c r="L62" s="477">
        <f t="shared" si="9"/>
        <v>4.3273350411490981</v>
      </c>
      <c r="M62" s="479">
        <f t="shared" si="10"/>
        <v>2.1097919007149631E-2</v>
      </c>
      <c r="O62" s="476"/>
    </row>
    <row r="63" spans="1:15" x14ac:dyDescent="0.2">
      <c r="A63" s="459">
        <v>610</v>
      </c>
      <c r="B63" s="460">
        <v>28</v>
      </c>
      <c r="C63" s="461">
        <f>VLOOKUP(A63,'[2]SLUOS Capital Charge'!$D$14:$F$220,3,FALSE)</f>
        <v>1137.7567647199999</v>
      </c>
      <c r="D63" s="464">
        <f t="shared" si="0"/>
        <v>31857.189412159998</v>
      </c>
      <c r="E63" s="464">
        <f t="shared" si="5"/>
        <v>3315.8960840964914</v>
      </c>
      <c r="F63" s="462">
        <f t="shared" si="6"/>
        <v>118.42486014630326</v>
      </c>
      <c r="G63" s="462">
        <f t="shared" si="1"/>
        <v>29.606215036575815</v>
      </c>
      <c r="H63" s="464">
        <f t="shared" si="2"/>
        <v>235.04723639492136</v>
      </c>
      <c r="I63" s="475">
        <f t="shared" si="7"/>
        <v>8.3945441569614765</v>
      </c>
      <c r="J63" s="463">
        <f t="shared" si="8"/>
        <v>38.000759193537291</v>
      </c>
      <c r="K63" s="477">
        <f>VLOOKUP(A63,'RAB Calculations 10yr'!$A$22:$J$119,10,FALSE)</f>
        <v>37.215587737644988</v>
      </c>
      <c r="L63" s="477">
        <f t="shared" si="9"/>
        <v>0.78517145589230353</v>
      </c>
      <c r="M63" s="479">
        <f t="shared" si="10"/>
        <v>2.1097919007149593E-2</v>
      </c>
      <c r="O63" s="476"/>
    </row>
    <row r="64" spans="1:15" x14ac:dyDescent="0.2">
      <c r="A64" s="459">
        <v>620</v>
      </c>
      <c r="B64" s="460">
        <v>30</v>
      </c>
      <c r="C64" s="461">
        <f>VLOOKUP(A64,'[2]SLUOS Capital Charge'!$D$14:$F$220,3,FALSE)</f>
        <v>1053.36623672</v>
      </c>
      <c r="D64" s="464">
        <f t="shared" si="0"/>
        <v>31600.9871016</v>
      </c>
      <c r="E64" s="464">
        <f t="shared" si="5"/>
        <v>3289.2289406981445</v>
      </c>
      <c r="F64" s="462">
        <f t="shared" si="6"/>
        <v>109.64096468993814</v>
      </c>
      <c r="G64" s="462">
        <f t="shared" si="1"/>
        <v>27.410241172484536</v>
      </c>
      <c r="H64" s="464">
        <f t="shared" si="2"/>
        <v>233.15693639776799</v>
      </c>
      <c r="I64" s="475">
        <f t="shared" si="7"/>
        <v>7.7718978799256</v>
      </c>
      <c r="J64" s="463">
        <f t="shared" si="8"/>
        <v>35.182139052410136</v>
      </c>
      <c r="K64" s="477">
        <f>VLOOKUP(A64,'RAB Calculations 10yr'!$A$22:$J$119,10,FALSE)</f>
        <v>34.455205908772193</v>
      </c>
      <c r="L64" s="477">
        <f t="shared" si="9"/>
        <v>0.72693314363794315</v>
      </c>
      <c r="M64" s="479">
        <f t="shared" si="10"/>
        <v>2.1097919007149749E-2</v>
      </c>
      <c r="O64" s="476"/>
    </row>
    <row r="65" spans="1:15" x14ac:dyDescent="0.2">
      <c r="A65" s="459">
        <v>640</v>
      </c>
      <c r="B65" s="460">
        <v>6</v>
      </c>
      <c r="C65" s="461">
        <f>VLOOKUP(A65,'[2]SLUOS Capital Charge'!$D$14:$F$220,3,FALSE)</f>
        <v>1053.36623672</v>
      </c>
      <c r="D65" s="464">
        <f t="shared" si="0"/>
        <v>6320.1974203199998</v>
      </c>
      <c r="E65" s="464">
        <f t="shared" si="5"/>
        <v>657.84578813962889</v>
      </c>
      <c r="F65" s="462">
        <f t="shared" si="6"/>
        <v>109.64096468993814</v>
      </c>
      <c r="G65" s="462">
        <f t="shared" si="1"/>
        <v>27.410241172484536</v>
      </c>
      <c r="H65" s="464">
        <f t="shared" si="2"/>
        <v>46.631387279553593</v>
      </c>
      <c r="I65" s="475">
        <f t="shared" si="7"/>
        <v>7.7718978799255991</v>
      </c>
      <c r="J65" s="463">
        <f t="shared" si="8"/>
        <v>35.182139052410136</v>
      </c>
      <c r="K65" s="477">
        <f>VLOOKUP(A65,'RAB Calculations 10yr'!$A$22:$J$119,10,FALSE)</f>
        <v>34.4552059087722</v>
      </c>
      <c r="L65" s="477">
        <f t="shared" si="9"/>
        <v>0.72693314363793604</v>
      </c>
      <c r="M65" s="479">
        <f t="shared" si="10"/>
        <v>2.1097919007149538E-2</v>
      </c>
    </row>
    <row r="66" spans="1:15" x14ac:dyDescent="0.2">
      <c r="A66" s="459">
        <v>660</v>
      </c>
      <c r="B66" s="460">
        <v>2</v>
      </c>
      <c r="C66" s="461">
        <f>VLOOKUP(A66,'[2]SLUOS Capital Charge'!$D$14:$F$220,3,FALSE)</f>
        <v>1513.49642528</v>
      </c>
      <c r="D66" s="464">
        <f t="shared" si="0"/>
        <v>3026.9928505600001</v>
      </c>
      <c r="E66" s="464">
        <f t="shared" si="5"/>
        <v>315.06840135522907</v>
      </c>
      <c r="F66" s="462">
        <f t="shared" si="6"/>
        <v>157.53420067761454</v>
      </c>
      <c r="G66" s="462">
        <f t="shared" si="1"/>
        <v>39.383550169403634</v>
      </c>
      <c r="H66" s="464">
        <f t="shared" si="2"/>
        <v>22.333618164059899</v>
      </c>
      <c r="I66" s="475">
        <f t="shared" si="7"/>
        <v>11.16680908202995</v>
      </c>
      <c r="J66" s="463">
        <f t="shared" si="8"/>
        <v>50.550359251433584</v>
      </c>
      <c r="K66" s="477">
        <f>VLOOKUP(A66,'RAB Calculations 10yr'!$A$22:$J$119,10,FALSE)</f>
        <v>49.505888035288052</v>
      </c>
      <c r="L66" s="477">
        <f t="shared" si="9"/>
        <v>1.0444712161455314</v>
      </c>
      <c r="M66" s="479">
        <f t="shared" si="10"/>
        <v>2.1097919007149753E-2</v>
      </c>
      <c r="O66" s="476"/>
    </row>
    <row r="67" spans="1:15" x14ac:dyDescent="0.2">
      <c r="A67" s="459">
        <v>690</v>
      </c>
      <c r="B67" s="460">
        <v>128</v>
      </c>
      <c r="C67" s="461">
        <f>VLOOKUP(A67,'[2]SLUOS Capital Charge'!$D$14:$F$220,3,FALSE)</f>
        <v>3203.9336481847545</v>
      </c>
      <c r="D67" s="464">
        <f t="shared" si="0"/>
        <v>410103.50696764857</v>
      </c>
      <c r="E67" s="464">
        <f t="shared" si="5"/>
        <v>42686.145197391474</v>
      </c>
      <c r="F67" s="462">
        <f t="shared" si="6"/>
        <v>333.48550935462089</v>
      </c>
      <c r="G67" s="462">
        <f t="shared" si="1"/>
        <v>83.371377338655222</v>
      </c>
      <c r="H67" s="464">
        <f t="shared" si="2"/>
        <v>3025.8066617709019</v>
      </c>
      <c r="I67" s="475">
        <f t="shared" si="7"/>
        <v>23.639114545085171</v>
      </c>
      <c r="J67" s="463">
        <f t="shared" si="8"/>
        <v>107.0104918837404</v>
      </c>
      <c r="K67" s="477">
        <f>VLOOKUP(A67,'RAB Calculations 10yr'!$A$22:$J$119,10,FALSE)</f>
        <v>104.79944174971051</v>
      </c>
      <c r="L67" s="477">
        <f t="shared" si="9"/>
        <v>2.2110501340298896</v>
      </c>
      <c r="M67" s="479">
        <f t="shared" si="10"/>
        <v>2.1097919007149645E-2</v>
      </c>
      <c r="O67" s="476"/>
    </row>
    <row r="68" spans="1:15" x14ac:dyDescent="0.2">
      <c r="A68" s="459">
        <v>710</v>
      </c>
      <c r="B68" s="460">
        <v>3</v>
      </c>
      <c r="C68" s="461">
        <f>VLOOKUP(A68,'[2]SLUOS Capital Charge'!$D$14:$F$220,3,FALSE)</f>
        <v>3589.3024927447541</v>
      </c>
      <c r="D68" s="464">
        <f t="shared" si="0"/>
        <v>10767.907478234261</v>
      </c>
      <c r="E68" s="464">
        <f t="shared" si="5"/>
        <v>1120.7913472543028</v>
      </c>
      <c r="F68" s="462">
        <f t="shared" si="6"/>
        <v>373.59711575143427</v>
      </c>
      <c r="G68" s="462">
        <f t="shared" si="1"/>
        <v>93.399278937858568</v>
      </c>
      <c r="H68" s="464">
        <f t="shared" si="2"/>
        <v>79.447275205925465</v>
      </c>
      <c r="I68" s="475">
        <f t="shared" si="7"/>
        <v>26.48242506864182</v>
      </c>
      <c r="J68" s="463">
        <f t="shared" si="8"/>
        <v>119.88170400650039</v>
      </c>
      <c r="K68" s="477">
        <f>VLOOKUP(A68,'RAB Calculations 10yr'!$A$22:$J$119,10,FALSE)</f>
        <v>117.40470896568439</v>
      </c>
      <c r="L68" s="477">
        <f t="shared" si="9"/>
        <v>2.4769950408159929</v>
      </c>
      <c r="M68" s="479">
        <f t="shared" si="10"/>
        <v>2.1097919007149711E-2</v>
      </c>
      <c r="O68" s="476"/>
    </row>
    <row r="69" spans="1:15" x14ac:dyDescent="0.2">
      <c r="A69" s="459">
        <v>720</v>
      </c>
      <c r="B69" s="460">
        <v>4</v>
      </c>
      <c r="C69" s="461">
        <f>VLOOKUP(A69,'[2]SLUOS Capital Charge'!$D$14:$F$220,3,FALSE)</f>
        <v>3974.6713373047542</v>
      </c>
      <c r="D69" s="464">
        <f t="shared" si="0"/>
        <v>15898.685349219017</v>
      </c>
      <c r="E69" s="464">
        <f t="shared" si="5"/>
        <v>1654.8348885929909</v>
      </c>
      <c r="F69" s="462">
        <f t="shared" si="6"/>
        <v>413.70872214824772</v>
      </c>
      <c r="G69" s="462">
        <f t="shared" si="1"/>
        <v>103.42718053706193</v>
      </c>
      <c r="H69" s="464">
        <f t="shared" si="2"/>
        <v>117.30294236879389</v>
      </c>
      <c r="I69" s="475">
        <f t="shared" si="7"/>
        <v>29.325735592198473</v>
      </c>
      <c r="J69" s="463">
        <f t="shared" si="8"/>
        <v>132.7529161292604</v>
      </c>
      <c r="K69" s="477">
        <f>VLOOKUP(A69,'RAB Calculations 10yr'!$A$22:$J$119,10,FALSE)</f>
        <v>130.00997618165832</v>
      </c>
      <c r="L69" s="477">
        <f t="shared" si="9"/>
        <v>2.7429399476020819</v>
      </c>
      <c r="M69" s="479">
        <f t="shared" si="10"/>
        <v>2.1097919007149649E-2</v>
      </c>
    </row>
    <row r="70" spans="1:15" x14ac:dyDescent="0.2">
      <c r="A70" s="459">
        <v>730</v>
      </c>
      <c r="B70" s="460">
        <v>28</v>
      </c>
      <c r="C70" s="461">
        <f>VLOOKUP(A70,'[2]SLUOS Capital Charge'!$D$14:$F$220,3,FALSE)</f>
        <v>2915.8215201847547</v>
      </c>
      <c r="D70" s="464">
        <f t="shared" si="0"/>
        <v>81643.002565173127</v>
      </c>
      <c r="E70" s="464">
        <f t="shared" si="5"/>
        <v>8497.9157764747051</v>
      </c>
      <c r="F70" s="462">
        <f t="shared" si="6"/>
        <v>303.49699201695375</v>
      </c>
      <c r="G70" s="462">
        <f t="shared" si="1"/>
        <v>75.874248004238439</v>
      </c>
      <c r="H70" s="464">
        <f t="shared" si="2"/>
        <v>602.37461238820231</v>
      </c>
      <c r="I70" s="475">
        <f t="shared" si="7"/>
        <v>21.51337901386437</v>
      </c>
      <c r="J70" s="463">
        <f t="shared" si="8"/>
        <v>97.387627018102805</v>
      </c>
      <c r="K70" s="477">
        <f>VLOOKUP(A70,'RAB Calculations 10yr'!$A$22:$J$119,10,FALSE)</f>
        <v>95.375404459541258</v>
      </c>
      <c r="L70" s="477">
        <f t="shared" si="9"/>
        <v>2.0122225585615467</v>
      </c>
      <c r="M70" s="479">
        <f t="shared" si="10"/>
        <v>2.1097919007149711E-2</v>
      </c>
      <c r="O70" s="476"/>
    </row>
    <row r="71" spans="1:15" x14ac:dyDescent="0.2">
      <c r="A71" s="459">
        <v>740</v>
      </c>
      <c r="B71" s="460">
        <v>70</v>
      </c>
      <c r="C71" s="461">
        <f>VLOOKUP(A71,'[2]SLUOS Capital Charge'!$D$14:$F$220,3,FALSE)</f>
        <v>731.27671327999997</v>
      </c>
      <c r="D71" s="464">
        <f t="shared" si="0"/>
        <v>51189.369929599998</v>
      </c>
      <c r="E71" s="464">
        <f t="shared" si="5"/>
        <v>5328.1106848722038</v>
      </c>
      <c r="F71" s="462">
        <f t="shared" si="6"/>
        <v>76.115866926745767</v>
      </c>
      <c r="G71" s="462">
        <f t="shared" si="1"/>
        <v>19.028966731686442</v>
      </c>
      <c r="H71" s="464">
        <f t="shared" si="2"/>
        <v>377.68303346173866</v>
      </c>
      <c r="I71" s="475">
        <f t="shared" si="7"/>
        <v>5.3954719065962662</v>
      </c>
      <c r="J71" s="463">
        <f t="shared" si="8"/>
        <v>24.424438638282709</v>
      </c>
      <c r="K71" s="477">
        <f>VLOOKUP(A71,'RAB Calculations 10yr'!$A$22:$J$119,10,FALSE)</f>
        <v>23.919781035330548</v>
      </c>
      <c r="L71" s="477">
        <f t="shared" si="9"/>
        <v>0.504657602952161</v>
      </c>
      <c r="M71" s="479">
        <f t="shared" si="10"/>
        <v>2.109791900714977E-2</v>
      </c>
      <c r="O71" s="476"/>
    </row>
    <row r="72" spans="1:15" x14ac:dyDescent="0.2">
      <c r="A72" s="459">
        <v>750</v>
      </c>
      <c r="B72" s="460">
        <v>3</v>
      </c>
      <c r="C72" s="461">
        <f>VLOOKUP(A72,'[2]SLUOS Capital Charge'!$D$14:$F$220,3,FALSE)</f>
        <v>1047.7046938400001</v>
      </c>
      <c r="D72" s="464">
        <f t="shared" si="0"/>
        <v>3143.1140815200006</v>
      </c>
      <c r="E72" s="464">
        <f t="shared" si="5"/>
        <v>327.15502739241981</v>
      </c>
      <c r="F72" s="462">
        <f t="shared" si="6"/>
        <v>109.05167579747327</v>
      </c>
      <c r="G72" s="462">
        <f t="shared" si="1"/>
        <v>27.262918949368316</v>
      </c>
      <c r="H72" s="464">
        <f t="shared" si="2"/>
        <v>23.190378441019746</v>
      </c>
      <c r="I72" s="475">
        <f t="shared" si="7"/>
        <v>7.7301261470065823</v>
      </c>
      <c r="J72" s="463">
        <f t="shared" si="8"/>
        <v>34.9930450963749</v>
      </c>
      <c r="K72" s="477">
        <f>VLOOKUP(A72,'RAB Calculations 10yr'!$A$22:$J$119,10,FALSE)</f>
        <v>34.270019010909252</v>
      </c>
      <c r="L72" s="477">
        <f t="shared" si="9"/>
        <v>0.72302608546564784</v>
      </c>
      <c r="M72" s="479">
        <f t="shared" si="10"/>
        <v>2.1097919007149815E-2</v>
      </c>
      <c r="O72" s="476"/>
    </row>
    <row r="73" spans="1:15" x14ac:dyDescent="0.2">
      <c r="A73" s="459">
        <v>760</v>
      </c>
      <c r="B73" s="460">
        <v>6</v>
      </c>
      <c r="C73" s="461">
        <f>VLOOKUP(A73,'[2]SLUOS Capital Charge'!$D$14:$F$220,3,FALSE)</f>
        <v>2408.2475632725973</v>
      </c>
      <c r="D73" s="464">
        <f t="shared" si="0"/>
        <v>14449.485379635584</v>
      </c>
      <c r="E73" s="464">
        <f t="shared" si="5"/>
        <v>1503.9930662952515</v>
      </c>
      <c r="F73" s="462">
        <f t="shared" si="6"/>
        <v>250.66551104920859</v>
      </c>
      <c r="G73" s="462">
        <f t="shared" si="1"/>
        <v>62.666377762302147</v>
      </c>
      <c r="H73" s="464">
        <f t="shared" si="2"/>
        <v>106.61052241211779</v>
      </c>
      <c r="I73" s="475">
        <f t="shared" si="7"/>
        <v>17.768420402019633</v>
      </c>
      <c r="J73" s="463">
        <f t="shared" si="8"/>
        <v>80.434798164321776</v>
      </c>
      <c r="K73" s="477">
        <f>VLOOKUP(A73,'RAB Calculations 10yr'!$A$22:$J$119,10,FALSE)</f>
        <v>78.772854852678023</v>
      </c>
      <c r="L73" s="477">
        <f t="shared" si="9"/>
        <v>1.6619433116437534</v>
      </c>
      <c r="M73" s="479">
        <f t="shared" si="10"/>
        <v>2.1097919007149614E-2</v>
      </c>
      <c r="O73" s="476"/>
    </row>
    <row r="74" spans="1:15" x14ac:dyDescent="0.2">
      <c r="A74" s="459">
        <v>770</v>
      </c>
      <c r="B74" s="460">
        <v>7</v>
      </c>
      <c r="C74" s="461">
        <f>VLOOKUP(A74,'[2]SLUOS Capital Charge'!$D$14:$F$220,3,FALSE)</f>
        <v>2631.1738864725976</v>
      </c>
      <c r="D74" s="464">
        <f t="shared" si="0"/>
        <v>18418.217205308181</v>
      </c>
      <c r="E74" s="464">
        <f t="shared" si="5"/>
        <v>1917.0835668198742</v>
      </c>
      <c r="F74" s="462">
        <f t="shared" si="6"/>
        <v>273.86908097426777</v>
      </c>
      <c r="G74" s="462">
        <f t="shared" si="1"/>
        <v>68.467270243566944</v>
      </c>
      <c r="H74" s="464">
        <f t="shared" si="2"/>
        <v>135.8924353752509</v>
      </c>
      <c r="I74" s="475">
        <f t="shared" si="7"/>
        <v>19.413205053607271</v>
      </c>
      <c r="J74" s="463">
        <f t="shared" si="8"/>
        <v>87.880475297174215</v>
      </c>
      <c r="K74" s="477">
        <f>VLOOKUP(A74,'RAB Calculations 10yr'!$A$22:$J$119,10,FALSE)</f>
        <v>86.06468944978711</v>
      </c>
      <c r="L74" s="477">
        <f t="shared" si="9"/>
        <v>1.8157858473871045</v>
      </c>
      <c r="M74" s="479">
        <f t="shared" si="10"/>
        <v>2.1097919007149756E-2</v>
      </c>
      <c r="O74" s="476"/>
    </row>
    <row r="75" spans="1:15" x14ac:dyDescent="0.2">
      <c r="A75" s="459">
        <v>780</v>
      </c>
      <c r="B75" s="460">
        <v>2</v>
      </c>
      <c r="C75" s="461">
        <f>VLOOKUP(A75,'[2]SLUOS Capital Charge'!$D$14:$F$220,3,FALSE)</f>
        <v>2430.4138224725975</v>
      </c>
      <c r="D75" s="464">
        <f t="shared" si="0"/>
        <v>4860.8276449451951</v>
      </c>
      <c r="E75" s="464">
        <f t="shared" si="5"/>
        <v>505.94542866953128</v>
      </c>
      <c r="F75" s="462">
        <f t="shared" si="6"/>
        <v>252.97271433476564</v>
      </c>
      <c r="G75" s="462">
        <f t="shared" si="1"/>
        <v>63.24317858369141</v>
      </c>
      <c r="H75" s="464">
        <f t="shared" si="2"/>
        <v>35.863932933779047</v>
      </c>
      <c r="I75" s="475">
        <f t="shared" si="7"/>
        <v>17.931966466889524</v>
      </c>
      <c r="J75" s="463">
        <f t="shared" si="8"/>
        <v>81.175145050580937</v>
      </c>
      <c r="K75" s="477">
        <f>VLOOKUP(A75,'RAB Calculations 10yr'!$A$22:$J$119,10,FALSE)</f>
        <v>79.497904696065248</v>
      </c>
      <c r="L75" s="477">
        <f t="shared" si="9"/>
        <v>1.6772403545156891</v>
      </c>
      <c r="M75" s="479">
        <f t="shared" si="10"/>
        <v>2.1097919007149683E-2</v>
      </c>
    </row>
    <row r="76" spans="1:15" x14ac:dyDescent="0.2">
      <c r="A76" s="459">
        <v>790</v>
      </c>
      <c r="B76" s="460">
        <v>18</v>
      </c>
      <c r="C76" s="461">
        <f>VLOOKUP(A76,'[2]SLUOS Capital Charge'!$D$14:$F$220,3,FALSE)</f>
        <v>2439.0636016725975</v>
      </c>
      <c r="D76" s="464">
        <f t="shared" si="0"/>
        <v>43903.144830106758</v>
      </c>
      <c r="E76" s="464">
        <f t="shared" si="5"/>
        <v>4569.7146769044348</v>
      </c>
      <c r="F76" s="462">
        <f t="shared" si="6"/>
        <v>253.87303760580193</v>
      </c>
      <c r="G76" s="462">
        <f t="shared" si="1"/>
        <v>63.468259401450482</v>
      </c>
      <c r="H76" s="464">
        <f t="shared" si="2"/>
        <v>323.92414559407604</v>
      </c>
      <c r="I76" s="475">
        <f t="shared" si="7"/>
        <v>17.995785866337556</v>
      </c>
      <c r="J76" s="463">
        <f t="shared" si="8"/>
        <v>81.464045267788038</v>
      </c>
      <c r="K76" s="477">
        <f>VLOOKUP(A76,'RAB Calculations 10yr'!$A$22:$J$119,10,FALSE)</f>
        <v>79.780835658737288</v>
      </c>
      <c r="L76" s="477">
        <f t="shared" si="9"/>
        <v>1.6832096090507491</v>
      </c>
      <c r="M76" s="479">
        <f t="shared" si="10"/>
        <v>2.1097919007149565E-2</v>
      </c>
    </row>
    <row r="77" spans="1:15" x14ac:dyDescent="0.2">
      <c r="A77" s="459">
        <v>810</v>
      </c>
      <c r="B77" s="460">
        <v>363</v>
      </c>
      <c r="C77" s="461">
        <f>VLOOKUP(A77,'[2]SLUOS Capital Charge'!$D$14:$F$220,3,FALSE)</f>
        <v>1563.9481779125977</v>
      </c>
      <c r="D77" s="464">
        <f t="shared" si="0"/>
        <v>567713.18858227297</v>
      </c>
      <c r="E77" s="464">
        <f t="shared" si="5"/>
        <v>59091.149396605077</v>
      </c>
      <c r="F77" s="462">
        <f t="shared" si="6"/>
        <v>162.78553552783768</v>
      </c>
      <c r="G77" s="462">
        <f t="shared" si="1"/>
        <v>40.69638388195942</v>
      </c>
      <c r="H77" s="464">
        <f t="shared" si="2"/>
        <v>4188.6750998277894</v>
      </c>
      <c r="I77" s="475">
        <f t="shared" si="7"/>
        <v>11.539049861784545</v>
      </c>
      <c r="J77" s="463">
        <f t="shared" si="8"/>
        <v>52.235433743743968</v>
      </c>
      <c r="K77" s="477">
        <f>VLOOKUP(A77,'RAB Calculations 10yr'!$A$22:$J$119,10,FALSE)</f>
        <v>51.156145528662286</v>
      </c>
      <c r="L77" s="477">
        <f t="shared" si="9"/>
        <v>1.0792882150816823</v>
      </c>
      <c r="M77" s="479">
        <f t="shared" si="10"/>
        <v>2.1097919007149742E-2</v>
      </c>
      <c r="O77" s="476"/>
    </row>
    <row r="78" spans="1:15" x14ac:dyDescent="0.2">
      <c r="A78" s="459">
        <v>820</v>
      </c>
      <c r="B78" s="460">
        <v>12</v>
      </c>
      <c r="C78" s="461">
        <f>VLOOKUP(A78,'[2]SLUOS Capital Charge'!$D$14:$F$220,3,FALSE)</f>
        <v>935.03189384000007</v>
      </c>
      <c r="D78" s="464">
        <f t="shared" si="0"/>
        <v>11220.382726080001</v>
      </c>
      <c r="E78" s="464">
        <f t="shared" si="5"/>
        <v>1167.8878090002213</v>
      </c>
      <c r="F78" s="462">
        <f t="shared" si="6"/>
        <v>97.323984083351775</v>
      </c>
      <c r="G78" s="462">
        <f t="shared" si="1"/>
        <v>24.330996020837944</v>
      </c>
      <c r="H78" s="464">
        <f t="shared" si="2"/>
        <v>82.785707079725753</v>
      </c>
      <c r="I78" s="475">
        <f t="shared" si="7"/>
        <v>6.8988089233104795</v>
      </c>
      <c r="J78" s="463">
        <f t="shared" si="8"/>
        <v>31.229804944148423</v>
      </c>
      <c r="K78" s="477">
        <f>VLOOKUP(A78,'RAB Calculations 10yr'!$A$22:$J$119,10,FALSE)</f>
        <v>30.584534903875124</v>
      </c>
      <c r="L78" s="477">
        <f t="shared" si="9"/>
        <v>0.64527004027329937</v>
      </c>
      <c r="M78" s="479">
        <f t="shared" si="10"/>
        <v>2.1097919007149666E-2</v>
      </c>
      <c r="O78" s="476"/>
    </row>
    <row r="79" spans="1:15" x14ac:dyDescent="0.2">
      <c r="A79" s="459">
        <v>840</v>
      </c>
      <c r="B79" s="460">
        <v>6</v>
      </c>
      <c r="C79" s="461">
        <f>VLOOKUP(A79,'[2]SLUOS Capital Charge'!$D$14:$F$220,3,FALSE)</f>
        <v>6122.1980569466186</v>
      </c>
      <c r="D79" s="464">
        <f t="shared" si="0"/>
        <v>36733.188341679714</v>
      </c>
      <c r="E79" s="464">
        <f t="shared" si="5"/>
        <v>3823.4206352196866</v>
      </c>
      <c r="F79" s="462">
        <f t="shared" si="6"/>
        <v>637.23677253661447</v>
      </c>
      <c r="G79" s="462">
        <f t="shared" si="1"/>
        <v>159.30919313415362</v>
      </c>
      <c r="H79" s="464">
        <f t="shared" si="2"/>
        <v>271.02310539643275</v>
      </c>
      <c r="I79" s="475">
        <f t="shared" si="7"/>
        <v>45.170517566072128</v>
      </c>
      <c r="J79" s="463">
        <f t="shared" si="8"/>
        <v>204.47971070022575</v>
      </c>
      <c r="K79" s="477">
        <f>VLOOKUP(A79,'RAB Calculations 10yr'!$A$22:$J$119,10,FALSE)</f>
        <v>200.25475215839111</v>
      </c>
      <c r="L79" s="477">
        <f t="shared" si="9"/>
        <v>4.2249585418346385</v>
      </c>
      <c r="M79" s="479">
        <f t="shared" si="10"/>
        <v>2.109791900715003E-2</v>
      </c>
      <c r="O79" s="476"/>
    </row>
    <row r="80" spans="1:15" x14ac:dyDescent="0.2">
      <c r="A80" s="459">
        <v>850</v>
      </c>
      <c r="B80" s="460">
        <v>4</v>
      </c>
      <c r="C80" s="461">
        <f>VLOOKUP(A80,'[2]SLUOS Capital Charge'!$D$14:$F$220,3,FALSE)</f>
        <v>5503.9736603866186</v>
      </c>
      <c r="D80" s="464">
        <f t="shared" si="0"/>
        <v>22015.894641546474</v>
      </c>
      <c r="E80" s="464">
        <f t="shared" si="5"/>
        <v>2291.5523992182316</v>
      </c>
      <c r="F80" s="462">
        <f t="shared" si="6"/>
        <v>572.8880998045579</v>
      </c>
      <c r="G80" s="462">
        <f t="shared" si="1"/>
        <v>143.22202495113947</v>
      </c>
      <c r="H80" s="464">
        <f t="shared" si="2"/>
        <v>162.43665206328677</v>
      </c>
      <c r="I80" s="475">
        <f t="shared" si="7"/>
        <v>40.609163015821693</v>
      </c>
      <c r="J80" s="463">
        <f t="shared" si="8"/>
        <v>183.83118796696118</v>
      </c>
      <c r="K80" s="477">
        <f>VLOOKUP(A80,'RAB Calculations 10yr'!$A$22:$J$119,10,FALSE)</f>
        <v>180.03286907655911</v>
      </c>
      <c r="L80" s="477">
        <f t="shared" si="9"/>
        <v>3.7983188904020722</v>
      </c>
      <c r="M80" s="479">
        <f t="shared" si="10"/>
        <v>2.1097919007149933E-2</v>
      </c>
      <c r="O80" s="476"/>
    </row>
    <row r="81" spans="1:15" x14ac:dyDescent="0.2">
      <c r="A81" s="459">
        <v>860</v>
      </c>
      <c r="B81" s="460">
        <v>12</v>
      </c>
      <c r="C81" s="461">
        <f>VLOOKUP(A81,'[2]SLUOS Capital Charge'!$D$14:$F$220,3,FALSE)</f>
        <v>6122.1980569466186</v>
      </c>
      <c r="D81" s="464">
        <f t="shared" si="0"/>
        <v>73466.376683359427</v>
      </c>
      <c r="E81" s="464">
        <f t="shared" si="5"/>
        <v>7646.8412704393731</v>
      </c>
      <c r="F81" s="462">
        <f t="shared" si="6"/>
        <v>637.23677253661447</v>
      </c>
      <c r="G81" s="462">
        <f t="shared" si="1"/>
        <v>159.30919313415362</v>
      </c>
      <c r="H81" s="464">
        <f t="shared" si="2"/>
        <v>542.04621079286551</v>
      </c>
      <c r="I81" s="475">
        <f t="shared" si="7"/>
        <v>45.170517566072128</v>
      </c>
      <c r="J81" s="463">
        <f t="shared" si="8"/>
        <v>204.47971070022575</v>
      </c>
      <c r="K81" s="477">
        <f>VLOOKUP(A81,'RAB Calculations 10yr'!$A$22:$J$119,10,FALSE)</f>
        <v>200.25475215839111</v>
      </c>
      <c r="L81" s="477">
        <f t="shared" si="9"/>
        <v>4.2249585418346385</v>
      </c>
      <c r="M81" s="479">
        <f t="shared" si="10"/>
        <v>2.109791900715003E-2</v>
      </c>
      <c r="O81" s="476"/>
    </row>
    <row r="82" spans="1:15" x14ac:dyDescent="0.2">
      <c r="A82" s="459">
        <v>870</v>
      </c>
      <c r="B82" s="460">
        <v>36</v>
      </c>
      <c r="C82" s="461">
        <f>VLOOKUP(A82,'[2]SLUOS Capital Charge'!$D$14:$F$220,3,FALSE)</f>
        <v>6740.4224535066187</v>
      </c>
      <c r="D82" s="464">
        <f t="shared" ref="D82:D115" si="11">B82*C82</f>
        <v>242655.20832623827</v>
      </c>
      <c r="E82" s="464">
        <f t="shared" si="5"/>
        <v>25257.076029672153</v>
      </c>
      <c r="F82" s="462">
        <f t="shared" si="6"/>
        <v>701.58544526867092</v>
      </c>
      <c r="G82" s="462">
        <f t="shared" ref="G82:G115" si="12">F82/$B$11</f>
        <v>175.39636131716773</v>
      </c>
      <c r="H82" s="464">
        <f t="shared" ref="H82:H115" si="13">E82*$B$12</f>
        <v>1790.347396187612</v>
      </c>
      <c r="I82" s="475">
        <f t="shared" si="7"/>
        <v>49.731872116322556</v>
      </c>
      <c r="J82" s="463">
        <f t="shared" si="8"/>
        <v>225.12823343349029</v>
      </c>
      <c r="K82" s="477">
        <f>VLOOKUP(A82,'RAB Calculations 10yr'!$A$22:$J$119,10,FALSE)</f>
        <v>220.47663524022317</v>
      </c>
      <c r="L82" s="477">
        <f t="shared" si="9"/>
        <v>4.6515981932671195</v>
      </c>
      <c r="M82" s="479">
        <f t="shared" si="10"/>
        <v>2.1097919007149718E-2</v>
      </c>
      <c r="O82" s="476"/>
    </row>
    <row r="83" spans="1:15" x14ac:dyDescent="0.2">
      <c r="A83" s="459">
        <v>890</v>
      </c>
      <c r="B83" s="460">
        <v>5</v>
      </c>
      <c r="C83" s="461">
        <f>VLOOKUP(A83,'[2]SLUOS Capital Charge'!$D$14:$F$220,3,FALSE)</f>
        <v>806.39191328000004</v>
      </c>
      <c r="D83" s="464">
        <f t="shared" si="11"/>
        <v>4031.9595664000003</v>
      </c>
      <c r="E83" s="464">
        <f t="shared" ref="E83:E115" si="14">D83*$B$14</f>
        <v>419.67164034746713</v>
      </c>
      <c r="F83" s="462">
        <f t="shared" ref="F83:F115" si="15">IF(E83=0,0,E83/B83)</f>
        <v>83.934328069493432</v>
      </c>
      <c r="G83" s="462">
        <f t="shared" si="12"/>
        <v>20.983582017373358</v>
      </c>
      <c r="H83" s="464">
        <f t="shared" si="13"/>
        <v>29.748416945301674</v>
      </c>
      <c r="I83" s="475">
        <f t="shared" ref="I83:I115" si="16">IF(H83=0,0,H83/B83)</f>
        <v>5.9496833890603344</v>
      </c>
      <c r="J83" s="463">
        <f t="shared" ref="J83:J115" si="17">G83+I83</f>
        <v>26.933265406433691</v>
      </c>
      <c r="K83" s="477">
        <f>VLOOKUP(A83,'RAB Calculations 10yr'!$A$22:$J$119,10,FALSE)</f>
        <v>26.376770440019968</v>
      </c>
      <c r="L83" s="477">
        <f t="shared" si="9"/>
        <v>0.55649496641372309</v>
      </c>
      <c r="M83" s="479">
        <f t="shared" si="10"/>
        <v>2.1097919007149756E-2</v>
      </c>
      <c r="O83" s="476"/>
    </row>
    <row r="84" spans="1:15" x14ac:dyDescent="0.2">
      <c r="A84" s="459">
        <v>900</v>
      </c>
      <c r="B84" s="460">
        <v>2</v>
      </c>
      <c r="C84" s="461">
        <f>VLOOKUP(A84,'[2]SLUOS Capital Charge'!$D$14:$F$220,3,FALSE)</f>
        <v>2866.1114864725978</v>
      </c>
      <c r="D84" s="464">
        <f t="shared" si="11"/>
        <v>5732.2229729451956</v>
      </c>
      <c r="E84" s="464">
        <f t="shared" si="14"/>
        <v>596.64571984814552</v>
      </c>
      <c r="F84" s="462">
        <f t="shared" si="15"/>
        <v>298.32285992407276</v>
      </c>
      <c r="G84" s="462">
        <f t="shared" si="12"/>
        <v>74.58071498101819</v>
      </c>
      <c r="H84" s="464">
        <f t="shared" si="13"/>
        <v>42.293221500449214</v>
      </c>
      <c r="I84" s="475">
        <f t="shared" si="16"/>
        <v>21.146610750224607</v>
      </c>
      <c r="J84" s="463">
        <f t="shared" si="17"/>
        <v>95.7273257312428</v>
      </c>
      <c r="K84" s="477">
        <f>VLOOKUP(A84,'RAB Calculations 10yr'!$A$22:$J$119,10,FALSE)</f>
        <v>93.749408307796699</v>
      </c>
      <c r="L84" s="477">
        <f t="shared" si="9"/>
        <v>1.977917423446101</v>
      </c>
      <c r="M84" s="479">
        <f t="shared" si="10"/>
        <v>2.109791900714969E-2</v>
      </c>
      <c r="O84" s="476"/>
    </row>
    <row r="85" spans="1:15" x14ac:dyDescent="0.2">
      <c r="A85" s="459">
        <v>910</v>
      </c>
      <c r="B85" s="460">
        <v>4</v>
      </c>
      <c r="C85" s="461">
        <f>VLOOKUP(A85,'[2]SLUOS Capital Charge'!$D$14:$F$220,3,FALSE)</f>
        <v>1842.8185584725975</v>
      </c>
      <c r="D85" s="464">
        <f t="shared" si="11"/>
        <v>7371.27423389039</v>
      </c>
      <c r="E85" s="464">
        <f t="shared" si="14"/>
        <v>767.24845530876519</v>
      </c>
      <c r="F85" s="462">
        <f t="shared" si="15"/>
        <v>191.8121138271913</v>
      </c>
      <c r="G85" s="462">
        <f t="shared" si="12"/>
        <v>47.953028456797824</v>
      </c>
      <c r="H85" s="464">
        <f t="shared" si="13"/>
        <v>54.38639344385129</v>
      </c>
      <c r="I85" s="475">
        <f t="shared" si="16"/>
        <v>13.596598360962822</v>
      </c>
      <c r="J85" s="463">
        <f t="shared" si="17"/>
        <v>61.549626817760647</v>
      </c>
      <c r="K85" s="477">
        <f>VLOOKUP(A85,'RAB Calculations 10yr'!$A$22:$J$119,10,FALSE)</f>
        <v>60.277888801896275</v>
      </c>
      <c r="L85" s="477">
        <f t="shared" ref="L85:L115" si="18">J85-K85</f>
        <v>1.2717380158643721</v>
      </c>
      <c r="M85" s="479">
        <f t="shared" ref="M85:M115" si="19">L85/K85</f>
        <v>2.109791900714951E-2</v>
      </c>
      <c r="O85" s="476"/>
    </row>
    <row r="86" spans="1:15" x14ac:dyDescent="0.2">
      <c r="A86" s="459">
        <v>930</v>
      </c>
      <c r="B86" s="460">
        <v>6</v>
      </c>
      <c r="C86" s="461">
        <f>VLOOKUP(A86,'[2]SLUOS Capital Charge'!$D$14:$F$220,3,FALSE)</f>
        <v>2797.5399982325971</v>
      </c>
      <c r="D86" s="464">
        <f t="shared" si="11"/>
        <v>16785.239989395581</v>
      </c>
      <c r="E86" s="464">
        <f t="shared" si="14"/>
        <v>1747.1130560629981</v>
      </c>
      <c r="F86" s="462">
        <f t="shared" si="15"/>
        <v>291.18550934383302</v>
      </c>
      <c r="G86" s="462">
        <f t="shared" si="12"/>
        <v>72.796377335958255</v>
      </c>
      <c r="H86" s="464">
        <f t="shared" si="13"/>
        <v>123.84407866900546</v>
      </c>
      <c r="I86" s="475">
        <f t="shared" si="16"/>
        <v>20.640679778167577</v>
      </c>
      <c r="J86" s="463">
        <f t="shared" si="17"/>
        <v>93.437057114125835</v>
      </c>
      <c r="K86" s="477">
        <f>VLOOKUP(A86,'RAB Calculations 10yr'!$A$22:$J$119,10,FALSE)</f>
        <v>91.506461206950704</v>
      </c>
      <c r="L86" s="477">
        <f t="shared" si="18"/>
        <v>1.9305959071751317</v>
      </c>
      <c r="M86" s="479">
        <f t="shared" si="19"/>
        <v>2.1097919007149697E-2</v>
      </c>
      <c r="O86" s="476"/>
    </row>
    <row r="87" spans="1:15" x14ac:dyDescent="0.2">
      <c r="A87" s="459">
        <v>940</v>
      </c>
      <c r="B87" s="460">
        <v>36</v>
      </c>
      <c r="C87" s="461">
        <f>VLOOKUP(A87,'[2]SLUOS Capital Charge'!$D$14:$F$220,3,FALSE)</f>
        <v>1393.9871772799997</v>
      </c>
      <c r="D87" s="464">
        <f t="shared" si="11"/>
        <v>50183.538382079991</v>
      </c>
      <c r="E87" s="464">
        <f t="shared" si="14"/>
        <v>5223.4174287744372</v>
      </c>
      <c r="F87" s="462">
        <f t="shared" si="15"/>
        <v>145.09492857706769</v>
      </c>
      <c r="G87" s="462">
        <f t="shared" si="12"/>
        <v>36.273732144266923</v>
      </c>
      <c r="H87" s="464">
        <f t="shared" si="13"/>
        <v>370.26185381953314</v>
      </c>
      <c r="I87" s="475">
        <f t="shared" si="16"/>
        <v>10.285051494987032</v>
      </c>
      <c r="J87" s="463">
        <f t="shared" si="17"/>
        <v>46.558783639253953</v>
      </c>
      <c r="K87" s="477">
        <f>VLOOKUP(A87,'RAB Calculations 10yr'!$A$22:$J$119,10,FALSE)</f>
        <v>45.596786334188934</v>
      </c>
      <c r="L87" s="477">
        <f t="shared" si="18"/>
        <v>0.96199730506501879</v>
      </c>
      <c r="M87" s="479">
        <f t="shared" si="19"/>
        <v>2.1097919007149489E-2</v>
      </c>
      <c r="O87" s="476"/>
    </row>
    <row r="88" spans="1:15" x14ac:dyDescent="0.2">
      <c r="A88" s="459">
        <v>950</v>
      </c>
      <c r="B88" s="460">
        <v>38</v>
      </c>
      <c r="C88" s="461">
        <f>VLOOKUP(A88,'[2]SLUOS Capital Charge'!$D$14:$F$220,3,FALSE)</f>
        <v>1402.6369564799998</v>
      </c>
      <c r="D88" s="464">
        <f t="shared" si="11"/>
        <v>53300.204346239989</v>
      </c>
      <c r="E88" s="464">
        <f t="shared" si="14"/>
        <v>5547.8195702279527</v>
      </c>
      <c r="F88" s="462">
        <f t="shared" si="15"/>
        <v>145.995251848104</v>
      </c>
      <c r="G88" s="462">
        <f t="shared" si="12"/>
        <v>36.498812962026001</v>
      </c>
      <c r="H88" s="464">
        <f t="shared" si="13"/>
        <v>393.25709398853246</v>
      </c>
      <c r="I88" s="475">
        <f t="shared" si="16"/>
        <v>10.348870894435064</v>
      </c>
      <c r="J88" s="463">
        <f t="shared" si="17"/>
        <v>46.847683856461067</v>
      </c>
      <c r="K88" s="477">
        <f>VLOOKUP(A88,'RAB Calculations 10yr'!$A$22:$J$119,10,FALSE)</f>
        <v>45.879717296860981</v>
      </c>
      <c r="L88" s="477">
        <f t="shared" si="18"/>
        <v>0.96796655960008593</v>
      </c>
      <c r="M88" s="479">
        <f t="shared" si="19"/>
        <v>2.1097919007149434E-2</v>
      </c>
      <c r="O88" s="476"/>
    </row>
    <row r="89" spans="1:15" x14ac:dyDescent="0.2">
      <c r="A89" s="459">
        <v>960</v>
      </c>
      <c r="B89" s="460">
        <v>20</v>
      </c>
      <c r="C89" s="461">
        <f>VLOOKUP(A89,'[2]SLUOS Capital Charge'!$D$14:$F$220,3,FALSE)</f>
        <v>1371.82091808</v>
      </c>
      <c r="D89" s="464">
        <f t="shared" si="11"/>
        <v>27436.418361600001</v>
      </c>
      <c r="E89" s="464">
        <f t="shared" si="14"/>
        <v>2855.7545058302144</v>
      </c>
      <c r="F89" s="462">
        <f t="shared" si="15"/>
        <v>142.78772529151072</v>
      </c>
      <c r="G89" s="462">
        <f t="shared" si="12"/>
        <v>35.696931322877681</v>
      </c>
      <c r="H89" s="464">
        <f t="shared" si="13"/>
        <v>202.4301086023429</v>
      </c>
      <c r="I89" s="475">
        <f t="shared" si="16"/>
        <v>10.121505430117145</v>
      </c>
      <c r="J89" s="463">
        <f t="shared" si="17"/>
        <v>45.818436752994828</v>
      </c>
      <c r="K89" s="477">
        <f>VLOOKUP(A89,'RAB Calculations 10yr'!$A$22:$J$119,10,FALSE)</f>
        <v>44.871736490801723</v>
      </c>
      <c r="L89" s="477">
        <f t="shared" si="18"/>
        <v>0.94670026219310444</v>
      </c>
      <c r="M89" s="479">
        <f t="shared" si="19"/>
        <v>2.1097919007149833E-2</v>
      </c>
      <c r="O89" s="476"/>
    </row>
    <row r="90" spans="1:15" x14ac:dyDescent="0.2">
      <c r="A90" s="459">
        <v>980</v>
      </c>
      <c r="B90" s="460">
        <v>12</v>
      </c>
      <c r="C90" s="461">
        <f>VLOOKUP(A90,'[2]SLUOS Capital Charge'!$D$14:$F$220,3,FALSE)</f>
        <v>2400.4003824725974</v>
      </c>
      <c r="D90" s="464">
        <f t="shared" si="11"/>
        <v>28804.80458967117</v>
      </c>
      <c r="E90" s="464">
        <f t="shared" si="14"/>
        <v>2998.1847270430376</v>
      </c>
      <c r="F90" s="462">
        <f t="shared" si="15"/>
        <v>249.84872725358647</v>
      </c>
      <c r="G90" s="462">
        <f t="shared" si="12"/>
        <v>62.462181813396619</v>
      </c>
      <c r="H90" s="464">
        <f t="shared" si="13"/>
        <v>212.52627236204447</v>
      </c>
      <c r="I90" s="475">
        <f t="shared" si="16"/>
        <v>17.710522696837039</v>
      </c>
      <c r="J90" s="463">
        <f t="shared" si="17"/>
        <v>80.172704510233658</v>
      </c>
      <c r="K90" s="477">
        <f>VLOOKUP(A90,'RAB Calculations 10yr'!$A$22:$J$119,10,FALSE)</f>
        <v>78.516176576080454</v>
      </c>
      <c r="L90" s="477">
        <f t="shared" si="18"/>
        <v>1.6565279341532033</v>
      </c>
      <c r="M90" s="479">
        <f t="shared" si="19"/>
        <v>2.1097919007149617E-2</v>
      </c>
      <c r="O90" s="476"/>
    </row>
    <row r="91" spans="1:15" x14ac:dyDescent="0.2">
      <c r="A91" s="459">
        <v>990</v>
      </c>
      <c r="B91" s="460">
        <v>6360</v>
      </c>
      <c r="C91" s="461">
        <f>VLOOKUP(A91,'[2]SLUOS Capital Charge'!$D$14:$F$220,3,FALSE)</f>
        <v>2636.9511396247544</v>
      </c>
      <c r="D91" s="464">
        <f t="shared" si="11"/>
        <v>16771009.248013439</v>
      </c>
      <c r="E91" s="464">
        <f t="shared" si="14"/>
        <v>1745631.8312439364</v>
      </c>
      <c r="F91" s="462">
        <f t="shared" si="15"/>
        <v>274.47041371760008</v>
      </c>
      <c r="G91" s="462">
        <f t="shared" si="12"/>
        <v>68.61760342940002</v>
      </c>
      <c r="H91" s="464">
        <f t="shared" si="13"/>
        <v>123739.08207340349</v>
      </c>
      <c r="I91" s="475">
        <f t="shared" si="16"/>
        <v>19.455830514686085</v>
      </c>
      <c r="J91" s="463">
        <f t="shared" si="17"/>
        <v>88.073433944086105</v>
      </c>
      <c r="K91" s="477">
        <f>VLOOKUP(A91,'RAB Calculations 10yr'!$A$22:$J$119,10,FALSE)</f>
        <v>86.253661186307269</v>
      </c>
      <c r="L91" s="477">
        <f t="shared" si="18"/>
        <v>1.8197727577788356</v>
      </c>
      <c r="M91" s="479">
        <f t="shared" si="19"/>
        <v>2.1097919007149621E-2</v>
      </c>
      <c r="O91" s="476"/>
    </row>
    <row r="92" spans="1:15" x14ac:dyDescent="0.2">
      <c r="A92" s="459">
        <v>1000</v>
      </c>
      <c r="B92" s="460">
        <v>10</v>
      </c>
      <c r="C92" s="461">
        <f>VLOOKUP(A92,'[2]SLUOS Capital Charge'!$D$14:$F$220,3,FALSE)</f>
        <v>2840.7063201847545</v>
      </c>
      <c r="D92" s="464">
        <f t="shared" si="11"/>
        <v>28407.063201847544</v>
      </c>
      <c r="E92" s="464">
        <f t="shared" si="14"/>
        <v>2956.7853087420608</v>
      </c>
      <c r="F92" s="462">
        <f t="shared" si="15"/>
        <v>295.6785308742061</v>
      </c>
      <c r="G92" s="462">
        <f t="shared" si="12"/>
        <v>73.919632718551526</v>
      </c>
      <c r="H92" s="464">
        <f t="shared" si="13"/>
        <v>209.59167531400297</v>
      </c>
      <c r="I92" s="475">
        <f t="shared" si="16"/>
        <v>20.959167531400297</v>
      </c>
      <c r="J92" s="463">
        <f t="shared" si="17"/>
        <v>94.878800249951823</v>
      </c>
      <c r="K92" s="477">
        <f>VLOOKUP(A92,'RAB Calculations 10yr'!$A$22:$J$119,10,FALSE)</f>
        <v>92.918415054851835</v>
      </c>
      <c r="L92" s="477">
        <f t="shared" si="18"/>
        <v>1.9603851950999882</v>
      </c>
      <c r="M92" s="479">
        <f t="shared" si="19"/>
        <v>2.1097919007149753E-2</v>
      </c>
      <c r="O92" s="476"/>
    </row>
    <row r="93" spans="1:15" x14ac:dyDescent="0.2">
      <c r="A93" s="459">
        <v>1010</v>
      </c>
      <c r="B93" s="460">
        <v>3</v>
      </c>
      <c r="C93" s="461">
        <f>VLOOKUP(A93,'[2]SLUOS Capital Charge'!$D$14:$F$220,3,FALSE)</f>
        <v>1363.9737372799998</v>
      </c>
      <c r="D93" s="464">
        <f t="shared" si="11"/>
        <v>4091.9212118399992</v>
      </c>
      <c r="E93" s="464">
        <f t="shared" si="14"/>
        <v>425.91282448766566</v>
      </c>
      <c r="F93" s="462">
        <f t="shared" si="15"/>
        <v>141.97094149588855</v>
      </c>
      <c r="G93" s="462">
        <f t="shared" si="12"/>
        <v>35.492735373972138</v>
      </c>
      <c r="H93" s="464">
        <f t="shared" si="13"/>
        <v>30.190823174803644</v>
      </c>
      <c r="I93" s="475">
        <f t="shared" si="16"/>
        <v>10.063607724934547</v>
      </c>
      <c r="J93" s="463">
        <f t="shared" si="17"/>
        <v>45.556343098906687</v>
      </c>
      <c r="K93" s="477">
        <f>VLOOKUP(A93,'RAB Calculations 10yr'!$A$22:$J$119,10,FALSE)</f>
        <v>44.61505821420414</v>
      </c>
      <c r="L93" s="477">
        <f t="shared" si="18"/>
        <v>0.94128488470254723</v>
      </c>
      <c r="M93" s="479">
        <f t="shared" si="19"/>
        <v>2.1097919007149687E-2</v>
      </c>
      <c r="O93" s="476"/>
    </row>
    <row r="94" spans="1:15" x14ac:dyDescent="0.2">
      <c r="A94" s="459">
        <v>1020</v>
      </c>
      <c r="B94" s="460">
        <v>3</v>
      </c>
      <c r="C94" s="461">
        <f>VLOOKUP(A94,'[2]SLUOS Capital Charge'!$D$14:$F$220,3,FALSE)</f>
        <v>1761.1133530399998</v>
      </c>
      <c r="D94" s="464">
        <f t="shared" si="11"/>
        <v>5283.3400591199988</v>
      </c>
      <c r="E94" s="464">
        <f t="shared" si="14"/>
        <v>549.92317075840549</v>
      </c>
      <c r="F94" s="462">
        <f t="shared" si="15"/>
        <v>183.30772358613515</v>
      </c>
      <c r="G94" s="462">
        <f t="shared" si="12"/>
        <v>45.826930896533788</v>
      </c>
      <c r="H94" s="464">
        <f t="shared" si="13"/>
        <v>38.981294418795265</v>
      </c>
      <c r="I94" s="475">
        <f t="shared" si="16"/>
        <v>12.993764806265089</v>
      </c>
      <c r="J94" s="463">
        <f t="shared" si="17"/>
        <v>58.820695702798879</v>
      </c>
      <c r="K94" s="477">
        <f>VLOOKUP(A94,'RAB Calculations 10yr'!$A$22:$J$119,10,FALSE)</f>
        <v>57.605342845074404</v>
      </c>
      <c r="L94" s="477">
        <f t="shared" si="18"/>
        <v>1.2153528577244757</v>
      </c>
      <c r="M94" s="479">
        <f t="shared" si="19"/>
        <v>2.1097919007149794E-2</v>
      </c>
    </row>
    <row r="95" spans="1:15" x14ac:dyDescent="0.2">
      <c r="A95" s="459">
        <v>1030</v>
      </c>
      <c r="B95" s="460">
        <v>97</v>
      </c>
      <c r="C95" s="461">
        <f>VLOOKUP(A95,'[2]SLUOS Capital Charge'!$D$14:$F$220,3,FALSE)</f>
        <v>1594.7472412799998</v>
      </c>
      <c r="D95" s="464">
        <f t="shared" si="11"/>
        <v>154690.48240415999</v>
      </c>
      <c r="E95" s="464">
        <f t="shared" si="14"/>
        <v>16101.155636007277</v>
      </c>
      <c r="F95" s="462">
        <f t="shared" si="15"/>
        <v>165.99129521656988</v>
      </c>
      <c r="G95" s="462">
        <f t="shared" si="12"/>
        <v>41.49782380414247</v>
      </c>
      <c r="H95" s="464">
        <f t="shared" si="13"/>
        <v>1141.3301379253639</v>
      </c>
      <c r="I95" s="475">
        <f t="shared" si="16"/>
        <v>11.766290081704783</v>
      </c>
      <c r="J95" s="463">
        <f t="shared" si="17"/>
        <v>53.264113885847252</v>
      </c>
      <c r="K95" s="477">
        <f>VLOOKUP(A95,'RAB Calculations 10yr'!$A$22:$J$119,10,FALSE)</f>
        <v>52.163571087910817</v>
      </c>
      <c r="L95" s="477">
        <f t="shared" si="18"/>
        <v>1.1005427979364342</v>
      </c>
      <c r="M95" s="479">
        <f t="shared" si="19"/>
        <v>2.1097919007149624E-2</v>
      </c>
      <c r="O95" s="476"/>
    </row>
    <row r="96" spans="1:15" x14ac:dyDescent="0.2">
      <c r="A96" s="459">
        <v>1050</v>
      </c>
      <c r="B96" s="460">
        <v>4</v>
      </c>
      <c r="C96" s="461">
        <f>VLOOKUP(A96,'[2]SLUOS Capital Charge'!$D$14:$F$220,3,FALSE)</f>
        <v>6740.4224535066187</v>
      </c>
      <c r="D96" s="464">
        <f t="shared" si="11"/>
        <v>26961.689814026475</v>
      </c>
      <c r="E96" s="464">
        <f t="shared" si="14"/>
        <v>2806.3417810746837</v>
      </c>
      <c r="F96" s="462">
        <f t="shared" si="15"/>
        <v>701.58544526867092</v>
      </c>
      <c r="G96" s="462">
        <f t="shared" si="12"/>
        <v>175.39636131716773</v>
      </c>
      <c r="H96" s="464">
        <f t="shared" si="13"/>
        <v>198.92748846529022</v>
      </c>
      <c r="I96" s="475">
        <f t="shared" si="16"/>
        <v>49.731872116322556</v>
      </c>
      <c r="J96" s="463">
        <f t="shared" si="17"/>
        <v>225.12823343349029</v>
      </c>
      <c r="K96" s="477">
        <f>VLOOKUP(A96,'RAB Calculations 10yr'!$A$22:$J$119,10,FALSE)</f>
        <v>220.47663524022317</v>
      </c>
      <c r="L96" s="477">
        <f t="shared" si="18"/>
        <v>4.6515981932671195</v>
      </c>
      <c r="M96" s="479">
        <f t="shared" si="19"/>
        <v>2.1097919007149718E-2</v>
      </c>
      <c r="O96" s="476"/>
    </row>
    <row r="97" spans="1:15" x14ac:dyDescent="0.2">
      <c r="A97" s="459">
        <v>1070</v>
      </c>
      <c r="B97" s="460">
        <v>10</v>
      </c>
      <c r="C97" s="461">
        <f>VLOOKUP(A97,'[2]SLUOS Capital Charge'!$D$14:$F$220,3,FALSE)</f>
        <v>2174.1834099125972</v>
      </c>
      <c r="D97" s="464">
        <f t="shared" si="11"/>
        <v>21741.834099125972</v>
      </c>
      <c r="E97" s="464">
        <f t="shared" si="14"/>
        <v>2263.0264590400111</v>
      </c>
      <c r="F97" s="462">
        <f t="shared" si="15"/>
        <v>226.30264590400111</v>
      </c>
      <c r="G97" s="462">
        <f t="shared" si="12"/>
        <v>56.575661476000278</v>
      </c>
      <c r="H97" s="464">
        <f t="shared" si="13"/>
        <v>160.41459128863963</v>
      </c>
      <c r="I97" s="475">
        <f t="shared" si="16"/>
        <v>16.041459128863963</v>
      </c>
      <c r="J97" s="463">
        <f t="shared" si="17"/>
        <v>72.61712060486424</v>
      </c>
      <c r="K97" s="477">
        <f>VLOOKUP(A97,'RAB Calculations 10yr'!$A$22:$J$119,10,FALSE)</f>
        <v>71.116706099521267</v>
      </c>
      <c r="L97" s="477">
        <f t="shared" si="18"/>
        <v>1.5004145053429738</v>
      </c>
      <c r="M97" s="479">
        <f t="shared" si="19"/>
        <v>2.109791900714977E-2</v>
      </c>
      <c r="O97" s="476"/>
    </row>
    <row r="98" spans="1:15" x14ac:dyDescent="0.2">
      <c r="A98" s="459">
        <v>1080</v>
      </c>
      <c r="B98" s="460">
        <v>23</v>
      </c>
      <c r="C98" s="461">
        <f>VLOOKUP(A98,'[2]SLUOS Capital Charge'!$D$14:$F$220,3,FALSE)</f>
        <v>2247.8870899125977</v>
      </c>
      <c r="D98" s="464">
        <f t="shared" si="11"/>
        <v>51701.403067989748</v>
      </c>
      <c r="E98" s="464">
        <f t="shared" si="14"/>
        <v>5381.4063054163726</v>
      </c>
      <c r="F98" s="462">
        <f t="shared" si="15"/>
        <v>233.97418719201619</v>
      </c>
      <c r="G98" s="462">
        <f t="shared" si="12"/>
        <v>58.493546798004047</v>
      </c>
      <c r="H98" s="464">
        <f t="shared" si="13"/>
        <v>381.46089259940595</v>
      </c>
      <c r="I98" s="475">
        <f t="shared" si="16"/>
        <v>16.585256199974172</v>
      </c>
      <c r="J98" s="463">
        <f t="shared" si="17"/>
        <v>75.078802997978215</v>
      </c>
      <c r="K98" s="477">
        <f>VLOOKUP(A98,'RAB Calculations 10yr'!$A$22:$J$119,10,FALSE)</f>
        <v>73.527525225964666</v>
      </c>
      <c r="L98" s="477">
        <f t="shared" si="18"/>
        <v>1.5512777720135489</v>
      </c>
      <c r="M98" s="479">
        <f t="shared" si="19"/>
        <v>2.1097919007149562E-2</v>
      </c>
      <c r="O98" s="476"/>
    </row>
    <row r="99" spans="1:15" x14ac:dyDescent="0.2">
      <c r="A99" s="459">
        <v>1100</v>
      </c>
      <c r="B99" s="460">
        <v>10</v>
      </c>
      <c r="C99" s="461">
        <f>VLOOKUP(A99,'[2]SLUOS Capital Charge'!$D$14:$F$220,3,FALSE)</f>
        <v>2247.8870899125977</v>
      </c>
      <c r="D99" s="464">
        <f t="shared" si="11"/>
        <v>22478.870899125977</v>
      </c>
      <c r="E99" s="464">
        <f t="shared" si="14"/>
        <v>2339.7418719201623</v>
      </c>
      <c r="F99" s="462">
        <f t="shared" si="15"/>
        <v>233.97418719201625</v>
      </c>
      <c r="G99" s="462">
        <f t="shared" si="12"/>
        <v>58.493546798004061</v>
      </c>
      <c r="H99" s="464">
        <f t="shared" si="13"/>
        <v>165.85256199974174</v>
      </c>
      <c r="I99" s="475">
        <f t="shared" si="16"/>
        <v>16.585256199974175</v>
      </c>
      <c r="J99" s="463">
        <f t="shared" si="17"/>
        <v>75.078802997978244</v>
      </c>
      <c r="K99" s="477">
        <f>VLOOKUP(A99,'RAB Calculations 10yr'!$A$22:$J$119,10,FALSE)</f>
        <v>73.527525225964666</v>
      </c>
      <c r="L99" s="477">
        <f t="shared" si="18"/>
        <v>1.5512777720135773</v>
      </c>
      <c r="M99" s="479">
        <f t="shared" si="19"/>
        <v>2.109791900714995E-2</v>
      </c>
    </row>
    <row r="100" spans="1:15" x14ac:dyDescent="0.2">
      <c r="A100" s="459">
        <v>1120</v>
      </c>
      <c r="B100" s="460">
        <v>6</v>
      </c>
      <c r="C100" s="461">
        <f>VLOOKUP(A100,'[2]SLUOS Capital Charge'!$D$14:$F$220,3,FALSE)</f>
        <v>2977.7166756247543</v>
      </c>
      <c r="D100" s="464">
        <f t="shared" si="11"/>
        <v>17866.300053748528</v>
      </c>
      <c r="E100" s="464">
        <f t="shared" si="14"/>
        <v>1859.6365680302135</v>
      </c>
      <c r="F100" s="462">
        <f t="shared" si="15"/>
        <v>309.93942800503561</v>
      </c>
      <c r="G100" s="462">
        <f t="shared" si="12"/>
        <v>77.484857001258902</v>
      </c>
      <c r="H100" s="464">
        <f t="shared" si="13"/>
        <v>131.8203058626726</v>
      </c>
      <c r="I100" s="475">
        <f t="shared" si="16"/>
        <v>21.970050977112098</v>
      </c>
      <c r="J100" s="463">
        <f t="shared" si="17"/>
        <v>99.454907978370997</v>
      </c>
      <c r="K100" s="477">
        <f>VLOOKUP(A100,'RAB Calculations 10yr'!$A$22:$J$119,10,FALSE)</f>
        <v>97.399971273151337</v>
      </c>
      <c r="L100" s="477">
        <f t="shared" si="18"/>
        <v>2.0549367052196601</v>
      </c>
      <c r="M100" s="479">
        <f t="shared" si="19"/>
        <v>2.109791900714976E-2</v>
      </c>
      <c r="O100" s="476"/>
    </row>
    <row r="101" spans="1:15" x14ac:dyDescent="0.2">
      <c r="A101" s="459">
        <v>1130</v>
      </c>
      <c r="B101" s="460">
        <v>4</v>
      </c>
      <c r="C101" s="461">
        <f>VLOOKUP(A101,'[2]SLUOS Capital Charge'!$D$14:$F$220,3,FALSE)</f>
        <v>3669.6447521847549</v>
      </c>
      <c r="D101" s="464">
        <f t="shared" si="11"/>
        <v>14678.57900873902</v>
      </c>
      <c r="E101" s="464">
        <f t="shared" si="14"/>
        <v>1527.8385681004288</v>
      </c>
      <c r="F101" s="462">
        <f t="shared" si="15"/>
        <v>381.9596420251072</v>
      </c>
      <c r="G101" s="462">
        <f t="shared" si="12"/>
        <v>95.4899105062768</v>
      </c>
      <c r="H101" s="464">
        <f t="shared" si="13"/>
        <v>108.30081039389097</v>
      </c>
      <c r="I101" s="475">
        <f t="shared" si="16"/>
        <v>27.075202598472742</v>
      </c>
      <c r="J101" s="463">
        <f t="shared" si="17"/>
        <v>122.56511310474954</v>
      </c>
      <c r="K101" s="477">
        <f>VLOOKUP(A101,'RAB Calculations 10yr'!$A$22:$J$119,10,FALSE)</f>
        <v>120.03267348142677</v>
      </c>
      <c r="L101" s="477">
        <f t="shared" si="18"/>
        <v>2.5324396233227731</v>
      </c>
      <c r="M101" s="479">
        <f t="shared" si="19"/>
        <v>2.1097919007149579E-2</v>
      </c>
      <c r="O101" s="476"/>
    </row>
    <row r="102" spans="1:15" x14ac:dyDescent="0.2">
      <c r="A102" s="459">
        <v>1160</v>
      </c>
      <c r="B102" s="460">
        <v>2</v>
      </c>
      <c r="C102" s="461">
        <f>VLOOKUP(A102,'[2]SLUOS Capital Charge'!$D$14:$F$220,3,FALSE)</f>
        <v>2718.7041264725976</v>
      </c>
      <c r="D102" s="464">
        <f t="shared" si="11"/>
        <v>5437.4082529451953</v>
      </c>
      <c r="E102" s="464">
        <f t="shared" si="14"/>
        <v>565.95955469608532</v>
      </c>
      <c r="F102" s="462">
        <f t="shared" si="15"/>
        <v>282.97977734804266</v>
      </c>
      <c r="G102" s="462">
        <f t="shared" si="12"/>
        <v>70.744944337010665</v>
      </c>
      <c r="H102" s="464">
        <f t="shared" si="13"/>
        <v>40.118033216008392</v>
      </c>
      <c r="I102" s="475">
        <f t="shared" si="16"/>
        <v>20.059016608004196</v>
      </c>
      <c r="J102" s="463">
        <f t="shared" si="17"/>
        <v>90.803960945014865</v>
      </c>
      <c r="K102" s="477">
        <f>VLOOKUP(A102,'RAB Calculations 10yr'!$A$22:$J$119,10,FALSE)</f>
        <v>88.927770054909942</v>
      </c>
      <c r="L102" s="477">
        <f t="shared" si="18"/>
        <v>1.8761908901049225</v>
      </c>
      <c r="M102" s="479">
        <f t="shared" si="19"/>
        <v>2.1097919007149701E-2</v>
      </c>
      <c r="O102" s="476"/>
    </row>
    <row r="103" spans="1:15" x14ac:dyDescent="0.2">
      <c r="A103" s="459">
        <v>1170</v>
      </c>
      <c r="B103" s="460">
        <v>3</v>
      </c>
      <c r="C103" s="461">
        <f>VLOOKUP(A103,'[2]SLUOS Capital Charge'!$D$14:$F$220,3,FALSE)</f>
        <v>3051.4203556247548</v>
      </c>
      <c r="D103" s="464">
        <f t="shared" si="11"/>
        <v>9154.2610668742636</v>
      </c>
      <c r="E103" s="464">
        <f t="shared" si="14"/>
        <v>952.83290787915189</v>
      </c>
      <c r="F103" s="462">
        <f t="shared" si="15"/>
        <v>317.61096929305063</v>
      </c>
      <c r="G103" s="462">
        <f t="shared" si="12"/>
        <v>79.402742323262657</v>
      </c>
      <c r="H103" s="464">
        <f t="shared" si="13"/>
        <v>67.541544144666915</v>
      </c>
      <c r="I103" s="475">
        <f t="shared" si="16"/>
        <v>22.513848048222304</v>
      </c>
      <c r="J103" s="463">
        <f t="shared" si="17"/>
        <v>101.91659037148496</v>
      </c>
      <c r="K103" s="477">
        <f>VLOOKUP(A103,'RAB Calculations 10yr'!$A$22:$J$119,10,FALSE)</f>
        <v>99.810790399594723</v>
      </c>
      <c r="L103" s="477">
        <f t="shared" si="18"/>
        <v>2.1057999718902352</v>
      </c>
      <c r="M103" s="479">
        <f t="shared" si="19"/>
        <v>2.1097919007149607E-2</v>
      </c>
      <c r="O103" s="476"/>
    </row>
    <row r="104" spans="1:15" x14ac:dyDescent="0.2">
      <c r="A104" s="459">
        <v>1180</v>
      </c>
      <c r="B104" s="460">
        <v>2</v>
      </c>
      <c r="C104" s="461">
        <f>VLOOKUP(A104,'[2]SLUOS Capital Charge'!$D$14:$F$220,3,FALSE)</f>
        <v>872.38619828000014</v>
      </c>
      <c r="D104" s="464">
        <f t="shared" si="11"/>
        <v>1744.7723965600003</v>
      </c>
      <c r="E104" s="464">
        <f t="shared" si="14"/>
        <v>181.60685434430121</v>
      </c>
      <c r="F104" s="462">
        <f t="shared" si="15"/>
        <v>90.803427172150606</v>
      </c>
      <c r="G104" s="462">
        <f t="shared" si="12"/>
        <v>22.700856793037651</v>
      </c>
      <c r="H104" s="464">
        <f t="shared" si="13"/>
        <v>12.873198719565442</v>
      </c>
      <c r="I104" s="475">
        <f t="shared" si="16"/>
        <v>6.4365993597827211</v>
      </c>
      <c r="J104" s="463">
        <f t="shared" si="17"/>
        <v>29.137456152820373</v>
      </c>
      <c r="K104" s="477">
        <f>VLOOKUP(A104,'RAB Calculations 10yr'!$A$22:$J$119,10,FALSE)</f>
        <v>28.535418210578442</v>
      </c>
      <c r="L104" s="477">
        <f t="shared" si="18"/>
        <v>0.60203794224193175</v>
      </c>
      <c r="M104" s="479">
        <f t="shared" si="19"/>
        <v>2.1097919007149812E-2</v>
      </c>
    </row>
    <row r="105" spans="1:15" x14ac:dyDescent="0.2">
      <c r="A105" s="459">
        <v>1200</v>
      </c>
      <c r="B105" s="460">
        <v>4</v>
      </c>
      <c r="C105" s="461">
        <f>VLOOKUP(A105,'[2]SLUOS Capital Charge'!$D$14:$F$220,3,FALSE)</f>
        <v>1421.0060444000001</v>
      </c>
      <c r="D105" s="464">
        <f t="shared" si="11"/>
        <v>5684.0241776000003</v>
      </c>
      <c r="E105" s="464">
        <f t="shared" si="14"/>
        <v>591.62888692306967</v>
      </c>
      <c r="F105" s="462">
        <f t="shared" si="15"/>
        <v>147.90722173076742</v>
      </c>
      <c r="G105" s="462">
        <f t="shared" si="12"/>
        <v>36.976805432691854</v>
      </c>
      <c r="H105" s="464">
        <f t="shared" si="13"/>
        <v>41.9376033855904</v>
      </c>
      <c r="I105" s="475">
        <f t="shared" si="16"/>
        <v>10.4844008463976</v>
      </c>
      <c r="J105" s="463">
        <f t="shared" si="17"/>
        <v>47.461206279089453</v>
      </c>
      <c r="K105" s="477">
        <f>VLOOKUP(A105,'RAB Calculations 10yr'!$A$22:$J$119,10,FALSE)</f>
        <v>46.480563122915477</v>
      </c>
      <c r="L105" s="477">
        <f t="shared" si="18"/>
        <v>0.98064315617397568</v>
      </c>
      <c r="M105" s="479">
        <f t="shared" si="19"/>
        <v>2.109791900714961E-2</v>
      </c>
    </row>
    <row r="106" spans="1:15" x14ac:dyDescent="0.2">
      <c r="A106" s="459">
        <v>1210</v>
      </c>
      <c r="B106" s="460">
        <v>2</v>
      </c>
      <c r="C106" s="461">
        <f>VLOOKUP(A106,'[2]SLUOS Capital Charge'!$D$14:$F$220,3,FALSE)</f>
        <v>1908.8128434725977</v>
      </c>
      <c r="D106" s="464">
        <f t="shared" si="11"/>
        <v>3817.6256869451954</v>
      </c>
      <c r="E106" s="464">
        <f t="shared" si="14"/>
        <v>397.362425859697</v>
      </c>
      <c r="F106" s="462">
        <f t="shared" si="15"/>
        <v>198.6812129298485</v>
      </c>
      <c r="G106" s="462">
        <f t="shared" si="12"/>
        <v>49.670303232462125</v>
      </c>
      <c r="H106" s="464">
        <f t="shared" si="13"/>
        <v>28.167028663370424</v>
      </c>
      <c r="I106" s="475">
        <f t="shared" si="16"/>
        <v>14.083514331685212</v>
      </c>
      <c r="J106" s="463">
        <f t="shared" si="17"/>
        <v>63.75381756414734</v>
      </c>
      <c r="K106" s="477">
        <f>VLOOKUP(A106,'RAB Calculations 10yr'!$A$22:$J$119,10,FALSE)</f>
        <v>62.436536572454742</v>
      </c>
      <c r="L106" s="477">
        <f t="shared" si="18"/>
        <v>1.3172809916925985</v>
      </c>
      <c r="M106" s="479">
        <f t="shared" si="19"/>
        <v>2.1097919007149833E-2</v>
      </c>
      <c r="O106" s="476"/>
    </row>
    <row r="107" spans="1:15" x14ac:dyDescent="0.2">
      <c r="A107" s="459">
        <v>1250</v>
      </c>
      <c r="B107" s="460">
        <v>3</v>
      </c>
      <c r="C107" s="461">
        <f>VLOOKUP(A107,'[2]SLUOS Capital Charge'!$D$14:$F$220,3,FALSE)</f>
        <v>3484.3358830325978</v>
      </c>
      <c r="D107" s="464">
        <f t="shared" si="11"/>
        <v>10453.007649097794</v>
      </c>
      <c r="E107" s="464">
        <f t="shared" si="14"/>
        <v>1088.014597968388</v>
      </c>
      <c r="F107" s="462">
        <f t="shared" si="15"/>
        <v>362.67153265612933</v>
      </c>
      <c r="G107" s="462">
        <f t="shared" si="12"/>
        <v>90.667883164032332</v>
      </c>
      <c r="H107" s="464">
        <f t="shared" si="13"/>
        <v>77.123895901425129</v>
      </c>
      <c r="I107" s="475">
        <f t="shared" si="16"/>
        <v>25.707965300475042</v>
      </c>
      <c r="J107" s="463">
        <f t="shared" si="17"/>
        <v>116.37584846450737</v>
      </c>
      <c r="K107" s="477">
        <f>VLOOKUP(A107,'RAB Calculations 10yr'!$A$22:$J$119,10,FALSE)</f>
        <v>113.97129138962873</v>
      </c>
      <c r="L107" s="477">
        <f t="shared" si="18"/>
        <v>2.4045570748786389</v>
      </c>
      <c r="M107" s="479">
        <f t="shared" si="19"/>
        <v>2.1097919007149645E-2</v>
      </c>
      <c r="O107" s="476"/>
    </row>
    <row r="108" spans="1:15" x14ac:dyDescent="0.2">
      <c r="A108" s="459">
        <v>1260</v>
      </c>
      <c r="B108" s="460">
        <v>34</v>
      </c>
      <c r="C108" s="461">
        <f>VLOOKUP(A108,'[2]SLUOS Capital Charge'!$D$14:$F$220,3,FALSE)</f>
        <v>1767.7033584725975</v>
      </c>
      <c r="D108" s="464">
        <f t="shared" si="11"/>
        <v>60101.914188068316</v>
      </c>
      <c r="E108" s="464">
        <f t="shared" si="14"/>
        <v>6255.7841912710846</v>
      </c>
      <c r="F108" s="462">
        <f t="shared" si="15"/>
        <v>183.99365268444367</v>
      </c>
      <c r="G108" s="462">
        <f t="shared" si="12"/>
        <v>45.998413171110919</v>
      </c>
      <c r="H108" s="464">
        <f t="shared" si="13"/>
        <v>443.44115386895771</v>
      </c>
      <c r="I108" s="475">
        <f t="shared" si="16"/>
        <v>13.042386878498757</v>
      </c>
      <c r="J108" s="463">
        <f t="shared" si="17"/>
        <v>59.040800049609672</v>
      </c>
      <c r="K108" s="477">
        <f>VLOOKUP(A108,'RAB Calculations 10yr'!$A$22:$J$119,10,FALSE)</f>
        <v>57.820899397206851</v>
      </c>
      <c r="L108" s="477">
        <f t="shared" si="18"/>
        <v>1.2199006524028206</v>
      </c>
      <c r="M108" s="479">
        <f t="shared" si="19"/>
        <v>2.1097919007149694E-2</v>
      </c>
      <c r="O108" s="476"/>
    </row>
    <row r="109" spans="1:15" x14ac:dyDescent="0.2">
      <c r="A109" s="459">
        <v>1360</v>
      </c>
      <c r="B109" s="460">
        <v>3</v>
      </c>
      <c r="C109" s="461">
        <f>VLOOKUP(A109,'[2]SLUOS Capital Charge'!$D$14:$F$220,3,FALSE)</f>
        <v>5423.6314009466187</v>
      </c>
      <c r="D109" s="464">
        <f t="shared" si="11"/>
        <v>16270.894202839856</v>
      </c>
      <c r="E109" s="464">
        <f t="shared" si="14"/>
        <v>1693.576720592655</v>
      </c>
      <c r="F109" s="462">
        <f t="shared" si="15"/>
        <v>564.52557353088503</v>
      </c>
      <c r="G109" s="462">
        <f t="shared" si="12"/>
        <v>141.13139338272126</v>
      </c>
      <c r="H109" s="464">
        <f t="shared" si="13"/>
        <v>120.04915645797233</v>
      </c>
      <c r="I109" s="475">
        <f t="shared" si="16"/>
        <v>40.016385485990774</v>
      </c>
      <c r="J109" s="463">
        <f t="shared" si="17"/>
        <v>181.14777886871204</v>
      </c>
      <c r="K109" s="477">
        <f>VLOOKUP(A109,'RAB Calculations 10yr'!$A$22:$J$119,10,FALSE)</f>
        <v>177.40490456081676</v>
      </c>
      <c r="L109" s="477">
        <f t="shared" si="18"/>
        <v>3.7428743078952778</v>
      </c>
      <c r="M109" s="479">
        <f t="shared" si="19"/>
        <v>2.1097919007149944E-2</v>
      </c>
      <c r="O109" s="476"/>
    </row>
    <row r="110" spans="1:15" x14ac:dyDescent="0.2">
      <c r="A110" s="459">
        <v>1370</v>
      </c>
      <c r="B110" s="460">
        <v>4</v>
      </c>
      <c r="C110" s="461">
        <f>VLOOKUP(A110,'[2]SLUOS Capital Charge'!$D$14:$F$220,3,FALSE)</f>
        <v>5809.0002455066187</v>
      </c>
      <c r="D110" s="464">
        <f t="shared" si="11"/>
        <v>23236.000982026475</v>
      </c>
      <c r="E110" s="464">
        <f t="shared" si="14"/>
        <v>2418.5487197107936</v>
      </c>
      <c r="F110" s="462">
        <f t="shared" si="15"/>
        <v>604.63717992769841</v>
      </c>
      <c r="G110" s="462">
        <f t="shared" si="12"/>
        <v>151.1592949819246</v>
      </c>
      <c r="H110" s="464">
        <f t="shared" si="13"/>
        <v>171.43878403818971</v>
      </c>
      <c r="I110" s="475">
        <f t="shared" si="16"/>
        <v>42.859696009547427</v>
      </c>
      <c r="J110" s="463">
        <f t="shared" si="17"/>
        <v>194.01899099147204</v>
      </c>
      <c r="K110" s="477">
        <f>VLOOKUP(A110,'RAB Calculations 10yr'!$A$22:$J$119,10,FALSE)</f>
        <v>190.01017177679068</v>
      </c>
      <c r="L110" s="477">
        <f t="shared" si="18"/>
        <v>4.0088192146813526</v>
      </c>
      <c r="M110" s="479">
        <f t="shared" si="19"/>
        <v>2.1097919007149812E-2</v>
      </c>
      <c r="O110" s="476"/>
    </row>
    <row r="111" spans="1:15" x14ac:dyDescent="0.2">
      <c r="A111" s="459">
        <v>1450</v>
      </c>
      <c r="B111" s="460">
        <v>16</v>
      </c>
      <c r="C111" s="461">
        <f>VLOOKUP(A111,'[2]SLUOS Capital Charge'!$D$14:$F$220,3,FALSE)</f>
        <v>6445.6077335066184</v>
      </c>
      <c r="D111" s="464">
        <f t="shared" si="11"/>
        <v>103129.72373610589</v>
      </c>
      <c r="E111" s="464">
        <f t="shared" si="14"/>
        <v>10734.388481865772</v>
      </c>
      <c r="F111" s="462">
        <f t="shared" si="15"/>
        <v>670.89928011661073</v>
      </c>
      <c r="G111" s="462">
        <f t="shared" si="12"/>
        <v>167.72482002915268</v>
      </c>
      <c r="H111" s="464">
        <f t="shared" si="13"/>
        <v>760.90694131010775</v>
      </c>
      <c r="I111" s="475">
        <f t="shared" si="16"/>
        <v>47.556683831881735</v>
      </c>
      <c r="J111" s="463">
        <f t="shared" si="17"/>
        <v>215.28150386103442</v>
      </c>
      <c r="K111" s="477">
        <f>VLOOKUP(A111,'RAB Calculations 10yr'!$A$22:$J$119,10,FALSE)</f>
        <v>210.83335873444966</v>
      </c>
      <c r="L111" s="477">
        <f t="shared" si="18"/>
        <v>4.4481451265847625</v>
      </c>
      <c r="M111" s="479">
        <f t="shared" si="19"/>
        <v>2.1097919007149728E-2</v>
      </c>
      <c r="O111" s="476"/>
    </row>
    <row r="112" spans="1:15" x14ac:dyDescent="0.2">
      <c r="A112" s="459">
        <v>1470</v>
      </c>
      <c r="B112" s="460">
        <v>1</v>
      </c>
      <c r="C112" s="461">
        <f>VLOOKUP(A112,'[2]SLUOS Capital Charge'!$D$14:$F$220,3,FALSE)</f>
        <v>6536.6223503586189</v>
      </c>
      <c r="D112" s="464">
        <f t="shared" si="11"/>
        <v>6536.6223503586189</v>
      </c>
      <c r="E112" s="464">
        <f t="shared" si="14"/>
        <v>680.37265228734896</v>
      </c>
      <c r="F112" s="462">
        <f t="shared" si="15"/>
        <v>680.37265228734896</v>
      </c>
      <c r="G112" s="462">
        <f t="shared" si="12"/>
        <v>170.09316307183724</v>
      </c>
      <c r="H112" s="464">
        <f t="shared" si="13"/>
        <v>48.228203653854472</v>
      </c>
      <c r="I112" s="475">
        <f t="shared" si="16"/>
        <v>48.228203653854472</v>
      </c>
      <c r="J112" s="463">
        <f t="shared" si="17"/>
        <v>218.32136672569172</v>
      </c>
      <c r="K112" s="477">
        <f>VLOOKUP(A112,'RAB Calculations 10yr'!$A$22:$J$119,10,FALSE)</f>
        <v>213.81041197104136</v>
      </c>
      <c r="L112" s="477">
        <f t="shared" si="18"/>
        <v>4.5109547546503563</v>
      </c>
      <c r="M112" s="479">
        <f t="shared" si="19"/>
        <v>2.109791900714977E-2</v>
      </c>
    </row>
    <row r="113" spans="1:15" x14ac:dyDescent="0.2">
      <c r="A113" s="459">
        <v>1490</v>
      </c>
      <c r="B113" s="460">
        <v>8</v>
      </c>
      <c r="C113" s="461">
        <f>VLOOKUP(A113,'[2]SLUOS Capital Charge'!$D$14:$F$220,3,FALSE)</f>
        <v>5503.9736603866186</v>
      </c>
      <c r="D113" s="464">
        <f t="shared" si="11"/>
        <v>44031.789283092949</v>
      </c>
      <c r="E113" s="464">
        <f t="shared" si="14"/>
        <v>4583.1047984364632</v>
      </c>
      <c r="F113" s="462">
        <f t="shared" si="15"/>
        <v>572.8880998045579</v>
      </c>
      <c r="G113" s="462">
        <f t="shared" si="12"/>
        <v>143.22202495113947</v>
      </c>
      <c r="H113" s="464">
        <f t="shared" si="13"/>
        <v>324.87330412657354</v>
      </c>
      <c r="I113" s="475">
        <f t="shared" si="16"/>
        <v>40.609163015821693</v>
      </c>
      <c r="J113" s="463">
        <f t="shared" si="17"/>
        <v>183.83118796696118</v>
      </c>
      <c r="K113" s="477">
        <f>VLOOKUP(A113,'RAB Calculations 10yr'!$A$22:$J$119,10,FALSE)</f>
        <v>180.03286907655911</v>
      </c>
      <c r="L113" s="477">
        <f t="shared" si="18"/>
        <v>3.7983188904020722</v>
      </c>
      <c r="M113" s="479">
        <f t="shared" si="19"/>
        <v>2.1097919007149933E-2</v>
      </c>
      <c r="O113" s="476"/>
    </row>
    <row r="114" spans="1:15" x14ac:dyDescent="0.2">
      <c r="A114" s="459">
        <v>1620</v>
      </c>
      <c r="B114" s="460">
        <v>5</v>
      </c>
      <c r="C114" s="461">
        <f>VLOOKUP(A114,'[2]SLUOS Capital Charge'!$D$14:$F$220,3,FALSE)</f>
        <v>587.55721272000005</v>
      </c>
      <c r="D114" s="464">
        <f t="shared" si="11"/>
        <v>2937.7860636000005</v>
      </c>
      <c r="E114" s="464">
        <f t="shared" si="14"/>
        <v>305.78319945846084</v>
      </c>
      <c r="F114" s="462">
        <f t="shared" si="15"/>
        <v>61.156639891692166</v>
      </c>
      <c r="G114" s="462">
        <f t="shared" si="12"/>
        <v>15.289159972923041</v>
      </c>
      <c r="H114" s="464">
        <f t="shared" si="13"/>
        <v>21.675436788693027</v>
      </c>
      <c r="I114" s="475">
        <f t="shared" si="16"/>
        <v>4.3350873577386055</v>
      </c>
      <c r="J114" s="463">
        <f t="shared" si="17"/>
        <v>19.624247330661646</v>
      </c>
      <c r="K114" s="477">
        <f>VLOOKUP(A114,'RAB Calculations 10yr'!$A$22:$J$119,10,FALSE)</f>
        <v>19.218771251383032</v>
      </c>
      <c r="L114" s="477">
        <f t="shared" si="18"/>
        <v>0.40547607927861407</v>
      </c>
      <c r="M114" s="479">
        <f t="shared" si="19"/>
        <v>2.1097919007149583E-2</v>
      </c>
      <c r="O114" s="476"/>
    </row>
    <row r="115" spans="1:15" x14ac:dyDescent="0.2">
      <c r="A115" s="459">
        <v>1700</v>
      </c>
      <c r="B115" s="460">
        <v>8</v>
      </c>
      <c r="C115" s="461">
        <f>VLOOKUP(A115,'[2]SLUOS Capital Charge'!$D$14:$F$220,3,FALSE)</f>
        <v>2696.9868196247544</v>
      </c>
      <c r="D115" s="464">
        <f t="shared" si="11"/>
        <v>21575.894556998035</v>
      </c>
      <c r="E115" s="464">
        <f t="shared" si="14"/>
        <v>2245.7544307132198</v>
      </c>
      <c r="F115" s="462">
        <f t="shared" si="15"/>
        <v>280.71930383915247</v>
      </c>
      <c r="G115" s="462">
        <f t="shared" si="12"/>
        <v>70.179825959788118</v>
      </c>
      <c r="H115" s="464">
        <f t="shared" si="13"/>
        <v>159.19026386034108</v>
      </c>
      <c r="I115" s="475">
        <f t="shared" si="16"/>
        <v>19.898782982542635</v>
      </c>
      <c r="J115" s="463">
        <f t="shared" si="17"/>
        <v>90.07860894233076</v>
      </c>
      <c r="K115" s="477">
        <f>VLOOKUP(A115,'RAB Calculations 10yr'!$A$22:$J$119,10,FALSE)</f>
        <v>88.217405270904322</v>
      </c>
      <c r="L115" s="477">
        <f t="shared" si="18"/>
        <v>1.8612036714264377</v>
      </c>
      <c r="M115" s="479">
        <f t="shared" si="19"/>
        <v>2.1097919007149669E-2</v>
      </c>
    </row>
  </sheetData>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5"/>
  <sheetViews>
    <sheetView topLeftCell="A7" zoomScale="95" workbookViewId="0">
      <selection activeCell="H8" sqref="H8"/>
    </sheetView>
  </sheetViews>
  <sheetFormatPr defaultRowHeight="12.75" x14ac:dyDescent="0.2"/>
  <cols>
    <col min="1" max="1" width="31.28515625" bestFit="1" customWidth="1"/>
    <col min="2" max="2" width="11.7109375" bestFit="1" customWidth="1"/>
    <col min="3" max="3" width="12.7109375" customWidth="1"/>
    <col min="4" max="4" width="16.28515625" customWidth="1"/>
    <col min="5" max="5" width="12.85546875" bestFit="1" customWidth="1"/>
    <col min="6" max="6" width="11.85546875" customWidth="1"/>
    <col min="7" max="7" width="11.42578125" customWidth="1"/>
    <col min="8" max="8" width="14.140625" customWidth="1"/>
    <col min="9" max="9" width="12.140625" customWidth="1"/>
    <col min="10" max="11" width="13.42578125" customWidth="1"/>
    <col min="12" max="12" width="13.140625" customWidth="1"/>
    <col min="13" max="13" width="12.28515625" customWidth="1"/>
    <col min="14" max="14" width="8.42578125" bestFit="1" customWidth="1"/>
    <col min="15" max="15" width="12.85546875" bestFit="1" customWidth="1"/>
    <col min="16" max="16" width="21" customWidth="1"/>
    <col min="17" max="17" width="14.85546875" bestFit="1" customWidth="1"/>
    <col min="18" max="18" width="16.42578125" customWidth="1"/>
    <col min="19" max="32" width="7.42578125" bestFit="1" customWidth="1"/>
  </cols>
  <sheetData>
    <row r="1" spans="1:28" ht="16.5" x14ac:dyDescent="0.3">
      <c r="A1" s="313" t="s">
        <v>2156</v>
      </c>
    </row>
    <row r="3" spans="1:28" ht="25.5" customHeight="1" x14ac:dyDescent="0.2">
      <c r="A3" s="277" t="s">
        <v>848</v>
      </c>
      <c r="B3" s="278" t="s">
        <v>853</v>
      </c>
      <c r="C3" s="295" t="s">
        <v>357</v>
      </c>
      <c r="D3" s="295" t="s">
        <v>358</v>
      </c>
      <c r="E3" s="295" t="s">
        <v>359</v>
      </c>
      <c r="F3" s="295" t="s">
        <v>360</v>
      </c>
      <c r="G3" s="295" t="s">
        <v>361</v>
      </c>
      <c r="H3" s="309" t="s">
        <v>1573</v>
      </c>
      <c r="I3" s="309" t="s">
        <v>1574</v>
      </c>
      <c r="J3" s="309" t="s">
        <v>1575</v>
      </c>
      <c r="K3" s="309" t="s">
        <v>1576</v>
      </c>
      <c r="L3" s="309" t="s">
        <v>1577</v>
      </c>
    </row>
    <row r="4" spans="1:28" ht="27" customHeight="1" x14ac:dyDescent="0.2">
      <c r="A4" s="279" t="s">
        <v>854</v>
      </c>
      <c r="B4" s="282">
        <v>14.931717660643365</v>
      </c>
      <c r="C4" s="296">
        <v>15.936969190462666</v>
      </c>
      <c r="D4" s="296">
        <v>14.497146850004153</v>
      </c>
      <c r="E4" s="296">
        <v>13.021688906619293</v>
      </c>
      <c r="F4" s="296">
        <v>11.509713379135658</v>
      </c>
      <c r="G4" s="296">
        <v>9.9603164573468028</v>
      </c>
      <c r="H4" s="310">
        <v>8.3725719617436738</v>
      </c>
      <c r="I4" s="310">
        <v>6.7455307898743664</v>
      </c>
      <c r="J4" s="310">
        <v>5.0782203490012927</v>
      </c>
      <c r="K4" s="310">
        <v>3.3696439747166105</v>
      </c>
      <c r="L4" s="310">
        <v>1.6187803351683825</v>
      </c>
    </row>
    <row r="5" spans="1:28" ht="27" customHeight="1" x14ac:dyDescent="0.2">
      <c r="A5" s="280" t="s">
        <v>855</v>
      </c>
      <c r="B5" s="283">
        <v>0.47525152981930091</v>
      </c>
      <c r="C5" s="298">
        <v>0.39443998746395098</v>
      </c>
      <c r="D5" s="298">
        <v>0.35880438453760283</v>
      </c>
      <c r="E5" s="298">
        <v>0.32228680043882751</v>
      </c>
      <c r="F5" s="298">
        <v>0.28486540613360756</v>
      </c>
      <c r="G5" s="298">
        <v>0.24651783231933339</v>
      </c>
      <c r="H5" s="311">
        <v>0.20722115605315594</v>
      </c>
      <c r="I5" s="311">
        <v>0.16695188704939057</v>
      </c>
      <c r="J5" s="311">
        <v>0.12568595363778201</v>
      </c>
      <c r="K5" s="311">
        <v>8.3398688374236113E-2</v>
      </c>
      <c r="L5" s="311">
        <v>4.0064813295417466E-2</v>
      </c>
    </row>
    <row r="6" spans="1:28" ht="27" customHeight="1" x14ac:dyDescent="0.2">
      <c r="A6" s="280" t="s">
        <v>856</v>
      </c>
      <c r="B6" s="283">
        <v>1.82</v>
      </c>
      <c r="C6" s="298">
        <v>0</v>
      </c>
      <c r="D6" s="298">
        <v>0</v>
      </c>
      <c r="E6" s="298">
        <v>0</v>
      </c>
      <c r="F6" s="298">
        <v>0</v>
      </c>
      <c r="G6" s="298">
        <v>0</v>
      </c>
      <c r="H6" s="311">
        <v>0</v>
      </c>
      <c r="I6" s="311">
        <v>0</v>
      </c>
      <c r="J6" s="311">
        <v>0</v>
      </c>
      <c r="K6" s="311">
        <v>0</v>
      </c>
      <c r="L6" s="311">
        <v>0</v>
      </c>
    </row>
    <row r="7" spans="1:28" ht="27" customHeight="1" x14ac:dyDescent="0.2">
      <c r="A7" s="280" t="s">
        <v>857</v>
      </c>
      <c r="B7" s="283">
        <v>1.29</v>
      </c>
      <c r="C7" s="298">
        <v>1.8342623279224641</v>
      </c>
      <c r="D7" s="298">
        <v>1.8342623279224641</v>
      </c>
      <c r="E7" s="298">
        <v>1.8342623279224641</v>
      </c>
      <c r="F7" s="298">
        <v>1.8342623279224641</v>
      </c>
      <c r="G7" s="298">
        <v>1.8342623279224641</v>
      </c>
      <c r="H7" s="311">
        <v>1.8342623279224641</v>
      </c>
      <c r="I7" s="311">
        <v>1.8342623279224641</v>
      </c>
      <c r="J7" s="311">
        <v>1.8342623279224641</v>
      </c>
      <c r="K7" s="311">
        <v>1.8342623279224641</v>
      </c>
      <c r="L7" s="311">
        <v>1.8342623279224641</v>
      </c>
    </row>
    <row r="8" spans="1:28" ht="27" customHeight="1" x14ac:dyDescent="0.2">
      <c r="A8" s="281" t="s">
        <v>858</v>
      </c>
      <c r="B8" s="284">
        <v>15.936969190462666</v>
      </c>
      <c r="C8" s="297">
        <v>14.497146850004153</v>
      </c>
      <c r="D8" s="297">
        <v>13.021688906619293</v>
      </c>
      <c r="E8" s="297">
        <v>11.509713379135658</v>
      </c>
      <c r="F8" s="297">
        <v>9.9603164573468028</v>
      </c>
      <c r="G8" s="297">
        <v>8.3725719617436738</v>
      </c>
      <c r="H8" s="312">
        <v>6.7455307898743664</v>
      </c>
      <c r="I8" s="312">
        <v>5.0782203490012927</v>
      </c>
      <c r="J8" s="312">
        <v>3.3696439747166105</v>
      </c>
      <c r="K8" s="312">
        <v>1.6187803351683825</v>
      </c>
      <c r="L8" s="312">
        <v>-0.17541717945866409</v>
      </c>
    </row>
    <row r="9" spans="1:28" s="409" customFormat="1" ht="11.25" customHeight="1" thickBot="1" x14ac:dyDescent="0.25">
      <c r="A9" s="482"/>
      <c r="B9" s="456"/>
      <c r="C9" s="456"/>
      <c r="D9" s="456"/>
      <c r="E9" s="456"/>
      <c r="F9" s="456"/>
      <c r="G9" s="456"/>
      <c r="H9" s="456"/>
      <c r="I9" s="456"/>
      <c r="J9" s="456"/>
      <c r="K9" s="456"/>
      <c r="L9" s="456"/>
    </row>
    <row r="10" spans="1:28" ht="15" customHeight="1" thickBot="1" x14ac:dyDescent="0.25">
      <c r="A10" s="481" t="s">
        <v>2155</v>
      </c>
      <c r="B10" s="470" t="s">
        <v>1574</v>
      </c>
      <c r="C10" s="294"/>
      <c r="D10" s="294"/>
      <c r="E10" s="294"/>
    </row>
    <row r="11" spans="1:28" ht="15" customHeight="1" x14ac:dyDescent="0.2">
      <c r="A11" s="481" t="s">
        <v>2149</v>
      </c>
      <c r="B11" s="470">
        <v>4</v>
      </c>
      <c r="D11" s="456"/>
      <c r="E11" s="474"/>
      <c r="F11" s="474"/>
      <c r="G11" s="454"/>
      <c r="I11" s="320"/>
      <c r="J11" s="321"/>
    </row>
    <row r="12" spans="1:28" ht="15" customHeight="1" x14ac:dyDescent="0.2">
      <c r="A12" s="467" t="s">
        <v>1057</v>
      </c>
      <c r="B12" s="471">
        <f>[1]Sheet1!$E$30</f>
        <v>7.088498265136875E-2</v>
      </c>
      <c r="D12" s="457"/>
      <c r="E12" s="474"/>
      <c r="F12" s="474"/>
      <c r="G12" s="455"/>
      <c r="I12" s="453"/>
      <c r="J12" s="378"/>
      <c r="K12" s="379"/>
      <c r="L12" s="380"/>
      <c r="M12" s="380"/>
      <c r="N12" s="381"/>
      <c r="O12" s="381"/>
    </row>
    <row r="13" spans="1:28" ht="15" customHeight="1" x14ac:dyDescent="0.2">
      <c r="A13" s="468" t="s">
        <v>2063</v>
      </c>
      <c r="B13" s="472">
        <f>SUBTOTAL(9,D18:D117)</f>
        <v>34372173.850122876</v>
      </c>
      <c r="D13" s="365"/>
    </row>
    <row r="14" spans="1:28" ht="15" customHeight="1" thickBot="1" x14ac:dyDescent="0.25">
      <c r="A14" s="469" t="s">
        <v>2064</v>
      </c>
      <c r="B14" s="473">
        <f>H8*1000000/B13</f>
        <v>0.19624975770481423</v>
      </c>
    </row>
    <row r="16" spans="1:28" x14ac:dyDescent="0.2">
      <c r="A16" s="465" t="s">
        <v>2151</v>
      </c>
      <c r="B16" s="466">
        <f>SUM(B18:B116)</f>
        <v>26973</v>
      </c>
      <c r="C16" s="465"/>
      <c r="D16" s="465">
        <f>SUM(D18:D116)</f>
        <v>34372173.850122876</v>
      </c>
      <c r="E16" s="465">
        <f>SUM(E18:E116)</f>
        <v>6745530.7898743683</v>
      </c>
      <c r="F16" s="465"/>
      <c r="G16" s="465"/>
      <c r="H16" s="465">
        <f>SUM(H18:H116)</f>
        <v>478156.83301451831</v>
      </c>
      <c r="I16" s="465"/>
      <c r="J16" s="465"/>
      <c r="K16" s="465"/>
      <c r="L16" s="465"/>
      <c r="M16" s="465"/>
    </row>
    <row r="17" spans="1:15" ht="57.4" customHeight="1" x14ac:dyDescent="0.2">
      <c r="A17" s="331" t="s">
        <v>2056</v>
      </c>
      <c r="B17" s="331" t="s">
        <v>2157</v>
      </c>
      <c r="C17" s="331" t="s">
        <v>330</v>
      </c>
      <c r="D17" s="331" t="s">
        <v>331</v>
      </c>
      <c r="E17" s="332" t="s">
        <v>332</v>
      </c>
      <c r="F17" s="332" t="s">
        <v>333</v>
      </c>
      <c r="G17" s="332" t="s">
        <v>466</v>
      </c>
      <c r="H17" s="332" t="s">
        <v>859</v>
      </c>
      <c r="I17" s="332" t="s">
        <v>467</v>
      </c>
      <c r="J17" s="332" t="s">
        <v>2150</v>
      </c>
      <c r="K17" s="332" t="s">
        <v>2152</v>
      </c>
      <c r="L17" s="332" t="s">
        <v>2153</v>
      </c>
      <c r="M17" s="332" t="s">
        <v>2154</v>
      </c>
    </row>
    <row r="18" spans="1:15" x14ac:dyDescent="0.2">
      <c r="A18" s="459">
        <v>1</v>
      </c>
      <c r="B18" s="460">
        <v>0</v>
      </c>
      <c r="C18" s="461">
        <v>0</v>
      </c>
      <c r="D18" s="464">
        <f t="shared" ref="D18:D81" si="0">B18*C18</f>
        <v>0</v>
      </c>
      <c r="E18" s="464">
        <v>0</v>
      </c>
      <c r="F18" s="462">
        <f>IF(E18=0,0,E18/B18)</f>
        <v>0</v>
      </c>
      <c r="G18" s="462">
        <f t="shared" ref="G18:G49" si="1">F18/$B$11</f>
        <v>0</v>
      </c>
      <c r="H18" s="464">
        <f t="shared" ref="H18:H49" si="2">E18*$B$12</f>
        <v>0</v>
      </c>
      <c r="I18" s="475">
        <f>IF(H18=0,0,H18/B18)</f>
        <v>0</v>
      </c>
      <c r="J18" s="463">
        <f>G18+I18</f>
        <v>0</v>
      </c>
    </row>
    <row r="19" spans="1:15" x14ac:dyDescent="0.2">
      <c r="A19" s="459">
        <v>5</v>
      </c>
      <c r="B19" s="460">
        <v>0</v>
      </c>
      <c r="C19" s="461">
        <v>0</v>
      </c>
      <c r="D19" s="464">
        <f t="shared" si="0"/>
        <v>0</v>
      </c>
      <c r="E19" s="464">
        <f t="shared" ref="E19:E82" si="3">D19*$B$14</f>
        <v>0</v>
      </c>
      <c r="F19" s="462">
        <f t="shared" ref="F19:F82" si="4">IF(E19=0,0,E19/B19)</f>
        <v>0</v>
      </c>
      <c r="G19" s="462">
        <f t="shared" si="1"/>
        <v>0</v>
      </c>
      <c r="H19" s="464">
        <f t="shared" si="2"/>
        <v>0</v>
      </c>
      <c r="I19" s="475">
        <f t="shared" ref="I19:I82" si="5">IF(H19=0,0,H19/B19)</f>
        <v>0</v>
      </c>
      <c r="J19" s="463">
        <f t="shared" ref="J19:J82" si="6">G19+I19</f>
        <v>0</v>
      </c>
    </row>
    <row r="20" spans="1:15" x14ac:dyDescent="0.2">
      <c r="A20" s="459">
        <v>10</v>
      </c>
      <c r="B20" s="460">
        <f>VLOOKUP(A20,[3]Sheet1!$A:$B,2,FALSE)</f>
        <v>7990</v>
      </c>
      <c r="C20" s="461">
        <f>VLOOKUP(A20,'[2]SLUOS Capital Charge'!$D$14:$F$220,3,FALSE)</f>
        <v>527.52153271999998</v>
      </c>
      <c r="D20" s="464">
        <f t="shared" si="0"/>
        <v>4214897.0464327997</v>
      </c>
      <c r="E20" s="464">
        <f t="shared" si="3"/>
        <v>827172.52411317406</v>
      </c>
      <c r="F20" s="462">
        <f t="shared" si="4"/>
        <v>103.52597298037222</v>
      </c>
      <c r="G20" s="462">
        <f t="shared" si="1"/>
        <v>25.881493245093054</v>
      </c>
      <c r="H20" s="464">
        <f t="shared" si="2"/>
        <v>58634.110021451241</v>
      </c>
      <c r="I20" s="475">
        <f t="shared" si="5"/>
        <v>7.338436798679755</v>
      </c>
      <c r="J20" s="463">
        <f t="shared" si="6"/>
        <v>33.219930043772806</v>
      </c>
      <c r="K20" s="477">
        <f>VLOOKUP(A20,'RAB Calculations 10yr'!$A$22:$J$119,10,FALSE)</f>
        <v>17.255027166785979</v>
      </c>
      <c r="L20" s="477">
        <f>J20-K20</f>
        <v>15.964902876986827</v>
      </c>
      <c r="M20" s="479">
        <f>L20/K20</f>
        <v>0.92523197574081484</v>
      </c>
      <c r="O20" s="476"/>
    </row>
    <row r="21" spans="1:15" x14ac:dyDescent="0.2">
      <c r="A21" s="459">
        <v>20</v>
      </c>
      <c r="B21" s="460">
        <f>VLOOKUP(A21,[3]Sheet1!$A:$B,2,FALSE)</f>
        <v>235</v>
      </c>
      <c r="C21" s="461">
        <f>VLOOKUP(A21,'[2]SLUOS Capital Charge'!$D$14:$F$220,3,FALSE)</f>
        <v>993.61161271999981</v>
      </c>
      <c r="D21" s="464">
        <f t="shared" si="0"/>
        <v>233498.72898919997</v>
      </c>
      <c r="E21" s="464">
        <f t="shared" si="3"/>
        <v>45824.068988512576</v>
      </c>
      <c r="F21" s="462">
        <f t="shared" si="4"/>
        <v>194.99603824898969</v>
      </c>
      <c r="G21" s="462">
        <f t="shared" si="1"/>
        <v>48.749009562247423</v>
      </c>
      <c r="H21" s="464">
        <f t="shared" si="2"/>
        <v>3248.2383352658385</v>
      </c>
      <c r="I21" s="475">
        <f t="shared" si="5"/>
        <v>13.822290788365271</v>
      </c>
      <c r="J21" s="463">
        <f t="shared" si="6"/>
        <v>62.571300350612695</v>
      </c>
      <c r="K21" s="477">
        <f>VLOOKUP(A21,'RAB Calculations 10yr'!$A$22:$J$119,10,FALSE)</f>
        <v>32.500655058222634</v>
      </c>
      <c r="L21" s="477">
        <f t="shared" ref="L21:L27" si="7">J21-K21</f>
        <v>30.070645292390061</v>
      </c>
      <c r="M21" s="479">
        <f t="shared" ref="M21:M27" si="8">L21/K21</f>
        <v>0.92523197574081562</v>
      </c>
      <c r="O21" s="476"/>
    </row>
    <row r="22" spans="1:15" x14ac:dyDescent="0.2">
      <c r="A22" s="459">
        <v>30</v>
      </c>
      <c r="B22" s="460">
        <f>VLOOKUP(A22,[3]Sheet1!$A:$B,2,FALSE)</f>
        <v>144</v>
      </c>
      <c r="C22" s="461">
        <f>VLOOKUP(A22,'[2]SLUOS Capital Charge'!$D$14:$F$220,3,FALSE)</f>
        <v>997.93650231999982</v>
      </c>
      <c r="D22" s="464">
        <f t="shared" si="0"/>
        <v>143702.85633407999</v>
      </c>
      <c r="E22" s="464">
        <f t="shared" si="3"/>
        <v>28201.650737052925</v>
      </c>
      <c r="F22" s="462">
        <f t="shared" si="4"/>
        <v>195.84479678508976</v>
      </c>
      <c r="G22" s="462">
        <f t="shared" si="1"/>
        <v>48.961199196272439</v>
      </c>
      <c r="H22" s="464">
        <f t="shared" si="2"/>
        <v>1999.0735232359573</v>
      </c>
      <c r="I22" s="475">
        <f t="shared" si="5"/>
        <v>13.882455022471925</v>
      </c>
      <c r="J22" s="463">
        <f t="shared" si="6"/>
        <v>62.843654218744362</v>
      </c>
      <c r="K22" s="477">
        <f>VLOOKUP(A22,'RAB Calculations 10yr'!$A$22:$J$119,10,FALSE)</f>
        <v>32.642120539558654</v>
      </c>
      <c r="L22" s="477">
        <f t="shared" si="7"/>
        <v>30.201533679185708</v>
      </c>
      <c r="M22" s="479">
        <f t="shared" si="8"/>
        <v>0.9252319757408155</v>
      </c>
      <c r="O22" s="476"/>
    </row>
    <row r="23" spans="1:15" x14ac:dyDescent="0.2">
      <c r="A23" s="459">
        <v>40</v>
      </c>
      <c r="B23" s="460">
        <f>VLOOKUP(A23,[3]Sheet1!$A:$B,2,FALSE)</f>
        <v>3906</v>
      </c>
      <c r="C23" s="461">
        <f>VLOOKUP(A23,'[2]SLUOS Capital Charge'!$D$14:$F$220,3,FALSE)</f>
        <v>565.07913271999996</v>
      </c>
      <c r="D23" s="464">
        <f t="shared" si="0"/>
        <v>2207199.0924043199</v>
      </c>
      <c r="E23" s="464">
        <f t="shared" si="3"/>
        <v>433162.28709063365</v>
      </c>
      <c r="F23" s="462">
        <f t="shared" si="4"/>
        <v>110.89664288034656</v>
      </c>
      <c r="G23" s="462">
        <f t="shared" si="1"/>
        <v>27.72416072008664</v>
      </c>
      <c r="H23" s="464">
        <f t="shared" si="2"/>
        <v>30704.701205646776</v>
      </c>
      <c r="I23" s="475">
        <f t="shared" si="5"/>
        <v>7.8609066066684017</v>
      </c>
      <c r="J23" s="463">
        <f t="shared" si="6"/>
        <v>35.585067326755045</v>
      </c>
      <c r="K23" s="477">
        <f>VLOOKUP(A23,'RAB Calculations 10yr'!$A$22:$J$119,10,FALSE)</f>
        <v>18.483521869130684</v>
      </c>
      <c r="L23" s="477">
        <f t="shared" si="7"/>
        <v>17.101545457624361</v>
      </c>
      <c r="M23" s="479">
        <f t="shared" si="8"/>
        <v>0.92523197574081595</v>
      </c>
      <c r="O23" s="476"/>
    </row>
    <row r="24" spans="1:15" x14ac:dyDescent="0.2">
      <c r="A24" s="459">
        <v>50</v>
      </c>
      <c r="B24" s="460">
        <f>VLOOKUP(A24,[3]Sheet1!$A:$B,2,FALSE)</f>
        <v>1329</v>
      </c>
      <c r="C24" s="461">
        <f>VLOOKUP(A24,'[2]SLUOS Capital Charge'!$D$14:$F$220,3,FALSE)</f>
        <v>978.60489271999984</v>
      </c>
      <c r="D24" s="464">
        <f t="shared" si="0"/>
        <v>1300565.9024248798</v>
      </c>
      <c r="E24" s="464">
        <f t="shared" si="3"/>
        <v>255235.74323002575</v>
      </c>
      <c r="F24" s="462">
        <f t="shared" si="4"/>
        <v>192.05097308504571</v>
      </c>
      <c r="G24" s="462">
        <f t="shared" si="1"/>
        <v>48.012743271261428</v>
      </c>
      <c r="H24" s="464">
        <f t="shared" si="2"/>
        <v>18092.381230869585</v>
      </c>
      <c r="I24" s="475">
        <f t="shared" si="5"/>
        <v>13.613529895311952</v>
      </c>
      <c r="J24" s="463">
        <f t="shared" si="6"/>
        <v>61.626273166573384</v>
      </c>
      <c r="K24" s="477">
        <f>VLOOKUP(A24,'RAB Calculations 10yr'!$A$22:$J$119,10,FALSE)</f>
        <v>32.009790998230237</v>
      </c>
      <c r="L24" s="477">
        <f t="shared" si="7"/>
        <v>29.616482168343147</v>
      </c>
      <c r="M24" s="479">
        <f t="shared" si="8"/>
        <v>0.92523197574081595</v>
      </c>
      <c r="O24" s="476"/>
    </row>
    <row r="25" spans="1:15" x14ac:dyDescent="0.2">
      <c r="A25" s="459">
        <v>60</v>
      </c>
      <c r="B25" s="460">
        <f>VLOOKUP(A25,[3]Sheet1!$A:$B,2,FALSE)</f>
        <v>2403</v>
      </c>
      <c r="C25" s="461">
        <f>VLOOKUP(A25,'[2]SLUOS Capital Charge'!$D$14:$F$220,3,FALSE)</f>
        <v>982.52848311999992</v>
      </c>
      <c r="D25" s="464">
        <f t="shared" si="0"/>
        <v>2361015.94493736</v>
      </c>
      <c r="E25" s="464">
        <f t="shared" si="3"/>
        <v>463348.80713115993</v>
      </c>
      <c r="F25" s="462">
        <f t="shared" si="4"/>
        <v>192.82097675037866</v>
      </c>
      <c r="G25" s="462">
        <f t="shared" si="1"/>
        <v>48.205244187594666</v>
      </c>
      <c r="H25" s="464">
        <f t="shared" si="2"/>
        <v>32844.472155024676</v>
      </c>
      <c r="I25" s="475">
        <f t="shared" si="5"/>
        <v>13.668111591770568</v>
      </c>
      <c r="J25" s="463">
        <f t="shared" si="6"/>
        <v>61.873355779365234</v>
      </c>
      <c r="K25" s="477">
        <f>VLOOKUP(A25,'RAB Calculations 10yr'!$A$22:$J$119,10,FALSE)</f>
        <v>32.138130136529035</v>
      </c>
      <c r="L25" s="477">
        <f t="shared" si="7"/>
        <v>29.735225642836198</v>
      </c>
      <c r="M25" s="479">
        <f t="shared" si="8"/>
        <v>0.92523197574081528</v>
      </c>
      <c r="O25" s="476"/>
    </row>
    <row r="26" spans="1:15" x14ac:dyDescent="0.2">
      <c r="A26" s="459">
        <v>70</v>
      </c>
      <c r="B26" s="460">
        <f>VLOOKUP(A26,[3]Sheet1!$A:$B,2,FALSE)</f>
        <v>132</v>
      </c>
      <c r="C26" s="461">
        <f>VLOOKUP(A26,'[2]SLUOS Capital Charge'!$D$14:$F$220,3,FALSE)</f>
        <v>1093.9916447199998</v>
      </c>
      <c r="D26" s="464">
        <f t="shared" si="0"/>
        <v>144406.89710303998</v>
      </c>
      <c r="E26" s="464">
        <f t="shared" si="3"/>
        <v>28339.818567375638</v>
      </c>
      <c r="F26" s="462">
        <f t="shared" si="4"/>
        <v>214.69559520739119</v>
      </c>
      <c r="G26" s="462">
        <f t="shared" si="1"/>
        <v>53.673898801847798</v>
      </c>
      <c r="H26" s="464">
        <f t="shared" si="2"/>
        <v>2008.86754749136</v>
      </c>
      <c r="I26" s="475">
        <f t="shared" si="5"/>
        <v>15.218693541601212</v>
      </c>
      <c r="J26" s="463">
        <f t="shared" si="6"/>
        <v>68.89259234344901</v>
      </c>
      <c r="K26" s="477">
        <f>VLOOKUP(A26,'RAB Calculations 10yr'!$A$22:$J$119,10,FALSE)</f>
        <v>35.784047435083579</v>
      </c>
      <c r="L26" s="477">
        <f t="shared" si="7"/>
        <v>33.108544908365431</v>
      </c>
      <c r="M26" s="479">
        <f t="shared" si="8"/>
        <v>0.92523197574081517</v>
      </c>
      <c r="O26" s="476"/>
    </row>
    <row r="27" spans="1:15" x14ac:dyDescent="0.2">
      <c r="A27" s="459">
        <v>90</v>
      </c>
      <c r="B27" s="460">
        <f>VLOOKUP(A27,[3]Sheet1!$A:$B,2,FALSE)</f>
        <v>1230</v>
      </c>
      <c r="C27" s="461">
        <f>VLOOKUP(A27,'[2]SLUOS Capital Charge'!$D$14:$F$220,3,FALSE)</f>
        <v>598.07627522000007</v>
      </c>
      <c r="D27" s="464">
        <f t="shared" si="0"/>
        <v>735633.81852060009</v>
      </c>
      <c r="E27" s="464">
        <f t="shared" si="3"/>
        <v>144367.95864413504</v>
      </c>
      <c r="F27" s="462">
        <f t="shared" si="4"/>
        <v>117.3723241009228</v>
      </c>
      <c r="G27" s="462">
        <f t="shared" si="1"/>
        <v>29.343081025230699</v>
      </c>
      <c r="H27" s="464">
        <f t="shared" si="2"/>
        <v>10233.520243903033</v>
      </c>
      <c r="I27" s="475">
        <f t="shared" si="5"/>
        <v>8.3199351576447427</v>
      </c>
      <c r="J27" s="463">
        <f t="shared" si="6"/>
        <v>37.663016182875438</v>
      </c>
      <c r="K27" s="477">
        <f>VLOOKUP(A27,'RAB Calculations 10yr'!$A$22:$J$119,10,FALSE)</f>
        <v>19.562845754409921</v>
      </c>
      <c r="L27" s="477">
        <f t="shared" si="7"/>
        <v>18.100170428465518</v>
      </c>
      <c r="M27" s="479">
        <f t="shared" si="8"/>
        <v>0.92523197574081562</v>
      </c>
      <c r="O27" s="476"/>
    </row>
    <row r="28" spans="1:15" x14ac:dyDescent="0.2">
      <c r="A28" s="459">
        <v>110</v>
      </c>
      <c r="B28" s="460">
        <v>0</v>
      </c>
      <c r="C28" s="461">
        <f>VLOOKUP(A28,'[2]SLUOS Capital Charge'!$D$14:$F$220,3,FALSE)</f>
        <v>250.425946616</v>
      </c>
      <c r="D28" s="464">
        <f t="shared" si="0"/>
        <v>0</v>
      </c>
      <c r="E28" s="464">
        <f t="shared" si="3"/>
        <v>0</v>
      </c>
      <c r="F28" s="462">
        <f t="shared" si="4"/>
        <v>0</v>
      </c>
      <c r="G28" s="462">
        <f t="shared" si="1"/>
        <v>0</v>
      </c>
      <c r="H28" s="464">
        <f t="shared" si="2"/>
        <v>0</v>
      </c>
      <c r="I28" s="475">
        <f t="shared" si="5"/>
        <v>0</v>
      </c>
      <c r="J28" s="463">
        <f t="shared" si="6"/>
        <v>0</v>
      </c>
      <c r="K28" s="478"/>
      <c r="L28" s="478"/>
    </row>
    <row r="29" spans="1:15" x14ac:dyDescent="0.2">
      <c r="A29" s="459">
        <v>120</v>
      </c>
      <c r="B29" s="460">
        <f>VLOOKUP(A29,[3]Sheet1!$A:$B,2,FALSE)</f>
        <v>4</v>
      </c>
      <c r="C29" s="461">
        <f>VLOOKUP(A29,'[2]SLUOS Capital Charge'!$D$14:$F$220,3,FALSE)</f>
        <v>1845.18472122</v>
      </c>
      <c r="D29" s="464">
        <f t="shared" si="0"/>
        <v>7380.7388848800001</v>
      </c>
      <c r="E29" s="464">
        <f t="shared" si="3"/>
        <v>1448.4682178402009</v>
      </c>
      <c r="F29" s="462">
        <f t="shared" si="4"/>
        <v>362.11705446005021</v>
      </c>
      <c r="G29" s="462">
        <f t="shared" si="1"/>
        <v>90.529263615012553</v>
      </c>
      <c r="H29" s="464">
        <f t="shared" si="2"/>
        <v>102.67464449266164</v>
      </c>
      <c r="I29" s="475">
        <f t="shared" si="5"/>
        <v>25.66866112316541</v>
      </c>
      <c r="J29" s="463">
        <f t="shared" si="6"/>
        <v>116.19792473817796</v>
      </c>
      <c r="K29" s="477">
        <f>VLOOKUP(A29,'RAB Calculations 10yr'!$A$22:$J$119,10,FALSE)</f>
        <v>60.355285078550516</v>
      </c>
      <c r="L29" s="477">
        <f t="shared" ref="L29:L31" si="9">J29-K29</f>
        <v>55.842639659627444</v>
      </c>
      <c r="M29" s="479">
        <f t="shared" ref="M29:M31" si="10">L29/K29</f>
        <v>0.92523197574081528</v>
      </c>
      <c r="O29" s="476"/>
    </row>
    <row r="30" spans="1:15" x14ac:dyDescent="0.2">
      <c r="A30" s="459">
        <v>140</v>
      </c>
      <c r="B30" s="460">
        <f>VLOOKUP(A30,[3]Sheet1!$A:$B,2,FALSE)</f>
        <v>246</v>
      </c>
      <c r="C30" s="461">
        <f>VLOOKUP(A30,'[2]SLUOS Capital Charge'!$D$14:$F$220,3,FALSE)</f>
        <v>1634.5029204125976</v>
      </c>
      <c r="D30" s="464">
        <f t="shared" si="0"/>
        <v>402087.71842149901</v>
      </c>
      <c r="E30" s="464">
        <f t="shared" si="3"/>
        <v>78909.617316300748</v>
      </c>
      <c r="F30" s="462">
        <f t="shared" si="4"/>
        <v>320.77080209878352</v>
      </c>
      <c r="G30" s="462">
        <f t="shared" si="1"/>
        <v>80.19270052469588</v>
      </c>
      <c r="H30" s="464">
        <f t="shared" si="2"/>
        <v>5593.506854492126</v>
      </c>
      <c r="I30" s="475">
        <f t="shared" si="5"/>
        <v>22.737832741837909</v>
      </c>
      <c r="J30" s="463">
        <f t="shared" si="6"/>
        <v>102.93053326653379</v>
      </c>
      <c r="K30" s="477">
        <f>VLOOKUP(A30,'RAB Calculations 10yr'!$A$22:$J$119,10,FALSE)</f>
        <v>53.463964116286228</v>
      </c>
      <c r="L30" s="477">
        <f t="shared" si="9"/>
        <v>49.466569150247558</v>
      </c>
      <c r="M30" s="479">
        <f t="shared" si="10"/>
        <v>0.92523197574081528</v>
      </c>
      <c r="O30" s="476"/>
    </row>
    <row r="31" spans="1:15" x14ac:dyDescent="0.2">
      <c r="A31" s="459">
        <v>170</v>
      </c>
      <c r="B31" s="460">
        <f>VLOOKUP(A31,[3]Sheet1!$A:$B,2,FALSE)</f>
        <v>685</v>
      </c>
      <c r="C31" s="461">
        <f>VLOOKUP(A31,'[2]SLUOS Capital Charge'!$D$14:$F$220,3,FALSE)</f>
        <v>2707.5058821247544</v>
      </c>
      <c r="D31" s="464">
        <f t="shared" si="0"/>
        <v>1854641.5292554568</v>
      </c>
      <c r="E31" s="464">
        <f t="shared" si="3"/>
        <v>363972.95074566954</v>
      </c>
      <c r="F31" s="462">
        <f t="shared" si="4"/>
        <v>531.34737335134241</v>
      </c>
      <c r="G31" s="462">
        <f t="shared" si="1"/>
        <v>132.8368433378356</v>
      </c>
      <c r="H31" s="464">
        <f t="shared" si="2"/>
        <v>25800.216299174277</v>
      </c>
      <c r="I31" s="475">
        <f t="shared" si="5"/>
        <v>37.664549341860258</v>
      </c>
      <c r="J31" s="463">
        <f t="shared" si="6"/>
        <v>170.50139267969587</v>
      </c>
      <c r="K31" s="477">
        <f>VLOOKUP(A31,'RAB Calculations 10yr'!$A$22:$J$119,10,FALSE)</f>
        <v>88.561479773931197</v>
      </c>
      <c r="L31" s="477">
        <f t="shared" si="9"/>
        <v>81.939912905764672</v>
      </c>
      <c r="M31" s="479">
        <f t="shared" si="10"/>
        <v>0.92523197574081595</v>
      </c>
      <c r="O31" s="476"/>
    </row>
    <row r="32" spans="1:15" x14ac:dyDescent="0.2">
      <c r="A32" s="459">
        <v>190</v>
      </c>
      <c r="B32" s="460">
        <v>0</v>
      </c>
      <c r="C32" s="461">
        <f>VLOOKUP(A32,'[2]SLUOS Capital Charge'!$D$14:$F$220,3,FALSE)</f>
        <v>4217.7541464159995</v>
      </c>
      <c r="D32" s="464">
        <f t="shared" si="0"/>
        <v>0</v>
      </c>
      <c r="E32" s="464">
        <f t="shared" si="3"/>
        <v>0</v>
      </c>
      <c r="F32" s="462">
        <f t="shared" si="4"/>
        <v>0</v>
      </c>
      <c r="G32" s="462">
        <f t="shared" si="1"/>
        <v>0</v>
      </c>
      <c r="H32" s="464">
        <f t="shared" si="2"/>
        <v>0</v>
      </c>
      <c r="I32" s="475">
        <f t="shared" si="5"/>
        <v>0</v>
      </c>
      <c r="J32" s="463">
        <f t="shared" si="6"/>
        <v>0</v>
      </c>
      <c r="K32" s="478"/>
      <c r="L32" s="478"/>
    </row>
    <row r="33" spans="1:15" x14ac:dyDescent="0.2">
      <c r="A33" s="459">
        <v>200</v>
      </c>
      <c r="B33" s="460">
        <f>VLOOKUP(A33,[3]Sheet1!$A:$B,2,FALSE)</f>
        <v>63</v>
      </c>
      <c r="C33" s="461">
        <f>VLOOKUP(A33,'[2]SLUOS Capital Charge'!$D$14:$F$220,3,FALSE)</f>
        <v>2030.0382579125974</v>
      </c>
      <c r="D33" s="464">
        <f t="shared" si="0"/>
        <v>127892.41024849363</v>
      </c>
      <c r="E33" s="464">
        <f t="shared" si="3"/>
        <v>25098.854523551574</v>
      </c>
      <c r="F33" s="462">
        <f t="shared" si="4"/>
        <v>398.3945162468504</v>
      </c>
      <c r="G33" s="462">
        <f t="shared" si="1"/>
        <v>99.5986290617126</v>
      </c>
      <c r="H33" s="464">
        <f t="shared" si="2"/>
        <v>1779.1318674711813</v>
      </c>
      <c r="I33" s="475">
        <f t="shared" si="5"/>
        <v>28.240188372558432</v>
      </c>
      <c r="J33" s="463">
        <f t="shared" si="6"/>
        <v>127.83881743427104</v>
      </c>
      <c r="K33" s="477">
        <f>VLOOKUP(A33,'RAB Calculations 10yr'!$A$22:$J$119,10,FALSE)</f>
        <v>66.401773420098948</v>
      </c>
      <c r="L33" s="477">
        <f t="shared" ref="L33:L37" si="11">J33-K33</f>
        <v>61.437044014172088</v>
      </c>
      <c r="M33" s="479">
        <f t="shared" ref="M33:M37" si="12">L33/K33</f>
        <v>0.92523197574081506</v>
      </c>
      <c r="O33" s="476"/>
    </row>
    <row r="34" spans="1:15" x14ac:dyDescent="0.2">
      <c r="A34" s="459">
        <v>210</v>
      </c>
      <c r="B34" s="460">
        <f>VLOOKUP(A34,[3]Sheet1!$A:$B,2,FALSE)</f>
        <v>52</v>
      </c>
      <c r="C34" s="461">
        <f>VLOOKUP(A34,'[2]SLUOS Capital Charge'!$D$14:$F$220,3,FALSE)</f>
        <v>2034.3631475125974</v>
      </c>
      <c r="D34" s="464">
        <f t="shared" si="0"/>
        <v>105786.88367065506</v>
      </c>
      <c r="E34" s="464">
        <f t="shared" si="3"/>
        <v>20760.650288713427</v>
      </c>
      <c r="F34" s="462">
        <f t="shared" si="4"/>
        <v>399.24327478295049</v>
      </c>
      <c r="G34" s="462">
        <f t="shared" si="1"/>
        <v>99.810818695737623</v>
      </c>
      <c r="H34" s="464">
        <f t="shared" si="2"/>
        <v>1471.6183355465848</v>
      </c>
      <c r="I34" s="475">
        <f t="shared" si="5"/>
        <v>28.300352606665093</v>
      </c>
      <c r="J34" s="463">
        <f t="shared" si="6"/>
        <v>128.11117130240271</v>
      </c>
      <c r="K34" s="477">
        <f>VLOOKUP(A34,'RAB Calculations 10yr'!$A$22:$J$119,10,FALSE)</f>
        <v>66.543238901434947</v>
      </c>
      <c r="L34" s="477">
        <f t="shared" si="11"/>
        <v>61.567932400967763</v>
      </c>
      <c r="M34" s="479">
        <f t="shared" si="12"/>
        <v>0.92523197574081573</v>
      </c>
      <c r="O34" s="476"/>
    </row>
    <row r="35" spans="1:15" x14ac:dyDescent="0.2">
      <c r="A35" s="459">
        <v>220</v>
      </c>
      <c r="B35" s="460">
        <f>VLOOKUP(A35,[3]Sheet1!$A:$B,2,FALSE)</f>
        <v>415</v>
      </c>
      <c r="C35" s="461">
        <f>VLOOKUP(A35,'[2]SLUOS Capital Charge'!$D$14:$F$220,3,FALSE)</f>
        <v>2015.0315379125973</v>
      </c>
      <c r="D35" s="464">
        <f t="shared" si="0"/>
        <v>836238.08823372785</v>
      </c>
      <c r="E35" s="464">
        <f t="shared" si="3"/>
        <v>164111.52219940614</v>
      </c>
      <c r="F35" s="462">
        <f t="shared" si="4"/>
        <v>395.44945108290636</v>
      </c>
      <c r="G35" s="462">
        <f t="shared" si="1"/>
        <v>98.862362770726591</v>
      </c>
      <c r="H35" s="464">
        <f t="shared" si="2"/>
        <v>11633.042403994621</v>
      </c>
      <c r="I35" s="475">
        <f t="shared" si="5"/>
        <v>28.031427479505112</v>
      </c>
      <c r="J35" s="463">
        <f t="shared" si="6"/>
        <v>126.8937902502317</v>
      </c>
      <c r="K35" s="477">
        <f>VLOOKUP(A35,'RAB Calculations 10yr'!$A$22:$J$119,10,FALSE)</f>
        <v>65.91090936010653</v>
      </c>
      <c r="L35" s="477">
        <f t="shared" si="11"/>
        <v>60.982880890125173</v>
      </c>
      <c r="M35" s="479">
        <f t="shared" si="12"/>
        <v>0.9252319757408155</v>
      </c>
      <c r="O35" s="476"/>
    </row>
    <row r="36" spans="1:15" x14ac:dyDescent="0.2">
      <c r="A36" s="459">
        <v>230</v>
      </c>
      <c r="B36" s="460">
        <f>VLOOKUP(A36,[3]Sheet1!$A:$B,2,FALSE)</f>
        <v>1038</v>
      </c>
      <c r="C36" s="461">
        <f>VLOOKUP(A36,'[2]SLUOS Capital Charge'!$D$14:$F$220,3,FALSE)</f>
        <v>2018.9551283125975</v>
      </c>
      <c r="D36" s="464">
        <f t="shared" si="0"/>
        <v>2095675.4231884761</v>
      </c>
      <c r="E36" s="464">
        <f t="shared" si="3"/>
        <v>411275.79402867245</v>
      </c>
      <c r="F36" s="462">
        <f t="shared" si="4"/>
        <v>396.21945474823934</v>
      </c>
      <c r="G36" s="462">
        <f t="shared" si="1"/>
        <v>99.054863687059836</v>
      </c>
      <c r="H36" s="464">
        <f t="shared" si="2"/>
        <v>29153.277524650355</v>
      </c>
      <c r="I36" s="475">
        <f t="shared" si="5"/>
        <v>28.086009175963735</v>
      </c>
      <c r="J36" s="463">
        <f t="shared" si="6"/>
        <v>127.14087286302357</v>
      </c>
      <c r="K36" s="477">
        <f>VLOOKUP(A36,'RAB Calculations 10yr'!$A$22:$J$119,10,FALSE)</f>
        <v>66.039248498405314</v>
      </c>
      <c r="L36" s="477">
        <f t="shared" si="11"/>
        <v>61.10162436461826</v>
      </c>
      <c r="M36" s="479">
        <f t="shared" si="12"/>
        <v>0.92523197574081595</v>
      </c>
      <c r="O36" s="476"/>
    </row>
    <row r="37" spans="1:15" x14ac:dyDescent="0.2">
      <c r="A37" s="459">
        <v>240</v>
      </c>
      <c r="B37" s="460">
        <f>VLOOKUP(A37,[3]Sheet1!$A:$B,2,FALSE)</f>
        <v>32</v>
      </c>
      <c r="C37" s="461">
        <f>VLOOKUP(A37,'[2]SLUOS Capital Charge'!$D$14:$F$220,3,FALSE)</f>
        <v>2130.4182899125972</v>
      </c>
      <c r="D37" s="464">
        <f t="shared" si="0"/>
        <v>68173.38527720311</v>
      </c>
      <c r="E37" s="464">
        <f t="shared" si="3"/>
        <v>13379.010342568061</v>
      </c>
      <c r="F37" s="462">
        <f t="shared" si="4"/>
        <v>418.0940732052519</v>
      </c>
      <c r="G37" s="462">
        <f t="shared" si="1"/>
        <v>104.52351830131298</v>
      </c>
      <c r="H37" s="464">
        <f t="shared" si="2"/>
        <v>948.37091602542012</v>
      </c>
      <c r="I37" s="475">
        <f t="shared" si="5"/>
        <v>29.636591125794379</v>
      </c>
      <c r="J37" s="463">
        <f t="shared" si="6"/>
        <v>134.16010942710736</v>
      </c>
      <c r="K37" s="477">
        <f>VLOOKUP(A37,'RAB Calculations 10yr'!$A$22:$J$119,10,FALSE)</f>
        <v>69.685165796959865</v>
      </c>
      <c r="L37" s="477">
        <f t="shared" si="11"/>
        <v>64.474943630147493</v>
      </c>
      <c r="M37" s="479">
        <f t="shared" si="12"/>
        <v>0.92523197574081573</v>
      </c>
      <c r="O37" s="476"/>
    </row>
    <row r="38" spans="1:15" x14ac:dyDescent="0.2">
      <c r="A38" s="459">
        <v>250</v>
      </c>
      <c r="B38" s="460">
        <v>0</v>
      </c>
      <c r="C38" s="461">
        <f>VLOOKUP(A38,'[2]SLUOS Capital Charge'!$D$14:$F$220,3,FALSE)</f>
        <v>5254.1807916085972</v>
      </c>
      <c r="D38" s="464">
        <f t="shared" si="0"/>
        <v>0</v>
      </c>
      <c r="E38" s="464">
        <f t="shared" si="3"/>
        <v>0</v>
      </c>
      <c r="F38" s="462">
        <f t="shared" si="4"/>
        <v>0</v>
      </c>
      <c r="G38" s="462">
        <f t="shared" si="1"/>
        <v>0</v>
      </c>
      <c r="H38" s="464">
        <f t="shared" si="2"/>
        <v>0</v>
      </c>
      <c r="I38" s="475">
        <f t="shared" si="5"/>
        <v>0</v>
      </c>
      <c r="J38" s="463">
        <f t="shared" si="6"/>
        <v>0</v>
      </c>
      <c r="K38" s="478"/>
      <c r="L38" s="478"/>
    </row>
    <row r="39" spans="1:15" x14ac:dyDescent="0.2">
      <c r="A39" s="459">
        <v>270</v>
      </c>
      <c r="B39" s="460">
        <v>0</v>
      </c>
      <c r="C39" s="461">
        <f>VLOOKUP(A39,'[2]SLUOS Capital Charge'!$D$14:$F$220,3,FALSE)</f>
        <v>6122.1980569466186</v>
      </c>
      <c r="D39" s="464">
        <f t="shared" si="0"/>
        <v>0</v>
      </c>
      <c r="E39" s="464">
        <f t="shared" si="3"/>
        <v>0</v>
      </c>
      <c r="F39" s="462">
        <f t="shared" si="4"/>
        <v>0</v>
      </c>
      <c r="G39" s="462">
        <f t="shared" si="1"/>
        <v>0</v>
      </c>
      <c r="H39" s="464">
        <f t="shared" si="2"/>
        <v>0</v>
      </c>
      <c r="I39" s="475">
        <f t="shared" si="5"/>
        <v>0</v>
      </c>
      <c r="J39" s="463">
        <f t="shared" si="6"/>
        <v>0</v>
      </c>
      <c r="K39" s="463"/>
      <c r="L39" s="463"/>
    </row>
    <row r="40" spans="1:15" x14ac:dyDescent="0.2">
      <c r="A40" s="459">
        <v>290</v>
      </c>
      <c r="B40" s="460">
        <f>VLOOKUP(A40,[3]Sheet1!$A:$B,2,FALSE)</f>
        <v>124</v>
      </c>
      <c r="C40" s="461">
        <f>VLOOKUP(A40,'[2]SLUOS Capital Charge'!$D$14:$F$220,3,FALSE)</f>
        <v>2833.5715236247543</v>
      </c>
      <c r="D40" s="464">
        <f t="shared" si="0"/>
        <v>351362.86892946955</v>
      </c>
      <c r="E40" s="464">
        <f t="shared" si="3"/>
        <v>68954.877893876794</v>
      </c>
      <c r="F40" s="462">
        <f t="shared" si="4"/>
        <v>556.0877249506193</v>
      </c>
      <c r="G40" s="462">
        <f t="shared" si="1"/>
        <v>139.02193123765483</v>
      </c>
      <c r="H40" s="464">
        <f t="shared" si="2"/>
        <v>4887.8653232347069</v>
      </c>
      <c r="I40" s="475">
        <f t="shared" si="5"/>
        <v>39.418268735763768</v>
      </c>
      <c r="J40" s="463">
        <f t="shared" si="6"/>
        <v>178.4401999734186</v>
      </c>
      <c r="K40" s="477">
        <f>VLOOKUP(A40,'RAB Calculations 10yr'!$A$22:$J$119,10,FALSE)</f>
        <v>92.68503859372899</v>
      </c>
      <c r="L40" s="477">
        <f t="shared" ref="L40:L51" si="13">J40-K40</f>
        <v>85.755161379689611</v>
      </c>
      <c r="M40" s="479">
        <f t="shared" ref="M40:M51" si="14">L40/K40</f>
        <v>0.9252319757408155</v>
      </c>
      <c r="O40" s="476"/>
    </row>
    <row r="41" spans="1:15" x14ac:dyDescent="0.2">
      <c r="A41" s="459">
        <v>300</v>
      </c>
      <c r="B41" s="460">
        <f>VLOOKUP(A41,[3]Sheet1!$A:$B,2,FALSE)</f>
        <v>127</v>
      </c>
      <c r="C41" s="461">
        <f>VLOOKUP(A41,'[2]SLUOS Capital Charge'!$D$14:$F$220,3,FALSE)</f>
        <v>2837.8964132247543</v>
      </c>
      <c r="D41" s="464">
        <f t="shared" si="0"/>
        <v>360412.8444795438</v>
      </c>
      <c r="E41" s="464">
        <f t="shared" si="3"/>
        <v>70730.93340281336</v>
      </c>
      <c r="F41" s="462">
        <f t="shared" si="4"/>
        <v>556.93648348671934</v>
      </c>
      <c r="G41" s="462">
        <f t="shared" si="1"/>
        <v>139.23412087167983</v>
      </c>
      <c r="H41" s="464">
        <f t="shared" si="2"/>
        <v>5013.7609871735431</v>
      </c>
      <c r="I41" s="475">
        <f t="shared" si="5"/>
        <v>39.478432969870418</v>
      </c>
      <c r="J41" s="463">
        <f t="shared" si="6"/>
        <v>178.71255384155026</v>
      </c>
      <c r="K41" s="477">
        <f>VLOOKUP(A41,'RAB Calculations 10yr'!$A$22:$J$119,10,FALSE)</f>
        <v>92.826504075065003</v>
      </c>
      <c r="L41" s="477">
        <f t="shared" si="13"/>
        <v>85.886049766485257</v>
      </c>
      <c r="M41" s="479">
        <f t="shared" si="14"/>
        <v>0.9252319757408155</v>
      </c>
      <c r="O41" s="476"/>
    </row>
    <row r="42" spans="1:15" x14ac:dyDescent="0.2">
      <c r="A42" s="459">
        <v>310</v>
      </c>
      <c r="B42" s="460">
        <f>VLOOKUP(A42,[3]Sheet1!$A:$B,2,FALSE)</f>
        <v>550</v>
      </c>
      <c r="C42" s="461">
        <f>VLOOKUP(A42,'[2]SLUOS Capital Charge'!$D$14:$F$220,3,FALSE)</f>
        <v>2818.5648036247544</v>
      </c>
      <c r="D42" s="464">
        <f t="shared" si="0"/>
        <v>1550210.6419936148</v>
      </c>
      <c r="E42" s="464">
        <f t="shared" si="3"/>
        <v>304228.46288267145</v>
      </c>
      <c r="F42" s="462">
        <f t="shared" si="4"/>
        <v>553.14265978667538</v>
      </c>
      <c r="G42" s="462">
        <f t="shared" si="1"/>
        <v>138.28566494666885</v>
      </c>
      <c r="H42" s="464">
        <f t="shared" si="2"/>
        <v>21565.229313490749</v>
      </c>
      <c r="I42" s="475">
        <f t="shared" si="5"/>
        <v>39.209507842710451</v>
      </c>
      <c r="J42" s="463">
        <f t="shared" si="6"/>
        <v>177.4951727893793</v>
      </c>
      <c r="K42" s="477">
        <f>VLOOKUP(A42,'RAB Calculations 10yr'!$A$22:$J$119,10,FALSE)</f>
        <v>92.1941745337366</v>
      </c>
      <c r="L42" s="477">
        <f t="shared" si="13"/>
        <v>85.300998255642696</v>
      </c>
      <c r="M42" s="479">
        <f t="shared" si="14"/>
        <v>0.9252319757408155</v>
      </c>
      <c r="O42" s="476"/>
    </row>
    <row r="43" spans="1:15" x14ac:dyDescent="0.2">
      <c r="A43" s="459">
        <v>320</v>
      </c>
      <c r="B43" s="460">
        <f>VLOOKUP(A43,[3]Sheet1!$A:$B,2,FALSE)</f>
        <v>1431</v>
      </c>
      <c r="C43" s="461">
        <f>VLOOKUP(A43,'[2]SLUOS Capital Charge'!$D$14:$F$220,3,FALSE)</f>
        <v>2822.4883940247546</v>
      </c>
      <c r="D43" s="464">
        <f t="shared" si="0"/>
        <v>4038980.8918494238</v>
      </c>
      <c r="E43" s="464">
        <f t="shared" si="3"/>
        <v>792649.02139982395</v>
      </c>
      <c r="F43" s="462">
        <f t="shared" si="4"/>
        <v>553.91266345200836</v>
      </c>
      <c r="G43" s="462">
        <f t="shared" si="1"/>
        <v>138.47816586300209</v>
      </c>
      <c r="H43" s="464">
        <f t="shared" si="2"/>
        <v>56186.91213055094</v>
      </c>
      <c r="I43" s="475">
        <f t="shared" si="5"/>
        <v>39.264089539169071</v>
      </c>
      <c r="J43" s="463">
        <f t="shared" si="6"/>
        <v>177.74225540217117</v>
      </c>
      <c r="K43" s="477">
        <f>VLOOKUP(A43,'RAB Calculations 10yr'!$A$22:$J$119,10,FALSE)</f>
        <v>92.322513672035399</v>
      </c>
      <c r="L43" s="477">
        <f t="shared" si="13"/>
        <v>85.419741730135769</v>
      </c>
      <c r="M43" s="479">
        <f t="shared" si="14"/>
        <v>0.92523197574081562</v>
      </c>
      <c r="O43" s="476"/>
    </row>
    <row r="44" spans="1:15" x14ac:dyDescent="0.2">
      <c r="A44" s="459">
        <v>330</v>
      </c>
      <c r="B44" s="460">
        <f>VLOOKUP(A44,[3]Sheet1!$A:$B,2,FALSE)</f>
        <v>101</v>
      </c>
      <c r="C44" s="461">
        <f>VLOOKUP(A44,'[2]SLUOS Capital Charge'!$D$14:$F$220,3,FALSE)</f>
        <v>2933.9515556247543</v>
      </c>
      <c r="D44" s="464">
        <f t="shared" si="0"/>
        <v>296329.10711810016</v>
      </c>
      <c r="E44" s="464">
        <f t="shared" si="3"/>
        <v>58154.515472811101</v>
      </c>
      <c r="F44" s="462">
        <f t="shared" si="4"/>
        <v>575.78728190902075</v>
      </c>
      <c r="G44" s="462">
        <f t="shared" si="1"/>
        <v>143.94682047725519</v>
      </c>
      <c r="H44" s="464">
        <f t="shared" si="2"/>
        <v>4122.2818203889701</v>
      </c>
      <c r="I44" s="475">
        <f t="shared" si="5"/>
        <v>40.814671488999707</v>
      </c>
      <c r="J44" s="463">
        <f t="shared" si="6"/>
        <v>184.76149196625488</v>
      </c>
      <c r="K44" s="477">
        <f>VLOOKUP(A44,'RAB Calculations 10yr'!$A$22:$J$119,10,FALSE)</f>
        <v>95.968430970589921</v>
      </c>
      <c r="L44" s="477">
        <f t="shared" si="13"/>
        <v>88.793060995664959</v>
      </c>
      <c r="M44" s="479">
        <f t="shared" si="14"/>
        <v>0.92523197574081528</v>
      </c>
      <c r="O44" s="476"/>
    </row>
    <row r="45" spans="1:15" x14ac:dyDescent="0.2">
      <c r="A45" s="459">
        <v>350</v>
      </c>
      <c r="B45" s="460">
        <f>VLOOKUP(A45,[3]Sheet1!$A:$B,2,FALSE)</f>
        <v>182</v>
      </c>
      <c r="C45" s="461">
        <f>VLOOKUP(A45,'[2]SLUOS Capital Charge'!$D$14:$F$220,3,FALSE)</f>
        <v>1601.5057779125975</v>
      </c>
      <c r="D45" s="464">
        <f t="shared" si="0"/>
        <v>291474.05158009275</v>
      </c>
      <c r="E45" s="464">
        <f t="shared" si="3"/>
        <v>57201.711999833729</v>
      </c>
      <c r="F45" s="462">
        <f t="shared" si="4"/>
        <v>314.29512087820729</v>
      </c>
      <c r="G45" s="462">
        <f t="shared" si="1"/>
        <v>78.573780219551821</v>
      </c>
      <c r="H45" s="464">
        <f t="shared" si="2"/>
        <v>4054.7423627368057</v>
      </c>
      <c r="I45" s="475">
        <f t="shared" si="5"/>
        <v>22.278804190861571</v>
      </c>
      <c r="J45" s="463">
        <f t="shared" si="6"/>
        <v>100.85258441041339</v>
      </c>
      <c r="K45" s="477">
        <f>VLOOKUP(A45,'RAB Calculations 10yr'!$A$22:$J$119,10,FALSE)</f>
        <v>52.384640231006998</v>
      </c>
      <c r="L45" s="477">
        <f t="shared" si="13"/>
        <v>48.467944179406388</v>
      </c>
      <c r="M45" s="479">
        <f t="shared" si="14"/>
        <v>0.92523197574081495</v>
      </c>
      <c r="O45" s="476"/>
    </row>
    <row r="46" spans="1:15" x14ac:dyDescent="0.2">
      <c r="A46" s="459">
        <v>360</v>
      </c>
      <c r="B46" s="460">
        <f>VLOOKUP(A46,[3]Sheet1!$A:$B,2,FALSE)</f>
        <v>894</v>
      </c>
      <c r="C46" s="461">
        <f>VLOOKUP(A46,'[2]SLUOS Capital Charge'!$D$14:$F$220,3,FALSE)</f>
        <v>2674.5087396247545</v>
      </c>
      <c r="D46" s="464">
        <f t="shared" si="0"/>
        <v>2391010.8132245308</v>
      </c>
      <c r="E46" s="464">
        <f t="shared" si="3"/>
        <v>469235.29276490503</v>
      </c>
      <c r="F46" s="462">
        <f t="shared" si="4"/>
        <v>524.87169213076629</v>
      </c>
      <c r="G46" s="462">
        <f t="shared" si="1"/>
        <v>131.21792303269157</v>
      </c>
      <c r="H46" s="464">
        <f t="shared" si="2"/>
        <v>33261.735587050229</v>
      </c>
      <c r="I46" s="475">
        <f t="shared" si="5"/>
        <v>37.205520790883924</v>
      </c>
      <c r="J46" s="463">
        <f t="shared" si="6"/>
        <v>168.4234438235755</v>
      </c>
      <c r="K46" s="477">
        <f>VLOOKUP(A46,'RAB Calculations 10yr'!$A$22:$J$119,10,FALSE)</f>
        <v>87.482155888651974</v>
      </c>
      <c r="L46" s="477">
        <f t="shared" si="13"/>
        <v>80.941287934923523</v>
      </c>
      <c r="M46" s="479">
        <f t="shared" si="14"/>
        <v>0.92523197574081595</v>
      </c>
      <c r="O46" s="476"/>
    </row>
    <row r="47" spans="1:15" x14ac:dyDescent="0.2">
      <c r="A47" s="459">
        <v>370</v>
      </c>
      <c r="B47" s="460">
        <f>VLOOKUP(A47,[3]Sheet1!$A:$B,2,FALSE)</f>
        <v>6</v>
      </c>
      <c r="C47" s="461">
        <f>VLOOKUP(A47,'[2]SLUOS Capital Charge'!$D$14:$F$220,3,FALSE)</f>
        <v>3233.9470881847546</v>
      </c>
      <c r="D47" s="464">
        <f t="shared" si="0"/>
        <v>19403.682529108526</v>
      </c>
      <c r="E47" s="464">
        <f t="shared" si="3"/>
        <v>3807.9679949186852</v>
      </c>
      <c r="F47" s="462">
        <f t="shared" si="4"/>
        <v>634.66133248644758</v>
      </c>
      <c r="G47" s="462">
        <f t="shared" si="1"/>
        <v>158.66533312161189</v>
      </c>
      <c r="H47" s="464">
        <f t="shared" si="2"/>
        <v>269.92774525677845</v>
      </c>
      <c r="I47" s="475">
        <f t="shared" si="5"/>
        <v>44.987957542796408</v>
      </c>
      <c r="J47" s="463">
        <f t="shared" si="6"/>
        <v>203.6532906644083</v>
      </c>
      <c r="K47" s="477">
        <f>VLOOKUP(A47,'RAB Calculations 10yr'!$A$22:$J$119,10,FALSE)</f>
        <v>105.78116986969529</v>
      </c>
      <c r="L47" s="477">
        <f t="shared" si="13"/>
        <v>97.872120794713013</v>
      </c>
      <c r="M47" s="479">
        <f t="shared" si="14"/>
        <v>0.92523197574081562</v>
      </c>
      <c r="O47" s="476"/>
    </row>
    <row r="48" spans="1:15" x14ac:dyDescent="0.2">
      <c r="A48" s="459">
        <v>380</v>
      </c>
      <c r="B48" s="460">
        <f>VLOOKUP(A48,[3]Sheet1!$A:$B,2,FALSE)</f>
        <v>10</v>
      </c>
      <c r="C48" s="461">
        <f>VLOOKUP(A48,'[2]SLUOS Capital Charge'!$D$14:$F$220,3,FALSE)</f>
        <v>3242.5968673847547</v>
      </c>
      <c r="D48" s="464">
        <f t="shared" si="0"/>
        <v>32425.968673847547</v>
      </c>
      <c r="E48" s="464">
        <f t="shared" si="3"/>
        <v>6363.5884955864776</v>
      </c>
      <c r="F48" s="462">
        <f t="shared" si="4"/>
        <v>636.35884955864776</v>
      </c>
      <c r="G48" s="462">
        <f t="shared" si="1"/>
        <v>159.08971238966194</v>
      </c>
      <c r="H48" s="464">
        <f t="shared" si="2"/>
        <v>451.08286011009722</v>
      </c>
      <c r="I48" s="475">
        <f t="shared" si="5"/>
        <v>45.108286011009724</v>
      </c>
      <c r="J48" s="463">
        <f t="shared" si="6"/>
        <v>204.19799840067168</v>
      </c>
      <c r="K48" s="477">
        <f>VLOOKUP(A48,'RAB Calculations 10yr'!$A$22:$J$119,10,FALSE)</f>
        <v>106.06410083236733</v>
      </c>
      <c r="L48" s="477">
        <f t="shared" si="13"/>
        <v>98.133897568304349</v>
      </c>
      <c r="M48" s="479">
        <f t="shared" si="14"/>
        <v>0.92523197574081595</v>
      </c>
      <c r="O48" s="476"/>
    </row>
    <row r="49" spans="1:15" x14ac:dyDescent="0.2">
      <c r="A49" s="459">
        <v>390</v>
      </c>
      <c r="B49" s="460">
        <f>VLOOKUP(A49,[3]Sheet1!$A:$B,2,FALSE)</f>
        <v>97</v>
      </c>
      <c r="C49" s="461">
        <f>VLOOKUP(A49,'[2]SLUOS Capital Charge'!$D$14:$F$220,3,FALSE)</f>
        <v>3211.7808289847544</v>
      </c>
      <c r="D49" s="464">
        <f t="shared" si="0"/>
        <v>311542.74041152117</v>
      </c>
      <c r="E49" s="464">
        <f t="shared" si="3"/>
        <v>61140.187320454868</v>
      </c>
      <c r="F49" s="462">
        <f t="shared" si="4"/>
        <v>630.31120948922546</v>
      </c>
      <c r="G49" s="462">
        <f t="shared" si="1"/>
        <v>157.57780237230637</v>
      </c>
      <c r="H49" s="464">
        <f t="shared" si="2"/>
        <v>4333.9211175118789</v>
      </c>
      <c r="I49" s="475">
        <f t="shared" si="5"/>
        <v>44.679599149607</v>
      </c>
      <c r="J49" s="463">
        <f t="shared" si="6"/>
        <v>202.25740152191338</v>
      </c>
      <c r="K49" s="477">
        <f>VLOOKUP(A49,'RAB Calculations 10yr'!$A$22:$J$119,10,FALSE)</f>
        <v>105.05612002630808</v>
      </c>
      <c r="L49" s="477">
        <f t="shared" si="13"/>
        <v>97.201281495605301</v>
      </c>
      <c r="M49" s="479">
        <f t="shared" si="14"/>
        <v>0.92523197574081573</v>
      </c>
      <c r="O49" s="476"/>
    </row>
    <row r="50" spans="1:15" x14ac:dyDescent="0.2">
      <c r="A50" s="459">
        <v>400</v>
      </c>
      <c r="B50" s="460">
        <f>VLOOKUP(A50,[3]Sheet1!$A:$B,2,FALSE)</f>
        <v>12</v>
      </c>
      <c r="C50" s="461">
        <f>VLOOKUP(A50,'[2]SLUOS Capital Charge'!$D$14:$F$220,3,FALSE)</f>
        <v>3434.7071521847547</v>
      </c>
      <c r="D50" s="464">
        <f t="shared" si="0"/>
        <v>41216.48582621706</v>
      </c>
      <c r="E50" s="464">
        <f t="shared" si="3"/>
        <v>8088.7253568390079</v>
      </c>
      <c r="F50" s="462">
        <f t="shared" si="4"/>
        <v>674.06044640325069</v>
      </c>
      <c r="G50" s="462">
        <f t="shared" ref="G50:G81" si="15">F50/$B$11</f>
        <v>168.51511160081267</v>
      </c>
      <c r="H50" s="464">
        <f t="shared" ref="H50:H81" si="16">E50*$B$12</f>
        <v>573.36915659121962</v>
      </c>
      <c r="I50" s="475">
        <f t="shared" si="5"/>
        <v>47.780763049268302</v>
      </c>
      <c r="J50" s="463">
        <f t="shared" si="6"/>
        <v>216.29587465008098</v>
      </c>
      <c r="K50" s="477">
        <f>VLOOKUP(A50,'RAB Calculations 10yr'!$A$22:$J$119,10,FALSE)</f>
        <v>112.34795462341719</v>
      </c>
      <c r="L50" s="477">
        <f t="shared" si="13"/>
        <v>103.94792002666378</v>
      </c>
      <c r="M50" s="479">
        <f t="shared" si="14"/>
        <v>0.9252319757408155</v>
      </c>
      <c r="O50" s="476"/>
    </row>
    <row r="51" spans="1:15" x14ac:dyDescent="0.2">
      <c r="A51" s="459">
        <v>430</v>
      </c>
      <c r="B51" s="460">
        <f>VLOOKUP(A51,[3]Sheet1!$A:$B,2,FALSE)</f>
        <v>15</v>
      </c>
      <c r="C51" s="461">
        <f>VLOOKUP(A51,'[2]SLUOS Capital Charge'!$D$14:$F$220,3,FALSE)</f>
        <v>3601.0732639447542</v>
      </c>
      <c r="D51" s="464">
        <f t="shared" si="0"/>
        <v>54016.098959171315</v>
      </c>
      <c r="E51" s="464">
        <f t="shared" si="3"/>
        <v>10600.646332896638</v>
      </c>
      <c r="F51" s="462">
        <f t="shared" si="4"/>
        <v>706.70975552644256</v>
      </c>
      <c r="G51" s="462">
        <f t="shared" si="15"/>
        <v>176.67743888161064</v>
      </c>
      <c r="H51" s="464">
        <f t="shared" si="16"/>
        <v>751.42663140067395</v>
      </c>
      <c r="I51" s="475">
        <f t="shared" si="5"/>
        <v>50.09510876004493</v>
      </c>
      <c r="J51" s="463">
        <f t="shared" si="6"/>
        <v>226.77254764165556</v>
      </c>
      <c r="K51" s="477">
        <f>VLOOKUP(A51,'RAB Calculations 10yr'!$A$22:$J$119,10,FALSE)</f>
        <v>117.78972638058077</v>
      </c>
      <c r="L51" s="477">
        <f t="shared" si="13"/>
        <v>108.98282126107479</v>
      </c>
      <c r="M51" s="479">
        <f t="shared" si="14"/>
        <v>0.92523197574081539</v>
      </c>
      <c r="O51" s="476"/>
    </row>
    <row r="52" spans="1:15" x14ac:dyDescent="0.2">
      <c r="A52" s="459">
        <v>440</v>
      </c>
      <c r="B52" s="460">
        <v>0</v>
      </c>
      <c r="C52" s="461">
        <f>VLOOKUP(A52,'[2]SLUOS Capital Charge'!$D$14:$F$220,3,FALSE)</f>
        <v>3935.4627487447542</v>
      </c>
      <c r="D52" s="464">
        <f t="shared" si="0"/>
        <v>0</v>
      </c>
      <c r="E52" s="464">
        <f t="shared" si="3"/>
        <v>0</v>
      </c>
      <c r="F52" s="462">
        <f t="shared" si="4"/>
        <v>0</v>
      </c>
      <c r="G52" s="462">
        <f t="shared" si="15"/>
        <v>0</v>
      </c>
      <c r="H52" s="464">
        <f t="shared" si="16"/>
        <v>0</v>
      </c>
      <c r="I52" s="475">
        <f t="shared" si="5"/>
        <v>0</v>
      </c>
      <c r="J52" s="463">
        <f t="shared" si="6"/>
        <v>0</v>
      </c>
      <c r="K52" s="478"/>
      <c r="L52" s="478"/>
    </row>
    <row r="53" spans="1:15" x14ac:dyDescent="0.2">
      <c r="A53" s="459">
        <v>450</v>
      </c>
      <c r="B53" s="460">
        <v>0</v>
      </c>
      <c r="C53" s="461">
        <f>VLOOKUP(A53,'[2]SLUOS Capital Charge'!$D$14:$F$220,3,FALSE)</f>
        <v>4034.6982173047545</v>
      </c>
      <c r="D53" s="464">
        <f t="shared" si="0"/>
        <v>0</v>
      </c>
      <c r="E53" s="464">
        <f t="shared" si="3"/>
        <v>0</v>
      </c>
      <c r="F53" s="462">
        <f t="shared" si="4"/>
        <v>0</v>
      </c>
      <c r="G53" s="462">
        <f t="shared" si="15"/>
        <v>0</v>
      </c>
      <c r="H53" s="464">
        <f t="shared" si="16"/>
        <v>0</v>
      </c>
      <c r="I53" s="475">
        <f t="shared" si="5"/>
        <v>0</v>
      </c>
      <c r="J53" s="463">
        <f t="shared" si="6"/>
        <v>0</v>
      </c>
      <c r="K53" s="463"/>
      <c r="L53" s="463"/>
    </row>
    <row r="54" spans="1:15" x14ac:dyDescent="0.2">
      <c r="A54" s="459">
        <v>460</v>
      </c>
      <c r="B54" s="460">
        <v>0</v>
      </c>
      <c r="C54" s="461">
        <f>VLOOKUP(A54,'[2]SLUOS Capital Charge'!$D$14:$F$220,3,FALSE)</f>
        <v>4051.9977757047545</v>
      </c>
      <c r="D54" s="464">
        <f t="shared" si="0"/>
        <v>0</v>
      </c>
      <c r="E54" s="464">
        <f t="shared" si="3"/>
        <v>0</v>
      </c>
      <c r="F54" s="462">
        <f t="shared" si="4"/>
        <v>0</v>
      </c>
      <c r="G54" s="462">
        <f t="shared" si="15"/>
        <v>0</v>
      </c>
      <c r="H54" s="464">
        <f t="shared" si="16"/>
        <v>0</v>
      </c>
      <c r="I54" s="475">
        <f t="shared" si="5"/>
        <v>0</v>
      </c>
      <c r="J54" s="463">
        <f t="shared" si="6"/>
        <v>0</v>
      </c>
      <c r="K54" s="463"/>
      <c r="L54" s="463"/>
    </row>
    <row r="55" spans="1:15" x14ac:dyDescent="0.2">
      <c r="A55" s="459">
        <v>470</v>
      </c>
      <c r="B55" s="460">
        <f>VLOOKUP(A55,[3]Sheet1!$A:$B,2,FALSE)</f>
        <v>8</v>
      </c>
      <c r="C55" s="461">
        <f>VLOOKUP(A55,'[2]SLUOS Capital Charge'!$D$14:$F$220,3,FALSE)</f>
        <v>3990.3656989047545</v>
      </c>
      <c r="D55" s="464">
        <f t="shared" si="0"/>
        <v>31922.925591238036</v>
      </c>
      <c r="E55" s="464">
        <f t="shared" si="3"/>
        <v>6264.8664125092782</v>
      </c>
      <c r="F55" s="462">
        <f t="shared" si="4"/>
        <v>783.10830156365978</v>
      </c>
      <c r="G55" s="462">
        <f t="shared" si="15"/>
        <v>195.77707539091494</v>
      </c>
      <c r="H55" s="464">
        <f t="shared" si="16"/>
        <v>444.08494696386299</v>
      </c>
      <c r="I55" s="475">
        <f t="shared" si="5"/>
        <v>55.510618370482874</v>
      </c>
      <c r="J55" s="463">
        <f t="shared" si="6"/>
        <v>251.2876937613978</v>
      </c>
      <c r="K55" s="477">
        <f>VLOOKUP(A55,'RAB Calculations 10yr'!$A$22:$J$119,10,FALSE)</f>
        <v>130.52333273485345</v>
      </c>
      <c r="L55" s="477">
        <f>J55-K55</f>
        <v>120.76436102654435</v>
      </c>
      <c r="M55" s="479">
        <f>L55/K55</f>
        <v>0.92523197574081573</v>
      </c>
      <c r="O55" s="476"/>
    </row>
    <row r="56" spans="1:15" x14ac:dyDescent="0.2">
      <c r="A56" s="459">
        <v>480</v>
      </c>
      <c r="B56" s="460">
        <v>0</v>
      </c>
      <c r="C56" s="461">
        <f>VLOOKUP(A56,'[2]SLUOS Capital Charge'!$D$14:$F$220,3,FALSE)</f>
        <v>4436.2183453047546</v>
      </c>
      <c r="D56" s="464">
        <f t="shared" si="0"/>
        <v>0</v>
      </c>
      <c r="E56" s="464">
        <f t="shared" si="3"/>
        <v>0</v>
      </c>
      <c r="F56" s="462">
        <f t="shared" si="4"/>
        <v>0</v>
      </c>
      <c r="G56" s="462">
        <f t="shared" si="15"/>
        <v>0</v>
      </c>
      <c r="H56" s="464">
        <f t="shared" si="16"/>
        <v>0</v>
      </c>
      <c r="I56" s="475">
        <f t="shared" si="5"/>
        <v>0</v>
      </c>
      <c r="J56" s="463">
        <f t="shared" si="6"/>
        <v>0</v>
      </c>
      <c r="K56" s="478"/>
      <c r="L56" s="478"/>
    </row>
    <row r="57" spans="1:15" x14ac:dyDescent="0.2">
      <c r="A57" s="459">
        <v>540</v>
      </c>
      <c r="B57" s="460">
        <v>0</v>
      </c>
      <c r="C57" s="461">
        <f>VLOOKUP(A57,'[2]SLUOS Capital Charge'!$D$14:$F$220,3,FALSE)</f>
        <v>5481.6262297466183</v>
      </c>
      <c r="D57" s="464">
        <f t="shared" si="0"/>
        <v>0</v>
      </c>
      <c r="E57" s="464">
        <f t="shared" si="3"/>
        <v>0</v>
      </c>
      <c r="F57" s="462">
        <f t="shared" si="4"/>
        <v>0</v>
      </c>
      <c r="G57" s="462">
        <f t="shared" si="15"/>
        <v>0</v>
      </c>
      <c r="H57" s="464">
        <f t="shared" si="16"/>
        <v>0</v>
      </c>
      <c r="I57" s="475">
        <f t="shared" si="5"/>
        <v>0</v>
      </c>
      <c r="J57" s="463">
        <f t="shared" si="6"/>
        <v>0</v>
      </c>
      <c r="K57" s="463"/>
      <c r="L57" s="463"/>
    </row>
    <row r="58" spans="1:15" x14ac:dyDescent="0.2">
      <c r="A58" s="459">
        <v>550</v>
      </c>
      <c r="B58" s="460">
        <f>VLOOKUP(A58,[3]Sheet1!$A:$B,2,FALSE)</f>
        <v>22</v>
      </c>
      <c r="C58" s="461">
        <f>VLOOKUP(A58,'[2]SLUOS Capital Charge'!$D$14:$F$220,3,FALSE)</f>
        <v>5435.4021721466188</v>
      </c>
      <c r="D58" s="464">
        <f t="shared" si="0"/>
        <v>119578.84778722562</v>
      </c>
      <c r="E58" s="464">
        <f t="shared" si="3"/>
        <v>23467.319904863889</v>
      </c>
      <c r="F58" s="462">
        <f t="shared" si="4"/>
        <v>1066.6963593119949</v>
      </c>
      <c r="G58" s="462">
        <f t="shared" si="15"/>
        <v>266.67408982799873</v>
      </c>
      <c r="H58" s="464">
        <f t="shared" si="16"/>
        <v>1663.4805643303973</v>
      </c>
      <c r="I58" s="475">
        <f t="shared" si="5"/>
        <v>75.612752924108975</v>
      </c>
      <c r="J58" s="463">
        <f t="shared" si="6"/>
        <v>342.2868427521077</v>
      </c>
      <c r="K58" s="477">
        <f>VLOOKUP(A58,'RAB Calculations 10yr'!$A$22:$J$119,10,FALSE)</f>
        <v>177.78992197571316</v>
      </c>
      <c r="L58" s="477">
        <f>J58-K58</f>
        <v>164.49692077639455</v>
      </c>
      <c r="M58" s="479">
        <f>L58/K58</f>
        <v>0.92523197574081573</v>
      </c>
      <c r="O58" s="476"/>
    </row>
    <row r="59" spans="1:15" x14ac:dyDescent="0.2">
      <c r="A59" s="459">
        <v>560</v>
      </c>
      <c r="B59" s="460">
        <v>0</v>
      </c>
      <c r="C59" s="461">
        <f>VLOOKUP(A59,'[2]SLUOS Capital Charge'!$D$14:$F$220,3,FALSE)</f>
        <v>5769.7916569466188</v>
      </c>
      <c r="D59" s="464">
        <f t="shared" si="0"/>
        <v>0</v>
      </c>
      <c r="E59" s="464">
        <f t="shared" si="3"/>
        <v>0</v>
      </c>
      <c r="F59" s="462">
        <f t="shared" si="4"/>
        <v>0</v>
      </c>
      <c r="G59" s="462">
        <f t="shared" si="15"/>
        <v>0</v>
      </c>
      <c r="H59" s="464">
        <f t="shared" si="16"/>
        <v>0</v>
      </c>
      <c r="I59" s="475">
        <f t="shared" si="5"/>
        <v>0</v>
      </c>
      <c r="J59" s="463">
        <f t="shared" si="6"/>
        <v>0</v>
      </c>
      <c r="K59" s="478"/>
      <c r="L59" s="478"/>
    </row>
    <row r="60" spans="1:15" x14ac:dyDescent="0.2">
      <c r="A60" s="459">
        <v>580</v>
      </c>
      <c r="B60" s="460">
        <v>0</v>
      </c>
      <c r="C60" s="461">
        <f>VLOOKUP(A60,'[2]SLUOS Capital Charge'!$D$14:$F$220,3,FALSE)</f>
        <v>5886.3266839066182</v>
      </c>
      <c r="D60" s="464">
        <f t="shared" si="0"/>
        <v>0</v>
      </c>
      <c r="E60" s="464">
        <f t="shared" si="3"/>
        <v>0</v>
      </c>
      <c r="F60" s="462">
        <f t="shared" si="4"/>
        <v>0</v>
      </c>
      <c r="G60" s="462">
        <f t="shared" si="15"/>
        <v>0</v>
      </c>
      <c r="H60" s="464">
        <f t="shared" si="16"/>
        <v>0</v>
      </c>
      <c r="I60" s="475">
        <f t="shared" si="5"/>
        <v>0</v>
      </c>
      <c r="J60" s="463">
        <f t="shared" si="6"/>
        <v>0</v>
      </c>
      <c r="K60" s="463"/>
      <c r="L60" s="463"/>
    </row>
    <row r="61" spans="1:15" x14ac:dyDescent="0.2">
      <c r="A61" s="459">
        <v>590</v>
      </c>
      <c r="B61" s="460">
        <f>VLOOKUP(A61,[3]Sheet1!$A:$B,2,FALSE)</f>
        <v>177</v>
      </c>
      <c r="C61" s="461">
        <f>VLOOKUP(A61,'[2]SLUOS Capital Charge'!$D$14:$F$220,3,FALSE)</f>
        <v>5824.6946071066186</v>
      </c>
      <c r="D61" s="464">
        <f t="shared" si="0"/>
        <v>1030970.9454578715</v>
      </c>
      <c r="E61" s="464">
        <f t="shared" si="3"/>
        <v>202327.79824681053</v>
      </c>
      <c r="F61" s="462">
        <f t="shared" si="4"/>
        <v>1143.094905349212</v>
      </c>
      <c r="G61" s="462">
        <f t="shared" si="15"/>
        <v>285.773726337303</v>
      </c>
      <c r="H61" s="464">
        <f t="shared" si="16"/>
        <v>14342.002468614801</v>
      </c>
      <c r="I61" s="475">
        <f t="shared" si="5"/>
        <v>81.028262534546897</v>
      </c>
      <c r="J61" s="463">
        <f t="shared" si="6"/>
        <v>366.80198887184991</v>
      </c>
      <c r="K61" s="477">
        <f>VLOOKUP(A61,'RAB Calculations 10yr'!$A$22:$J$119,10,FALSE)</f>
        <v>190.52352832998582</v>
      </c>
      <c r="L61" s="477">
        <f t="shared" ref="L61:L64" si="17">J61-K61</f>
        <v>176.27846054186409</v>
      </c>
      <c r="M61" s="479">
        <f t="shared" ref="M61:M64" si="18">L61/K61</f>
        <v>0.92523197574081595</v>
      </c>
      <c r="O61" s="476"/>
    </row>
    <row r="62" spans="1:15" x14ac:dyDescent="0.2">
      <c r="A62" s="459">
        <v>600</v>
      </c>
      <c r="B62" s="460">
        <f>VLOOKUP(A62,[3]Sheet1!$A:$B,2,FALSE)</f>
        <v>14</v>
      </c>
      <c r="C62" s="461">
        <f>VLOOKUP(A62,'[2]SLUOS Capital Charge'!$D$14:$F$220,3,FALSE)</f>
        <v>6270.5472535066183</v>
      </c>
      <c r="D62" s="464">
        <f t="shared" si="0"/>
        <v>87787.661549092649</v>
      </c>
      <c r="E62" s="464">
        <f t="shared" si="3"/>
        <v>17228.307308481668</v>
      </c>
      <c r="F62" s="462">
        <f t="shared" si="4"/>
        <v>1230.593379177262</v>
      </c>
      <c r="G62" s="462">
        <f t="shared" si="15"/>
        <v>307.64834479431551</v>
      </c>
      <c r="H62" s="464">
        <f t="shared" si="16"/>
        <v>1221.2282646741726</v>
      </c>
      <c r="I62" s="475">
        <f t="shared" si="5"/>
        <v>87.230590333869472</v>
      </c>
      <c r="J62" s="463">
        <f t="shared" si="6"/>
        <v>394.87893512818499</v>
      </c>
      <c r="K62" s="477">
        <f>VLOOKUP(A62,'RAB Calculations 10yr'!$A$22:$J$119,10,FALSE)</f>
        <v>205.10719752420403</v>
      </c>
      <c r="L62" s="477">
        <f t="shared" si="17"/>
        <v>189.77173760398097</v>
      </c>
      <c r="M62" s="479">
        <f t="shared" si="18"/>
        <v>0.92523197574081539</v>
      </c>
      <c r="O62" s="476"/>
    </row>
    <row r="63" spans="1:15" x14ac:dyDescent="0.2">
      <c r="A63" s="459">
        <v>610</v>
      </c>
      <c r="B63" s="460">
        <f>VLOOKUP(A63,[3]Sheet1!$A:$B,2,FALSE)</f>
        <v>91</v>
      </c>
      <c r="C63" s="461">
        <f>VLOOKUP(A63,'[2]SLUOS Capital Charge'!$D$14:$F$220,3,FALSE)</f>
        <v>1137.7567647199999</v>
      </c>
      <c r="D63" s="464">
        <f t="shared" si="0"/>
        <v>103535.86558951999</v>
      </c>
      <c r="E63" s="464">
        <f t="shared" si="3"/>
        <v>20318.888535701513</v>
      </c>
      <c r="F63" s="462">
        <f t="shared" si="4"/>
        <v>223.28448940331333</v>
      </c>
      <c r="G63" s="462">
        <f t="shared" si="15"/>
        <v>55.821122350828333</v>
      </c>
      <c r="H63" s="464">
        <f t="shared" si="16"/>
        <v>1440.3040613482972</v>
      </c>
      <c r="I63" s="475">
        <f t="shared" si="5"/>
        <v>15.827517157673595</v>
      </c>
      <c r="J63" s="463">
        <f t="shared" si="6"/>
        <v>71.64863950850193</v>
      </c>
      <c r="K63" s="477">
        <f>VLOOKUP(A63,'RAB Calculations 10yr'!$A$22:$J$119,10,FALSE)</f>
        <v>37.215587737644988</v>
      </c>
      <c r="L63" s="477">
        <f t="shared" si="17"/>
        <v>34.433051770856942</v>
      </c>
      <c r="M63" s="479">
        <f t="shared" si="18"/>
        <v>0.92523197574081562</v>
      </c>
      <c r="O63" s="476"/>
    </row>
    <row r="64" spans="1:15" x14ac:dyDescent="0.2">
      <c r="A64" s="459">
        <v>620</v>
      </c>
      <c r="B64" s="460">
        <f>VLOOKUP(A64,[3]Sheet1!$A:$B,2,FALSE)</f>
        <v>76</v>
      </c>
      <c r="C64" s="461">
        <f>VLOOKUP(A64,'[2]SLUOS Capital Charge'!$D$14:$F$220,3,FALSE)</f>
        <v>1053.36623672</v>
      </c>
      <c r="D64" s="464">
        <f t="shared" si="0"/>
        <v>80055.833990719999</v>
      </c>
      <c r="E64" s="464">
        <f t="shared" si="3"/>
        <v>15710.938023535631</v>
      </c>
      <c r="F64" s="462">
        <f t="shared" si="4"/>
        <v>206.72286873073199</v>
      </c>
      <c r="G64" s="462">
        <f t="shared" si="15"/>
        <v>51.680717182682997</v>
      </c>
      <c r="H64" s="464">
        <f t="shared" si="16"/>
        <v>1113.6695692350529</v>
      </c>
      <c r="I64" s="475">
        <f t="shared" si="5"/>
        <v>14.653546963619117</v>
      </c>
      <c r="J64" s="463">
        <f t="shared" si="6"/>
        <v>66.334264146302118</v>
      </c>
      <c r="K64" s="477">
        <f>VLOOKUP(A64,'RAB Calculations 10yr'!$A$22:$J$119,10,FALSE)</f>
        <v>34.455205908772193</v>
      </c>
      <c r="L64" s="477">
        <f t="shared" si="17"/>
        <v>31.879058237529925</v>
      </c>
      <c r="M64" s="479">
        <f t="shared" si="18"/>
        <v>0.92523197574081573</v>
      </c>
      <c r="O64" s="476"/>
    </row>
    <row r="65" spans="1:15" x14ac:dyDescent="0.2">
      <c r="A65" s="459">
        <v>640</v>
      </c>
      <c r="B65" s="460">
        <v>0</v>
      </c>
      <c r="C65" s="461">
        <f>VLOOKUP(A65,'[2]SLUOS Capital Charge'!$D$14:$F$220,3,FALSE)</f>
        <v>1053.36623672</v>
      </c>
      <c r="D65" s="464">
        <f t="shared" si="0"/>
        <v>0</v>
      </c>
      <c r="E65" s="464">
        <f t="shared" si="3"/>
        <v>0</v>
      </c>
      <c r="F65" s="462">
        <f t="shared" si="4"/>
        <v>0</v>
      </c>
      <c r="G65" s="462">
        <f t="shared" si="15"/>
        <v>0</v>
      </c>
      <c r="H65" s="464">
        <f t="shared" si="16"/>
        <v>0</v>
      </c>
      <c r="I65" s="475">
        <f t="shared" si="5"/>
        <v>0</v>
      </c>
      <c r="J65" s="463">
        <f t="shared" si="6"/>
        <v>0</v>
      </c>
      <c r="K65" s="478"/>
      <c r="L65" s="478"/>
    </row>
    <row r="66" spans="1:15" x14ac:dyDescent="0.2">
      <c r="A66" s="459">
        <v>660</v>
      </c>
      <c r="B66" s="460">
        <f>VLOOKUP(A66,[3]Sheet1!$A:$B,2,FALSE)</f>
        <v>4</v>
      </c>
      <c r="C66" s="461">
        <f>VLOOKUP(A66,'[2]SLUOS Capital Charge'!$D$14:$F$220,3,FALSE)</f>
        <v>1513.49642528</v>
      </c>
      <c r="D66" s="464">
        <f t="shared" si="0"/>
        <v>6053.9857011200002</v>
      </c>
      <c r="E66" s="464">
        <f t="shared" si="3"/>
        <v>1188.09322699321</v>
      </c>
      <c r="F66" s="462">
        <f t="shared" si="4"/>
        <v>297.0233067483025</v>
      </c>
      <c r="G66" s="462">
        <f t="shared" si="15"/>
        <v>74.255826687075626</v>
      </c>
      <c r="H66" s="464">
        <f t="shared" si="16"/>
        <v>84.217967783622399</v>
      </c>
      <c r="I66" s="475">
        <f t="shared" si="5"/>
        <v>21.0544919459056</v>
      </c>
      <c r="J66" s="463">
        <f t="shared" si="6"/>
        <v>95.310318632981222</v>
      </c>
      <c r="K66" s="477">
        <f>VLOOKUP(A66,'RAB Calculations 10yr'!$A$22:$J$119,10,FALSE)</f>
        <v>49.505888035288052</v>
      </c>
      <c r="L66" s="477">
        <f t="shared" ref="L66:L68" si="19">J66-K66</f>
        <v>45.80443059769317</v>
      </c>
      <c r="M66" s="479">
        <f t="shared" ref="M66:M68" si="20">L66/K66</f>
        <v>0.92523197574081562</v>
      </c>
      <c r="O66" s="476"/>
    </row>
    <row r="67" spans="1:15" x14ac:dyDescent="0.2">
      <c r="A67" s="459">
        <v>690</v>
      </c>
      <c r="B67" s="460">
        <f>VLOOKUP(A67,[3]Sheet1!$A:$B,2,FALSE)</f>
        <v>65</v>
      </c>
      <c r="C67" s="461">
        <f>VLOOKUP(A67,'[2]SLUOS Capital Charge'!$D$14:$F$220,3,FALSE)</f>
        <v>3203.9336481847545</v>
      </c>
      <c r="D67" s="464">
        <f t="shared" si="0"/>
        <v>208255.68713200904</v>
      </c>
      <c r="E67" s="464">
        <f t="shared" si="3"/>
        <v>40870.128140306377</v>
      </c>
      <c r="F67" s="462">
        <f t="shared" si="4"/>
        <v>628.77120215855962</v>
      </c>
      <c r="G67" s="462">
        <f t="shared" si="15"/>
        <v>157.1928005396399</v>
      </c>
      <c r="H67" s="464">
        <f t="shared" si="16"/>
        <v>2897.0783241848353</v>
      </c>
      <c r="I67" s="475">
        <f t="shared" si="5"/>
        <v>44.570435756689776</v>
      </c>
      <c r="J67" s="463">
        <f t="shared" si="6"/>
        <v>201.76323629632969</v>
      </c>
      <c r="K67" s="477">
        <f>VLOOKUP(A67,'RAB Calculations 10yr'!$A$22:$J$119,10,FALSE)</f>
        <v>104.79944174971051</v>
      </c>
      <c r="L67" s="477">
        <f t="shared" si="19"/>
        <v>96.963794546619184</v>
      </c>
      <c r="M67" s="479">
        <f t="shared" si="20"/>
        <v>0.92523197574081573</v>
      </c>
      <c r="O67" s="476"/>
    </row>
    <row r="68" spans="1:15" x14ac:dyDescent="0.2">
      <c r="A68" s="459">
        <v>710</v>
      </c>
      <c r="B68" s="460">
        <f>VLOOKUP(A68,[3]Sheet1!$A:$B,2,FALSE)</f>
        <v>3</v>
      </c>
      <c r="C68" s="461">
        <f>VLOOKUP(A68,'[2]SLUOS Capital Charge'!$D$14:$F$220,3,FALSE)</f>
        <v>3589.3024927447541</v>
      </c>
      <c r="D68" s="464">
        <f t="shared" si="0"/>
        <v>10767.907478234261</v>
      </c>
      <c r="E68" s="464">
        <f t="shared" si="3"/>
        <v>2113.199233591331</v>
      </c>
      <c r="F68" s="462">
        <f t="shared" si="4"/>
        <v>704.39974453044363</v>
      </c>
      <c r="G68" s="462">
        <f t="shared" si="15"/>
        <v>176.09993613261091</v>
      </c>
      <c r="H68" s="464">
        <f t="shared" si="16"/>
        <v>149.79409101200724</v>
      </c>
      <c r="I68" s="475">
        <f t="shared" si="5"/>
        <v>49.931363670669079</v>
      </c>
      <c r="J68" s="463">
        <f t="shared" si="6"/>
        <v>226.03129980327998</v>
      </c>
      <c r="K68" s="477">
        <f>VLOOKUP(A68,'RAB Calculations 10yr'!$A$22:$J$119,10,FALSE)</f>
        <v>117.40470896568439</v>
      </c>
      <c r="L68" s="477">
        <f t="shared" si="19"/>
        <v>108.62659083759559</v>
      </c>
      <c r="M68" s="479">
        <f t="shared" si="20"/>
        <v>0.92523197574081528</v>
      </c>
      <c r="O68" s="476"/>
    </row>
    <row r="69" spans="1:15" x14ac:dyDescent="0.2">
      <c r="A69" s="459">
        <v>720</v>
      </c>
      <c r="B69" s="460">
        <v>0</v>
      </c>
      <c r="C69" s="461">
        <f>VLOOKUP(A69,'[2]SLUOS Capital Charge'!$D$14:$F$220,3,FALSE)</f>
        <v>3974.6713373047542</v>
      </c>
      <c r="D69" s="464">
        <f t="shared" si="0"/>
        <v>0</v>
      </c>
      <c r="E69" s="464">
        <f t="shared" si="3"/>
        <v>0</v>
      </c>
      <c r="F69" s="462">
        <f t="shared" si="4"/>
        <v>0</v>
      </c>
      <c r="G69" s="462">
        <f t="shared" si="15"/>
        <v>0</v>
      </c>
      <c r="H69" s="464">
        <f t="shared" si="16"/>
        <v>0</v>
      </c>
      <c r="I69" s="475">
        <f t="shared" si="5"/>
        <v>0</v>
      </c>
      <c r="J69" s="463">
        <f t="shared" si="6"/>
        <v>0</v>
      </c>
      <c r="K69" s="478"/>
      <c r="L69" s="478"/>
    </row>
    <row r="70" spans="1:15" x14ac:dyDescent="0.2">
      <c r="A70" s="459">
        <v>730</v>
      </c>
      <c r="B70" s="460">
        <f>VLOOKUP(A70,[3]Sheet1!$A:$B,2,FALSE)</f>
        <v>51</v>
      </c>
      <c r="C70" s="461">
        <f>VLOOKUP(A70,'[2]SLUOS Capital Charge'!$D$14:$F$220,3,FALSE)</f>
        <v>2915.8215201847547</v>
      </c>
      <c r="D70" s="464">
        <f t="shared" si="0"/>
        <v>148706.89752942248</v>
      </c>
      <c r="E70" s="464">
        <f t="shared" si="3"/>
        <v>29183.6926091838</v>
      </c>
      <c r="F70" s="462">
        <f t="shared" si="4"/>
        <v>572.22926684674121</v>
      </c>
      <c r="G70" s="462">
        <f t="shared" si="15"/>
        <v>143.0573167116853</v>
      </c>
      <c r="H70" s="464">
        <f t="shared" si="16"/>
        <v>2068.6855443048721</v>
      </c>
      <c r="I70" s="475">
        <f t="shared" si="5"/>
        <v>40.562461653036706</v>
      </c>
      <c r="J70" s="463">
        <f t="shared" si="6"/>
        <v>183.61977836472201</v>
      </c>
      <c r="K70" s="477">
        <f>VLOOKUP(A70,'RAB Calculations 10yr'!$A$22:$J$119,10,FALSE)</f>
        <v>95.375404459541258</v>
      </c>
      <c r="L70" s="477">
        <f t="shared" ref="L70:L74" si="21">J70-K70</f>
        <v>88.244373905180751</v>
      </c>
      <c r="M70" s="479">
        <f t="shared" ref="M70:M74" si="22">L70/K70</f>
        <v>0.92523197574081562</v>
      </c>
      <c r="O70" s="476"/>
    </row>
    <row r="71" spans="1:15" x14ac:dyDescent="0.2">
      <c r="A71" s="459">
        <v>740</v>
      </c>
      <c r="B71" s="460">
        <f>VLOOKUP(A71,[3]Sheet1!$A:$B,2,FALSE)</f>
        <v>51</v>
      </c>
      <c r="C71" s="461">
        <f>VLOOKUP(A71,'[2]SLUOS Capital Charge'!$D$14:$F$220,3,FALSE)</f>
        <v>731.27671327999997</v>
      </c>
      <c r="D71" s="464">
        <f t="shared" si="0"/>
        <v>37295.112377279998</v>
      </c>
      <c r="E71" s="464">
        <f t="shared" si="3"/>
        <v>7319.156767615018</v>
      </c>
      <c r="F71" s="462">
        <f t="shared" si="4"/>
        <v>143.51287779637289</v>
      </c>
      <c r="G71" s="462">
        <f t="shared" si="15"/>
        <v>35.878219449093223</v>
      </c>
      <c r="H71" s="464">
        <f t="shared" si="16"/>
        <v>518.81830049503867</v>
      </c>
      <c r="I71" s="475">
        <f t="shared" si="5"/>
        <v>10.172907852843895</v>
      </c>
      <c r="J71" s="463">
        <f t="shared" si="6"/>
        <v>46.051127301937115</v>
      </c>
      <c r="K71" s="477">
        <f>VLOOKUP(A71,'RAB Calculations 10yr'!$A$22:$J$119,10,FALSE)</f>
        <v>23.919781035330548</v>
      </c>
      <c r="L71" s="477">
        <f t="shared" si="21"/>
        <v>22.131346266606567</v>
      </c>
      <c r="M71" s="479">
        <f t="shared" si="22"/>
        <v>0.92523197574081528</v>
      </c>
      <c r="O71" s="476"/>
    </row>
    <row r="72" spans="1:15" x14ac:dyDescent="0.2">
      <c r="A72" s="459">
        <v>750</v>
      </c>
      <c r="B72" s="460">
        <f>VLOOKUP(A72,[3]Sheet1!$A:$B,2,FALSE)</f>
        <v>3</v>
      </c>
      <c r="C72" s="461">
        <f>VLOOKUP(A72,'[2]SLUOS Capital Charge'!$D$14:$F$220,3,FALSE)</f>
        <v>1047.7046938400001</v>
      </c>
      <c r="D72" s="464">
        <f t="shared" si="0"/>
        <v>3143.1140815200006</v>
      </c>
      <c r="E72" s="464">
        <f t="shared" si="3"/>
        <v>616.83537693688982</v>
      </c>
      <c r="F72" s="462">
        <f t="shared" si="4"/>
        <v>205.61179231229661</v>
      </c>
      <c r="G72" s="462">
        <f t="shared" si="15"/>
        <v>51.402948078074154</v>
      </c>
      <c r="H72" s="464">
        <f t="shared" si="16"/>
        <v>43.724364992921934</v>
      </c>
      <c r="I72" s="475">
        <f t="shared" si="5"/>
        <v>14.574788330973979</v>
      </c>
      <c r="J72" s="463">
        <f t="shared" si="6"/>
        <v>65.977736409048134</v>
      </c>
      <c r="K72" s="477">
        <f>VLOOKUP(A72,'RAB Calculations 10yr'!$A$22:$J$119,10,FALSE)</f>
        <v>34.270019010909252</v>
      </c>
      <c r="L72" s="477">
        <f t="shared" si="21"/>
        <v>31.707717398138882</v>
      </c>
      <c r="M72" s="479">
        <f t="shared" si="22"/>
        <v>0.92523197574081573</v>
      </c>
      <c r="O72" s="476"/>
    </row>
    <row r="73" spans="1:15" x14ac:dyDescent="0.2">
      <c r="A73" s="459">
        <v>760</v>
      </c>
      <c r="B73" s="460">
        <f>VLOOKUP(A73,[3]Sheet1!$A:$B,2,FALSE)</f>
        <v>9</v>
      </c>
      <c r="C73" s="461">
        <f>VLOOKUP(A73,'[2]SLUOS Capital Charge'!$D$14:$F$220,3,FALSE)</f>
        <v>2408.2475632725973</v>
      </c>
      <c r="D73" s="464">
        <f t="shared" si="0"/>
        <v>21674.228069453377</v>
      </c>
      <c r="E73" s="464">
        <f t="shared" si="3"/>
        <v>4253.5620070691084</v>
      </c>
      <c r="F73" s="462">
        <f t="shared" si="4"/>
        <v>472.6180007854565</v>
      </c>
      <c r="G73" s="462">
        <f t="shared" si="15"/>
        <v>118.15450019636413</v>
      </c>
      <c r="H73" s="464">
        <f t="shared" si="16"/>
        <v>301.51366907761496</v>
      </c>
      <c r="I73" s="475">
        <f t="shared" si="5"/>
        <v>33.501518786401661</v>
      </c>
      <c r="J73" s="463">
        <f t="shared" si="6"/>
        <v>151.65601898276577</v>
      </c>
      <c r="K73" s="477">
        <f>VLOOKUP(A73,'RAB Calculations 10yr'!$A$22:$J$119,10,FALSE)</f>
        <v>78.772854852678023</v>
      </c>
      <c r="L73" s="477">
        <f t="shared" si="21"/>
        <v>72.883164130087749</v>
      </c>
      <c r="M73" s="479">
        <f t="shared" si="22"/>
        <v>0.92523197574081517</v>
      </c>
      <c r="O73" s="476"/>
    </row>
    <row r="74" spans="1:15" x14ac:dyDescent="0.2">
      <c r="A74" s="459">
        <v>770</v>
      </c>
      <c r="B74" s="460">
        <f>VLOOKUP(A74,[3]Sheet1!$A:$B,2,FALSE)</f>
        <v>5</v>
      </c>
      <c r="C74" s="461">
        <f>VLOOKUP(A74,'[2]SLUOS Capital Charge'!$D$14:$F$220,3,FALSE)</f>
        <v>2631.1738864725976</v>
      </c>
      <c r="D74" s="464">
        <f t="shared" si="0"/>
        <v>13155.869432362988</v>
      </c>
      <c r="E74" s="464">
        <f t="shared" si="3"/>
        <v>2581.8361884974083</v>
      </c>
      <c r="F74" s="462">
        <f t="shared" si="4"/>
        <v>516.36723769948162</v>
      </c>
      <c r="G74" s="462">
        <f t="shared" si="15"/>
        <v>129.09180942487041</v>
      </c>
      <c r="H74" s="464">
        <f t="shared" si="16"/>
        <v>183.01341343031481</v>
      </c>
      <c r="I74" s="475">
        <f t="shared" si="5"/>
        <v>36.602682686062963</v>
      </c>
      <c r="J74" s="463">
        <f t="shared" si="6"/>
        <v>165.69449211093337</v>
      </c>
      <c r="K74" s="477">
        <f>VLOOKUP(A74,'RAB Calculations 10yr'!$A$22:$J$119,10,FALSE)</f>
        <v>86.06468944978711</v>
      </c>
      <c r="L74" s="477">
        <f t="shared" si="21"/>
        <v>79.629802661146257</v>
      </c>
      <c r="M74" s="479">
        <f t="shared" si="22"/>
        <v>0.92523197574081562</v>
      </c>
      <c r="O74" s="476"/>
    </row>
    <row r="75" spans="1:15" x14ac:dyDescent="0.2">
      <c r="A75" s="459">
        <v>780</v>
      </c>
      <c r="B75" s="460">
        <v>0</v>
      </c>
      <c r="C75" s="461">
        <f>VLOOKUP(A75,'[2]SLUOS Capital Charge'!$D$14:$F$220,3,FALSE)</f>
        <v>2430.4138224725975</v>
      </c>
      <c r="D75" s="464">
        <f t="shared" si="0"/>
        <v>0</v>
      </c>
      <c r="E75" s="464">
        <f t="shared" si="3"/>
        <v>0</v>
      </c>
      <c r="F75" s="462">
        <f t="shared" si="4"/>
        <v>0</v>
      </c>
      <c r="G75" s="462">
        <f t="shared" si="15"/>
        <v>0</v>
      </c>
      <c r="H75" s="464">
        <f t="shared" si="16"/>
        <v>0</v>
      </c>
      <c r="I75" s="475">
        <f t="shared" si="5"/>
        <v>0</v>
      </c>
      <c r="J75" s="463">
        <f t="shared" si="6"/>
        <v>0</v>
      </c>
      <c r="K75" s="478"/>
      <c r="L75" s="478"/>
    </row>
    <row r="76" spans="1:15" x14ac:dyDescent="0.2">
      <c r="A76" s="459">
        <v>790</v>
      </c>
      <c r="B76" s="460">
        <v>0</v>
      </c>
      <c r="C76" s="461">
        <f>VLOOKUP(A76,'[2]SLUOS Capital Charge'!$D$14:$F$220,3,FALSE)</f>
        <v>2439.0636016725975</v>
      </c>
      <c r="D76" s="464">
        <f t="shared" si="0"/>
        <v>0</v>
      </c>
      <c r="E76" s="464">
        <f t="shared" si="3"/>
        <v>0</v>
      </c>
      <c r="F76" s="462">
        <f t="shared" si="4"/>
        <v>0</v>
      </c>
      <c r="G76" s="462">
        <f t="shared" si="15"/>
        <v>0</v>
      </c>
      <c r="H76" s="464">
        <f t="shared" si="16"/>
        <v>0</v>
      </c>
      <c r="I76" s="475">
        <f t="shared" si="5"/>
        <v>0</v>
      </c>
      <c r="J76" s="463">
        <f t="shared" si="6"/>
        <v>0</v>
      </c>
      <c r="K76" s="463"/>
      <c r="L76" s="463"/>
    </row>
    <row r="77" spans="1:15" x14ac:dyDescent="0.2">
      <c r="A77" s="459">
        <v>810</v>
      </c>
      <c r="B77" s="460">
        <f>VLOOKUP(A77,[3]Sheet1!$A:$B,2,FALSE)</f>
        <v>398</v>
      </c>
      <c r="C77" s="461">
        <f>VLOOKUP(A77,'[2]SLUOS Capital Charge'!$D$14:$F$220,3,FALSE)</f>
        <v>1563.9481779125977</v>
      </c>
      <c r="D77" s="464">
        <f t="shared" si="0"/>
        <v>622451.37480921391</v>
      </c>
      <c r="E77" s="464">
        <f t="shared" si="3"/>
        <v>122155.93148933674</v>
      </c>
      <c r="F77" s="462">
        <f t="shared" si="4"/>
        <v>306.92445097823304</v>
      </c>
      <c r="G77" s="462">
        <f t="shared" si="15"/>
        <v>76.73111274455826</v>
      </c>
      <c r="H77" s="464">
        <f t="shared" si="16"/>
        <v>8659.0210843834247</v>
      </c>
      <c r="I77" s="475">
        <f t="shared" si="5"/>
        <v>21.756334382872925</v>
      </c>
      <c r="J77" s="463">
        <f t="shared" si="6"/>
        <v>98.487447127431182</v>
      </c>
      <c r="K77" s="477">
        <f>VLOOKUP(A77,'RAB Calculations 10yr'!$A$22:$J$119,10,FALSE)</f>
        <v>51.156145528662286</v>
      </c>
      <c r="L77" s="477">
        <f t="shared" ref="L77:L93" si="23">J77-K77</f>
        <v>47.331301598768896</v>
      </c>
      <c r="M77" s="479">
        <f t="shared" ref="M77:M93" si="24">L77/K77</f>
        <v>0.92523197574081562</v>
      </c>
      <c r="O77" s="476"/>
    </row>
    <row r="78" spans="1:15" x14ac:dyDescent="0.2">
      <c r="A78" s="459">
        <v>820</v>
      </c>
      <c r="B78" s="460">
        <f>VLOOKUP(A78,[3]Sheet1!$A:$B,2,FALSE)</f>
        <v>2</v>
      </c>
      <c r="C78" s="461">
        <f>VLOOKUP(A78,'[2]SLUOS Capital Charge'!$D$14:$F$220,3,FALSE)</f>
        <v>935.03189384000007</v>
      </c>
      <c r="D78" s="464">
        <f t="shared" si="0"/>
        <v>1870.0637876800001</v>
      </c>
      <c r="E78" s="464">
        <f t="shared" si="3"/>
        <v>366.99956522474719</v>
      </c>
      <c r="F78" s="462">
        <f t="shared" si="4"/>
        <v>183.49978261237359</v>
      </c>
      <c r="G78" s="462">
        <f t="shared" si="15"/>
        <v>45.874945653093398</v>
      </c>
      <c r="H78" s="464">
        <f t="shared" si="16"/>
        <v>26.014757814016079</v>
      </c>
      <c r="I78" s="475">
        <f t="shared" si="5"/>
        <v>13.007378907008039</v>
      </c>
      <c r="J78" s="463">
        <f t="shared" si="6"/>
        <v>58.882324560101438</v>
      </c>
      <c r="K78" s="477">
        <f>VLOOKUP(A78,'RAB Calculations 10yr'!$A$22:$J$119,10,FALSE)</f>
        <v>30.584534903875124</v>
      </c>
      <c r="L78" s="477">
        <f t="shared" si="23"/>
        <v>28.297789656226314</v>
      </c>
      <c r="M78" s="479">
        <f t="shared" si="24"/>
        <v>0.9252319757408155</v>
      </c>
      <c r="O78" s="476"/>
    </row>
    <row r="79" spans="1:15" x14ac:dyDescent="0.2">
      <c r="A79" s="459">
        <v>840</v>
      </c>
      <c r="B79" s="460">
        <f>VLOOKUP(A79,[3]Sheet1!$A:$B,2,FALSE)</f>
        <v>8</v>
      </c>
      <c r="C79" s="461">
        <f>VLOOKUP(A79,'[2]SLUOS Capital Charge'!$D$14:$F$220,3,FALSE)</f>
        <v>6122.1980569466186</v>
      </c>
      <c r="D79" s="464">
        <f t="shared" si="0"/>
        <v>48977.584455572949</v>
      </c>
      <c r="E79" s="464">
        <f t="shared" si="3"/>
        <v>9611.839082373268</v>
      </c>
      <c r="F79" s="462">
        <f t="shared" si="4"/>
        <v>1201.4798852966585</v>
      </c>
      <c r="G79" s="462">
        <f t="shared" si="15"/>
        <v>300.36997132416462</v>
      </c>
      <c r="H79" s="464">
        <f t="shared" si="16"/>
        <v>681.33504660177721</v>
      </c>
      <c r="I79" s="475">
        <f t="shared" si="5"/>
        <v>85.166880825222151</v>
      </c>
      <c r="J79" s="463">
        <f t="shared" si="6"/>
        <v>385.53685214938679</v>
      </c>
      <c r="K79" s="477">
        <f>VLOOKUP(A79,'RAB Calculations 10yr'!$A$22:$J$119,10,FALSE)</f>
        <v>200.25475215839111</v>
      </c>
      <c r="L79" s="477">
        <f t="shared" si="23"/>
        <v>185.28209999099568</v>
      </c>
      <c r="M79" s="479">
        <f t="shared" si="24"/>
        <v>0.92523197574081617</v>
      </c>
      <c r="O79" s="476"/>
    </row>
    <row r="80" spans="1:15" x14ac:dyDescent="0.2">
      <c r="A80" s="459">
        <v>850</v>
      </c>
      <c r="B80" s="460">
        <f>VLOOKUP(A80,[3]Sheet1!$A:$B,2,FALSE)</f>
        <v>2</v>
      </c>
      <c r="C80" s="461">
        <f>VLOOKUP(A80,'[2]SLUOS Capital Charge'!$D$14:$F$220,3,FALSE)</f>
        <v>5503.9736603866186</v>
      </c>
      <c r="D80" s="464">
        <f t="shared" si="0"/>
        <v>11007.947320773237</v>
      </c>
      <c r="E80" s="464">
        <f t="shared" si="3"/>
        <v>2160.3069945291068</v>
      </c>
      <c r="F80" s="462">
        <f t="shared" si="4"/>
        <v>1080.1534972645534</v>
      </c>
      <c r="G80" s="462">
        <f t="shared" si="15"/>
        <v>270.03837431613834</v>
      </c>
      <c r="H80" s="464">
        <f t="shared" si="16"/>
        <v>153.13332382882629</v>
      </c>
      <c r="I80" s="475">
        <f t="shared" si="5"/>
        <v>76.566661914413146</v>
      </c>
      <c r="J80" s="463">
        <f t="shared" si="6"/>
        <v>346.60503623055149</v>
      </c>
      <c r="K80" s="477">
        <f>VLOOKUP(A80,'RAB Calculations 10yr'!$A$22:$J$119,10,FALSE)</f>
        <v>180.03286907655911</v>
      </c>
      <c r="L80" s="477">
        <f t="shared" si="23"/>
        <v>166.57216715399238</v>
      </c>
      <c r="M80" s="479">
        <f t="shared" si="24"/>
        <v>0.92523197574081573</v>
      </c>
      <c r="O80" s="476"/>
    </row>
    <row r="81" spans="1:15" x14ac:dyDescent="0.2">
      <c r="A81" s="459">
        <v>860</v>
      </c>
      <c r="B81" s="460">
        <f>VLOOKUP(A81,[3]Sheet1!$A:$B,2,FALSE)</f>
        <v>9</v>
      </c>
      <c r="C81" s="461">
        <f>VLOOKUP(A81,'[2]SLUOS Capital Charge'!$D$14:$F$220,3,FALSE)</f>
        <v>6122.1980569466186</v>
      </c>
      <c r="D81" s="464">
        <f t="shared" si="0"/>
        <v>55099.782512519567</v>
      </c>
      <c r="E81" s="464">
        <f t="shared" si="3"/>
        <v>10813.318967669926</v>
      </c>
      <c r="F81" s="462">
        <f t="shared" si="4"/>
        <v>1201.4798852966585</v>
      </c>
      <c r="G81" s="462">
        <f t="shared" si="15"/>
        <v>300.36997132416462</v>
      </c>
      <c r="H81" s="464">
        <f t="shared" si="16"/>
        <v>766.50192742699937</v>
      </c>
      <c r="I81" s="475">
        <f t="shared" si="5"/>
        <v>85.166880825222151</v>
      </c>
      <c r="J81" s="463">
        <f t="shared" si="6"/>
        <v>385.53685214938679</v>
      </c>
      <c r="K81" s="477">
        <f>VLOOKUP(A81,'RAB Calculations 10yr'!$A$22:$J$119,10,FALSE)</f>
        <v>200.25475215839111</v>
      </c>
      <c r="L81" s="477">
        <f t="shared" si="23"/>
        <v>185.28209999099568</v>
      </c>
      <c r="M81" s="479">
        <f t="shared" si="24"/>
        <v>0.92523197574081617</v>
      </c>
      <c r="O81" s="476"/>
    </row>
    <row r="82" spans="1:15" x14ac:dyDescent="0.2">
      <c r="A82" s="459">
        <v>870</v>
      </c>
      <c r="B82" s="460">
        <f>VLOOKUP(A82,[3]Sheet1!$A:$B,2,FALSE)</f>
        <v>16</v>
      </c>
      <c r="C82" s="461">
        <f>VLOOKUP(A82,'[2]SLUOS Capital Charge'!$D$14:$F$220,3,FALSE)</f>
        <v>6740.4224535066187</v>
      </c>
      <c r="D82" s="464">
        <f t="shared" ref="D82:D115" si="25">B82*C82</f>
        <v>107846.7592561059</v>
      </c>
      <c r="E82" s="464">
        <f t="shared" si="3"/>
        <v>21164.900373260214</v>
      </c>
      <c r="F82" s="462">
        <f t="shared" si="4"/>
        <v>1322.8062733287634</v>
      </c>
      <c r="G82" s="462">
        <f t="shared" ref="G82:G115" si="26">F82/$B$11</f>
        <v>330.70156833219085</v>
      </c>
      <c r="H82" s="464">
        <f t="shared" ref="H82:H115" si="27">E82*$B$12</f>
        <v>1500.2735957764983</v>
      </c>
      <c r="I82" s="475">
        <f t="shared" si="5"/>
        <v>93.767099736031142</v>
      </c>
      <c r="J82" s="463">
        <f t="shared" si="6"/>
        <v>424.46866806822197</v>
      </c>
      <c r="K82" s="477">
        <f>VLOOKUP(A82,'RAB Calculations 10yr'!$A$22:$J$119,10,FALSE)</f>
        <v>220.47663524022317</v>
      </c>
      <c r="L82" s="477">
        <f t="shared" si="23"/>
        <v>203.9920328279988</v>
      </c>
      <c r="M82" s="479">
        <f t="shared" si="24"/>
        <v>0.9252319757408155</v>
      </c>
      <c r="O82" s="476"/>
    </row>
    <row r="83" spans="1:15" x14ac:dyDescent="0.2">
      <c r="A83" s="459">
        <v>890</v>
      </c>
      <c r="B83" s="460">
        <f>VLOOKUP(A83,[3]Sheet1!$A:$B,2,FALSE)</f>
        <v>101</v>
      </c>
      <c r="C83" s="461">
        <f>VLOOKUP(A83,'[2]SLUOS Capital Charge'!$D$14:$F$220,3,FALSE)</f>
        <v>806.39191328000004</v>
      </c>
      <c r="D83" s="464">
        <f t="shared" si="25"/>
        <v>81445.583241280008</v>
      </c>
      <c r="E83" s="464">
        <f t="shared" ref="E83:E115" si="28">D83*$B$14</f>
        <v>15983.67597722848</v>
      </c>
      <c r="F83" s="462">
        <f t="shared" ref="F83:F115" si="29">IF(E83=0,0,E83/B83)</f>
        <v>158.25421759632158</v>
      </c>
      <c r="G83" s="462">
        <f t="shared" si="26"/>
        <v>39.563554399080395</v>
      </c>
      <c r="H83" s="464">
        <f t="shared" si="27"/>
        <v>1133.0025943509402</v>
      </c>
      <c r="I83" s="475">
        <f t="shared" ref="I83:I115" si="30">IF(H83=0,0,H83/B83)</f>
        <v>11.217847468821191</v>
      </c>
      <c r="J83" s="463">
        <f t="shared" ref="J83:J115" si="31">G83+I83</f>
        <v>50.781401867901586</v>
      </c>
      <c r="K83" s="477">
        <f>VLOOKUP(A83,'RAB Calculations 10yr'!$A$22:$J$119,10,FALSE)</f>
        <v>26.376770440019968</v>
      </c>
      <c r="L83" s="477">
        <f t="shared" si="23"/>
        <v>24.404631427881618</v>
      </c>
      <c r="M83" s="479">
        <f t="shared" si="24"/>
        <v>0.92523197574081562</v>
      </c>
      <c r="O83" s="476"/>
    </row>
    <row r="84" spans="1:15" x14ac:dyDescent="0.2">
      <c r="A84" s="459">
        <v>900</v>
      </c>
      <c r="B84" s="460">
        <f>VLOOKUP(A84,[3]Sheet1!$A:$B,2,FALSE)</f>
        <v>8</v>
      </c>
      <c r="C84" s="461">
        <f>VLOOKUP(A84,'[2]SLUOS Capital Charge'!$D$14:$F$220,3,FALSE)</f>
        <v>2866.1114864725978</v>
      </c>
      <c r="D84" s="464">
        <f t="shared" si="25"/>
        <v>22928.891891780782</v>
      </c>
      <c r="E84" s="464">
        <f t="shared" si="28"/>
        <v>4499.7894782018584</v>
      </c>
      <c r="F84" s="462">
        <f t="shared" si="29"/>
        <v>562.4736847752323</v>
      </c>
      <c r="G84" s="462">
        <f t="shared" si="26"/>
        <v>140.61842119380808</v>
      </c>
      <c r="H84" s="464">
        <f t="shared" si="27"/>
        <v>318.96749909715038</v>
      </c>
      <c r="I84" s="475">
        <f t="shared" si="30"/>
        <v>39.870937387143798</v>
      </c>
      <c r="J84" s="463">
        <f t="shared" si="31"/>
        <v>180.48935858095189</v>
      </c>
      <c r="K84" s="477">
        <f>VLOOKUP(A84,'RAB Calculations 10yr'!$A$22:$J$119,10,FALSE)</f>
        <v>93.749408307796699</v>
      </c>
      <c r="L84" s="477">
        <f t="shared" si="23"/>
        <v>86.739950273155188</v>
      </c>
      <c r="M84" s="479">
        <f t="shared" si="24"/>
        <v>0.92523197574081573</v>
      </c>
      <c r="O84" s="476"/>
    </row>
    <row r="85" spans="1:15" x14ac:dyDescent="0.2">
      <c r="A85" s="459">
        <v>910</v>
      </c>
      <c r="B85" s="460">
        <f>VLOOKUP(A85,[3]Sheet1!$A:$B,2,FALSE)</f>
        <v>2</v>
      </c>
      <c r="C85" s="461">
        <f>VLOOKUP(A85,'[2]SLUOS Capital Charge'!$D$14:$F$220,3,FALSE)</f>
        <v>1842.8185584725975</v>
      </c>
      <c r="D85" s="464">
        <f t="shared" si="25"/>
        <v>3685.637116945195</v>
      </c>
      <c r="E85" s="464">
        <f t="shared" si="28"/>
        <v>723.30539118836464</v>
      </c>
      <c r="F85" s="462">
        <f t="shared" si="29"/>
        <v>361.65269559418232</v>
      </c>
      <c r="G85" s="462">
        <f t="shared" si="26"/>
        <v>90.41317389854558</v>
      </c>
      <c r="H85" s="464">
        <f t="shared" si="27"/>
        <v>51.271490106028715</v>
      </c>
      <c r="I85" s="475">
        <f t="shared" si="30"/>
        <v>25.635745053014357</v>
      </c>
      <c r="J85" s="463">
        <f t="shared" si="31"/>
        <v>116.04891895155994</v>
      </c>
      <c r="K85" s="477">
        <f>VLOOKUP(A85,'RAB Calculations 10yr'!$A$22:$J$119,10,FALSE)</f>
        <v>60.277888801896275</v>
      </c>
      <c r="L85" s="477">
        <f t="shared" si="23"/>
        <v>55.771030149663666</v>
      </c>
      <c r="M85" s="479">
        <f t="shared" si="24"/>
        <v>0.9252319757408155</v>
      </c>
      <c r="O85" s="476"/>
    </row>
    <row r="86" spans="1:15" x14ac:dyDescent="0.2">
      <c r="A86" s="459">
        <v>930</v>
      </c>
      <c r="B86" s="460">
        <f>VLOOKUP(A86,[3]Sheet1!$A:$B,2,FALSE)</f>
        <v>5</v>
      </c>
      <c r="C86" s="461">
        <f>VLOOKUP(A86,'[2]SLUOS Capital Charge'!$D$14:$F$220,3,FALSE)</f>
        <v>2797.5399982325971</v>
      </c>
      <c r="D86" s="464">
        <f t="shared" si="25"/>
        <v>13987.699991162986</v>
      </c>
      <c r="E86" s="464">
        <f t="shared" si="28"/>
        <v>2745.0827341133681</v>
      </c>
      <c r="F86" s="462">
        <f t="shared" si="29"/>
        <v>549.0165468226736</v>
      </c>
      <c r="G86" s="462">
        <f t="shared" si="26"/>
        <v>137.2541367056684</v>
      </c>
      <c r="H86" s="464">
        <f t="shared" si="27"/>
        <v>194.585141984198</v>
      </c>
      <c r="I86" s="475">
        <f t="shared" si="30"/>
        <v>38.917028396839598</v>
      </c>
      <c r="J86" s="463">
        <f t="shared" si="31"/>
        <v>176.17116510250798</v>
      </c>
      <c r="K86" s="477">
        <f>VLOOKUP(A86,'RAB Calculations 10yr'!$A$22:$J$119,10,FALSE)</f>
        <v>91.506461206950704</v>
      </c>
      <c r="L86" s="477">
        <f t="shared" si="23"/>
        <v>84.664703895557281</v>
      </c>
      <c r="M86" s="479">
        <f t="shared" si="24"/>
        <v>0.92523197574081539</v>
      </c>
      <c r="O86" s="476"/>
    </row>
    <row r="87" spans="1:15" x14ac:dyDescent="0.2">
      <c r="A87" s="459">
        <v>940</v>
      </c>
      <c r="B87" s="460">
        <f>VLOOKUP(A87,[3]Sheet1!$A:$B,2,FALSE)</f>
        <v>5</v>
      </c>
      <c r="C87" s="461">
        <f>VLOOKUP(A87,'[2]SLUOS Capital Charge'!$D$14:$F$220,3,FALSE)</f>
        <v>1393.9871772799997</v>
      </c>
      <c r="D87" s="464">
        <f t="shared" si="25"/>
        <v>6969.9358863999987</v>
      </c>
      <c r="E87" s="464">
        <f t="shared" si="28"/>
        <v>1367.8482289240894</v>
      </c>
      <c r="F87" s="462">
        <f t="shared" si="29"/>
        <v>273.56964578481791</v>
      </c>
      <c r="G87" s="462">
        <f t="shared" si="26"/>
        <v>68.392411446204477</v>
      </c>
      <c r="H87" s="464">
        <f t="shared" si="27"/>
        <v>96.959897976989552</v>
      </c>
      <c r="I87" s="475">
        <f t="shared" si="30"/>
        <v>19.39197959539791</v>
      </c>
      <c r="J87" s="463">
        <f t="shared" si="31"/>
        <v>87.78439104160239</v>
      </c>
      <c r="K87" s="477">
        <f>VLOOKUP(A87,'RAB Calculations 10yr'!$A$22:$J$119,10,FALSE)</f>
        <v>45.596786334188934</v>
      </c>
      <c r="L87" s="477">
        <f t="shared" si="23"/>
        <v>42.187604707413456</v>
      </c>
      <c r="M87" s="479">
        <f t="shared" si="24"/>
        <v>0.92523197574081573</v>
      </c>
      <c r="O87" s="476"/>
    </row>
    <row r="88" spans="1:15" x14ac:dyDescent="0.2">
      <c r="A88" s="459">
        <v>950</v>
      </c>
      <c r="B88" s="460">
        <f>VLOOKUP(A88,[3]Sheet1!$A:$B,2,FALSE)</f>
        <v>27</v>
      </c>
      <c r="C88" s="461">
        <f>VLOOKUP(A88,'[2]SLUOS Capital Charge'!$D$14:$F$220,3,FALSE)</f>
        <v>1402.6369564799998</v>
      </c>
      <c r="D88" s="464">
        <f t="shared" si="25"/>
        <v>37871.197824959992</v>
      </c>
      <c r="E88" s="464">
        <f t="shared" si="28"/>
        <v>7432.213397139486</v>
      </c>
      <c r="F88" s="462">
        <f t="shared" si="29"/>
        <v>275.26716285701798</v>
      </c>
      <c r="G88" s="462">
        <f t="shared" si="26"/>
        <v>68.816790714254495</v>
      </c>
      <c r="H88" s="464">
        <f t="shared" si="27"/>
        <v>526.83231771750286</v>
      </c>
      <c r="I88" s="475">
        <f t="shared" si="30"/>
        <v>19.512308063611219</v>
      </c>
      <c r="J88" s="463">
        <f t="shared" si="31"/>
        <v>88.32909877786571</v>
      </c>
      <c r="K88" s="477">
        <f>VLOOKUP(A88,'RAB Calculations 10yr'!$A$22:$J$119,10,FALSE)</f>
        <v>45.879717296860981</v>
      </c>
      <c r="L88" s="477">
        <f t="shared" si="23"/>
        <v>42.449381481004728</v>
      </c>
      <c r="M88" s="479">
        <f t="shared" si="24"/>
        <v>0.92523197574081495</v>
      </c>
      <c r="O88" s="476"/>
    </row>
    <row r="89" spans="1:15" x14ac:dyDescent="0.2">
      <c r="A89" s="459">
        <v>960</v>
      </c>
      <c r="B89" s="460">
        <f>VLOOKUP(A89,[3]Sheet1!$A:$B,2,FALSE)</f>
        <v>57</v>
      </c>
      <c r="C89" s="461">
        <f>VLOOKUP(A89,'[2]SLUOS Capital Charge'!$D$14:$F$220,3,FALSE)</f>
        <v>1371.82091808</v>
      </c>
      <c r="D89" s="464">
        <f t="shared" si="25"/>
        <v>78193.792330559998</v>
      </c>
      <c r="E89" s="464">
        <f t="shared" si="28"/>
        <v>15345.512798892962</v>
      </c>
      <c r="F89" s="462">
        <f t="shared" si="29"/>
        <v>269.21952278759579</v>
      </c>
      <c r="G89" s="462">
        <f t="shared" si="26"/>
        <v>67.304880696898948</v>
      </c>
      <c r="H89" s="464">
        <f t="shared" si="27"/>
        <v>1087.7664085258848</v>
      </c>
      <c r="I89" s="475">
        <f t="shared" si="30"/>
        <v>19.083621202208505</v>
      </c>
      <c r="J89" s="463">
        <f t="shared" si="31"/>
        <v>86.388501899107453</v>
      </c>
      <c r="K89" s="477">
        <f>VLOOKUP(A89,'RAB Calculations 10yr'!$A$22:$J$119,10,FALSE)</f>
        <v>44.871736490801723</v>
      </c>
      <c r="L89" s="477">
        <f t="shared" si="23"/>
        <v>41.51676540830573</v>
      </c>
      <c r="M89" s="479">
        <f t="shared" si="24"/>
        <v>0.92523197574081562</v>
      </c>
      <c r="O89" s="476"/>
    </row>
    <row r="90" spans="1:15" x14ac:dyDescent="0.2">
      <c r="A90" s="459">
        <v>980</v>
      </c>
      <c r="B90" s="460">
        <f>VLOOKUP(A90,[3]Sheet1!$A:$B,2,FALSE)</f>
        <v>12</v>
      </c>
      <c r="C90" s="461">
        <f>VLOOKUP(A90,'[2]SLUOS Capital Charge'!$D$14:$F$220,3,FALSE)</f>
        <v>2400.4003824725974</v>
      </c>
      <c r="D90" s="464">
        <f t="shared" si="25"/>
        <v>28804.80458967117</v>
      </c>
      <c r="E90" s="464">
        <f t="shared" si="28"/>
        <v>5652.9359214574879</v>
      </c>
      <c r="F90" s="462">
        <f t="shared" si="29"/>
        <v>471.07799345479066</v>
      </c>
      <c r="G90" s="462">
        <f t="shared" si="26"/>
        <v>117.76949836369766</v>
      </c>
      <c r="H90" s="464">
        <f t="shared" si="27"/>
        <v>400.70826472181324</v>
      </c>
      <c r="I90" s="475">
        <f t="shared" si="30"/>
        <v>33.392355393484436</v>
      </c>
      <c r="J90" s="463">
        <f t="shared" si="31"/>
        <v>151.16185375718209</v>
      </c>
      <c r="K90" s="477">
        <f>VLOOKUP(A90,'RAB Calculations 10yr'!$A$22:$J$119,10,FALSE)</f>
        <v>78.516176576080454</v>
      </c>
      <c r="L90" s="477">
        <f t="shared" si="23"/>
        <v>72.645677181101632</v>
      </c>
      <c r="M90" s="479">
        <f t="shared" si="24"/>
        <v>0.92523197574081517</v>
      </c>
      <c r="O90" s="476"/>
    </row>
    <row r="91" spans="1:15" x14ac:dyDescent="0.2">
      <c r="A91" s="459">
        <v>990</v>
      </c>
      <c r="B91" s="460">
        <f>VLOOKUP(A91,[3]Sheet1!$A:$B,2,FALSE)</f>
        <v>1306</v>
      </c>
      <c r="C91" s="461">
        <f>VLOOKUP(A91,'[2]SLUOS Capital Charge'!$D$14:$F$220,3,FALSE)</f>
        <v>2636.9511396247544</v>
      </c>
      <c r="D91" s="464">
        <f t="shared" si="25"/>
        <v>3443858.1883499292</v>
      </c>
      <c r="E91" s="464">
        <f t="shared" si="28"/>
        <v>675856.33503341407</v>
      </c>
      <c r="F91" s="462">
        <f t="shared" si="29"/>
        <v>517.50102223079182</v>
      </c>
      <c r="G91" s="462">
        <f t="shared" si="26"/>
        <v>129.37525555769795</v>
      </c>
      <c r="H91" s="464">
        <f t="shared" si="27"/>
        <v>47908.064583661224</v>
      </c>
      <c r="I91" s="475">
        <f t="shared" si="30"/>
        <v>36.683050982895274</v>
      </c>
      <c r="J91" s="463">
        <f t="shared" si="31"/>
        <v>166.05830654059324</v>
      </c>
      <c r="K91" s="477">
        <f>VLOOKUP(A91,'RAB Calculations 10yr'!$A$22:$J$119,10,FALSE)</f>
        <v>86.253661186307269</v>
      </c>
      <c r="L91" s="477">
        <f t="shared" si="23"/>
        <v>79.804645354285967</v>
      </c>
      <c r="M91" s="479">
        <f t="shared" si="24"/>
        <v>0.9252319757408155</v>
      </c>
      <c r="O91" s="476"/>
    </row>
    <row r="92" spans="1:15" x14ac:dyDescent="0.2">
      <c r="A92" s="459">
        <v>1000</v>
      </c>
      <c r="B92" s="460">
        <f>VLOOKUP(A92,[3]Sheet1!$A:$B,2,FALSE)</f>
        <v>56</v>
      </c>
      <c r="C92" s="461">
        <f>VLOOKUP(A92,'[2]SLUOS Capital Charge'!$D$14:$F$220,3,FALSE)</f>
        <v>2840.7063201847545</v>
      </c>
      <c r="D92" s="464">
        <f t="shared" si="25"/>
        <v>159079.55393034624</v>
      </c>
      <c r="E92" s="464">
        <f t="shared" si="28"/>
        <v>31219.323914620378</v>
      </c>
      <c r="F92" s="462">
        <f t="shared" si="29"/>
        <v>557.48792704679249</v>
      </c>
      <c r="G92" s="462">
        <f t="shared" si="26"/>
        <v>139.37198176169812</v>
      </c>
      <c r="H92" s="464">
        <f t="shared" si="27"/>
        <v>2212.9812340753269</v>
      </c>
      <c r="I92" s="475">
        <f t="shared" si="30"/>
        <v>39.517522037059408</v>
      </c>
      <c r="J92" s="463">
        <f t="shared" si="31"/>
        <v>178.88950379875752</v>
      </c>
      <c r="K92" s="477">
        <f>VLOOKUP(A92,'RAB Calculations 10yr'!$A$22:$J$119,10,FALSE)</f>
        <v>92.918415054851835</v>
      </c>
      <c r="L92" s="477">
        <f t="shared" si="23"/>
        <v>85.971088743905682</v>
      </c>
      <c r="M92" s="479">
        <f t="shared" si="24"/>
        <v>0.92523197574081528</v>
      </c>
      <c r="O92" s="476"/>
    </row>
    <row r="93" spans="1:15" x14ac:dyDescent="0.2">
      <c r="A93" s="459">
        <v>1010</v>
      </c>
      <c r="B93" s="460">
        <f>VLOOKUP(A93,[3]Sheet1!$A:$B,2,FALSE)</f>
        <v>32</v>
      </c>
      <c r="C93" s="461">
        <f>VLOOKUP(A93,'[2]SLUOS Capital Charge'!$D$14:$F$220,3,FALSE)</f>
        <v>1363.9737372799998</v>
      </c>
      <c r="D93" s="464">
        <f t="shared" si="25"/>
        <v>43647.159592959993</v>
      </c>
      <c r="E93" s="464">
        <f t="shared" si="28"/>
        <v>8565.7444946217565</v>
      </c>
      <c r="F93" s="462">
        <f t="shared" si="29"/>
        <v>267.67951545692989</v>
      </c>
      <c r="G93" s="462">
        <f t="shared" si="26"/>
        <v>66.919878864232473</v>
      </c>
      <c r="H93" s="464">
        <f t="shared" si="27"/>
        <v>607.18264989732063</v>
      </c>
      <c r="I93" s="475">
        <f t="shared" si="30"/>
        <v>18.97445780929127</v>
      </c>
      <c r="J93" s="463">
        <f t="shared" si="31"/>
        <v>85.894336673523739</v>
      </c>
      <c r="K93" s="477">
        <f>VLOOKUP(A93,'RAB Calculations 10yr'!$A$22:$J$119,10,FALSE)</f>
        <v>44.61505821420414</v>
      </c>
      <c r="L93" s="477">
        <f t="shared" si="23"/>
        <v>41.279278459319599</v>
      </c>
      <c r="M93" s="479">
        <f t="shared" si="24"/>
        <v>0.92523197574081562</v>
      </c>
      <c r="O93" s="476"/>
    </row>
    <row r="94" spans="1:15" x14ac:dyDescent="0.2">
      <c r="A94" s="459">
        <v>1020</v>
      </c>
      <c r="B94" s="460">
        <v>0</v>
      </c>
      <c r="C94" s="461">
        <f>VLOOKUP(A94,'[2]SLUOS Capital Charge'!$D$14:$F$220,3,FALSE)</f>
        <v>1761.1133530399998</v>
      </c>
      <c r="D94" s="464">
        <f t="shared" si="25"/>
        <v>0</v>
      </c>
      <c r="E94" s="464">
        <f t="shared" si="28"/>
        <v>0</v>
      </c>
      <c r="F94" s="462">
        <f t="shared" si="29"/>
        <v>0</v>
      </c>
      <c r="G94" s="462">
        <f t="shared" si="26"/>
        <v>0</v>
      </c>
      <c r="H94" s="464">
        <f t="shared" si="27"/>
        <v>0</v>
      </c>
      <c r="I94" s="475">
        <f t="shared" si="30"/>
        <v>0</v>
      </c>
      <c r="J94" s="463">
        <f t="shared" si="31"/>
        <v>0</v>
      </c>
      <c r="K94" s="478"/>
      <c r="L94" s="478"/>
    </row>
    <row r="95" spans="1:15" x14ac:dyDescent="0.2">
      <c r="A95" s="459">
        <v>1030</v>
      </c>
      <c r="B95" s="460">
        <f>VLOOKUP(A95,[3]Sheet1!$A:$B,2,FALSE)</f>
        <v>4</v>
      </c>
      <c r="C95" s="461">
        <f>VLOOKUP(A95,'[2]SLUOS Capital Charge'!$D$14:$F$220,3,FALSE)</f>
        <v>1594.7472412799998</v>
      </c>
      <c r="D95" s="464">
        <f t="shared" si="25"/>
        <v>6378.9889651199992</v>
      </c>
      <c r="E95" s="464">
        <f t="shared" si="28"/>
        <v>1251.8750388064834</v>
      </c>
      <c r="F95" s="462">
        <f t="shared" si="29"/>
        <v>312.96875970162085</v>
      </c>
      <c r="G95" s="462">
        <f t="shared" si="26"/>
        <v>78.242189925405214</v>
      </c>
      <c r="H95" s="464">
        <f t="shared" si="27"/>
        <v>88.739140407479155</v>
      </c>
      <c r="I95" s="475">
        <f t="shared" si="30"/>
        <v>22.184785101869789</v>
      </c>
      <c r="J95" s="463">
        <f t="shared" si="31"/>
        <v>100.42697502727501</v>
      </c>
      <c r="K95" s="480">
        <f>VLOOKUP(A95,'RAB Calculations 10yr'!$A$22:$J$119,10,FALSE)</f>
        <v>52.163571087910817</v>
      </c>
      <c r="L95" s="480">
        <f t="shared" ref="L95:L98" si="32">J95-K95</f>
        <v>48.263403939364188</v>
      </c>
      <c r="M95" s="479">
        <f t="shared" ref="M95:M98" si="33">L95/K95</f>
        <v>0.92523197574081517</v>
      </c>
      <c r="O95" s="476"/>
    </row>
    <row r="96" spans="1:15" x14ac:dyDescent="0.2">
      <c r="A96" s="459">
        <v>1050</v>
      </c>
      <c r="B96" s="460">
        <f>VLOOKUP(A96,[3]Sheet1!$A:$B,2,FALSE)</f>
        <v>4</v>
      </c>
      <c r="C96" s="461">
        <f>VLOOKUP(A96,'[2]SLUOS Capital Charge'!$D$14:$F$220,3,FALSE)</f>
        <v>6740.4224535066187</v>
      </c>
      <c r="D96" s="464">
        <f t="shared" si="25"/>
        <v>26961.689814026475</v>
      </c>
      <c r="E96" s="464">
        <f t="shared" si="28"/>
        <v>5291.2250933150535</v>
      </c>
      <c r="F96" s="462">
        <f t="shared" si="29"/>
        <v>1322.8062733287634</v>
      </c>
      <c r="G96" s="462">
        <f t="shared" si="26"/>
        <v>330.70156833219085</v>
      </c>
      <c r="H96" s="464">
        <f t="shared" si="27"/>
        <v>375.06839894412457</v>
      </c>
      <c r="I96" s="475">
        <f t="shared" si="30"/>
        <v>93.767099736031142</v>
      </c>
      <c r="J96" s="463">
        <f t="shared" si="31"/>
        <v>424.46866806822197</v>
      </c>
      <c r="K96" s="480">
        <f>VLOOKUP(A96,'RAB Calculations 10yr'!$A$22:$J$119,10,FALSE)</f>
        <v>220.47663524022317</v>
      </c>
      <c r="L96" s="480">
        <f t="shared" si="32"/>
        <v>203.9920328279988</v>
      </c>
      <c r="M96" s="479">
        <f t="shared" si="33"/>
        <v>0.9252319757408155</v>
      </c>
      <c r="O96" s="476"/>
    </row>
    <row r="97" spans="1:15" x14ac:dyDescent="0.2">
      <c r="A97" s="459">
        <v>1070</v>
      </c>
      <c r="B97" s="460">
        <f>VLOOKUP(A97,[3]Sheet1!$A:$B,2,FALSE)</f>
        <v>31</v>
      </c>
      <c r="C97" s="461">
        <f>VLOOKUP(A97,'[2]SLUOS Capital Charge'!$D$14:$F$220,3,FALSE)</f>
        <v>2174.1834099125972</v>
      </c>
      <c r="D97" s="464">
        <f t="shared" si="25"/>
        <v>67399.685707290511</v>
      </c>
      <c r="E97" s="464">
        <f t="shared" si="28"/>
        <v>13227.171989436394</v>
      </c>
      <c r="F97" s="462">
        <f t="shared" si="29"/>
        <v>426.68296740117398</v>
      </c>
      <c r="G97" s="462">
        <f t="shared" si="26"/>
        <v>106.6707418502935</v>
      </c>
      <c r="H97" s="464">
        <f t="shared" si="27"/>
        <v>937.60785699786948</v>
      </c>
      <c r="I97" s="475">
        <f t="shared" si="30"/>
        <v>30.245414741866757</v>
      </c>
      <c r="J97" s="463">
        <f t="shared" si="31"/>
        <v>136.91615659216026</v>
      </c>
      <c r="K97" s="480">
        <f>VLOOKUP(A97,'RAB Calculations 10yr'!$A$22:$J$119,10,FALSE)</f>
        <v>71.116706099521267</v>
      </c>
      <c r="L97" s="480">
        <f t="shared" si="32"/>
        <v>65.799450492638996</v>
      </c>
      <c r="M97" s="479">
        <f t="shared" si="33"/>
        <v>0.92523197574081595</v>
      </c>
      <c r="O97" s="476"/>
    </row>
    <row r="98" spans="1:15" x14ac:dyDescent="0.2">
      <c r="A98" s="459">
        <v>1080</v>
      </c>
      <c r="B98" s="460">
        <f>VLOOKUP(A98,[3]Sheet1!$A:$B,2,FALSE)</f>
        <v>38</v>
      </c>
      <c r="C98" s="461">
        <f>VLOOKUP(A98,'[2]SLUOS Capital Charge'!$D$14:$F$220,3,FALSE)</f>
        <v>2247.8870899125977</v>
      </c>
      <c r="D98" s="464">
        <f t="shared" si="25"/>
        <v>85419.709416678714</v>
      </c>
      <c r="E98" s="464">
        <f t="shared" si="28"/>
        <v>16763.597276238837</v>
      </c>
      <c r="F98" s="462">
        <f t="shared" si="29"/>
        <v>441.1472967431273</v>
      </c>
      <c r="G98" s="462">
        <f t="shared" si="26"/>
        <v>110.28682418578182</v>
      </c>
      <c r="H98" s="464">
        <f t="shared" si="27"/>
        <v>1188.2873021007224</v>
      </c>
      <c r="I98" s="475">
        <f t="shared" si="30"/>
        <v>31.2707184763348</v>
      </c>
      <c r="J98" s="463">
        <f t="shared" si="31"/>
        <v>141.55754266211662</v>
      </c>
      <c r="K98" s="480">
        <f>VLOOKUP(A98,'RAB Calculations 10yr'!$A$22:$J$119,10,FALSE)</f>
        <v>73.527525225964666</v>
      </c>
      <c r="L98" s="480">
        <f t="shared" si="32"/>
        <v>68.030017436151951</v>
      </c>
      <c r="M98" s="479">
        <f t="shared" si="33"/>
        <v>0.92523197574081562</v>
      </c>
      <c r="O98" s="476"/>
    </row>
    <row r="99" spans="1:15" x14ac:dyDescent="0.2">
      <c r="A99" s="459">
        <v>1100</v>
      </c>
      <c r="B99" s="460">
        <v>0</v>
      </c>
      <c r="C99" s="461">
        <f>VLOOKUP(A99,'[2]SLUOS Capital Charge'!$D$14:$F$220,3,FALSE)</f>
        <v>2247.8870899125977</v>
      </c>
      <c r="D99" s="464">
        <f t="shared" si="25"/>
        <v>0</v>
      </c>
      <c r="E99" s="464">
        <f t="shared" si="28"/>
        <v>0</v>
      </c>
      <c r="F99" s="462">
        <f t="shared" si="29"/>
        <v>0</v>
      </c>
      <c r="G99" s="462">
        <f t="shared" si="26"/>
        <v>0</v>
      </c>
      <c r="H99" s="464">
        <f t="shared" si="27"/>
        <v>0</v>
      </c>
      <c r="I99" s="475">
        <f t="shared" si="30"/>
        <v>0</v>
      </c>
      <c r="J99" s="463">
        <f t="shared" si="31"/>
        <v>0</v>
      </c>
    </row>
    <row r="100" spans="1:15" x14ac:dyDescent="0.2">
      <c r="A100" s="459">
        <v>1120</v>
      </c>
      <c r="B100" s="460">
        <f>VLOOKUP(A100,[3]Sheet1!$A:$B,2,FALSE)</f>
        <v>40</v>
      </c>
      <c r="C100" s="461">
        <f>VLOOKUP(A100,'[2]SLUOS Capital Charge'!$D$14:$F$220,3,FALSE)</f>
        <v>2977.7166756247543</v>
      </c>
      <c r="D100" s="464">
        <f t="shared" si="25"/>
        <v>119108.66702499017</v>
      </c>
      <c r="E100" s="464">
        <f t="shared" si="28"/>
        <v>23375.047044197716</v>
      </c>
      <c r="F100" s="462">
        <f t="shared" si="29"/>
        <v>584.37617610494294</v>
      </c>
      <c r="G100" s="462">
        <f t="shared" si="26"/>
        <v>146.09404402623574</v>
      </c>
      <c r="H100" s="464">
        <f t="shared" si="27"/>
        <v>1656.9398042028834</v>
      </c>
      <c r="I100" s="475">
        <f t="shared" si="30"/>
        <v>41.423495105072085</v>
      </c>
      <c r="J100" s="463">
        <f t="shared" si="31"/>
        <v>187.51753913130781</v>
      </c>
      <c r="K100" s="480">
        <f>VLOOKUP(A100,'RAB Calculations 10yr'!$A$22:$J$119,10,FALSE)</f>
        <v>97.399971273151337</v>
      </c>
      <c r="L100" s="480">
        <f t="shared" ref="L100:L103" si="34">J100-K100</f>
        <v>90.117567858156477</v>
      </c>
      <c r="M100" s="479">
        <f t="shared" ref="M100:M103" si="35">L100/K100</f>
        <v>0.92523197574081539</v>
      </c>
      <c r="O100" s="476"/>
    </row>
    <row r="101" spans="1:15" x14ac:dyDescent="0.2">
      <c r="A101" s="459">
        <v>1130</v>
      </c>
      <c r="B101" s="460">
        <f>VLOOKUP(A101,[3]Sheet1!$A:$B,2,FALSE)</f>
        <v>20</v>
      </c>
      <c r="C101" s="461">
        <f>VLOOKUP(A101,'[2]SLUOS Capital Charge'!$D$14:$F$220,3,FALSE)</f>
        <v>3669.6447521847549</v>
      </c>
      <c r="D101" s="464">
        <f t="shared" si="25"/>
        <v>73392.895043695098</v>
      </c>
      <c r="E101" s="464">
        <f t="shared" si="28"/>
        <v>14403.337869580024</v>
      </c>
      <c r="F101" s="462">
        <f t="shared" si="29"/>
        <v>720.16689347900115</v>
      </c>
      <c r="G101" s="462">
        <f t="shared" si="26"/>
        <v>180.04172336975029</v>
      </c>
      <c r="H101" s="464">
        <f t="shared" si="27"/>
        <v>1020.9803550069826</v>
      </c>
      <c r="I101" s="475">
        <f t="shared" si="30"/>
        <v>51.04901775034913</v>
      </c>
      <c r="J101" s="463">
        <f t="shared" si="31"/>
        <v>231.09074112009941</v>
      </c>
      <c r="K101" s="480">
        <f>VLOOKUP(A101,'RAB Calculations 10yr'!$A$22:$J$119,10,FALSE)</f>
        <v>120.03267348142677</v>
      </c>
      <c r="L101" s="480">
        <f t="shared" si="34"/>
        <v>111.05806763867264</v>
      </c>
      <c r="M101" s="479">
        <f t="shared" si="35"/>
        <v>0.92523197574081517</v>
      </c>
      <c r="O101" s="476"/>
    </row>
    <row r="102" spans="1:15" x14ac:dyDescent="0.2">
      <c r="A102" s="459">
        <v>1160</v>
      </c>
      <c r="B102" s="460">
        <f>VLOOKUP(A102,[3]Sheet1!$A:$B,2,FALSE)</f>
        <v>9</v>
      </c>
      <c r="C102" s="461">
        <f>VLOOKUP(A102,'[2]SLUOS Capital Charge'!$D$14:$F$220,3,FALSE)</f>
        <v>2718.7041264725976</v>
      </c>
      <c r="D102" s="464">
        <f t="shared" si="25"/>
        <v>24468.337138253381</v>
      </c>
      <c r="E102" s="464">
        <f t="shared" si="28"/>
        <v>4801.9052348219338</v>
      </c>
      <c r="F102" s="462">
        <f t="shared" si="29"/>
        <v>533.54502609132601</v>
      </c>
      <c r="G102" s="462">
        <f t="shared" si="26"/>
        <v>133.3862565228315</v>
      </c>
      <c r="H102" s="464">
        <f t="shared" si="27"/>
        <v>340.38296926386954</v>
      </c>
      <c r="I102" s="475">
        <f t="shared" si="30"/>
        <v>37.820329918207726</v>
      </c>
      <c r="J102" s="463">
        <f t="shared" si="31"/>
        <v>171.20658644103924</v>
      </c>
      <c r="K102" s="480">
        <f>VLOOKUP(A102,'RAB Calculations 10yr'!$A$22:$J$119,10,FALSE)</f>
        <v>88.927770054909942</v>
      </c>
      <c r="L102" s="480">
        <f t="shared" si="34"/>
        <v>82.278816386129293</v>
      </c>
      <c r="M102" s="479">
        <f t="shared" si="35"/>
        <v>0.92523197574081595</v>
      </c>
      <c r="O102" s="476"/>
    </row>
    <row r="103" spans="1:15" x14ac:dyDescent="0.2">
      <c r="A103" s="459">
        <v>1170</v>
      </c>
      <c r="B103" s="460">
        <f>VLOOKUP(A103,[3]Sheet1!$A:$B,2,FALSE)</f>
        <v>30</v>
      </c>
      <c r="C103" s="461">
        <f>VLOOKUP(A103,'[2]SLUOS Capital Charge'!$D$14:$F$220,3,FALSE)</f>
        <v>3051.4203556247548</v>
      </c>
      <c r="D103" s="464">
        <f t="shared" si="25"/>
        <v>91542.610668742651</v>
      </c>
      <c r="E103" s="464">
        <f t="shared" si="28"/>
        <v>17965.215163406887</v>
      </c>
      <c r="F103" s="462">
        <f t="shared" si="29"/>
        <v>598.84050544689626</v>
      </c>
      <c r="G103" s="462">
        <f t="shared" si="26"/>
        <v>149.71012636172406</v>
      </c>
      <c r="H103" s="464">
        <f t="shared" si="27"/>
        <v>1273.4639651862039</v>
      </c>
      <c r="I103" s="475">
        <f t="shared" si="30"/>
        <v>42.448798839540132</v>
      </c>
      <c r="J103" s="463">
        <f t="shared" si="31"/>
        <v>192.1589252012642</v>
      </c>
      <c r="K103" s="480">
        <f>VLOOKUP(A103,'RAB Calculations 10yr'!$A$22:$J$119,10,FALSE)</f>
        <v>99.810790399594723</v>
      </c>
      <c r="L103" s="480">
        <f t="shared" si="34"/>
        <v>92.348134801669474</v>
      </c>
      <c r="M103" s="479">
        <f t="shared" si="35"/>
        <v>0.92523197574081584</v>
      </c>
      <c r="O103" s="476"/>
    </row>
    <row r="104" spans="1:15" x14ac:dyDescent="0.2">
      <c r="A104" s="459">
        <v>1180</v>
      </c>
      <c r="B104" s="460">
        <v>0</v>
      </c>
      <c r="C104" s="461">
        <f>VLOOKUP(A104,'[2]SLUOS Capital Charge'!$D$14:$F$220,3,FALSE)</f>
        <v>872.38619828000014</v>
      </c>
      <c r="D104" s="464">
        <f t="shared" si="25"/>
        <v>0</v>
      </c>
      <c r="E104" s="464">
        <f t="shared" si="28"/>
        <v>0</v>
      </c>
      <c r="F104" s="462">
        <f t="shared" si="29"/>
        <v>0</v>
      </c>
      <c r="G104" s="462">
        <f t="shared" si="26"/>
        <v>0</v>
      </c>
      <c r="H104" s="464">
        <f t="shared" si="27"/>
        <v>0</v>
      </c>
      <c r="I104" s="475">
        <f t="shared" si="30"/>
        <v>0</v>
      </c>
      <c r="J104" s="463">
        <f t="shared" si="31"/>
        <v>0</v>
      </c>
    </row>
    <row r="105" spans="1:15" x14ac:dyDescent="0.2">
      <c r="A105" s="459">
        <v>1200</v>
      </c>
      <c r="B105" s="460">
        <v>0</v>
      </c>
      <c r="C105" s="461">
        <f>VLOOKUP(A105,'[2]SLUOS Capital Charge'!$D$14:$F$220,3,FALSE)</f>
        <v>1421.0060444000001</v>
      </c>
      <c r="D105" s="464">
        <f t="shared" si="25"/>
        <v>0</v>
      </c>
      <c r="E105" s="464">
        <f t="shared" si="28"/>
        <v>0</v>
      </c>
      <c r="F105" s="462">
        <f t="shared" si="29"/>
        <v>0</v>
      </c>
      <c r="G105" s="462">
        <f t="shared" si="26"/>
        <v>0</v>
      </c>
      <c r="H105" s="464">
        <f t="shared" si="27"/>
        <v>0</v>
      </c>
      <c r="I105" s="475">
        <f t="shared" si="30"/>
        <v>0</v>
      </c>
      <c r="J105" s="463">
        <f t="shared" si="31"/>
        <v>0</v>
      </c>
    </row>
    <row r="106" spans="1:15" x14ac:dyDescent="0.2">
      <c r="A106" s="459">
        <v>1210</v>
      </c>
      <c r="B106" s="460">
        <f>VLOOKUP(A106,[3]Sheet1!$A:$B,2,FALSE)</f>
        <v>2</v>
      </c>
      <c r="C106" s="461">
        <f>VLOOKUP(A106,'[2]SLUOS Capital Charge'!$D$14:$F$220,3,FALSE)</f>
        <v>1908.8128434725977</v>
      </c>
      <c r="D106" s="464">
        <f t="shared" si="25"/>
        <v>3817.6256869451954</v>
      </c>
      <c r="E106" s="464">
        <f t="shared" si="28"/>
        <v>749.20811607066958</v>
      </c>
      <c r="F106" s="462">
        <f t="shared" si="29"/>
        <v>374.60405803533479</v>
      </c>
      <c r="G106" s="462">
        <f t="shared" si="26"/>
        <v>93.651014508833697</v>
      </c>
      <c r="H106" s="464">
        <f t="shared" si="27"/>
        <v>53.107604309934075</v>
      </c>
      <c r="I106" s="475">
        <f t="shared" si="30"/>
        <v>26.553802154967038</v>
      </c>
      <c r="J106" s="463">
        <f t="shared" si="31"/>
        <v>120.20481666380073</v>
      </c>
      <c r="K106" s="480">
        <f>VLOOKUP(A106,'RAB Calculations 10yr'!$A$22:$J$119,10,FALSE)</f>
        <v>62.436536572454742</v>
      </c>
      <c r="L106" s="480">
        <f t="shared" ref="L106:L111" si="36">J106-K106</f>
        <v>57.768280091345986</v>
      </c>
      <c r="M106" s="479">
        <f t="shared" ref="M106:M111" si="37">L106/K106</f>
        <v>0.9252319757408155</v>
      </c>
      <c r="O106" s="476"/>
    </row>
    <row r="107" spans="1:15" x14ac:dyDescent="0.2">
      <c r="A107" s="459">
        <v>1250</v>
      </c>
      <c r="B107" s="460">
        <f>VLOOKUP(A107,[3]Sheet1!$A:$B,2,FALSE)</f>
        <v>3</v>
      </c>
      <c r="C107" s="461">
        <f>VLOOKUP(A107,'[2]SLUOS Capital Charge'!$D$14:$F$220,3,FALSE)</f>
        <v>3484.3358830325978</v>
      </c>
      <c r="D107" s="464">
        <f t="shared" si="25"/>
        <v>10453.007649097794</v>
      </c>
      <c r="E107" s="464">
        <f t="shared" si="28"/>
        <v>2051.4002184220117</v>
      </c>
      <c r="F107" s="462">
        <f t="shared" si="29"/>
        <v>683.80007280733719</v>
      </c>
      <c r="G107" s="462">
        <f t="shared" si="26"/>
        <v>170.9500182018343</v>
      </c>
      <c r="H107" s="464">
        <f t="shared" si="27"/>
        <v>145.41346889385835</v>
      </c>
      <c r="I107" s="475">
        <f t="shared" si="30"/>
        <v>48.471156297952781</v>
      </c>
      <c r="J107" s="463">
        <f t="shared" si="31"/>
        <v>219.42117449978707</v>
      </c>
      <c r="K107" s="480">
        <f>VLOOKUP(A107,'RAB Calculations 10yr'!$A$22:$J$119,10,FALSE)</f>
        <v>113.97129138962873</v>
      </c>
      <c r="L107" s="480">
        <f t="shared" si="36"/>
        <v>105.44988311015834</v>
      </c>
      <c r="M107" s="479">
        <f t="shared" si="37"/>
        <v>0.92523197574081506</v>
      </c>
      <c r="O107" s="476"/>
    </row>
    <row r="108" spans="1:15" x14ac:dyDescent="0.2">
      <c r="A108" s="459">
        <v>1260</v>
      </c>
      <c r="B108" s="460">
        <f>VLOOKUP(A108,[3]Sheet1!$A:$B,2,FALSE)</f>
        <v>6</v>
      </c>
      <c r="C108" s="461">
        <f>VLOOKUP(A108,'[2]SLUOS Capital Charge'!$D$14:$F$220,3,FALSE)</f>
        <v>1767.7033584725975</v>
      </c>
      <c r="D108" s="464">
        <f t="shared" si="25"/>
        <v>10606.220150835585</v>
      </c>
      <c r="E108" s="464">
        <f t="shared" si="28"/>
        <v>2081.4681347654018</v>
      </c>
      <c r="F108" s="462">
        <f t="shared" si="29"/>
        <v>346.91135579423366</v>
      </c>
      <c r="G108" s="462">
        <f t="shared" si="26"/>
        <v>86.727838948558414</v>
      </c>
      <c r="H108" s="464">
        <f t="shared" si="27"/>
        <v>147.54483262222237</v>
      </c>
      <c r="I108" s="475">
        <f t="shared" si="30"/>
        <v>24.590805437037062</v>
      </c>
      <c r="J108" s="463">
        <f t="shared" si="31"/>
        <v>111.31864438559548</v>
      </c>
      <c r="K108" s="480">
        <f>VLOOKUP(A108,'RAB Calculations 10yr'!$A$22:$J$119,10,FALSE)</f>
        <v>57.820899397206851</v>
      </c>
      <c r="L108" s="480">
        <f t="shared" si="36"/>
        <v>53.497744988388625</v>
      </c>
      <c r="M108" s="479">
        <f t="shared" si="37"/>
        <v>0.9252319757408155</v>
      </c>
      <c r="O108" s="476"/>
    </row>
    <row r="109" spans="1:15" x14ac:dyDescent="0.2">
      <c r="A109" s="459">
        <v>1360</v>
      </c>
      <c r="B109" s="460">
        <f>VLOOKUP(A109,[3]Sheet1!$A:$B,2,FALSE)</f>
        <v>6</v>
      </c>
      <c r="C109" s="461">
        <f>VLOOKUP(A109,'[2]SLUOS Capital Charge'!$D$14:$F$220,3,FALSE)</f>
        <v>5423.6314009466187</v>
      </c>
      <c r="D109" s="464">
        <f t="shared" si="25"/>
        <v>32541.788405679712</v>
      </c>
      <c r="E109" s="464">
        <f t="shared" si="28"/>
        <v>6386.3180898959763</v>
      </c>
      <c r="F109" s="462">
        <f t="shared" si="29"/>
        <v>1064.386348315996</v>
      </c>
      <c r="G109" s="462">
        <f t="shared" si="26"/>
        <v>266.09658707899899</v>
      </c>
      <c r="H109" s="464">
        <f t="shared" si="27"/>
        <v>452.69404700839868</v>
      </c>
      <c r="I109" s="475">
        <f t="shared" si="30"/>
        <v>75.449007834733109</v>
      </c>
      <c r="J109" s="463">
        <f t="shared" si="31"/>
        <v>341.54559491373209</v>
      </c>
      <c r="K109" s="480">
        <f>VLOOKUP(A109,'RAB Calculations 10yr'!$A$22:$J$119,10,FALSE)</f>
        <v>177.40490456081676</v>
      </c>
      <c r="L109" s="480">
        <f t="shared" si="36"/>
        <v>164.14069035291533</v>
      </c>
      <c r="M109" s="479">
        <f t="shared" si="37"/>
        <v>0.92523197574081562</v>
      </c>
      <c r="O109" s="476"/>
    </row>
    <row r="110" spans="1:15" x14ac:dyDescent="0.2">
      <c r="A110" s="459">
        <v>1370</v>
      </c>
      <c r="B110" s="460">
        <f>VLOOKUP(A110,[3]Sheet1!$A:$B,2,FALSE)</f>
        <v>4</v>
      </c>
      <c r="C110" s="461">
        <f>VLOOKUP(A110,'[2]SLUOS Capital Charge'!$D$14:$F$220,3,FALSE)</f>
        <v>5809.0002455066187</v>
      </c>
      <c r="D110" s="464">
        <f t="shared" si="25"/>
        <v>23236.000982026475</v>
      </c>
      <c r="E110" s="464">
        <f t="shared" si="28"/>
        <v>4560.0595627515213</v>
      </c>
      <c r="F110" s="462">
        <f t="shared" si="29"/>
        <v>1140.0148906878803</v>
      </c>
      <c r="G110" s="462">
        <f t="shared" si="26"/>
        <v>285.00372267197008</v>
      </c>
      <c r="H110" s="464">
        <f t="shared" si="27"/>
        <v>323.23974299484973</v>
      </c>
      <c r="I110" s="475">
        <f t="shared" si="30"/>
        <v>80.809935748712434</v>
      </c>
      <c r="J110" s="463">
        <f t="shared" si="31"/>
        <v>365.81365842068249</v>
      </c>
      <c r="K110" s="480">
        <f>VLOOKUP(A110,'RAB Calculations 10yr'!$A$22:$J$119,10,FALSE)</f>
        <v>190.01017177679068</v>
      </c>
      <c r="L110" s="480">
        <f t="shared" si="36"/>
        <v>175.8034866438918</v>
      </c>
      <c r="M110" s="479">
        <f t="shared" si="37"/>
        <v>0.92523197574081562</v>
      </c>
      <c r="O110" s="476"/>
    </row>
    <row r="111" spans="1:15" x14ac:dyDescent="0.2">
      <c r="A111" s="459">
        <v>1450</v>
      </c>
      <c r="B111" s="460">
        <f>VLOOKUP(A111,[3]Sheet1!$A:$B,2,FALSE)</f>
        <v>17</v>
      </c>
      <c r="C111" s="461">
        <f>VLOOKUP(A111,'[2]SLUOS Capital Charge'!$D$14:$F$220,3,FALSE)</f>
        <v>6445.6077335066184</v>
      </c>
      <c r="D111" s="464">
        <f t="shared" si="25"/>
        <v>109575.33146961252</v>
      </c>
      <c r="E111" s="464">
        <f t="shared" si="28"/>
        <v>21504.132251336163</v>
      </c>
      <c r="F111" s="462">
        <f t="shared" si="29"/>
        <v>1264.9489559609508</v>
      </c>
      <c r="G111" s="462">
        <f t="shared" si="26"/>
        <v>316.2372389902377</v>
      </c>
      <c r="H111" s="464">
        <f t="shared" si="27"/>
        <v>1524.3200415687031</v>
      </c>
      <c r="I111" s="475">
        <f t="shared" si="30"/>
        <v>89.665884798159013</v>
      </c>
      <c r="J111" s="463">
        <f t="shared" si="31"/>
        <v>405.90312378839673</v>
      </c>
      <c r="K111" s="480">
        <f>VLOOKUP(A111,'RAB Calculations 10yr'!$A$22:$J$119,10,FALSE)</f>
        <v>210.83335873444966</v>
      </c>
      <c r="L111" s="480">
        <f t="shared" si="36"/>
        <v>195.06976505394707</v>
      </c>
      <c r="M111" s="479">
        <f t="shared" si="37"/>
        <v>0.92523197574081595</v>
      </c>
      <c r="O111" s="476"/>
    </row>
    <row r="112" spans="1:15" x14ac:dyDescent="0.2">
      <c r="A112" s="459">
        <v>1470</v>
      </c>
      <c r="B112" s="460">
        <v>0</v>
      </c>
      <c r="C112" s="461">
        <f>VLOOKUP(A112,'[2]SLUOS Capital Charge'!$D$14:$F$220,3,FALSE)</f>
        <v>6536.6223503586189</v>
      </c>
      <c r="D112" s="464">
        <f t="shared" si="25"/>
        <v>0</v>
      </c>
      <c r="E112" s="464">
        <f t="shared" si="28"/>
        <v>0</v>
      </c>
      <c r="F112" s="462">
        <f t="shared" si="29"/>
        <v>0</v>
      </c>
      <c r="G112" s="462">
        <f t="shared" si="26"/>
        <v>0</v>
      </c>
      <c r="H112" s="464">
        <f t="shared" si="27"/>
        <v>0</v>
      </c>
      <c r="I112" s="475">
        <f t="shared" si="30"/>
        <v>0</v>
      </c>
      <c r="J112" s="463">
        <f t="shared" si="31"/>
        <v>0</v>
      </c>
    </row>
    <row r="113" spans="1:15" x14ac:dyDescent="0.2">
      <c r="A113" s="459">
        <v>1490</v>
      </c>
      <c r="B113" s="460">
        <f>VLOOKUP(A113,[3]Sheet1!$A:$B,2,FALSE)</f>
        <v>8</v>
      </c>
      <c r="C113" s="461">
        <f>VLOOKUP(A113,'[2]SLUOS Capital Charge'!$D$14:$F$220,3,FALSE)</f>
        <v>5503.9736603866186</v>
      </c>
      <c r="D113" s="464">
        <f t="shared" si="25"/>
        <v>44031.789283092949</v>
      </c>
      <c r="E113" s="464">
        <f t="shared" si="28"/>
        <v>8641.227978116427</v>
      </c>
      <c r="F113" s="462">
        <f t="shared" si="29"/>
        <v>1080.1534972645534</v>
      </c>
      <c r="G113" s="462">
        <f t="shared" si="26"/>
        <v>270.03837431613834</v>
      </c>
      <c r="H113" s="464">
        <f t="shared" si="27"/>
        <v>612.53329531530517</v>
      </c>
      <c r="I113" s="475">
        <f t="shared" si="30"/>
        <v>76.566661914413146</v>
      </c>
      <c r="J113" s="463">
        <f t="shared" si="31"/>
        <v>346.60503623055149</v>
      </c>
      <c r="K113" s="480">
        <f>VLOOKUP(A113,'RAB Calculations 10yr'!$A$22:$J$119,10,FALSE)</f>
        <v>180.03286907655911</v>
      </c>
      <c r="L113" s="480">
        <f t="shared" ref="L113:L114" si="38">J113-K113</f>
        <v>166.57216715399238</v>
      </c>
      <c r="M113" s="479">
        <f t="shared" ref="M113:M114" si="39">L113/K113</f>
        <v>0.92523197574081573</v>
      </c>
      <c r="O113" s="476"/>
    </row>
    <row r="114" spans="1:15" x14ac:dyDescent="0.2">
      <c r="A114" s="459">
        <v>1620</v>
      </c>
      <c r="B114" s="460">
        <f>VLOOKUP(A114,[3]Sheet1!$A:$B,2,FALSE)</f>
        <v>673</v>
      </c>
      <c r="C114" s="461">
        <f>VLOOKUP(A114,'[2]SLUOS Capital Charge'!$D$14:$F$220,3,FALSE)</f>
        <v>587.55721272000005</v>
      </c>
      <c r="D114" s="464">
        <f t="shared" si="25"/>
        <v>395426.00416056003</v>
      </c>
      <c r="E114" s="464">
        <f t="shared" si="28"/>
        <v>77602.257506692767</v>
      </c>
      <c r="F114" s="462">
        <f t="shared" si="29"/>
        <v>115.307960634016</v>
      </c>
      <c r="G114" s="462">
        <f t="shared" si="26"/>
        <v>28.826990158504</v>
      </c>
      <c r="H114" s="464">
        <f t="shared" si="27"/>
        <v>5500.8346770689668</v>
      </c>
      <c r="I114" s="475">
        <f t="shared" si="30"/>
        <v>8.1736027891069352</v>
      </c>
      <c r="J114" s="463">
        <f t="shared" si="31"/>
        <v>37.000592947610933</v>
      </c>
      <c r="K114" s="480">
        <f>VLOOKUP(A114,'RAB Calculations 10yr'!$A$22:$J$119,10,FALSE)</f>
        <v>19.218771251383032</v>
      </c>
      <c r="L114" s="480">
        <f t="shared" si="38"/>
        <v>17.781821696227901</v>
      </c>
      <c r="M114" s="479">
        <f t="shared" si="39"/>
        <v>0.92523197574081517</v>
      </c>
      <c r="O114" s="476"/>
    </row>
    <row r="115" spans="1:15" x14ac:dyDescent="0.2">
      <c r="A115" s="459">
        <v>1700</v>
      </c>
      <c r="B115" s="460">
        <v>0</v>
      </c>
      <c r="C115" s="461">
        <f>VLOOKUP(A115,'[2]SLUOS Capital Charge'!$D$14:$F$220,3,FALSE)</f>
        <v>2696.9868196247544</v>
      </c>
      <c r="D115" s="464">
        <f t="shared" si="25"/>
        <v>0</v>
      </c>
      <c r="E115" s="464">
        <f t="shared" si="28"/>
        <v>0</v>
      </c>
      <c r="F115" s="462">
        <f t="shared" si="29"/>
        <v>0</v>
      </c>
      <c r="G115" s="462">
        <f t="shared" si="26"/>
        <v>0</v>
      </c>
      <c r="H115" s="464">
        <f t="shared" si="27"/>
        <v>0</v>
      </c>
      <c r="I115" s="475">
        <f t="shared" si="30"/>
        <v>0</v>
      </c>
      <c r="J115" s="463">
        <f t="shared" si="31"/>
        <v>0</v>
      </c>
    </row>
  </sheetData>
  <pageMargins left="0.75" right="0.75" top="1" bottom="1" header="0.5" footer="0.5"/>
  <pageSetup paperSize="9"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A1E837E562164AABFA2BD95B4BFCA3" ma:contentTypeVersion="0" ma:contentTypeDescription="Create a new document." ma:contentTypeScope="" ma:versionID="14996546c3df5d90b867dc7e93fdf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2530BE-889B-4A50-B98E-318DE1BB2B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D77675B7-78C5-4429-9F99-04D7139B42D4}">
  <ds:schemaRefs>
    <ds:schemaRef ds:uri="http://schemas.microsoft.com/sharepoint/v3/contenttype/forms"/>
  </ds:schemaRefs>
</ds:datastoreItem>
</file>

<file path=customXml/itemProps3.xml><?xml version="1.0" encoding="utf-8"?>
<ds:datastoreItem xmlns:ds="http://schemas.openxmlformats.org/officeDocument/2006/customXml" ds:itemID="{3EC18169-0F2C-4EDF-8F2C-A132AAAC361A}">
  <ds:schemaRef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Introduction</vt:lpstr>
      <vt:lpstr>Streetlight Tariff Schedule</vt:lpstr>
      <vt:lpstr>Tariff Schedule Lookup Table</vt:lpstr>
      <vt:lpstr>Lamp Stock</vt:lpstr>
      <vt:lpstr>Maintenance Costs</vt:lpstr>
      <vt:lpstr>Maintenance Model</vt:lpstr>
      <vt:lpstr>Other Maintenance</vt:lpstr>
      <vt:lpstr>RAB Calc 4yr Original devices</vt:lpstr>
      <vt:lpstr>RAB Calc 4yr Reduced devices</vt:lpstr>
      <vt:lpstr>RAB Calculations 10yr</vt:lpstr>
      <vt:lpstr>RAB Calculations 15yr</vt:lpstr>
      <vt:lpstr>Capital Code Schedules</vt:lpstr>
      <vt:lpstr>Public Lighting Charges</vt:lpstr>
      <vt:lpstr>Bulk Tarriff Rates</vt:lpstr>
      <vt:lpstr>data</vt:lpstr>
      <vt:lpstr>'Maintenance Costs'!Print_Area</vt:lpstr>
      <vt:lpstr>'Maintenance Model'!Print_Area</vt:lpstr>
      <vt:lpstr>'Other Maintenance'!Print_Area</vt:lpstr>
      <vt:lpstr>'Capital Code Schedules'!Print_Titles</vt:lpstr>
      <vt:lpstr>'Maintenance Costs'!Print_Titles</vt:lpstr>
    </vt:vector>
  </TitlesOfParts>
  <Company>Country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aphilp</dc:creator>
  <cp:lastModifiedBy>Innes, Nick</cp:lastModifiedBy>
  <cp:lastPrinted>2010-03-16T03:43:15Z</cp:lastPrinted>
  <dcterms:created xsi:type="dcterms:W3CDTF">2006-11-23T22:01:31Z</dcterms:created>
  <dcterms:modified xsi:type="dcterms:W3CDTF">2015-04-16T05:14:40Z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0x01010022A1E837E562164AABFA2BD95B4BFCA3</vt:lpwstr>
  </property>
</Properties>
</file>